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E0E31975-20B8-47DD-AEC5-D900EE9FB356}" xr6:coauthVersionLast="36" xr6:coauthVersionMax="36" xr10:uidLastSave="{00000000-0000-0000-0000-000000000000}"/>
  <bookViews>
    <workbookView xWindow="360" yWindow="300" windowWidth="9720" windowHeight="7060" tabRatio="893" activeTab="1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Additions'!$B$1:$G$59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9"/>
</workbook>
</file>

<file path=xl/calcChain.xml><?xml version="1.0" encoding="utf-8"?>
<calcChain xmlns="http://schemas.openxmlformats.org/spreadsheetml/2006/main">
  <c r="F55" i="37" l="1"/>
  <c r="J58" i="35"/>
  <c r="E55" i="37"/>
  <c r="G55" i="37" s="1"/>
  <c r="G56" i="37" s="1"/>
  <c r="E176" i="35"/>
  <c r="J158" i="35"/>
  <c r="J140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44" i="24" s="1"/>
  <c r="G22" i="41" s="1"/>
  <c r="J34" i="24"/>
  <c r="J33" i="24"/>
  <c r="J32" i="24"/>
  <c r="J31" i="24"/>
  <c r="D180" i="35"/>
  <c r="D179" i="35"/>
  <c r="C95" i="35"/>
  <c r="C94" i="35"/>
  <c r="D42" i="35"/>
  <c r="D29" i="35"/>
  <c r="C40" i="35"/>
  <c r="D40" i="35"/>
  <c r="F21" i="42"/>
  <c r="E64" i="35"/>
  <c r="E63" i="35"/>
  <c r="E62" i="35"/>
  <c r="E55" i="35"/>
  <c r="E54" i="35"/>
  <c r="E53" i="35"/>
  <c r="E52" i="35"/>
  <c r="E51" i="35"/>
  <c r="E50" i="35"/>
  <c r="E33" i="35"/>
  <c r="E32" i="35"/>
  <c r="E31" i="35"/>
  <c r="E30" i="35"/>
  <c r="J165" i="35" s="1"/>
  <c r="E28" i="35"/>
  <c r="E27" i="35"/>
  <c r="E23" i="35"/>
  <c r="E22" i="35"/>
  <c r="E21" i="35"/>
  <c r="E20" i="35"/>
  <c r="E19" i="35"/>
  <c r="E16" i="35"/>
  <c r="E15" i="35"/>
  <c r="E38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11" i="24"/>
  <c r="J12" i="24"/>
  <c r="J13" i="24"/>
  <c r="J14" i="24"/>
  <c r="J15" i="24"/>
  <c r="J16" i="24"/>
  <c r="J17" i="24"/>
  <c r="J18" i="24"/>
  <c r="J19" i="24"/>
  <c r="J20" i="24"/>
  <c r="J21" i="24"/>
  <c r="J22" i="24"/>
  <c r="D24" i="24"/>
  <c r="E24" i="24"/>
  <c r="F24" i="24"/>
  <c r="G24" i="24"/>
  <c r="H24" i="24"/>
  <c r="I24" i="24"/>
  <c r="I114" i="24"/>
  <c r="I115" i="24" s="1"/>
  <c r="I128" i="24"/>
  <c r="J128" i="24"/>
  <c r="I206" i="24"/>
  <c r="J206" i="24"/>
  <c r="R2" i="37"/>
  <c r="R15" i="37"/>
  <c r="A16" i="37"/>
  <c r="R16" i="37"/>
  <c r="R17" i="37"/>
  <c r="R37" i="37" s="1"/>
  <c r="R18" i="37"/>
  <c r="R19" i="37"/>
  <c r="R20" i="37"/>
  <c r="R40" i="37" s="1"/>
  <c r="R21" i="37"/>
  <c r="E22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R25" i="37"/>
  <c r="R35" i="37" s="1"/>
  <c r="R26" i="37"/>
  <c r="R27" i="37"/>
  <c r="C28" i="37"/>
  <c r="R28" i="37"/>
  <c r="R29" i="37"/>
  <c r="C30" i="37"/>
  <c r="R30" i="37"/>
  <c r="C31" i="37"/>
  <c r="R31" i="37"/>
  <c r="E32" i="37"/>
  <c r="F32" i="37"/>
  <c r="G32" i="37"/>
  <c r="H32" i="37"/>
  <c r="I32" i="37"/>
  <c r="J32" i="37"/>
  <c r="K32" i="37"/>
  <c r="L32" i="37"/>
  <c r="M32" i="37"/>
  <c r="N32" i="37"/>
  <c r="O32" i="37"/>
  <c r="P32" i="37"/>
  <c r="Q32" i="37"/>
  <c r="C35" i="37"/>
  <c r="E35" i="37"/>
  <c r="F35" i="37"/>
  <c r="F42" i="37" s="1"/>
  <c r="G35" i="37"/>
  <c r="H35" i="37"/>
  <c r="H42" i="37" s="1"/>
  <c r="I35" i="37"/>
  <c r="J35" i="37"/>
  <c r="K35" i="37"/>
  <c r="L35" i="37"/>
  <c r="M35" i="37"/>
  <c r="M42" i="37" s="1"/>
  <c r="N35" i="37"/>
  <c r="O35" i="37"/>
  <c r="O42" i="37" s="1"/>
  <c r="P35" i="37"/>
  <c r="Q35" i="37"/>
  <c r="E36" i="37"/>
  <c r="E42" i="37" s="1"/>
  <c r="F36" i="37"/>
  <c r="G36" i="37"/>
  <c r="G42" i="37" s="1"/>
  <c r="H36" i="37"/>
  <c r="I36" i="37"/>
  <c r="J36" i="37"/>
  <c r="K36" i="37"/>
  <c r="K42" i="37"/>
  <c r="L36" i="37"/>
  <c r="M36" i="37"/>
  <c r="N36" i="37"/>
  <c r="O36" i="37"/>
  <c r="P36" i="37"/>
  <c r="Q36" i="37"/>
  <c r="Q42" i="37"/>
  <c r="E37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C38" i="37"/>
  <c r="E38" i="37"/>
  <c r="F38" i="37"/>
  <c r="G38" i="37"/>
  <c r="H38" i="37"/>
  <c r="I38" i="37"/>
  <c r="J38" i="37"/>
  <c r="K38" i="37"/>
  <c r="L38" i="37"/>
  <c r="M38" i="37"/>
  <c r="N38" i="37"/>
  <c r="O38" i="37"/>
  <c r="P38" i="37"/>
  <c r="P42" i="37" s="1"/>
  <c r="Q38" i="37"/>
  <c r="R38" i="37"/>
  <c r="E39" i="37"/>
  <c r="F39" i="37"/>
  <c r="G39" i="37"/>
  <c r="H39" i="37"/>
  <c r="I39" i="37"/>
  <c r="J39" i="37"/>
  <c r="K39" i="37"/>
  <c r="L39" i="37"/>
  <c r="M39" i="37"/>
  <c r="N39" i="37"/>
  <c r="O39" i="37"/>
  <c r="P39" i="37"/>
  <c r="Q39" i="37"/>
  <c r="C40" i="37"/>
  <c r="E40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C41" i="37"/>
  <c r="E4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R41" i="37"/>
  <c r="N42" i="37"/>
  <c r="G50" i="37"/>
  <c r="G51" i="37"/>
  <c r="G52" i="37"/>
  <c r="G53" i="37"/>
  <c r="G54" i="37"/>
  <c r="E56" i="37"/>
  <c r="F56" i="37"/>
  <c r="G58" i="37"/>
  <c r="G62" i="37"/>
  <c r="G63" i="37"/>
  <c r="G64" i="37"/>
  <c r="E65" i="37"/>
  <c r="F65" i="37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D23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F20" i="42"/>
  <c r="E17" i="35" s="1"/>
  <c r="H115" i="42"/>
  <c r="H116" i="42" s="1"/>
  <c r="C27" i="35"/>
  <c r="C38" i="35" s="1"/>
  <c r="G27" i="35"/>
  <c r="H27" i="35"/>
  <c r="C31" i="35"/>
  <c r="C43" i="35"/>
  <c r="G31" i="35"/>
  <c r="G32" i="35"/>
  <c r="C33" i="35"/>
  <c r="C45" i="35"/>
  <c r="G33" i="35"/>
  <c r="C34" i="35"/>
  <c r="C46" i="35" s="1"/>
  <c r="E34" i="35"/>
  <c r="G34" i="35"/>
  <c r="H34" i="35"/>
  <c r="G50" i="35"/>
  <c r="G106" i="35" s="1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/>
  <c r="G87" i="35"/>
  <c r="G88" i="35"/>
  <c r="D89" i="35"/>
  <c r="E90" i="35"/>
  <c r="E61" i="35" s="1"/>
  <c r="C93" i="35"/>
  <c r="C97" i="35"/>
  <c r="G103" i="35"/>
  <c r="D107" i="35"/>
  <c r="G107" i="35"/>
  <c r="E108" i="35"/>
  <c r="E112" i="35"/>
  <c r="J124" i="35"/>
  <c r="I125" i="35"/>
  <c r="J125" i="35"/>
  <c r="E147" i="35"/>
  <c r="H174" i="35"/>
  <c r="H175" i="35"/>
  <c r="J193" i="35"/>
  <c r="E198" i="35"/>
  <c r="E199" i="35" s="1"/>
  <c r="F197" i="35" s="1"/>
  <c r="H196" i="35"/>
  <c r="J196" i="35" s="1"/>
  <c r="H197" i="35"/>
  <c r="J198" i="35"/>
  <c r="J200" i="35"/>
  <c r="I201" i="35"/>
  <c r="J201" i="35"/>
  <c r="D10" i="41"/>
  <c r="F12" i="41"/>
  <c r="F13" i="41"/>
  <c r="F14" i="41"/>
  <c r="G14" i="41" s="1"/>
  <c r="H14" i="41" s="1"/>
  <c r="E24" i="41" s="1"/>
  <c r="F24" i="41" s="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D24" i="35"/>
  <c r="D38" i="35"/>
  <c r="D39" i="35"/>
  <c r="D43" i="35"/>
  <c r="D44" i="35"/>
  <c r="D45" i="35"/>
  <c r="D46" i="35"/>
  <c r="D35" i="35"/>
  <c r="D47" i="35"/>
  <c r="D56" i="35"/>
  <c r="D65" i="35"/>
  <c r="D67" i="35"/>
  <c r="A81" i="35"/>
  <c r="E39" i="35"/>
  <c r="E42" i="35"/>
  <c r="E180" i="35" s="1"/>
  <c r="E46" i="35"/>
  <c r="J23" i="35"/>
  <c r="E45" i="35"/>
  <c r="F25" i="43"/>
  <c r="F22" i="42"/>
  <c r="E94" i="35" s="1"/>
  <c r="F15" i="41"/>
  <c r="G12" i="41" s="1"/>
  <c r="H12" i="41" s="1"/>
  <c r="F23" i="43"/>
  <c r="J24" i="24"/>
  <c r="I42" i="37"/>
  <c r="E43" i="35"/>
  <c r="L42" i="37"/>
  <c r="R32" i="37"/>
  <c r="G65" i="37"/>
  <c r="J147" i="35"/>
  <c r="J152" i="35" s="1"/>
  <c r="R36" i="37"/>
  <c r="J148" i="35"/>
  <c r="B21" i="42" l="1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H89" i="35"/>
  <c r="J34" i="35"/>
  <c r="F27" i="43"/>
  <c r="E95" i="35" s="1"/>
  <c r="E98" i="35" s="1"/>
  <c r="E122" i="35" s="1"/>
  <c r="E18" i="35"/>
  <c r="E41" i="35" s="1"/>
  <c r="J46" i="35"/>
  <c r="J197" i="35"/>
  <c r="J199" i="35" s="1"/>
  <c r="E22" i="41"/>
  <c r="A17" i="37"/>
  <c r="J166" i="35"/>
  <c r="J169" i="35"/>
  <c r="J136" i="35"/>
  <c r="E45" i="41"/>
  <c r="G23" i="41"/>
  <c r="G24" i="41" s="1"/>
  <c r="A82" i="35"/>
  <c r="A83" i="35" s="1"/>
  <c r="A84" i="35" s="1"/>
  <c r="A85" i="35" s="1"/>
  <c r="A86" i="35" s="1"/>
  <c r="A87" i="35" s="1"/>
  <c r="A88" i="35" s="1"/>
  <c r="A89" i="35" s="1"/>
  <c r="A90" i="35" s="1"/>
  <c r="R42" i="37"/>
  <c r="E44" i="35"/>
  <c r="H24" i="41"/>
  <c r="J42" i="37"/>
  <c r="R39" i="37"/>
  <c r="R22" i="37"/>
  <c r="G13" i="41"/>
  <c r="H13" i="41" s="1"/>
  <c r="E23" i="41" s="1"/>
  <c r="F23" i="41" s="1"/>
  <c r="H23" i="41" s="1"/>
  <c r="G15" i="41"/>
  <c r="E113" i="35" l="1"/>
  <c r="C90" i="35"/>
  <c r="A91" i="35"/>
  <c r="A92" i="35" s="1"/>
  <c r="A93" i="35" s="1"/>
  <c r="D61" i="35"/>
  <c r="A18" i="37"/>
  <c r="H15" i="41"/>
  <c r="H97" i="35"/>
  <c r="J97" i="35" s="1"/>
  <c r="J89" i="35"/>
  <c r="E25" i="41"/>
  <c r="E43" i="41" s="1"/>
  <c r="J139" i="35"/>
  <c r="J141" i="35" s="1"/>
  <c r="J142" i="35"/>
  <c r="J144" i="35" s="1"/>
  <c r="B41" i="42"/>
  <c r="B42" i="42" s="1"/>
  <c r="E24" i="35"/>
  <c r="C22" i="42"/>
  <c r="H63" i="35" l="1"/>
  <c r="J63" i="35" s="1"/>
  <c r="H81" i="35"/>
  <c r="F173" i="35"/>
  <c r="H173" i="35" s="1"/>
  <c r="H176" i="35" s="1"/>
  <c r="J176" i="35" s="1"/>
  <c r="G179" i="35"/>
  <c r="H16" i="35"/>
  <c r="H93" i="35"/>
  <c r="A94" i="35"/>
  <c r="A95" i="35" s="1"/>
  <c r="A96" i="35" s="1"/>
  <c r="A97" i="35" s="1"/>
  <c r="A98" i="35" s="1"/>
  <c r="C98" i="35"/>
  <c r="A19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 l="1"/>
  <c r="A100" i="35" s="1"/>
  <c r="A101" i="35" s="1"/>
  <c r="A102" i="35" s="1"/>
  <c r="D54" i="42"/>
  <c r="H94" i="35"/>
  <c r="J93" i="35"/>
  <c r="H17" i="35"/>
  <c r="J16" i="35"/>
  <c r="H20" i="35"/>
  <c r="H102" i="35"/>
  <c r="J81" i="35"/>
  <c r="H88" i="35"/>
  <c r="J88" i="35" s="1"/>
  <c r="H82" i="35"/>
  <c r="J82" i="35" s="1"/>
  <c r="B55" i="42"/>
  <c r="D55" i="42"/>
  <c r="A20" i="37"/>
  <c r="A21" i="37" l="1"/>
  <c r="J17" i="35"/>
  <c r="H18" i="35"/>
  <c r="J18" i="35" s="1"/>
  <c r="J41" i="35" s="1"/>
  <c r="E28" i="42"/>
  <c r="B56" i="42"/>
  <c r="B57" i="42" s="1"/>
  <c r="B58" i="42" s="1"/>
  <c r="B59" i="42" s="1"/>
  <c r="D57" i="42"/>
  <c r="H95" i="35"/>
  <c r="J95" i="35" s="1"/>
  <c r="J94" i="35"/>
  <c r="J20" i="35"/>
  <c r="H31" i="35"/>
  <c r="H21" i="35"/>
  <c r="J21" i="35" s="1"/>
  <c r="J102" i="35"/>
  <c r="H103" i="35"/>
  <c r="J103" i="35" s="1"/>
  <c r="A103" i="35"/>
  <c r="A104" i="35" s="1"/>
  <c r="A105" i="35" s="1"/>
  <c r="A106" i="35" s="1"/>
  <c r="A107" i="35" s="1"/>
  <c r="A108" i="35" s="1"/>
  <c r="J44" i="35" l="1"/>
  <c r="H32" i="35"/>
  <c r="J32" i="35" s="1"/>
  <c r="H83" i="35"/>
  <c r="J31" i="35"/>
  <c r="J43" i="35"/>
  <c r="E29" i="42"/>
  <c r="F28" i="42"/>
  <c r="A109" i="35"/>
  <c r="A110" i="35" s="1"/>
  <c r="A111" i="35" s="1"/>
  <c r="A112" i="35" s="1"/>
  <c r="A113" i="35" s="1"/>
  <c r="C108" i="35"/>
  <c r="A22" i="37"/>
  <c r="A23" i="37" s="1"/>
  <c r="A24" i="37" s="1"/>
  <c r="A25" i="37" s="1"/>
  <c r="D22" i="37"/>
  <c r="E30" i="42" l="1"/>
  <c r="F29" i="42"/>
  <c r="H85" i="35"/>
  <c r="J83" i="35"/>
  <c r="H87" i="35"/>
  <c r="J87" i="35" s="1"/>
  <c r="H96" i="35"/>
  <c r="J96" i="35" s="1"/>
  <c r="J98" i="35" s="1"/>
  <c r="A26" i="37"/>
  <c r="D35" i="37"/>
  <c r="A114" i="35"/>
  <c r="A115" i="35" s="1"/>
  <c r="A116" i="35" s="1"/>
  <c r="A117" i="35" s="1"/>
  <c r="A27" i="37" l="1"/>
  <c r="D36" i="37"/>
  <c r="H86" i="35"/>
  <c r="J86" i="35" s="1"/>
  <c r="J85" i="35"/>
  <c r="J90" i="35" s="1"/>
  <c r="J61" i="35" s="1"/>
  <c r="A118" i="35"/>
  <c r="A119" i="35" s="1"/>
  <c r="A120" i="35" s="1"/>
  <c r="C122" i="35" s="1"/>
  <c r="E31" i="42"/>
  <c r="F30" i="42"/>
  <c r="A28" i="37" l="1"/>
  <c r="D37" i="37"/>
  <c r="F31" i="42"/>
  <c r="E32" i="42"/>
  <c r="A121" i="35"/>
  <c r="A122" i="35" s="1"/>
  <c r="A136" i="35" s="1"/>
  <c r="D117" i="35"/>
  <c r="A137" i="35" l="1"/>
  <c r="A138" i="35" s="1"/>
  <c r="A139" i="35" s="1"/>
  <c r="C139" i="35"/>
  <c r="F32" i="42"/>
  <c r="E33" i="42"/>
  <c r="A29" i="37"/>
  <c r="D38" i="37"/>
  <c r="F33" i="42" l="1"/>
  <c r="E34" i="42"/>
  <c r="A30" i="37"/>
  <c r="D39" i="37"/>
  <c r="A140" i="35"/>
  <c r="A141" i="35" s="1"/>
  <c r="C141" i="35"/>
  <c r="A142" i="35" l="1"/>
  <c r="A143" i="35" s="1"/>
  <c r="A144" i="35" s="1"/>
  <c r="A145" i="35" s="1"/>
  <c r="A146" i="35" s="1"/>
  <c r="A147" i="35" s="1"/>
  <c r="C144" i="35"/>
  <c r="F34" i="42"/>
  <c r="E35" i="42"/>
  <c r="A31" i="37"/>
  <c r="D40" i="37"/>
  <c r="A32" i="37" l="1"/>
  <c r="A33" i="37" s="1"/>
  <c r="A34" i="37" s="1"/>
  <c r="A35" i="37" s="1"/>
  <c r="D41" i="37"/>
  <c r="D32" i="37"/>
  <c r="F35" i="42"/>
  <c r="E36" i="42"/>
  <c r="A148" i="35"/>
  <c r="A149" i="35" s="1"/>
  <c r="A150" i="35" s="1"/>
  <c r="C150" i="35"/>
  <c r="C140" i="35" l="1"/>
  <c r="A151" i="35"/>
  <c r="A152" i="35" s="1"/>
  <c r="A153" i="35" s="1"/>
  <c r="A154" i="35" s="1"/>
  <c r="A155" i="35" s="1"/>
  <c r="C142" i="35"/>
  <c r="C152" i="35"/>
  <c r="F36" i="42"/>
  <c r="E37" i="42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D56" i="37"/>
  <c r="A156" i="35"/>
  <c r="A157" i="35" s="1"/>
  <c r="C157" i="35"/>
  <c r="F37" i="42"/>
  <c r="E38" i="42"/>
  <c r="A158" i="35" l="1"/>
  <c r="A62" i="37"/>
  <c r="A63" i="37" s="1"/>
  <c r="A64" i="37" s="1"/>
  <c r="A65" i="37" s="1"/>
  <c r="E39" i="42"/>
  <c r="F38" i="42"/>
  <c r="E42" i="42" l="1"/>
  <c r="F39" i="42"/>
  <c r="F40" i="42" s="1"/>
  <c r="A159" i="35"/>
  <c r="C160" i="35"/>
  <c r="D65" i="37"/>
  <c r="C159" i="35"/>
  <c r="C162" i="35" l="1"/>
  <c r="A160" i="35"/>
  <c r="A161" i="35" s="1"/>
  <c r="A162" i="35" s="1"/>
  <c r="A163" i="35" s="1"/>
  <c r="A164" i="35" s="1"/>
  <c r="A165" i="35" s="1"/>
  <c r="F42" i="42"/>
  <c r="E43" i="42"/>
  <c r="F43" i="42" l="1"/>
  <c r="E44" i="42"/>
  <c r="A166" i="35"/>
  <c r="A167" i="35" s="1"/>
  <c r="C167" i="35"/>
  <c r="F44" i="42" l="1"/>
  <c r="E45" i="42"/>
  <c r="C169" i="35"/>
  <c r="C158" i="35"/>
  <c r="A168" i="35"/>
  <c r="A169" i="35" s="1"/>
  <c r="A170" i="35" s="1"/>
  <c r="A171" i="35" s="1"/>
  <c r="A172" i="35" s="1"/>
  <c r="A173" i="35" s="1"/>
  <c r="A174" i="35" s="1"/>
  <c r="A175" i="35" l="1"/>
  <c r="A176" i="35" s="1"/>
  <c r="A177" i="35" s="1"/>
  <c r="A178" i="35" s="1"/>
  <c r="A179" i="35" s="1"/>
  <c r="E46" i="42"/>
  <c r="F45" i="42"/>
  <c r="F46" i="42" l="1"/>
  <c r="E47" i="42"/>
  <c r="A180" i="35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C176" i="35"/>
  <c r="F47" i="42" l="1"/>
  <c r="E48" i="42"/>
  <c r="A190" i="35"/>
  <c r="A191" i="35" s="1"/>
  <c r="A192" i="35" s="1"/>
  <c r="A193" i="35" s="1"/>
  <c r="E49" i="42" l="1"/>
  <c r="F48" i="42"/>
  <c r="A194" i="35"/>
  <c r="A195" i="35" s="1"/>
  <c r="A196" i="35" s="1"/>
  <c r="D198" i="35"/>
  <c r="E193" i="35"/>
  <c r="A197" i="35" l="1"/>
  <c r="A198" i="35" s="1"/>
  <c r="A199" i="35" s="1"/>
  <c r="C120" i="35" s="1"/>
  <c r="C114" i="35"/>
  <c r="C199" i="35"/>
  <c r="E50" i="42"/>
  <c r="F49" i="42"/>
  <c r="F50" i="42" l="1"/>
  <c r="E51" i="42"/>
  <c r="F51" i="42" l="1"/>
  <c r="E52" i="42"/>
  <c r="F52" i="42" l="1"/>
  <c r="E53" i="42"/>
  <c r="F53" i="42" s="1"/>
  <c r="F54" i="42" s="1"/>
  <c r="F55" i="42" s="1"/>
  <c r="F57" i="42" s="1"/>
  <c r="E29" i="35" s="1"/>
  <c r="J155" i="35" l="1"/>
  <c r="E35" i="35"/>
  <c r="E47" i="35" s="1"/>
  <c r="E40" i="35"/>
  <c r="E179" i="35" s="1"/>
  <c r="E181" i="35" s="1"/>
  <c r="F180" i="35" l="1"/>
  <c r="F179" i="35"/>
  <c r="J157" i="35"/>
  <c r="J159" i="35" s="1"/>
  <c r="J160" i="35"/>
  <c r="J162" i="35" s="1"/>
  <c r="H28" i="35" s="1"/>
  <c r="J28" i="35" l="1"/>
  <c r="H29" i="35"/>
  <c r="J29" i="35" s="1"/>
  <c r="J40" i="35" s="1"/>
  <c r="F181" i="35"/>
  <c r="H179" i="35"/>
  <c r="J181" i="35" s="1"/>
  <c r="H62" i="35" l="1"/>
  <c r="J62" i="35" s="1"/>
  <c r="H22" i="35"/>
  <c r="J39" i="35"/>
  <c r="H33" i="35" l="1"/>
  <c r="J33" i="35" s="1"/>
  <c r="J35" i="35" s="1"/>
  <c r="J22" i="35"/>
  <c r="J45" i="35" l="1"/>
  <c r="J47" i="35" s="1"/>
  <c r="H47" i="35" s="1"/>
  <c r="J24" i="35"/>
  <c r="H24" i="35" s="1"/>
  <c r="H105" i="35" l="1"/>
  <c r="H64" i="35"/>
  <c r="J64" i="35" s="1"/>
  <c r="J65" i="35" s="1"/>
  <c r="H52" i="35"/>
  <c r="H51" i="35"/>
  <c r="H53" i="35" l="1"/>
  <c r="J53" i="35" s="1"/>
  <c r="H54" i="35"/>
  <c r="J52" i="35"/>
  <c r="J105" i="35"/>
  <c r="H107" i="35"/>
  <c r="J107" i="35" s="1"/>
  <c r="J108" i="35" l="1"/>
  <c r="J54" i="35"/>
  <c r="J56" i="35" s="1"/>
  <c r="J67" i="35" s="1"/>
  <c r="J120" i="35" s="1"/>
  <c r="J117" i="35" s="1"/>
  <c r="J122" i="35" s="1"/>
  <c r="D22" i="41" s="1"/>
  <c r="H55" i="35"/>
  <c r="J55" i="35" s="1"/>
  <c r="D25" i="41" l="1"/>
  <c r="E42" i="41" s="1"/>
  <c r="F22" i="41"/>
  <c r="H22" i="41" l="1"/>
  <c r="H25" i="41" s="1"/>
  <c r="F28" i="41" s="1"/>
  <c r="F25" i="41"/>
  <c r="E44" i="41" s="1"/>
  <c r="E46" i="41" s="1"/>
  <c r="H28" i="41" l="1"/>
  <c r="F29" i="41"/>
  <c r="H29" i="41" s="1"/>
  <c r="F30" i="41"/>
  <c r="H30" i="41" l="1"/>
  <c r="F31" i="41"/>
  <c r="F32" i="41"/>
  <c r="H32" i="41" l="1"/>
  <c r="F34" i="41"/>
  <c r="H34" i="41" s="1"/>
  <c r="H31" i="41"/>
  <c r="F33" i="41"/>
  <c r="H33" i="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Bockelmann, Sarah</author>
    <author>Chris Kilpatrick</author>
  </authors>
  <commentList>
    <comment ref="J5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Bockelmann, Sarah:
ADIT Amount from tax
</t>
        </r>
      </text>
    </comment>
    <comment ref="E55" authorId="1" shapeId="0" xr:uid="{00000000-0006-0000-0100-000002000000}">
      <text>
        <r>
          <rPr>
            <b/>
            <sz val="10"/>
            <color indexed="81"/>
            <rFont val="Tahoma"/>
            <family val="2"/>
          </rPr>
          <t>Chris Kilpatrick:</t>
        </r>
        <r>
          <rPr>
            <sz val="10"/>
            <color indexed="81"/>
            <rFont val="Tahoma"/>
            <family val="2"/>
          </rPr>
          <t xml:space="preserve">
Accounts 182-3000 positive, 254-1100 and 254-1200 negative.  All accounts multiplied by 35% tax rate.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<sst xmlns="http://schemas.openxmlformats.org/spreadsheetml/2006/main" count="634" uniqueCount="401">
  <si>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</si>
  <si>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</si>
  <si>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</si>
  <si>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</si>
  <si>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</si>
  <si>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</si>
  <si>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</si>
  <si>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</si>
  <si>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</si>
  <si>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</si>
  <si>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</si>
  <si>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</si>
  <si>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</si>
  <si>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</si>
  <si>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</si>
  <si>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</si>
  <si>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</si>
  <si>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</si>
  <si>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</si>
  <si>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</si>
  <si>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</si>
  <si>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</si>
  <si>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</si>
  <si>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</si>
  <si>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</si>
  <si>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</si>
  <si>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</si>
  <si>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</si>
  <si>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</si>
  <si>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</si>
  <si>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</si>
  <si>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</si>
  <si>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</si>
  <si>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</si>
  <si>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</si>
  <si>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</si>
  <si>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</si>
  <si>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</si>
  <si>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</si>
  <si>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</si>
  <si>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</si>
  <si>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</si>
  <si>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</si>
  <si>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</si>
  <si>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</si>
  <si>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</si>
  <si>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</si>
  <si>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</si>
  <si>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</si>
  <si>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</si>
  <si>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</si>
  <si>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</si>
  <si>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</si>
  <si>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</si>
  <si>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</si>
  <si>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</si>
  <si>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</si>
  <si>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</si>
  <si>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</si>
  <si>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</si>
  <si>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</si>
  <si>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</si>
  <si>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</si>
  <si>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</si>
  <si>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</si>
  <si>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</si>
  <si>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</si>
  <si>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</si>
  <si>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</si>
  <si>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</si>
  <si>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</si>
  <si>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</si>
  <si>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</si>
  <si>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</si>
  <si>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</si>
  <si>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</si>
  <si>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</si>
  <si>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</si>
  <si>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</si>
  <si>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</si>
  <si>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</si>
  <si>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</si>
  <si>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</si>
  <si>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</si>
  <si>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</si>
  <si>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</si>
  <si>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</si>
  <si>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</si>
  <si>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</si>
  <si>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</si>
  <si>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</si>
  <si>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</si>
  <si>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</si>
  <si>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</si>
  <si>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</si>
  <si>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</si>
  <si>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</si>
  <si>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</si>
  <si>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</si>
  <si>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</si>
  <si>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</si>
  <si>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</si>
  <si>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</si>
  <si>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</si>
  <si>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</si>
  <si>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</si>
  <si>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</si>
  <si>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</si>
  <si>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</si>
  <si>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</si>
  <si>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</si>
  <si>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</si>
  <si>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</si>
  <si>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</si>
  <si>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</si>
  <si>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</si>
  <si>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</si>
  <si>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</si>
  <si>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</si>
  <si>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</si>
  <si>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</si>
  <si>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</si>
  <si>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</si>
  <si>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</si>
  <si>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</si>
  <si>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</si>
  <si>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</si>
  <si>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</si>
  <si>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</si>
  <si>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</si>
  <si>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</si>
  <si>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</si>
  <si>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</si>
  <si>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</si>
  <si>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</si>
  <si>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</si>
  <si>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</si>
  <si>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</si>
  <si>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</si>
  <si>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</si>
  <si>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</si>
  <si>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</si>
  <si>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</si>
  <si>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</si>
  <si>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</si>
  <si>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</si>
  <si>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</si>
  <si>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</si>
  <si>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</si>
  <si>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</si>
  <si>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</si>
  <si>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</si>
  <si>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</si>
  <si>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</si>
  <si>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</si>
  <si>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</si>
  <si>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</si>
  <si>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</si>
  <si>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</si>
  <si>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</si>
  <si>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</si>
  <si>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</si>
  <si>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</si>
  <si>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</si>
  <si>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</si>
  <si>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</si>
  <si>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</si>
  <si>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</si>
  <si>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</si>
  <si>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</si>
  <si>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</si>
  <si>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</si>
  <si>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</si>
  <si>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</si>
  <si>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</si>
  <si>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</si>
  <si>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</si>
  <si>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</si>
  <si>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</si>
  <si>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</si>
  <si>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</si>
  <si>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</si>
  <si>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</si>
  <si>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</si>
  <si>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</si>
  <si>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</si>
  <si>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</si>
  <si>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</si>
  <si>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</si>
  <si>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</si>
  <si>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</si>
  <si>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</si>
  <si>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</si>
  <si>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</si>
  <si>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</si>
  <si>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</si>
  <si>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</si>
  <si>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</si>
  <si>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</si>
  <si>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</si>
  <si>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</si>
  <si>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</si>
  <si>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</si>
  <si>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</si>
  <si>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</si>
  <si>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</si>
  <si>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</si>
  <si>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</si>
  <si>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</si>
  <si>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</si>
  <si>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</si>
  <si>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</si>
  <si>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</si>
  <si>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</si>
  <si>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</si>
  <si>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</si>
  <si>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</si>
  <si>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</si>
  <si>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</si>
  <si>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</si>
  <si>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</si>
  <si>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</si>
  <si>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</si>
  <si>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</si>
  <si>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</si>
  <si>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</si>
  <si>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</si>
  <si>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</si>
  <si>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</si>
  <si>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</si>
  <si>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</si>
  <si>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</si>
  <si>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</si>
  <si>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</si>
  <si>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</si>
  <si>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</si>
  <si>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214.x.d  (Notes B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</si>
  <si>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</si>
  <si>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</si>
  <si>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</si>
  <si>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</si>
  <si>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</si>
  <si>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</si>
  <si>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</si>
  <si>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</si>
  <si>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</si>
  <si>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</si>
  <si>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</si>
  <si>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</si>
  <si>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</si>
  <si>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</si>
  <si>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</si>
  <si>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</si>
  <si>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</si>
  <si>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</si>
  <si>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</si>
  <si>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</si>
  <si>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</si>
  <si>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</si>
  <si>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</si>
  <si>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</si>
  <si>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</si>
  <si>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</si>
  <si>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</si>
  <si>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</si>
  <si>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</si>
  <si>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</si>
  <si>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</si>
  <si>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</si>
  <si>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</si>
  <si>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</si>
  <si>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</si>
  <si>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</si>
  <si>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</si>
  <si>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</si>
  <si>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</si>
  <si>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</si>
  <si>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</si>
  <si>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</si>
  <si>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</si>
  <si>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</si>
  <si>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</si>
  <si>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</si>
  <si>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</si>
  <si>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</si>
  <si>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</si>
  <si>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</si>
  <si>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</si>
  <si>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</si>
  <si>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</si>
  <si>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</si>
  <si>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</si>
  <si>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</si>
  <si>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</si>
  <si>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</si>
  <si>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</si>
  <si>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</si>
  <si>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</si>
  <si>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</si>
  <si>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</si>
  <si>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</si>
  <si>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</si>
  <si>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</si>
  <si>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</si>
  <si>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</si>
  <si>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</si>
  <si>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</si>
  <si>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</si>
  <si>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</si>
  <si>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</si>
  <si>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</si>
  <si>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</si>
  <si>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</si>
  <si>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</si>
  <si>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</si>
  <si>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</si>
  <si>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</si>
  <si>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</si>
  <si>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</si>
  <si>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</si>
  <si>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</si>
  <si>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</si>
  <si>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</si>
  <si>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</si>
  <si>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</si>
  <si>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</si>
  <si>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</si>
  <si>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(232.1.f - 278.1.f - 278.3.f)*.35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</si>
  <si>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</si>
  <si>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</si>
  <si>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</si>
  <si>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</si>
  <si>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</si>
  <si>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</si>
  <si>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</si>
  <si>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</si>
  <si>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</si>
  <si>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</si>
  <si>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(232.1.f - 278.3.f)*.35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</si>
  <si>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</si>
  <si>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</si>
  <si>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</si>
  <si>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</si>
  <si>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</si>
  <si>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</si>
  <si>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</si>
  <si>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</si>
  <si>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</si>
  <si>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</si>
  <si>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</si>
  <si>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</si>
  <si>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</si>
  <si>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</si>
  <si>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</si>
  <si>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</si>
  <si>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</si>
  <si>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</si>
  <si>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</si>
  <si>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</si>
  <si>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</si>
  <si>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</si>
  <si>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</si>
  <si>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</si>
  <si>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</si>
  <si>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</si>
  <si>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</si>
  <si>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</si>
  <si>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</si>
  <si>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See Note H for the True-Up calculation.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</si>
  <si>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</si>
  <si>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</si>
  <si>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</si>
  <si>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</si>
  <si>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</si>
  <si>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</si>
  <si>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</si>
  <si>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</si>
  <si>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</si>
  <si>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</si>
  <si>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</si>
  <si>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</si>
  <si>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</si>
  <si>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r>
      <t>2017 Actual Load Data</t>
    </r>
    <r>
      <rPr>
        <b/>
        <vertAlign val="superscript"/>
        <sz val="12"/>
        <rFont val="Arial"/>
        <family val="2"/>
      </rPr>
      <t>1</t>
    </r>
  </si>
  <si>
    <r>
      <t>2019 Projected Load Data</t>
    </r>
    <r>
      <rPr>
        <b/>
        <vertAlign val="superscript"/>
        <sz val="12"/>
        <rFont val="Arial"/>
        <family val="2"/>
      </rPr>
      <t>2</t>
    </r>
  </si>
  <si>
    <t>12/31/16 &amp; 12/31/17 average balance</t>
  </si>
  <si>
    <t>FOR RATES EFFECTIVE JANUARY 1, 2019</t>
  </si>
  <si>
    <t>Amount based on actual calendar year 2017</t>
  </si>
  <si>
    <t>BHP-11 Page 1 
Date: September 30, 2018</t>
  </si>
  <si>
    <t>Projected 2019 Load</t>
  </si>
  <si>
    <t>Transmission Accumulated Depreciation for 2018 &amp; 2019</t>
  </si>
  <si>
    <t>Total 2018 CUS Transmission Assets Place in Service</t>
  </si>
  <si>
    <t>Note 1: The capital additions in July 2018 (line 9) are for the SRC-West Hill 230 KV Rebuild</t>
  </si>
  <si>
    <t>Note 2: The capital additions in November 2018 (line 13) are for the West Hill-State Line 230 KV Rebuild</t>
  </si>
  <si>
    <t>Subtotal of 2018 Increase for Accumulated Depreciation</t>
  </si>
  <si>
    <t>See WP3 for additional information on 2019 Transmission Additions</t>
  </si>
  <si>
    <t>2019 Weighted Average Plant in Service Additions for projects over $1,000,000</t>
  </si>
  <si>
    <t xml:space="preserve">Jan-18 - See line 2 col 5 of Estimate </t>
  </si>
  <si>
    <t>Note 1: The capital additions in October 2019 (line 15) are for the State Line - Stegall 230 KV Rebuild</t>
  </si>
  <si>
    <t>and the Sagebrush &amp; West Rapid City Substations 230 KV</t>
  </si>
  <si>
    <t xml:space="preserve">Note 2: The capital additions in December 2019 (line 17) are for the West Rapid City 230 KV line </t>
  </si>
  <si>
    <t>MW-year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</si>
</sst>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4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7">
    <xf numFmtId="172" fontId="0" fillId="0" borderId="0" applyProtection="0"/>
    <xf numFmtId="0" fontId="6" fillId="0" borderId="0"/>
    <xf numFmtId="37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6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38" fontId="41" fillId="0" borderId="0" applyBorder="0" applyAlignment="0"/>
    <xf numFmtId="184" fontId="37" fillId="20" borderId="1">
      <alignment horizontal="center" vertical="center"/>
    </xf>
    <xf numFmtId="185" fontId="6" fillId="0" borderId="2">
      <alignment horizontal="left"/>
    </xf>
    <xf numFmtId="0" fontId="42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43" fillId="0" borderId="0" applyNumberFormat="0" applyFill="0" applyBorder="0" applyAlignment="0" applyProtection="0"/>
    <xf numFmtId="186" fontId="44" fillId="0" borderId="3" applyNumberFormat="0" applyFill="0" applyAlignment="0" applyProtection="0">
      <alignment horizontal="center"/>
    </xf>
    <xf numFmtId="187" fontId="44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5" fillId="0" borderId="0" applyFill="0">
      <alignment vertical="top"/>
    </xf>
    <xf numFmtId="0" fontId="46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5" fillId="0" borderId="0" applyFill="0">
      <alignment wrapText="1"/>
    </xf>
    <xf numFmtId="0" fontId="46" fillId="0" borderId="0" applyFill="0">
      <alignment horizontal="left" vertical="top" wrapText="1"/>
    </xf>
    <xf numFmtId="37" fontId="7" fillId="0" borderId="0" applyFill="0">
      <alignment horizontal="right"/>
    </xf>
    <xf numFmtId="0" fontId="47" fillId="0" borderId="0" applyNumberFormat="0" applyFont="0" applyAlignment="0">
      <alignment horizontal="center"/>
    </xf>
    <xf numFmtId="0" fontId="48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7" fillId="0" borderId="0" applyNumberFormat="0" applyFont="0" applyAlignment="0">
      <alignment horizontal="center"/>
    </xf>
    <xf numFmtId="0" fontId="49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7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1" fillId="0" borderId="0" applyFill="0">
      <alignment horizontal="right"/>
    </xf>
    <xf numFmtId="0" fontId="47" fillId="0" borderId="0" applyNumberFormat="0" applyFont="0" applyAlignment="0">
      <alignment horizontal="center"/>
    </xf>
    <xf numFmtId="0" fontId="52" fillId="0" borderId="0" applyFill="0">
      <alignment horizontal="center" vertical="center" wrapText="1"/>
    </xf>
    <xf numFmtId="0" fontId="53" fillId="0" borderId="0" applyFill="0">
      <alignment horizontal="center" vertical="center" wrapText="1"/>
    </xf>
    <xf numFmtId="37" fontId="51" fillId="0" borderId="0" applyFill="0">
      <alignment horizontal="right"/>
    </xf>
    <xf numFmtId="0" fontId="47" fillId="0" borderId="0" applyNumberFormat="0" applyFont="0" applyAlignment="0">
      <alignment horizontal="center"/>
    </xf>
    <xf numFmtId="0" fontId="54" fillId="0" borderId="0">
      <alignment horizontal="center" wrapText="1"/>
    </xf>
    <xf numFmtId="0" fontId="55" fillId="0" borderId="0" applyFill="0">
      <alignment horizontal="center" wrapText="1"/>
    </xf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43" fontId="6" fillId="0" borderId="0" applyFont="0" applyFill="0" applyBorder="0" applyAlignment="0" applyProtection="0"/>
    <xf numFmtId="188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8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1" fontId="6" fillId="0" borderId="0">
      <protection locked="0"/>
    </xf>
    <xf numFmtId="0" fontId="59" fillId="0" borderId="0"/>
    <xf numFmtId="0" fontId="60" fillId="0" borderId="0"/>
    <xf numFmtId="0" fontId="61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38" fontId="7" fillId="23" borderId="0" applyNumberFormat="0" applyBorder="0" applyAlignment="0" applyProtection="0"/>
    <xf numFmtId="0" fontId="62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3" fillId="0" borderId="0">
      <alignment horizontal="center"/>
    </xf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4" fillId="0" borderId="14" applyNumberFormat="0" applyFill="0" applyAlignment="0" applyProtection="0"/>
    <xf numFmtId="0" fontId="28" fillId="7" borderId="7" applyNumberFormat="0" applyAlignment="0" applyProtection="0"/>
    <xf numFmtId="10" fontId="7" fillId="24" borderId="2" applyNumberFormat="0" applyBorder="0" applyAlignment="0" applyProtection="0"/>
    <xf numFmtId="0" fontId="28" fillId="7" borderId="7" applyNumberFormat="0" applyAlignment="0" applyProtection="0"/>
    <xf numFmtId="0" fontId="7" fillId="23" borderId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193" fontId="6" fillId="0" borderId="2">
      <alignment horizontal="center"/>
    </xf>
    <xf numFmtId="194" fontId="65" fillId="0" borderId="0"/>
    <xf numFmtId="17" fontId="66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43" fontId="67" fillId="0" borderId="0" applyNumberFormat="0" applyFill="0" applyBorder="0" applyAlignment="0" applyProtection="0"/>
    <xf numFmtId="0" fontId="44" fillId="0" borderId="0" applyNumberFormat="0" applyFill="0" applyAlignment="0" applyProtection="0"/>
    <xf numFmtId="37" fontId="68" fillId="0" borderId="0"/>
    <xf numFmtId="197" fontId="69" fillId="0" borderId="0"/>
    <xf numFmtId="172" fontId="1" fillId="0" borderId="0" applyProtection="0"/>
    <xf numFmtId="0" fontId="6" fillId="0" borderId="0"/>
    <xf numFmtId="0" fontId="82" fillId="0" borderId="0"/>
    <xf numFmtId="0" fontId="57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1" fillId="21" borderId="17" applyNumberFormat="0" applyAlignment="0" applyProtection="0"/>
    <xf numFmtId="0" fontId="31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33" fillId="0" borderId="3">
      <alignment horizontal="center"/>
    </xf>
    <xf numFmtId="3" fontId="32" fillId="0" borderId="0" applyFont="0" applyFill="0" applyBorder="0" applyAlignment="0" applyProtection="0"/>
    <xf numFmtId="0" fontId="32" fillId="27" borderId="0" applyNumberFormat="0" applyFont="0" applyBorder="0" applyAlignment="0" applyProtection="0"/>
    <xf numFmtId="37" fontId="7" fillId="23" borderId="0" applyFill="0">
      <alignment horizontal="right"/>
    </xf>
    <xf numFmtId="0" fontId="51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70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8" fillId="0" borderId="0" applyFill="0">
      <alignment horizontal="left" indent="1"/>
    </xf>
    <xf numFmtId="0" fontId="51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8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71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4"/>
    </xf>
    <xf numFmtId="0" fontId="7" fillId="0" borderId="0" applyFill="0">
      <alignment horizontal="left"/>
    </xf>
    <xf numFmtId="37" fontId="51" fillId="0" borderId="0" applyFill="0">
      <alignment horizontal="right"/>
    </xf>
    <xf numFmtId="0" fontId="6" fillId="0" borderId="0" applyNumberFormat="0" applyFont="0" applyBorder="0" applyAlignment="0"/>
    <xf numFmtId="0" fontId="52" fillId="0" borderId="0">
      <alignment horizontal="left" indent="5"/>
    </xf>
    <xf numFmtId="0" fontId="51" fillId="0" borderId="0" applyFill="0">
      <alignment horizontal="left"/>
    </xf>
    <xf numFmtId="37" fontId="51" fillId="0" borderId="0" applyFill="0">
      <alignment horizontal="right"/>
    </xf>
    <xf numFmtId="0" fontId="6" fillId="0" borderId="0" applyNumberFormat="0" applyFont="0" applyFill="0" applyBorder="0" applyAlignment="0"/>
    <xf numFmtId="0" fontId="54" fillId="0" borderId="0" applyFill="0">
      <alignment horizontal="left" indent="6"/>
    </xf>
    <xf numFmtId="0" fontId="51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2" fillId="0" borderId="0" applyNumberFormat="0" applyAlignment="0">
      <alignment horizontal="centerContinuous"/>
    </xf>
    <xf numFmtId="0" fontId="44" fillId="0" borderId="4" applyNumberFormat="0" applyFill="0" applyAlignment="0" applyProtection="0"/>
    <xf numFmtId="37" fontId="73" fillId="0" borderId="0" applyNumberFormat="0">
      <alignment horizontal="left"/>
    </xf>
    <xf numFmtId="200" fontId="6" fillId="0" borderId="2">
      <alignment horizontal="center" wrapText="1"/>
    </xf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4" fillId="0" borderId="0" applyNumberFormat="0">
      <alignment horizontal="left"/>
    </xf>
    <xf numFmtId="37" fontId="75" fillId="0" borderId="0" applyNumberFormat="0">
      <alignment horizontal="left"/>
    </xf>
    <xf numFmtId="37" fontId="76" fillId="0" borderId="0" applyNumberFormat="0">
      <alignment horizontal="left"/>
    </xf>
    <xf numFmtId="194" fontId="77" fillId="0" borderId="0"/>
    <xf numFmtId="40" fontId="78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9" fillId="0" borderId="14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349">
    <xf numFmtId="172" fontId="0" fillId="0" borderId="0" xfId="0" applyAlignment="1"/>
    <xf numFmtId="0" fontId="3" fillId="0" borderId="0" xfId="0" applyNumberFormat="1" applyFo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172" fontId="3" fillId="0" borderId="0" xfId="0" applyFont="1" applyAlignment="1"/>
    <xf numFmtId="0" fontId="5" fillId="0" borderId="0" xfId="0" applyNumberFormat="1" applyFont="1" applyAlignment="1"/>
    <xf numFmtId="164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Fill="1" applyAlignment="1"/>
    <xf numFmtId="0" fontId="3" fillId="0" borderId="3" xfId="0" applyNumberFormat="1" applyFont="1" applyBorder="1" applyAlignment="1" applyProtection="1">
      <alignment horizontal="center"/>
      <protection locked="0"/>
    </xf>
    <xf numFmtId="172" fontId="5" fillId="0" borderId="0" xfId="0" applyFont="1" applyAlignment="1">
      <alignment horizontal="center"/>
    </xf>
    <xf numFmtId="3" fontId="5" fillId="0" borderId="0" xfId="0" applyNumberFormat="1" applyFont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173" fontId="3" fillId="0" borderId="0" xfId="105" applyNumberFormat="1" applyFont="1" applyAlignment="1"/>
    <xf numFmtId="0" fontId="3" fillId="0" borderId="0" xfId="0" applyNumberFormat="1" applyFont="1" applyAlignment="1">
      <alignment horizontal="fill"/>
    </xf>
    <xf numFmtId="3" fontId="3" fillId="0" borderId="0" xfId="0" applyNumberFormat="1" applyFont="1" applyAlignment="1">
      <alignment horizontal="fill"/>
    </xf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173" fontId="3" fillId="0" borderId="0" xfId="105" applyNumberFormat="1" applyFont="1" applyAlignment="1">
      <alignment horizontal="center"/>
    </xf>
    <xf numFmtId="3" fontId="38" fillId="0" borderId="0" xfId="0" applyNumberFormat="1" applyFont="1" applyAlignment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2" fontId="1" fillId="0" borderId="0" xfId="0" applyFont="1" applyAlignment="1"/>
    <xf numFmtId="183" fontId="3" fillId="0" borderId="0" xfId="0" applyNumberFormat="1" applyFont="1" applyAlignment="1">
      <alignment horizontal="center"/>
    </xf>
    <xf numFmtId="173" fontId="3" fillId="0" borderId="6" xfId="105" applyNumberFormat="1" applyFont="1" applyFill="1" applyBorder="1" applyAlignment="1"/>
    <xf numFmtId="173" fontId="3" fillId="0" borderId="6" xfId="105" applyNumberFormat="1" applyFont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40" fillId="0" borderId="0" xfId="165" applyNumberFormat="1" applyFont="1" applyFill="1"/>
    <xf numFmtId="172" fontId="15" fillId="0" borderId="0" xfId="0" applyFont="1" applyAlignment="1"/>
    <xf numFmtId="43" fontId="6" fillId="0" borderId="0" xfId="105"/>
    <xf numFmtId="3" fontId="3" fillId="30" borderId="0" xfId="0" applyNumberFormat="1" applyFont="1" applyFill="1" applyAlignment="1"/>
    <xf numFmtId="172" fontId="3" fillId="30" borderId="0" xfId="0" applyFont="1" applyFill="1" applyAlignment="1"/>
    <xf numFmtId="0" fontId="3" fillId="30" borderId="0" xfId="0" applyNumberFormat="1" applyFont="1" applyFill="1" applyAlignment="1" applyProtection="1">
      <protection locked="0"/>
    </xf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173" fontId="3" fillId="0" borderId="0" xfId="0" applyNumberFormat="1" applyFont="1" applyAlignment="1">
      <alignment horizontal="fill"/>
    </xf>
    <xf numFmtId="0" fontId="6" fillId="0" borderId="3" xfId="165" applyFont="1" applyFill="1" applyBorder="1" applyAlignment="1">
      <alignment horizontal="center" wrapText="1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3" fontId="39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72" fontId="3" fillId="0" borderId="0" xfId="0" applyFont="1" applyAlignment="1">
      <alignment horizontal="right"/>
    </xf>
    <xf numFmtId="172" fontId="1" fillId="0" borderId="0" xfId="0" applyFont="1" applyAlignment="1">
      <alignment horizontal="right"/>
    </xf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42" fontId="6" fillId="0" borderId="0" xfId="165" applyNumberFormat="1" applyFill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9" fillId="31" borderId="0" xfId="165" applyFont="1" applyFill="1"/>
    <xf numFmtId="0" fontId="6" fillId="31" borderId="0" xfId="165" applyFill="1"/>
    <xf numFmtId="0" fontId="6" fillId="31" borderId="0" xfId="165" applyFont="1" applyFill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4" xfId="105" applyNumberFormat="1" applyFont="1" applyBorder="1" applyAlignment="1">
      <alignment horizontal="center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43" fontId="6" fillId="0" borderId="0" xfId="105" applyNumberFormat="1" applyFont="1"/>
    <xf numFmtId="1" fontId="6" fillId="30" borderId="24" xfId="163" applyNumberFormat="1" applyFill="1" applyBorder="1" applyAlignment="1">
      <alignment horizontal="center"/>
    </xf>
    <xf numFmtId="0" fontId="6" fillId="30" borderId="34" xfId="163" applyFill="1" applyBorder="1" applyAlignment="1">
      <alignment horizontal="center"/>
    </xf>
    <xf numFmtId="1" fontId="6" fillId="30" borderId="25" xfId="163" applyNumberFormat="1" applyFill="1" applyBorder="1" applyAlignment="1">
      <alignment horizontal="center"/>
    </xf>
    <xf numFmtId="0" fontId="6" fillId="30" borderId="35" xfId="163" applyFill="1" applyBorder="1" applyAlignment="1">
      <alignment horizontal="center"/>
    </xf>
    <xf numFmtId="1" fontId="6" fillId="30" borderId="26" xfId="163" applyNumberFormat="1" applyFill="1" applyBorder="1" applyAlignment="1">
      <alignment horizontal="center"/>
    </xf>
    <xf numFmtId="0" fontId="6" fillId="30" borderId="36" xfId="163" applyFill="1" applyBorder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201" fontId="0" fillId="0" borderId="0" xfId="0" applyNumberFormat="1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2" fillId="0" borderId="0" xfId="105" applyNumberFormat="1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7" fillId="0" borderId="0" xfId="0" applyNumberFormat="1" applyFont="1" applyFill="1"/>
    <xf numFmtId="0" fontId="3" fillId="0" borderId="4" xfId="0" applyNumberFormat="1" applyFont="1" applyFill="1" applyBorder="1" applyAlignment="1"/>
    <xf numFmtId="172" fontId="37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0" fontId="3" fillId="0" borderId="0" xfId="166" applyFont="1" applyFill="1" applyAlignment="1">
      <alignment horizontal="left"/>
    </xf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2" borderId="0" xfId="0" applyNumberFormat="1" applyFont="1" applyFill="1" applyAlignment="1"/>
    <xf numFmtId="3" fontId="3" fillId="32" borderId="3" xfId="0" applyNumberFormat="1" applyFont="1" applyFill="1" applyBorder="1" applyAlignment="1"/>
    <xf numFmtId="173" fontId="3" fillId="32" borderId="0" xfId="105" applyNumberFormat="1" applyFont="1" applyFill="1" applyAlignment="1"/>
    <xf numFmtId="173" fontId="3" fillId="32" borderId="3" xfId="105" applyNumberFormat="1" applyFont="1" applyFill="1" applyBorder="1" applyAlignment="1"/>
    <xf numFmtId="3" fontId="3" fillId="32" borderId="4" xfId="0" applyNumberFormat="1" applyFont="1" applyFill="1" applyBorder="1" applyAlignment="1"/>
    <xf numFmtId="3" fontId="83" fillId="0" borderId="0" xfId="0" applyNumberFormat="1" applyFont="1" applyFill="1" applyAlignment="1"/>
    <xf numFmtId="173" fontId="3" fillId="32" borderId="0" xfId="105" applyNumberFormat="1" applyFont="1" applyFill="1" applyBorder="1" applyAlignment="1"/>
    <xf numFmtId="10" fontId="3" fillId="32" borderId="0" xfId="173" applyNumberFormat="1" applyFont="1" applyFill="1" applyAlignment="1"/>
    <xf numFmtId="42" fontId="6" fillId="0" borderId="3" xfId="165" applyNumberFormat="1" applyFill="1" applyBorder="1"/>
    <xf numFmtId="176" fontId="6" fillId="31" borderId="0" xfId="165" applyNumberFormat="1" applyFill="1"/>
    <xf numFmtId="174" fontId="6" fillId="0" borderId="0" xfId="111" applyNumberFormat="1" applyFont="1" applyFill="1"/>
    <xf numFmtId="44" fontId="6" fillId="0" borderId="0" xfId="166" applyNumberFormat="1" applyFill="1"/>
    <xf numFmtId="43" fontId="3" fillId="0" borderId="4" xfId="105" applyNumberFormat="1" applyFont="1" applyFill="1" applyBorder="1" applyAlignment="1"/>
    <xf numFmtId="14" fontId="3" fillId="0" borderId="0" xfId="0" applyNumberFormat="1" applyFont="1" applyAlignment="1"/>
    <xf numFmtId="43" fontId="3" fillId="0" borderId="0" xfId="105" applyFont="1" applyAlignment="1">
      <alignment horizontal="center"/>
    </xf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2" borderId="4" xfId="105" applyNumberFormat="1" applyFont="1" applyFill="1" applyBorder="1" applyAlignment="1"/>
    <xf numFmtId="10" fontId="3" fillId="32" borderId="0" xfId="0" applyNumberFormat="1" applyFont="1" applyFill="1" applyProtection="1">
      <protection locked="0"/>
    </xf>
    <xf numFmtId="3" fontId="83" fillId="32" borderId="0" xfId="0" applyNumberFormat="1" applyFont="1" applyFill="1" applyAlignment="1"/>
    <xf numFmtId="0" fontId="9" fillId="0" borderId="0" xfId="165" applyFont="1" applyAlignment="1">
      <alignment horizontal="center"/>
    </xf>
    <xf numFmtId="0" fontId="6" fillId="31" borderId="0" xfId="165" applyFill="1" applyAlignment="1">
      <alignment horizontal="left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</cellXfs>
  <cellStyles count="237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P46"/>
  <sheetViews>
    <sheetView topLeftCell="A4" zoomScaleNormal="100" workbookViewId="0">
      <selection activeCell="D22" sqref="D22"/>
    </sheetView>
  </sheetViews>
  <sheetFormatPr defaultColWidth="7.07421875" defaultRowHeight="12.5"/>
  <cols>
    <col min="1" max="1" width="3.84375" style="22" customWidth="1"/>
    <col min="2" max="2" width="7.07421875" style="23" customWidth="1"/>
    <col min="3" max="3" width="6.921875" style="23" customWidth="1"/>
    <col min="4" max="4" width="11.53515625" style="23" customWidth="1"/>
    <col min="5" max="5" width="11.53515625" style="23" bestFit="1" customWidth="1"/>
    <col min="6" max="6" width="12.07421875" style="23" customWidth="1"/>
    <col min="7" max="7" width="8.84375" style="23" bestFit="1" customWidth="1"/>
    <col min="8" max="8" width="9.53515625" style="23" bestFit="1" customWidth="1"/>
    <col min="9" max="9" width="7.07421875" style="23" customWidth="1"/>
    <col min="10" max="10" width="8.84375" style="23" bestFit="1" customWidth="1"/>
    <col min="11" max="11" width="7.07421875" style="23" customWidth="1"/>
    <col min="12" max="12" width="11.4609375" style="23" customWidth="1"/>
    <col min="13" max="16384" width="7.07421875" style="23"/>
  </cols>
  <sheetData>
    <row r="1" spans="1:11" ht="27" customHeight="1">
      <c r="G1" s="331" t="s">
        <v>387</v>
      </c>
      <c r="H1" s="331"/>
    </row>
    <row r="2" spans="1:11">
      <c r="G2" s="70"/>
      <c r="H2" s="71"/>
      <c r="I2" s="71"/>
      <c r="J2" s="71"/>
    </row>
    <row r="3" spans="1:11" ht="15" customHeight="1">
      <c r="A3" s="330" t="s">
        <v>274</v>
      </c>
      <c r="B3" s="330"/>
      <c r="C3" s="330"/>
      <c r="D3" s="330"/>
      <c r="E3" s="330"/>
      <c r="F3" s="330"/>
      <c r="G3" s="330"/>
      <c r="H3" s="330"/>
    </row>
    <row r="4" spans="1:11" ht="15" customHeight="1">
      <c r="A4" s="330" t="s">
        <v>43</v>
      </c>
      <c r="B4" s="330"/>
      <c r="C4" s="330"/>
      <c r="D4" s="330"/>
      <c r="E4" s="330"/>
      <c r="F4" s="330"/>
      <c r="G4" s="330"/>
      <c r="H4" s="330"/>
    </row>
    <row r="6" spans="1:11" ht="13">
      <c r="A6" s="24" t="s">
        <v>38</v>
      </c>
    </row>
    <row r="8" spans="1:11">
      <c r="A8" s="22">
        <v>1</v>
      </c>
      <c r="B8" s="43" t="s">
        <v>80</v>
      </c>
      <c r="D8" s="70"/>
      <c r="E8" s="71"/>
      <c r="G8" s="43"/>
      <c r="H8" s="320">
        <v>464484.58</v>
      </c>
      <c r="I8" s="70" t="s">
        <v>386</v>
      </c>
      <c r="K8" s="71"/>
    </row>
    <row r="9" spans="1:11">
      <c r="G9" s="43"/>
      <c r="H9" s="43"/>
    </row>
    <row r="10" spans="1:11" ht="38" thickBot="1">
      <c r="D10" s="25" t="str">
        <f>+B20</f>
        <v>Entity</v>
      </c>
      <c r="E10" s="26"/>
      <c r="F10" s="65" t="s">
        <v>114</v>
      </c>
      <c r="G10" s="139" t="s">
        <v>192</v>
      </c>
      <c r="H10" s="65" t="s">
        <v>276</v>
      </c>
    </row>
    <row r="11" spans="1:11">
      <c r="D11" s="22"/>
      <c r="F11" s="28"/>
      <c r="G11" s="140"/>
      <c r="H11" s="141"/>
    </row>
    <row r="12" spans="1:11">
      <c r="A12" s="22">
        <v>2</v>
      </c>
      <c r="D12" s="23" t="s">
        <v>277</v>
      </c>
      <c r="F12" s="66">
        <f>+L22</f>
        <v>23.747230459523692</v>
      </c>
      <c r="G12" s="142">
        <f>+F12/F$15</f>
        <v>0.55519894111240264</v>
      </c>
      <c r="H12" s="143">
        <f>+H$8*G12</f>
        <v>257881.34697903908</v>
      </c>
      <c r="J12" s="29"/>
      <c r="K12" s="30"/>
    </row>
    <row r="13" spans="1:11">
      <c r="A13" s="22">
        <v>3</v>
      </c>
      <c r="D13" s="23" t="s">
        <v>278</v>
      </c>
      <c r="F13" s="67">
        <f>+L23</f>
        <v>16.85388006182442</v>
      </c>
      <c r="G13" s="142">
        <f>+F13/F$15</f>
        <v>0.3940356910212946</v>
      </c>
      <c r="H13" s="143">
        <f>+H$8*G13</f>
        <v>183023.50244903579</v>
      </c>
      <c r="J13" s="31"/>
      <c r="K13" s="30"/>
    </row>
    <row r="14" spans="1:11" ht="13" thickBot="1">
      <c r="A14" s="22">
        <v>4</v>
      </c>
      <c r="D14" s="114" t="s">
        <v>279</v>
      </c>
      <c r="E14" s="114"/>
      <c r="F14" s="115">
        <f>+L24</f>
        <v>2.1713602112932038</v>
      </c>
      <c r="G14" s="116">
        <f>+F14/F$15</f>
        <v>5.0765367866302737E-2</v>
      </c>
      <c r="H14" s="117">
        <f>+H$8*G14</f>
        <v>23579.730571925124</v>
      </c>
      <c r="J14" s="31"/>
      <c r="K14" s="30"/>
    </row>
    <row r="15" spans="1:11">
      <c r="A15" s="22">
        <v>5</v>
      </c>
      <c r="D15" s="23" t="s">
        <v>137</v>
      </c>
      <c r="F15" s="67">
        <f>SUM(F12:F14)</f>
        <v>42.772470732641317</v>
      </c>
      <c r="G15" s="144">
        <f>+F15/F$15</f>
        <v>1</v>
      </c>
      <c r="H15" s="145">
        <f>SUM(H12:H14)</f>
        <v>464484.58</v>
      </c>
      <c r="J15" s="29"/>
    </row>
    <row r="16" spans="1:11">
      <c r="G16" s="43"/>
      <c r="H16" s="43"/>
    </row>
    <row r="17" spans="1:16">
      <c r="G17" s="43"/>
      <c r="H17" s="43"/>
    </row>
    <row r="18" spans="1:16" ht="13">
      <c r="A18" s="24" t="s">
        <v>280</v>
      </c>
      <c r="E18" s="183" t="s">
        <v>385</v>
      </c>
      <c r="F18" s="184"/>
      <c r="G18" s="185"/>
      <c r="H18" s="185"/>
    </row>
    <row r="19" spans="1:16">
      <c r="G19" s="43"/>
      <c r="H19" s="43"/>
    </row>
    <row r="20" spans="1:16" ht="50.5" thickBot="1">
      <c r="B20" s="26" t="s">
        <v>281</v>
      </c>
      <c r="C20" s="26"/>
      <c r="D20" s="27" t="s">
        <v>115</v>
      </c>
      <c r="E20" s="27" t="s">
        <v>117</v>
      </c>
      <c r="F20" s="27" t="s">
        <v>282</v>
      </c>
      <c r="G20" s="129" t="s">
        <v>388</v>
      </c>
      <c r="H20" s="65" t="s">
        <v>237</v>
      </c>
    </row>
    <row r="21" spans="1:16">
      <c r="G21" s="43"/>
      <c r="H21" s="43"/>
      <c r="M21" s="130" t="s">
        <v>303</v>
      </c>
      <c r="N21" s="131"/>
      <c r="O21" s="131"/>
      <c r="P21" s="132"/>
    </row>
    <row r="22" spans="1:16">
      <c r="A22" s="22">
        <v>6</v>
      </c>
      <c r="B22" s="23" t="str">
        <f>+D12</f>
        <v>Black Hills</v>
      </c>
      <c r="D22" s="119">
        <f>Estimate!J122</f>
        <v>23216733.332607184</v>
      </c>
      <c r="E22" s="32">
        <f>-H12</f>
        <v>-257881.34697903908</v>
      </c>
      <c r="F22" s="32">
        <f>+E22+D22</f>
        <v>22958851.985628143</v>
      </c>
      <c r="G22" s="47">
        <f>+'WP7 CU AC LOADS'!J44*1000</f>
        <v>967083.33333333337</v>
      </c>
      <c r="H22" s="146">
        <f>+F22/G22</f>
        <v>23.740303647353528</v>
      </c>
      <c r="J22" s="118" t="s">
        <v>83</v>
      </c>
      <c r="L22" s="319">
        <v>23.747230459523692</v>
      </c>
      <c r="M22" s="133" t="s">
        <v>304</v>
      </c>
      <c r="N22" s="134"/>
      <c r="O22" s="134"/>
      <c r="P22" s="135"/>
    </row>
    <row r="23" spans="1:16">
      <c r="A23" s="22">
        <v>7</v>
      </c>
      <c r="B23" s="23" t="str">
        <f>+D13</f>
        <v>Basin Electric</v>
      </c>
      <c r="D23" s="176">
        <v>16482130</v>
      </c>
      <c r="E23" s="32">
        <f>-H13</f>
        <v>-183023.50244903579</v>
      </c>
      <c r="F23" s="32">
        <f>+E23+D23</f>
        <v>16299106.497550964</v>
      </c>
      <c r="G23" s="147">
        <f>+G22</f>
        <v>967083.33333333337</v>
      </c>
      <c r="H23" s="146">
        <f>+F23/G23</f>
        <v>16.853880049169458</v>
      </c>
      <c r="J23" s="118" t="s">
        <v>83</v>
      </c>
      <c r="L23" s="319">
        <v>16.85388006182442</v>
      </c>
      <c r="M23" s="133" t="s">
        <v>305</v>
      </c>
      <c r="N23" s="134"/>
      <c r="O23" s="134"/>
      <c r="P23" s="135"/>
    </row>
    <row r="24" spans="1:16" ht="13" thickBot="1">
      <c r="A24" s="22">
        <v>8</v>
      </c>
      <c r="B24" s="26" t="str">
        <f>+D14</f>
        <v>PRECorp</v>
      </c>
      <c r="C24" s="26"/>
      <c r="D24" s="318">
        <v>2123466</v>
      </c>
      <c r="E24" s="35">
        <f>-H14</f>
        <v>-23579.730571925124</v>
      </c>
      <c r="F24" s="35">
        <f>+E24+D24</f>
        <v>2099886.2694280748</v>
      </c>
      <c r="G24" s="148">
        <f>+G23</f>
        <v>967083.33333333337</v>
      </c>
      <c r="H24" s="149">
        <f>+F24/G24</f>
        <v>2.1713602096628088</v>
      </c>
      <c r="J24" s="118" t="s">
        <v>83</v>
      </c>
      <c r="L24" s="319">
        <v>2.1713602112932038</v>
      </c>
      <c r="M24" s="136" t="s">
        <v>306</v>
      </c>
      <c r="N24" s="137"/>
      <c r="O24" s="137"/>
      <c r="P24" s="138"/>
    </row>
    <row r="25" spans="1:16">
      <c r="A25" s="22">
        <v>9</v>
      </c>
      <c r="B25" s="23" t="s">
        <v>137</v>
      </c>
      <c r="D25" s="32">
        <f>SUM(D22:D24)</f>
        <v>41822329.33260718</v>
      </c>
      <c r="E25" s="32">
        <f>SUM(E22:E24)</f>
        <v>-464484.58</v>
      </c>
      <c r="F25" s="32">
        <f>SUM(F22:F24)</f>
        <v>41357844.752607182</v>
      </c>
      <c r="H25" s="33">
        <f>SUM(H22:H24)</f>
        <v>42.765543906185798</v>
      </c>
    </row>
    <row r="26" spans="1:16">
      <c r="F26" s="32"/>
      <c r="G26" s="34"/>
      <c r="H26" s="33"/>
    </row>
    <row r="27" spans="1:16" ht="13">
      <c r="A27" s="24" t="s">
        <v>283</v>
      </c>
    </row>
    <row r="28" spans="1:16">
      <c r="A28" s="22">
        <v>10</v>
      </c>
      <c r="D28" s="23" t="s">
        <v>284</v>
      </c>
      <c r="F28" s="37">
        <f>+H25</f>
        <v>42.765543906185798</v>
      </c>
      <c r="G28" s="36" t="s">
        <v>285</v>
      </c>
      <c r="H28" s="326">
        <f>F28*1000</f>
        <v>42765.543906185798</v>
      </c>
      <c r="I28" s="23" t="s">
        <v>400</v>
      </c>
    </row>
    <row r="29" spans="1:16">
      <c r="A29" s="22">
        <f t="shared" ref="A29:A34" si="0">+A28+1</f>
        <v>11</v>
      </c>
      <c r="D29" s="23" t="s">
        <v>286</v>
      </c>
      <c r="F29" s="66">
        <f>ROUND(F28/12,2)</f>
        <v>3.56</v>
      </c>
      <c r="G29" s="36" t="s">
        <v>287</v>
      </c>
      <c r="H29" s="326">
        <f t="shared" ref="H29:H34" si="1">F29*1000</f>
        <v>3560</v>
      </c>
      <c r="I29" s="23" t="s">
        <v>400</v>
      </c>
    </row>
    <row r="30" spans="1:16">
      <c r="A30" s="22">
        <f t="shared" si="0"/>
        <v>12</v>
      </c>
      <c r="D30" s="23" t="s">
        <v>288</v>
      </c>
      <c r="F30" s="66">
        <f>ROUND(F28/52,2)</f>
        <v>0.82</v>
      </c>
      <c r="G30" s="36" t="s">
        <v>289</v>
      </c>
      <c r="H30" s="326">
        <f t="shared" si="1"/>
        <v>820</v>
      </c>
      <c r="I30" s="23" t="s">
        <v>400</v>
      </c>
    </row>
    <row r="31" spans="1:16">
      <c r="A31" s="22">
        <f t="shared" si="0"/>
        <v>13</v>
      </c>
      <c r="D31" s="23" t="s">
        <v>290</v>
      </c>
      <c r="E31" s="23" t="s">
        <v>291</v>
      </c>
      <c r="F31" s="68">
        <f>+F30/6</f>
        <v>0.13666666666666666</v>
      </c>
      <c r="G31" s="36" t="s">
        <v>292</v>
      </c>
      <c r="H31" s="326">
        <f t="shared" si="1"/>
        <v>136.66666666666666</v>
      </c>
      <c r="I31" s="23" t="s">
        <v>400</v>
      </c>
    </row>
    <row r="32" spans="1:16">
      <c r="A32" s="22">
        <f t="shared" si="0"/>
        <v>14</v>
      </c>
      <c r="D32" s="23" t="s">
        <v>293</v>
      </c>
      <c r="E32" s="23" t="s">
        <v>294</v>
      </c>
      <c r="F32" s="68">
        <f>+F30/7</f>
        <v>0.11714285714285713</v>
      </c>
      <c r="G32" s="36" t="s">
        <v>292</v>
      </c>
      <c r="H32" s="326">
        <f t="shared" si="1"/>
        <v>117.14285714285714</v>
      </c>
      <c r="I32" s="23" t="s">
        <v>400</v>
      </c>
    </row>
    <row r="33" spans="1:9">
      <c r="A33" s="22">
        <f t="shared" si="0"/>
        <v>15</v>
      </c>
      <c r="D33" s="23" t="s">
        <v>295</v>
      </c>
      <c r="E33" s="23" t="s">
        <v>296</v>
      </c>
      <c r="F33" s="69">
        <f>+F31/16</f>
        <v>8.5416666666666662E-3</v>
      </c>
      <c r="G33" s="36" t="s">
        <v>297</v>
      </c>
      <c r="H33" s="326">
        <f t="shared" si="1"/>
        <v>8.5416666666666661</v>
      </c>
      <c r="I33" s="23" t="s">
        <v>400</v>
      </c>
    </row>
    <row r="34" spans="1:9">
      <c r="A34" s="22">
        <f t="shared" si="0"/>
        <v>16</v>
      </c>
      <c r="D34" s="23" t="s">
        <v>298</v>
      </c>
      <c r="E34" s="23" t="s">
        <v>299</v>
      </c>
      <c r="F34" s="69">
        <f>+F32/24</f>
        <v>4.8809523809523808E-3</v>
      </c>
      <c r="G34" s="36" t="s">
        <v>297</v>
      </c>
      <c r="H34" s="326">
        <f t="shared" si="1"/>
        <v>4.8809523809523805</v>
      </c>
      <c r="I34" s="23" t="s">
        <v>400</v>
      </c>
    </row>
    <row r="40" spans="1:9" ht="13">
      <c r="A40" s="24" t="s">
        <v>300</v>
      </c>
    </row>
    <row r="42" spans="1:9">
      <c r="B42" s="23" t="str">
        <f>+D20</f>
        <v>Component Annual Revenue Requirements</v>
      </c>
      <c r="E42" s="32">
        <f>+D25</f>
        <v>41822329.33260718</v>
      </c>
    </row>
    <row r="43" spans="1:9">
      <c r="B43" s="43" t="s">
        <v>275</v>
      </c>
      <c r="E43" s="32">
        <f>+E25</f>
        <v>-464484.58</v>
      </c>
    </row>
    <row r="44" spans="1:9">
      <c r="B44" s="23" t="str">
        <f>+F20</f>
        <v>Net Revenue Requirements</v>
      </c>
      <c r="E44" s="32">
        <f>+F25</f>
        <v>41357844.752607182</v>
      </c>
    </row>
    <row r="45" spans="1:9">
      <c r="B45" s="23" t="str">
        <f>+G20</f>
        <v>Projected 2019 Load</v>
      </c>
      <c r="E45" s="34">
        <f>+G22</f>
        <v>967083.33333333337</v>
      </c>
    </row>
    <row r="46" spans="1:9">
      <c r="B46" s="23" t="str">
        <f>+H20</f>
        <v>Annual Rate</v>
      </c>
      <c r="E46" s="37">
        <f>+E44/E45</f>
        <v>42.765543906185798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N234"/>
  <sheetViews>
    <sheetView showGridLines="0" tabSelected="1" topLeftCell="A91" zoomScale="70" zoomScaleNormal="70" workbookViewId="0">
      <selection activeCell="E75" sqref="E75"/>
    </sheetView>
  </sheetViews>
  <sheetFormatPr defaultColWidth="8.921875" defaultRowHeight="15.5"/>
  <cols>
    <col min="1" max="1" width="6" style="165" customWidth="1"/>
    <col min="2" max="2" width="1.4609375" style="165" customWidth="1"/>
    <col min="3" max="3" width="48.53515625" style="165" customWidth="1"/>
    <col min="4" max="4" width="34.53515625" style="165" customWidth="1"/>
    <col min="5" max="5" width="23.07421875" style="165" customWidth="1"/>
    <col min="6" max="6" width="7.84375" style="165" customWidth="1"/>
    <col min="7" max="7" width="5.61328125" style="165" customWidth="1"/>
    <col min="8" max="8" width="14" style="165" customWidth="1"/>
    <col min="9" max="9" width="7.53515625" style="165" customWidth="1"/>
    <col min="10" max="10" width="17.15234375" style="165" bestFit="1" customWidth="1"/>
    <col min="11" max="11" width="1.15234375" style="165" customWidth="1"/>
    <col min="12" max="12" width="14.4609375" style="165" bestFit="1" customWidth="1"/>
    <col min="13" max="15" width="13.4609375" style="165" bestFit="1" customWidth="1"/>
    <col min="16" max="16384" width="8.921875" style="165"/>
  </cols>
  <sheetData>
    <row r="1" spans="1:40">
      <c r="I1" s="225" t="s">
        <v>325</v>
      </c>
      <c r="J1" s="226">
        <v>43373</v>
      </c>
    </row>
    <row r="2" spans="1:40">
      <c r="A2" s="20"/>
      <c r="B2" s="20"/>
      <c r="C2" s="20"/>
      <c r="D2" s="109"/>
      <c r="E2" s="20"/>
      <c r="F2" s="20"/>
      <c r="G2" s="20"/>
      <c r="I2" s="227" t="s">
        <v>116</v>
      </c>
      <c r="J2" s="164">
        <v>2019</v>
      </c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</row>
    <row r="3" spans="1:40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</row>
    <row r="4" spans="1:40" ht="15" customHeight="1">
      <c r="A4" s="333" t="s">
        <v>239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</row>
    <row r="5" spans="1:40">
      <c r="A5" s="334" t="s">
        <v>134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</row>
    <row r="6" spans="1:40">
      <c r="A6" s="20"/>
      <c r="B6" s="20"/>
      <c r="C6" s="164"/>
      <c r="D6" s="164"/>
      <c r="F6" s="164"/>
      <c r="G6" s="164"/>
      <c r="H6" s="164"/>
      <c r="I6" s="164"/>
      <c r="J6" s="164"/>
      <c r="K6" s="164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</row>
    <row r="7" spans="1:40" ht="15" customHeight="1">
      <c r="A7" s="332" t="s">
        <v>238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</row>
    <row r="8" spans="1:40">
      <c r="A8" s="75"/>
      <c r="B8" s="20"/>
      <c r="C8" s="164"/>
      <c r="D8" s="164"/>
      <c r="E8" s="231"/>
      <c r="F8" s="164"/>
      <c r="G8" s="164"/>
      <c r="H8" s="164"/>
      <c r="I8" s="164"/>
      <c r="J8" s="164"/>
      <c r="K8" s="164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</row>
    <row r="9" spans="1:40">
      <c r="A9" s="20"/>
      <c r="B9" s="20"/>
      <c r="C9" s="232" t="s">
        <v>139</v>
      </c>
      <c r="D9" s="232" t="s">
        <v>140</v>
      </c>
      <c r="E9" s="232" t="s">
        <v>141</v>
      </c>
      <c r="F9" s="15" t="s">
        <v>133</v>
      </c>
      <c r="G9" s="15"/>
      <c r="H9" s="233" t="s">
        <v>142</v>
      </c>
      <c r="I9" s="15"/>
      <c r="J9" s="234" t="s">
        <v>143</v>
      </c>
      <c r="K9" s="15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</row>
    <row r="10" spans="1:40">
      <c r="A10" s="20"/>
      <c r="B10" s="20"/>
      <c r="C10" s="223"/>
      <c r="D10" s="230" t="s">
        <v>144</v>
      </c>
      <c r="E10" s="15"/>
      <c r="F10" s="15"/>
      <c r="G10" s="235" t="s">
        <v>59</v>
      </c>
      <c r="H10" s="75"/>
      <c r="I10" s="15"/>
      <c r="J10" s="229" t="s">
        <v>145</v>
      </c>
      <c r="K10" s="15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</row>
    <row r="11" spans="1:40">
      <c r="A11" s="75" t="s">
        <v>135</v>
      </c>
      <c r="B11" s="20"/>
      <c r="C11" s="223"/>
      <c r="D11" s="236" t="s">
        <v>146</v>
      </c>
      <c r="E11" s="229" t="s">
        <v>147</v>
      </c>
      <c r="F11" s="237"/>
      <c r="G11" s="238" t="s">
        <v>49</v>
      </c>
      <c r="H11" s="239"/>
      <c r="I11" s="237"/>
      <c r="J11" s="75" t="s">
        <v>148</v>
      </c>
      <c r="K11" s="15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</row>
    <row r="12" spans="1:40" ht="16" thickBot="1">
      <c r="A12" s="240" t="s">
        <v>136</v>
      </c>
      <c r="B12" s="20"/>
      <c r="C12" s="241" t="s">
        <v>149</v>
      </c>
      <c r="D12" s="15"/>
      <c r="E12" s="15"/>
      <c r="F12" s="15"/>
      <c r="G12" s="15"/>
      <c r="H12" s="15"/>
      <c r="I12" s="15"/>
      <c r="J12" s="15"/>
      <c r="K12" s="15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</row>
    <row r="13" spans="1:40">
      <c r="A13" s="75"/>
      <c r="B13" s="20"/>
      <c r="C13" s="223"/>
      <c r="D13" s="15"/>
      <c r="E13" s="15"/>
      <c r="F13" s="15"/>
      <c r="G13" s="15"/>
      <c r="H13" s="15"/>
      <c r="I13" s="15"/>
      <c r="J13" s="15"/>
      <c r="K13" s="15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</row>
    <row r="14" spans="1:40">
      <c r="A14" s="75"/>
      <c r="B14" s="20"/>
      <c r="C14" s="223" t="s">
        <v>150</v>
      </c>
      <c r="D14" s="15" t="s">
        <v>326</v>
      </c>
      <c r="E14" s="15"/>
      <c r="F14" s="15"/>
      <c r="G14" s="15"/>
      <c r="H14" s="15"/>
      <c r="I14" s="15"/>
      <c r="J14" s="15"/>
      <c r="K14" s="15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</row>
    <row r="15" spans="1:40">
      <c r="A15" s="75">
        <v>1</v>
      </c>
      <c r="B15" s="20"/>
      <c r="C15" s="223" t="s">
        <v>151</v>
      </c>
      <c r="D15" s="15" t="s">
        <v>39</v>
      </c>
      <c r="E15" s="310">
        <f>+'WP6 Rate Base'!Q15</f>
        <v>590861691.46000004</v>
      </c>
      <c r="F15" s="15"/>
      <c r="G15" s="15" t="s">
        <v>152</v>
      </c>
      <c r="H15" s="242" t="s">
        <v>133</v>
      </c>
      <c r="I15" s="15"/>
      <c r="J15" s="15" t="s">
        <v>133</v>
      </c>
      <c r="K15" s="15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</row>
    <row r="16" spans="1:40">
      <c r="A16" s="75">
        <v>2</v>
      </c>
      <c r="B16" s="20"/>
      <c r="C16" s="223" t="s">
        <v>153</v>
      </c>
      <c r="D16" s="15" t="s">
        <v>84</v>
      </c>
      <c r="E16" s="310">
        <f>+'WP6 Rate Base'!Q16</f>
        <v>184727230</v>
      </c>
      <c r="F16" s="15"/>
      <c r="G16" s="15" t="s">
        <v>138</v>
      </c>
      <c r="H16" s="242">
        <f>+J144</f>
        <v>0.89107700000000001</v>
      </c>
      <c r="I16" s="15"/>
      <c r="J16" s="15">
        <f>+H16*E16</f>
        <v>164606185.92671001</v>
      </c>
      <c r="K16" s="15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</row>
    <row r="17" spans="1:40">
      <c r="A17" s="75">
        <v>3</v>
      </c>
      <c r="B17" s="20"/>
      <c r="C17" s="223" t="s">
        <v>362</v>
      </c>
      <c r="D17" s="15" t="s">
        <v>363</v>
      </c>
      <c r="E17" s="15">
        <f>'BHP WP2 Capital Additions'!F20</f>
        <v>24337696.710000001</v>
      </c>
      <c r="F17" s="15"/>
      <c r="G17" s="15" t="s">
        <v>138</v>
      </c>
      <c r="H17" s="242">
        <f>H16</f>
        <v>0.89107700000000001</v>
      </c>
      <c r="I17" s="15"/>
      <c r="J17" s="15">
        <f>+H17*E17</f>
        <v>21686761.77125667</v>
      </c>
      <c r="K17" s="15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</row>
    <row r="18" spans="1:40">
      <c r="A18" s="75">
        <v>4</v>
      </c>
      <c r="B18" s="20"/>
      <c r="C18" s="223" t="s">
        <v>362</v>
      </c>
      <c r="D18" s="15" t="s">
        <v>364</v>
      </c>
      <c r="E18" s="15">
        <f>'BHP WP3 Capital Additions'!F23</f>
        <v>7000085.7308333321</v>
      </c>
      <c r="F18" s="15"/>
      <c r="G18" s="15" t="s">
        <v>138</v>
      </c>
      <c r="H18" s="242">
        <f>H17</f>
        <v>0.89107700000000001</v>
      </c>
      <c r="I18" s="15"/>
      <c r="J18" s="15">
        <f>+H18*E18</f>
        <v>6237615.3927737735</v>
      </c>
      <c r="K18" s="15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</row>
    <row r="19" spans="1:40">
      <c r="A19" s="75">
        <v>5</v>
      </c>
      <c r="B19" s="20"/>
      <c r="C19" s="223" t="s">
        <v>154</v>
      </c>
      <c r="D19" s="15" t="s">
        <v>85</v>
      </c>
      <c r="E19" s="310">
        <f>+'WP6 Rate Base'!Q17</f>
        <v>376277440</v>
      </c>
      <c r="F19" s="15"/>
      <c r="G19" s="15" t="s">
        <v>152</v>
      </c>
      <c r="H19" s="243"/>
      <c r="I19" s="15"/>
      <c r="J19" s="15"/>
      <c r="K19" s="15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</row>
    <row r="20" spans="1:40">
      <c r="A20" s="75">
        <v>6</v>
      </c>
      <c r="B20" s="20"/>
      <c r="C20" s="223" t="s">
        <v>155</v>
      </c>
      <c r="D20" s="15" t="s">
        <v>371</v>
      </c>
      <c r="E20" s="310">
        <f>+'WP6 Rate Base'!Q18</f>
        <v>44141667.160000011</v>
      </c>
      <c r="F20" s="15"/>
      <c r="G20" s="15" t="s">
        <v>156</v>
      </c>
      <c r="H20" s="242">
        <f>J176</f>
        <v>0.12817542985934385</v>
      </c>
      <c r="I20" s="15"/>
      <c r="J20" s="15">
        <f>+H20*E20</f>
        <v>5657877.1629410833</v>
      </c>
      <c r="K20" s="15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</row>
    <row r="21" spans="1:40">
      <c r="A21" s="75">
        <v>7</v>
      </c>
      <c r="B21" s="20"/>
      <c r="C21" s="223" t="s">
        <v>101</v>
      </c>
      <c r="D21" s="15" t="s">
        <v>372</v>
      </c>
      <c r="E21" s="310">
        <f>+'WP6 Rate Base'!Q19</f>
        <v>31425945.649999999</v>
      </c>
      <c r="F21" s="15"/>
      <c r="G21" s="15" t="s">
        <v>156</v>
      </c>
      <c r="H21" s="242">
        <f>+H20</f>
        <v>0.12817542985934385</v>
      </c>
      <c r="I21" s="15"/>
      <c r="J21" s="15">
        <f>+H21*E21</f>
        <v>4028034.092425127</v>
      </c>
      <c r="K21" s="15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</row>
    <row r="22" spans="1:40">
      <c r="A22" s="75">
        <v>8</v>
      </c>
      <c r="B22" s="20"/>
      <c r="C22" s="223" t="s">
        <v>68</v>
      </c>
      <c r="D22" s="15" t="s">
        <v>373</v>
      </c>
      <c r="E22" s="310">
        <f>+'WP6 Rate Base'!Q20</f>
        <v>7058966.8799999999</v>
      </c>
      <c r="F22" s="15"/>
      <c r="G22" s="15" t="s">
        <v>95</v>
      </c>
      <c r="H22" s="242">
        <f>+J181</f>
        <v>0.36202518774347486</v>
      </c>
      <c r="I22" s="15"/>
      <c r="J22" s="15">
        <f>+H22*E22</f>
        <v>2555523.810006971</v>
      </c>
      <c r="K22" s="15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</row>
    <row r="23" spans="1:40" ht="16" thickBot="1">
      <c r="A23" s="75">
        <v>9</v>
      </c>
      <c r="B23" s="20"/>
      <c r="C23" s="223" t="s">
        <v>157</v>
      </c>
      <c r="D23" s="15" t="s">
        <v>158</v>
      </c>
      <c r="E23" s="311">
        <f>+'WP6 Rate Base'!Q21</f>
        <v>0</v>
      </c>
      <c r="F23" s="15"/>
      <c r="G23" s="15" t="s">
        <v>189</v>
      </c>
      <c r="H23" s="242">
        <v>0</v>
      </c>
      <c r="I23" s="15"/>
      <c r="J23" s="21">
        <f>+H23*E23</f>
        <v>0</v>
      </c>
      <c r="K23" s="15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</row>
    <row r="24" spans="1:40">
      <c r="A24" s="75">
        <v>10</v>
      </c>
      <c r="B24" s="20"/>
      <c r="C24" s="224" t="s">
        <v>5</v>
      </c>
      <c r="D24" s="15" t="str">
        <f>"(sum lines "&amp;A15&amp;" - "&amp;A23&amp;")"</f>
        <v>(sum lines 1 - 9)</v>
      </c>
      <c r="E24" s="15">
        <f>SUM(E15:E23)</f>
        <v>1265830723.5908337</v>
      </c>
      <c r="F24" s="15"/>
      <c r="G24" s="15" t="s">
        <v>159</v>
      </c>
      <c r="H24" s="244">
        <f>IF(E24&gt;0,+J24/E24,0)</f>
        <v>0.16176886398777601</v>
      </c>
      <c r="I24" s="15"/>
      <c r="J24" s="15">
        <f>SUM(J15:J23)</f>
        <v>204771998.15611365</v>
      </c>
      <c r="K24" s="15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</row>
    <row r="25" spans="1:40">
      <c r="A25" s="75">
        <v>11</v>
      </c>
      <c r="B25" s="20"/>
      <c r="C25" s="223"/>
      <c r="D25" s="15"/>
      <c r="E25" s="15"/>
      <c r="F25" s="15"/>
      <c r="G25" s="15"/>
      <c r="H25" s="244"/>
      <c r="I25" s="15"/>
      <c r="J25" s="15"/>
      <c r="K25" s="15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</row>
    <row r="26" spans="1:40">
      <c r="A26" s="75">
        <v>12</v>
      </c>
      <c r="B26" s="20"/>
      <c r="C26" s="223" t="s">
        <v>160</v>
      </c>
      <c r="D26" s="15"/>
      <c r="E26" s="15"/>
      <c r="F26" s="15"/>
      <c r="G26" s="15"/>
      <c r="H26" s="15"/>
      <c r="I26" s="15"/>
      <c r="J26" s="15"/>
      <c r="K26" s="15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</row>
    <row r="27" spans="1:40">
      <c r="A27" s="75">
        <v>13</v>
      </c>
      <c r="B27" s="20"/>
      <c r="C27" s="223" t="str">
        <f>+C15</f>
        <v xml:space="preserve">  Production</v>
      </c>
      <c r="D27" s="15" t="s">
        <v>315</v>
      </c>
      <c r="E27" s="310">
        <f>+'WP6 Rate Base'!Q25</f>
        <v>190308275.31008568</v>
      </c>
      <c r="F27" s="15"/>
      <c r="G27" s="15" t="str">
        <f>+G15</f>
        <v>NA</v>
      </c>
      <c r="H27" s="242" t="str">
        <f>+H15</f>
        <v xml:space="preserve"> </v>
      </c>
      <c r="I27" s="15"/>
      <c r="J27" s="15" t="s">
        <v>133</v>
      </c>
      <c r="K27" s="15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</row>
    <row r="28" spans="1:40">
      <c r="A28" s="75">
        <v>14</v>
      </c>
      <c r="B28" s="20"/>
      <c r="C28" s="223" t="s">
        <v>153</v>
      </c>
      <c r="D28" s="15" t="s">
        <v>86</v>
      </c>
      <c r="E28" s="310">
        <f>+'WP6 Rate Base'!Q26</f>
        <v>43694317.812616833</v>
      </c>
      <c r="F28" s="15"/>
      <c r="G28" s="15" t="s">
        <v>46</v>
      </c>
      <c r="H28" s="242">
        <f>+J162</f>
        <v>0.84216199999999997</v>
      </c>
      <c r="I28" s="15"/>
      <c r="J28" s="15">
        <f>+H28*E28</f>
        <v>36797694.077709019</v>
      </c>
      <c r="K28" s="15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</row>
    <row r="29" spans="1:40">
      <c r="A29" s="75">
        <v>15</v>
      </c>
      <c r="B29" s="20"/>
      <c r="C29" s="223" t="s">
        <v>365</v>
      </c>
      <c r="D29" s="15" t="str">
        <f>"See Workpaper 2 (line 48)"</f>
        <v>See Workpaper 2 (line 48)</v>
      </c>
      <c r="E29" s="15">
        <f>'BHP WP2 Capital Additions'!F57</f>
        <v>6449012.2167108413</v>
      </c>
      <c r="F29" s="15"/>
      <c r="G29" s="15" t="s">
        <v>46</v>
      </c>
      <c r="H29" s="242">
        <f>H28</f>
        <v>0.84216199999999997</v>
      </c>
      <c r="I29" s="15"/>
      <c r="J29" s="15">
        <f>+H29*E29</f>
        <v>5431113.0264496356</v>
      </c>
      <c r="K29" s="15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</row>
    <row r="30" spans="1:40">
      <c r="A30" s="75">
        <v>16</v>
      </c>
      <c r="B30" s="20"/>
      <c r="C30" s="223" t="s">
        <v>154</v>
      </c>
      <c r="D30" s="15" t="s">
        <v>87</v>
      </c>
      <c r="E30" s="310">
        <f>+'WP6 Rate Base'!Q27</f>
        <v>133804900.12065056</v>
      </c>
      <c r="F30" s="15"/>
      <c r="G30" s="15" t="s">
        <v>152</v>
      </c>
      <c r="H30" s="242"/>
      <c r="I30" s="15"/>
      <c r="J30" s="15"/>
      <c r="K30" s="15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</row>
    <row r="31" spans="1:40">
      <c r="A31" s="75">
        <v>17</v>
      </c>
      <c r="B31" s="20"/>
      <c r="C31" s="223" t="str">
        <f>+C20</f>
        <v xml:space="preserve">  General &amp; Intangible</v>
      </c>
      <c r="D31" s="15" t="s">
        <v>374</v>
      </c>
      <c r="E31" s="310">
        <f>+'WP6 Rate Base'!Q28</f>
        <v>17944744.736646902</v>
      </c>
      <c r="F31" s="15"/>
      <c r="G31" s="15" t="str">
        <f>+G20</f>
        <v>W/S</v>
      </c>
      <c r="H31" s="242">
        <f>+H20</f>
        <v>0.12817542985934385</v>
      </c>
      <c r="I31" s="15"/>
      <c r="J31" s="15">
        <f>+H31*E31</f>
        <v>2300075.3703359147</v>
      </c>
      <c r="K31" s="15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</row>
    <row r="32" spans="1:40">
      <c r="A32" s="75">
        <v>18</v>
      </c>
      <c r="B32" s="20"/>
      <c r="C32" s="223" t="s">
        <v>101</v>
      </c>
      <c r="D32" s="15" t="s">
        <v>375</v>
      </c>
      <c r="E32" s="310">
        <f>+'WP6 Rate Base'!Q29</f>
        <v>15571481.040000001</v>
      </c>
      <c r="F32" s="15"/>
      <c r="G32" s="15" t="str">
        <f>+G21</f>
        <v>W/S</v>
      </c>
      <c r="H32" s="242">
        <f>+H31</f>
        <v>0.12817542985934385</v>
      </c>
      <c r="I32" s="15"/>
      <c r="J32" s="15">
        <f>+H32*E32</f>
        <v>1995881.2758486229</v>
      </c>
      <c r="K32" s="15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</row>
    <row r="33" spans="1:40">
      <c r="A33" s="75">
        <v>19</v>
      </c>
      <c r="B33" s="20"/>
      <c r="C33" s="223" t="str">
        <f>+C22</f>
        <v xml:space="preserve">  Communication System</v>
      </c>
      <c r="D33" s="15" t="s">
        <v>376</v>
      </c>
      <c r="E33" s="310">
        <f>+'WP6 Rate Base'!Q30</f>
        <v>2450694.38</v>
      </c>
      <c r="F33" s="15"/>
      <c r="G33" s="15" t="str">
        <f>+G22</f>
        <v>T&amp;D</v>
      </c>
      <c r="H33" s="242">
        <f>+H22</f>
        <v>0.36202518774347486</v>
      </c>
      <c r="I33" s="15"/>
      <c r="J33" s="15">
        <f>+H33*E33</f>
        <v>887213.09302137874</v>
      </c>
      <c r="K33" s="15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</row>
    <row r="34" spans="1:40" ht="16" thickBot="1">
      <c r="A34" s="75">
        <v>20</v>
      </c>
      <c r="B34" s="20"/>
      <c r="C34" s="223" t="str">
        <f>+C23</f>
        <v xml:space="preserve">  Common</v>
      </c>
      <c r="D34" s="15" t="s">
        <v>158</v>
      </c>
      <c r="E34" s="311">
        <f>+'WP6 Rate Base'!R31</f>
        <v>0</v>
      </c>
      <c r="F34" s="15"/>
      <c r="G34" s="15" t="str">
        <f>+G23</f>
        <v>CE</v>
      </c>
      <c r="H34" s="242">
        <f>+H23</f>
        <v>0</v>
      </c>
      <c r="I34" s="15"/>
      <c r="J34" s="21">
        <f>+H34*E34</f>
        <v>0</v>
      </c>
      <c r="K34" s="15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</row>
    <row r="35" spans="1:40">
      <c r="A35" s="75">
        <v>21</v>
      </c>
      <c r="B35" s="20"/>
      <c r="C35" s="223" t="s">
        <v>7</v>
      </c>
      <c r="D35" s="15" t="str">
        <f>"(sum lines "&amp;A27&amp;" - "&amp;A34&amp;")"</f>
        <v>(sum lines 13 - 20)</v>
      </c>
      <c r="E35" s="15">
        <f>SUM(E27:E34)</f>
        <v>410223425.61671084</v>
      </c>
      <c r="F35" s="15"/>
      <c r="G35" s="15"/>
      <c r="H35" s="15"/>
      <c r="I35" s="15"/>
      <c r="J35" s="15">
        <f>SUM(J27:J34)</f>
        <v>47411976.843364567</v>
      </c>
      <c r="K35" s="15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</row>
    <row r="36" spans="1:40">
      <c r="A36" s="75">
        <v>22</v>
      </c>
      <c r="B36" s="20"/>
      <c r="C36" s="20"/>
      <c r="D36" s="15" t="s">
        <v>133</v>
      </c>
      <c r="E36" s="20"/>
      <c r="F36" s="15"/>
      <c r="G36" s="15"/>
      <c r="H36" s="244"/>
      <c r="I36" s="15"/>
      <c r="J36" s="20"/>
      <c r="K36" s="15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</row>
    <row r="37" spans="1:40">
      <c r="A37" s="75">
        <v>23</v>
      </c>
      <c r="B37" s="20"/>
      <c r="C37" s="223" t="s">
        <v>161</v>
      </c>
      <c r="D37" s="15"/>
      <c r="E37" s="15"/>
      <c r="F37" s="15"/>
      <c r="G37" s="15"/>
      <c r="H37" s="15"/>
      <c r="I37" s="15"/>
      <c r="J37" s="15"/>
      <c r="K37" s="15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</row>
    <row r="38" spans="1:40">
      <c r="A38" s="75">
        <v>24</v>
      </c>
      <c r="B38" s="20"/>
      <c r="C38" s="223" t="str">
        <f>+C27</f>
        <v xml:space="preserve">  Production</v>
      </c>
      <c r="D38" s="15" t="str">
        <f>"(line "&amp;A15&amp;" - line "&amp;A27&amp;")"</f>
        <v>(line 1 - line 13)</v>
      </c>
      <c r="E38" s="15">
        <f>E15-E27</f>
        <v>400553416.14991438</v>
      </c>
      <c r="F38" s="15"/>
      <c r="G38" s="15" t="s">
        <v>57</v>
      </c>
      <c r="H38" s="244"/>
      <c r="I38" s="15"/>
      <c r="J38" s="15" t="s">
        <v>133</v>
      </c>
      <c r="K38" s="15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</row>
    <row r="39" spans="1:40">
      <c r="A39" s="75">
        <v>25</v>
      </c>
      <c r="B39" s="20"/>
      <c r="C39" s="223" t="s">
        <v>153</v>
      </c>
      <c r="D39" s="15" t="str">
        <f>"(line "&amp;A16&amp;" - line "&amp;A28&amp;")"</f>
        <v>(line 2 - line 14)</v>
      </c>
      <c r="E39" s="15">
        <f>E16-E28</f>
        <v>141032912.18738317</v>
      </c>
      <c r="F39" s="15"/>
      <c r="G39" s="15" t="s">
        <v>57</v>
      </c>
      <c r="H39" s="242"/>
      <c r="I39" s="15"/>
      <c r="J39" s="15">
        <f>J16-J28</f>
        <v>127808491.84900099</v>
      </c>
      <c r="K39" s="15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</row>
    <row r="40" spans="1:40">
      <c r="A40" s="75">
        <v>26</v>
      </c>
      <c r="B40" s="20"/>
      <c r="C40" s="223" t="str">
        <f>+C17</f>
        <v xml:space="preserve">  New Construction CUS Assets</v>
      </c>
      <c r="D40" s="15" t="str">
        <f>"(line "&amp;A17&amp;" - line "&amp;A29&amp;")"</f>
        <v>(line 3 - line 15)</v>
      </c>
      <c r="E40" s="15">
        <f>E17-E29</f>
        <v>17888684.493289158</v>
      </c>
      <c r="F40" s="15"/>
      <c r="G40" s="15" t="s">
        <v>57</v>
      </c>
      <c r="H40" s="242"/>
      <c r="I40" s="15"/>
      <c r="J40" s="15">
        <f>J17-J29</f>
        <v>16255648.744807035</v>
      </c>
      <c r="K40" s="15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</row>
    <row r="41" spans="1:40">
      <c r="A41" s="75">
        <v>27</v>
      </c>
      <c r="B41" s="20"/>
      <c r="C41" s="223" t="s">
        <v>362</v>
      </c>
      <c r="D41" s="15" t="s">
        <v>361</v>
      </c>
      <c r="E41" s="15">
        <f>E18</f>
        <v>7000085.7308333321</v>
      </c>
      <c r="F41" s="15"/>
      <c r="G41" s="15" t="s">
        <v>57</v>
      </c>
      <c r="H41" s="242"/>
      <c r="I41" s="15"/>
      <c r="J41" s="15">
        <f>J18</f>
        <v>6237615.3927737735</v>
      </c>
      <c r="K41" s="15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</row>
    <row r="42" spans="1:40">
      <c r="A42" s="75">
        <v>28</v>
      </c>
      <c r="B42" s="20"/>
      <c r="C42" s="223" t="s">
        <v>234</v>
      </c>
      <c r="D42" s="15" t="str">
        <f>"(line "&amp;A19&amp;" - line "&amp;A30&amp;")"</f>
        <v>(line 5 - line 16)</v>
      </c>
      <c r="E42" s="15">
        <f t="shared" ref="E42:E47" si="0">E19-E30</f>
        <v>242472539.87934944</v>
      </c>
      <c r="F42" s="15"/>
      <c r="G42" s="15" t="s">
        <v>57</v>
      </c>
      <c r="H42" s="244"/>
      <c r="I42" s="15"/>
      <c r="J42" s="15"/>
      <c r="K42" s="15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</row>
    <row r="43" spans="1:40">
      <c r="A43" s="75">
        <v>29</v>
      </c>
      <c r="B43" s="20"/>
      <c r="C43" s="223" t="str">
        <f>+C31</f>
        <v xml:space="preserve">  General &amp; Intangible</v>
      </c>
      <c r="D43" s="15" t="str">
        <f>"(line "&amp;A20&amp;" - line "&amp;A31&amp;")"</f>
        <v>(line 6 - line 17)</v>
      </c>
      <c r="E43" s="15">
        <f t="shared" si="0"/>
        <v>26196922.42335311</v>
      </c>
      <c r="F43" s="15"/>
      <c r="G43" s="15" t="s">
        <v>57</v>
      </c>
      <c r="H43" s="244"/>
      <c r="I43" s="15"/>
      <c r="J43" s="15">
        <f>J20-J31</f>
        <v>3357801.7926051687</v>
      </c>
      <c r="K43" s="15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</row>
    <row r="44" spans="1:40">
      <c r="A44" s="75">
        <v>30</v>
      </c>
      <c r="B44" s="20"/>
      <c r="C44" s="223" t="s">
        <v>101</v>
      </c>
      <c r="D44" s="15" t="str">
        <f>"(line "&amp;A21&amp;" - line "&amp;A32&amp;")"</f>
        <v>(line 7 - line 18)</v>
      </c>
      <c r="E44" s="15">
        <f t="shared" si="0"/>
        <v>15854464.609999998</v>
      </c>
      <c r="F44" s="15"/>
      <c r="G44" s="15" t="s">
        <v>57</v>
      </c>
      <c r="H44" s="244"/>
      <c r="I44" s="15"/>
      <c r="J44" s="15">
        <f>J21-J32</f>
        <v>2032152.8165765041</v>
      </c>
      <c r="K44" s="15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</row>
    <row r="45" spans="1:40">
      <c r="A45" s="75">
        <v>31</v>
      </c>
      <c r="B45" s="20"/>
      <c r="C45" s="223" t="str">
        <f>+C33</f>
        <v xml:space="preserve">  Communication System</v>
      </c>
      <c r="D45" s="15" t="str">
        <f>"(line "&amp;A22&amp;" - line "&amp;A33&amp;")"</f>
        <v>(line 8 - line 19)</v>
      </c>
      <c r="E45" s="15">
        <f t="shared" si="0"/>
        <v>4608272.5</v>
      </c>
      <c r="F45" s="15"/>
      <c r="G45" s="15" t="s">
        <v>57</v>
      </c>
      <c r="H45" s="244"/>
      <c r="I45" s="15"/>
      <c r="J45" s="15">
        <f>J22-J33</f>
        <v>1668310.7169855922</v>
      </c>
      <c r="K45" s="15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</row>
    <row r="46" spans="1:40" ht="16" thickBot="1">
      <c r="A46" s="75">
        <v>32</v>
      </c>
      <c r="B46" s="20"/>
      <c r="C46" s="223" t="str">
        <f>+C34</f>
        <v xml:space="preserve">  Common</v>
      </c>
      <c r="D46" s="15" t="str">
        <f>"(line "&amp;A23&amp;" - line "&amp;A34&amp;")"</f>
        <v>(line 9 - line 20)</v>
      </c>
      <c r="E46" s="21">
        <f t="shared" si="0"/>
        <v>0</v>
      </c>
      <c r="F46" s="15"/>
      <c r="G46" s="15" t="s">
        <v>57</v>
      </c>
      <c r="H46" s="244"/>
      <c r="I46" s="15"/>
      <c r="J46" s="21">
        <f>J23-J34</f>
        <v>0</v>
      </c>
      <c r="K46" s="15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</row>
    <row r="47" spans="1:40">
      <c r="A47" s="75">
        <v>33</v>
      </c>
      <c r="B47" s="20"/>
      <c r="C47" s="223" t="s">
        <v>6</v>
      </c>
      <c r="D47" s="15" t="str">
        <f>"(sum lines "&amp;A38&amp;" - "&amp;A46&amp;")"</f>
        <v>(sum lines 24 - 32)</v>
      </c>
      <c r="E47" s="15">
        <f t="shared" si="0"/>
        <v>855607297.97412276</v>
      </c>
      <c r="F47" s="15"/>
      <c r="G47" s="15" t="s">
        <v>162</v>
      </c>
      <c r="H47" s="244">
        <f>IF(E47&gt;0,+J47/E47,0)</f>
        <v>0.18391617472798635</v>
      </c>
      <c r="I47" s="15"/>
      <c r="J47" s="15">
        <f>SUM(J38:J46)</f>
        <v>157360021.31274906</v>
      </c>
      <c r="K47" s="15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</row>
    <row r="48" spans="1:40">
      <c r="A48" s="75">
        <v>34</v>
      </c>
      <c r="B48" s="20"/>
      <c r="C48" s="20"/>
      <c r="D48" s="15"/>
      <c r="E48" s="85"/>
      <c r="F48" s="15"/>
      <c r="G48" s="20"/>
      <c r="H48" s="20"/>
      <c r="I48" s="15"/>
      <c r="J48" s="20"/>
      <c r="K48" s="15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</row>
    <row r="49" spans="1:40">
      <c r="A49" s="75">
        <v>35</v>
      </c>
      <c r="B49" s="20"/>
      <c r="C49" s="224" t="s">
        <v>28</v>
      </c>
      <c r="D49" s="15" t="s">
        <v>377</v>
      </c>
      <c r="E49" s="15"/>
      <c r="F49" s="15"/>
      <c r="G49" s="15"/>
      <c r="H49" s="15"/>
      <c r="I49" s="15"/>
      <c r="J49" s="15"/>
      <c r="K49" s="15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</row>
    <row r="50" spans="1:40">
      <c r="A50" s="75">
        <v>36</v>
      </c>
      <c r="B50" s="20"/>
      <c r="C50" s="223" t="s">
        <v>207</v>
      </c>
      <c r="D50" s="15" t="s">
        <v>163</v>
      </c>
      <c r="E50" s="312">
        <f>+'WP6 Rate Base'!F50</f>
        <v>0</v>
      </c>
      <c r="F50" s="15"/>
      <c r="G50" s="15" t="str">
        <f>+G27</f>
        <v>NA</v>
      </c>
      <c r="H50" s="245" t="s">
        <v>228</v>
      </c>
      <c r="I50" s="15"/>
      <c r="J50" s="85">
        <v>0</v>
      </c>
      <c r="K50" s="15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</row>
    <row r="51" spans="1:40">
      <c r="A51" s="75">
        <v>37</v>
      </c>
      <c r="B51" s="20"/>
      <c r="C51" s="223" t="s">
        <v>208</v>
      </c>
      <c r="D51" s="15" t="s">
        <v>165</v>
      </c>
      <c r="E51" s="312">
        <f>+'WP6 Rate Base'!F51</f>
        <v>-122122002</v>
      </c>
      <c r="F51" s="15"/>
      <c r="G51" s="15" t="s">
        <v>164</v>
      </c>
      <c r="H51" s="242">
        <f>+H47</f>
        <v>0.18391617472798635</v>
      </c>
      <c r="I51" s="15"/>
      <c r="J51" s="85">
        <v>-23261841.4579635</v>
      </c>
      <c r="K51" s="15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</row>
    <row r="52" spans="1:40">
      <c r="A52" s="75">
        <v>38</v>
      </c>
      <c r="B52" s="20"/>
      <c r="C52" s="223" t="s">
        <v>209</v>
      </c>
      <c r="D52" s="15" t="s">
        <v>166</v>
      </c>
      <c r="E52" s="312">
        <f>+'WP6 Rate Base'!F52</f>
        <v>-18129142</v>
      </c>
      <c r="F52" s="15"/>
      <c r="G52" s="15" t="str">
        <f>+G51</f>
        <v>NP</v>
      </c>
      <c r="H52" s="242">
        <f>H47</f>
        <v>0.18391617472798635</v>
      </c>
      <c r="I52" s="15"/>
      <c r="J52" s="85">
        <f>E52*H52</f>
        <v>-3334242.4477404761</v>
      </c>
      <c r="K52" s="15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8"/>
      <c r="AK52" s="228"/>
      <c r="AL52" s="228"/>
      <c r="AM52" s="228"/>
      <c r="AN52" s="228"/>
    </row>
    <row r="53" spans="1:40">
      <c r="A53" s="75">
        <v>39</v>
      </c>
      <c r="B53" s="20"/>
      <c r="C53" s="223" t="s">
        <v>211</v>
      </c>
      <c r="D53" s="15" t="s">
        <v>167</v>
      </c>
      <c r="E53" s="312">
        <f>+'WP6 Rate Base'!F53</f>
        <v>29587154</v>
      </c>
      <c r="F53" s="15"/>
      <c r="G53" s="15" t="str">
        <f>+G52</f>
        <v>NP</v>
      </c>
      <c r="H53" s="242">
        <f>+H52</f>
        <v>0.18391617472798635</v>
      </c>
      <c r="I53" s="15"/>
      <c r="J53" s="85">
        <f>E53*H53</f>
        <v>5441556.1847678404</v>
      </c>
      <c r="K53" s="15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</row>
    <row r="54" spans="1:40">
      <c r="A54" s="75">
        <v>40</v>
      </c>
      <c r="B54" s="20"/>
      <c r="C54" s="20" t="s">
        <v>210</v>
      </c>
      <c r="D54" s="20" t="s">
        <v>88</v>
      </c>
      <c r="E54" s="312">
        <f>+'WP6 Rate Base'!F54</f>
        <v>0</v>
      </c>
      <c r="F54" s="15"/>
      <c r="G54" s="15" t="str">
        <f>+G53</f>
        <v>NP</v>
      </c>
      <c r="H54" s="242">
        <f>+H52</f>
        <v>0.18391617472798635</v>
      </c>
      <c r="I54" s="15"/>
      <c r="J54" s="108">
        <f>E54*H54</f>
        <v>0</v>
      </c>
      <c r="K54" s="15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</row>
    <row r="55" spans="1:40" ht="16" thickBot="1">
      <c r="A55" s="75">
        <v>41</v>
      </c>
      <c r="B55" s="20"/>
      <c r="C55" s="223" t="s">
        <v>230</v>
      </c>
      <c r="D55" s="20" t="s">
        <v>327</v>
      </c>
      <c r="E55" s="313">
        <f>+'WP6 Rate Base'!F55</f>
        <v>-96031282.25</v>
      </c>
      <c r="F55" s="15"/>
      <c r="G55" s="15" t="str">
        <f>+G54</f>
        <v>NP</v>
      </c>
      <c r="H55" s="242">
        <f>+H54</f>
        <v>0.18391617472798635</v>
      </c>
      <c r="I55" s="15"/>
      <c r="J55" s="287">
        <f>+H55*E55</f>
        <v>-17661706.085643575</v>
      </c>
      <c r="K55" s="15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</row>
    <row r="56" spans="1:40">
      <c r="A56" s="75">
        <v>42</v>
      </c>
      <c r="B56" s="20"/>
      <c r="C56" s="223" t="s">
        <v>8</v>
      </c>
      <c r="D56" s="15" t="str">
        <f>"(sum lines "&amp;A50&amp;" - "&amp;A55&amp;")"</f>
        <v>(sum lines 36 - 41)</v>
      </c>
      <c r="E56" s="85"/>
      <c r="F56" s="15"/>
      <c r="G56" s="15"/>
      <c r="H56" s="15"/>
      <c r="I56" s="15"/>
      <c r="J56" s="85">
        <f>SUM(J50:J55)</f>
        <v>-38816233.806579709</v>
      </c>
      <c r="K56" s="15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</row>
    <row r="57" spans="1:40">
      <c r="A57" s="75">
        <v>43</v>
      </c>
      <c r="B57" s="20"/>
      <c r="C57" s="20"/>
      <c r="D57" s="15"/>
      <c r="E57" s="20"/>
      <c r="F57" s="15"/>
      <c r="G57" s="15"/>
      <c r="H57" s="244"/>
      <c r="I57" s="15"/>
      <c r="J57" s="20"/>
      <c r="K57" s="15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</row>
    <row r="58" spans="1:40">
      <c r="A58" s="75">
        <v>44</v>
      </c>
      <c r="B58" s="20"/>
      <c r="C58" s="224" t="s">
        <v>168</v>
      </c>
      <c r="D58" s="15" t="s">
        <v>378</v>
      </c>
      <c r="E58" s="312">
        <v>0</v>
      </c>
      <c r="F58" s="15"/>
      <c r="G58" s="15" t="s">
        <v>301</v>
      </c>
      <c r="H58" s="242">
        <v>0</v>
      </c>
      <c r="I58" s="15"/>
      <c r="J58" s="15">
        <f>+H58*E58</f>
        <v>0</v>
      </c>
      <c r="K58" s="15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</row>
    <row r="59" spans="1:40">
      <c r="A59" s="75">
        <v>45</v>
      </c>
      <c r="B59" s="20"/>
      <c r="C59" s="223"/>
      <c r="D59" s="15"/>
      <c r="E59" s="15"/>
      <c r="F59" s="15"/>
      <c r="G59" s="15"/>
      <c r="H59" s="15"/>
      <c r="I59" s="15"/>
      <c r="J59" s="15"/>
      <c r="K59" s="15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</row>
    <row r="60" spans="1:40">
      <c r="A60" s="75">
        <v>46</v>
      </c>
      <c r="B60" s="20"/>
      <c r="C60" s="223" t="s">
        <v>235</v>
      </c>
      <c r="D60" s="15" t="s">
        <v>133</v>
      </c>
      <c r="E60" s="15"/>
      <c r="F60" s="15"/>
      <c r="G60" s="15"/>
      <c r="H60" s="15"/>
      <c r="I60" s="15"/>
      <c r="J60" s="15"/>
      <c r="K60" s="15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</row>
    <row r="61" spans="1:40">
      <c r="A61" s="75">
        <v>47</v>
      </c>
      <c r="B61" s="20"/>
      <c r="C61" s="223" t="s">
        <v>227</v>
      </c>
      <c r="D61" s="20" t="str">
        <f>"(1/8 * line "&amp;A90&amp;")"</f>
        <v>(1/8 * line 63)</v>
      </c>
      <c r="E61" s="15">
        <f>+E90/8</f>
        <v>3120156.3450000002</v>
      </c>
      <c r="F61" s="15"/>
      <c r="G61" s="15" t="s">
        <v>57</v>
      </c>
      <c r="H61" s="244"/>
      <c r="I61" s="15"/>
      <c r="J61" s="15">
        <f>+J90/8</f>
        <v>610439.55511223408</v>
      </c>
      <c r="K61" s="164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</row>
    <row r="62" spans="1:40">
      <c r="A62" s="75">
        <v>48</v>
      </c>
      <c r="B62" s="20"/>
      <c r="C62" s="223" t="s">
        <v>272</v>
      </c>
      <c r="D62" s="15" t="s">
        <v>98</v>
      </c>
      <c r="E62" s="310">
        <f>+'WP6 Rate Base'!F62</f>
        <v>4210110</v>
      </c>
      <c r="F62" s="15"/>
      <c r="G62" s="15" t="s">
        <v>95</v>
      </c>
      <c r="H62" s="242">
        <f>+J181</f>
        <v>0.36202518774347486</v>
      </c>
      <c r="I62" s="15"/>
      <c r="J62" s="15">
        <f>+H62*E62</f>
        <v>1524165.8631706811</v>
      </c>
      <c r="K62" s="15" t="s">
        <v>133</v>
      </c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</row>
    <row r="63" spans="1:40">
      <c r="A63" s="75">
        <v>49</v>
      </c>
      <c r="B63" s="20"/>
      <c r="C63" s="223" t="s">
        <v>272</v>
      </c>
      <c r="D63" s="15" t="s">
        <v>97</v>
      </c>
      <c r="E63" s="310">
        <f>+'WP6 Rate Base'!F63</f>
        <v>17641</v>
      </c>
      <c r="F63" s="15"/>
      <c r="G63" s="15" t="s">
        <v>138</v>
      </c>
      <c r="H63" s="242">
        <f>+J144</f>
        <v>0.89107700000000001</v>
      </c>
      <c r="I63" s="15"/>
      <c r="J63" s="15">
        <f>+H63*E63</f>
        <v>15719.489357</v>
      </c>
      <c r="K63" s="15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</row>
    <row r="64" spans="1:40" ht="16" thickBot="1">
      <c r="A64" s="75">
        <v>50</v>
      </c>
      <c r="B64" s="20"/>
      <c r="C64" s="223" t="s">
        <v>212</v>
      </c>
      <c r="D64" s="15" t="s">
        <v>40</v>
      </c>
      <c r="E64" s="314">
        <f>+'WP6 Rate Base'!F64</f>
        <v>3496663.59</v>
      </c>
      <c r="F64" s="15"/>
      <c r="G64" s="15" t="s">
        <v>169</v>
      </c>
      <c r="H64" s="242">
        <f>+H24</f>
        <v>0.16176886398777601</v>
      </c>
      <c r="I64" s="15"/>
      <c r="J64" s="21">
        <f>+H64*E64</f>
        <v>565651.29670171859</v>
      </c>
      <c r="K64" s="15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</row>
    <row r="65" spans="1:40">
      <c r="A65" s="75">
        <v>51</v>
      </c>
      <c r="B65" s="20"/>
      <c r="C65" s="223" t="s">
        <v>9</v>
      </c>
      <c r="D65" s="15" t="str">
        <f>"(sum lines "&amp;A61&amp;" - "&amp;A64&amp;")"</f>
        <v>(sum lines 47 - 50)</v>
      </c>
      <c r="E65" s="15"/>
      <c r="F65" s="164"/>
      <c r="G65" s="164"/>
      <c r="H65" s="164"/>
      <c r="I65" s="164"/>
      <c r="J65" s="15">
        <f>SUM(J61:J64)</f>
        <v>2715976.2043416337</v>
      </c>
      <c r="K65" s="164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</row>
    <row r="66" spans="1:40" ht="16" thickBot="1">
      <c r="A66" s="75">
        <v>52</v>
      </c>
      <c r="B66" s="20"/>
      <c r="C66" s="20"/>
      <c r="D66" s="15"/>
      <c r="E66" s="247"/>
      <c r="F66" s="15"/>
      <c r="G66" s="15"/>
      <c r="H66" s="15"/>
      <c r="I66" s="15"/>
      <c r="J66" s="248"/>
      <c r="K66" s="15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</row>
    <row r="67" spans="1:40" ht="16" thickBot="1">
      <c r="A67" s="75">
        <v>53</v>
      </c>
      <c r="B67" s="20"/>
      <c r="C67" s="223" t="s">
        <v>10</v>
      </c>
      <c r="D67" s="15" t="str">
        <f>"(sum lines "&amp;A47&amp;", "&amp;A56&amp;", "&amp;A58&amp;", &amp; "&amp;A65&amp;")"</f>
        <v>(sum lines 33, 42, 44, &amp; 51)</v>
      </c>
      <c r="E67" s="249"/>
      <c r="F67" s="15"/>
      <c r="G67" s="15"/>
      <c r="H67" s="244"/>
      <c r="I67" s="15"/>
      <c r="J67" s="288">
        <f>+J65+J58+J56+J47</f>
        <v>121259763.71051098</v>
      </c>
      <c r="K67" s="15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</row>
    <row r="68" spans="1:40" ht="16" thickTop="1">
      <c r="A68" s="75"/>
      <c r="B68" s="20"/>
      <c r="C68" s="223"/>
      <c r="D68" s="15"/>
      <c r="E68" s="249"/>
      <c r="F68" s="15"/>
      <c r="G68" s="15"/>
      <c r="H68" s="244"/>
      <c r="I68" s="227" t="s">
        <v>325</v>
      </c>
      <c r="J68" s="250">
        <f>J1</f>
        <v>43373</v>
      </c>
      <c r="K68" s="15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</row>
    <row r="69" spans="1:40">
      <c r="A69" s="75"/>
      <c r="B69" s="20"/>
      <c r="C69" s="223"/>
      <c r="D69" s="15"/>
      <c r="E69" s="15"/>
      <c r="F69" s="15"/>
      <c r="G69" s="15"/>
      <c r="I69" s="227" t="str">
        <f>$I$2</f>
        <v>Service Year</v>
      </c>
      <c r="J69" s="164">
        <f>$J$2</f>
        <v>2019</v>
      </c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</row>
    <row r="70" spans="1:40">
      <c r="A70" s="75"/>
      <c r="B70" s="20"/>
      <c r="C70" s="223"/>
      <c r="D70" s="15"/>
      <c r="E70" s="15"/>
      <c r="F70" s="15"/>
      <c r="G70" s="15"/>
      <c r="H70" s="15"/>
      <c r="I70" s="15"/>
      <c r="J70" s="15"/>
      <c r="K70" s="15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</row>
    <row r="71" spans="1:40">
      <c r="A71" s="333" t="s">
        <v>239</v>
      </c>
      <c r="B71" s="333"/>
      <c r="C71" s="333"/>
      <c r="D71" s="333"/>
      <c r="E71" s="333"/>
      <c r="F71" s="333"/>
      <c r="G71" s="333"/>
      <c r="H71" s="333"/>
      <c r="I71" s="333"/>
      <c r="J71" s="333"/>
      <c r="K71" s="333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8"/>
      <c r="AK71" s="228"/>
      <c r="AL71" s="228"/>
      <c r="AM71" s="228"/>
      <c r="AN71" s="228"/>
    </row>
    <row r="72" spans="1:40">
      <c r="A72" s="334" t="s">
        <v>134</v>
      </c>
      <c r="B72" s="334"/>
      <c r="C72" s="334"/>
      <c r="D72" s="334"/>
      <c r="E72" s="334"/>
      <c r="F72" s="334"/>
      <c r="G72" s="334"/>
      <c r="H72" s="334"/>
      <c r="I72" s="334"/>
      <c r="J72" s="334"/>
      <c r="K72" s="334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8"/>
      <c r="AN72" s="228"/>
    </row>
    <row r="73" spans="1:40">
      <c r="A73" s="20"/>
      <c r="B73" s="20"/>
      <c r="C73" s="164"/>
      <c r="D73" s="164"/>
      <c r="F73" s="164"/>
      <c r="G73" s="164"/>
      <c r="H73" s="164"/>
      <c r="I73" s="164"/>
      <c r="J73" s="164"/>
      <c r="K73" s="164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</row>
    <row r="74" spans="1:40">
      <c r="A74" s="332" t="s">
        <v>238</v>
      </c>
      <c r="B74" s="332"/>
      <c r="C74" s="332"/>
      <c r="D74" s="332"/>
      <c r="E74" s="332"/>
      <c r="F74" s="332"/>
      <c r="G74" s="332"/>
      <c r="H74" s="332"/>
      <c r="I74" s="332"/>
      <c r="J74" s="332"/>
      <c r="K74" s="332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</row>
    <row r="75" spans="1:40">
      <c r="A75" s="75"/>
      <c r="B75" s="20"/>
      <c r="C75" s="232" t="s">
        <v>139</v>
      </c>
      <c r="D75" s="232" t="s">
        <v>140</v>
      </c>
      <c r="E75" s="232" t="s">
        <v>141</v>
      </c>
      <c r="F75" s="15" t="s">
        <v>133</v>
      </c>
      <c r="G75" s="15"/>
      <c r="H75" s="233" t="s">
        <v>142</v>
      </c>
      <c r="I75" s="15"/>
      <c r="J75" s="234" t="s">
        <v>143</v>
      </c>
      <c r="K75" s="15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</row>
    <row r="76" spans="1:40">
      <c r="A76" s="75"/>
      <c r="B76" s="20"/>
      <c r="C76" s="232"/>
      <c r="D76" s="19"/>
      <c r="E76" s="19"/>
      <c r="F76" s="19"/>
      <c r="G76" s="19"/>
      <c r="H76" s="19"/>
      <c r="I76" s="19"/>
      <c r="J76" s="19"/>
      <c r="K76" s="19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</row>
    <row r="77" spans="1:40">
      <c r="A77" s="75" t="s">
        <v>135</v>
      </c>
      <c r="B77" s="20"/>
      <c r="C77" s="223"/>
      <c r="D77" s="230" t="s">
        <v>144</v>
      </c>
      <c r="E77" s="15"/>
      <c r="F77" s="15"/>
      <c r="G77" s="237" t="str">
        <f>+G10</f>
        <v xml:space="preserve">      Allocator</v>
      </c>
      <c r="H77" s="75"/>
      <c r="I77" s="15"/>
      <c r="J77" s="229" t="s">
        <v>145</v>
      </c>
      <c r="K77" s="15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</row>
    <row r="78" spans="1:40" ht="16" thickBot="1">
      <c r="A78" s="240" t="s">
        <v>136</v>
      </c>
      <c r="B78" s="20"/>
      <c r="C78" s="223"/>
      <c r="D78" s="236" t="s">
        <v>146</v>
      </c>
      <c r="E78" s="229" t="s">
        <v>147</v>
      </c>
      <c r="F78" s="237"/>
      <c r="G78" s="238" t="str">
        <f>+G11</f>
        <v xml:space="preserve">        (page 4)</v>
      </c>
      <c r="H78" s="20"/>
      <c r="I78" s="237"/>
      <c r="J78" s="75" t="s">
        <v>148</v>
      </c>
      <c r="K78" s="15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</row>
    <row r="79" spans="1:40">
      <c r="A79" s="20"/>
      <c r="B79" s="20"/>
      <c r="C79" s="223"/>
      <c r="D79" s="15"/>
      <c r="E79" s="251"/>
      <c r="F79" s="252"/>
      <c r="G79" s="253"/>
      <c r="H79" s="20"/>
      <c r="I79" s="252"/>
      <c r="J79" s="251"/>
      <c r="K79" s="15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</row>
    <row r="80" spans="1:40">
      <c r="A80" s="75"/>
      <c r="B80" s="20"/>
      <c r="C80" s="223" t="s">
        <v>170</v>
      </c>
      <c r="D80" s="15"/>
      <c r="E80" s="15"/>
      <c r="F80" s="15"/>
      <c r="G80" s="15"/>
      <c r="H80" s="15"/>
      <c r="I80" s="15"/>
      <c r="J80" s="15"/>
      <c r="K80" s="15"/>
      <c r="L80" s="228"/>
      <c r="M80" s="228"/>
      <c r="N80" s="254"/>
      <c r="O80" s="254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</row>
    <row r="81" spans="1:40">
      <c r="A81" s="75">
        <f>+A67+1</f>
        <v>54</v>
      </c>
      <c r="B81" s="20"/>
      <c r="C81" s="223" t="s">
        <v>171</v>
      </c>
      <c r="D81" s="15" t="s">
        <v>102</v>
      </c>
      <c r="E81" s="312">
        <v>27380676</v>
      </c>
      <c r="F81" s="15"/>
      <c r="G81" s="15" t="s">
        <v>138</v>
      </c>
      <c r="H81" s="242">
        <f>+J144</f>
        <v>0.89107700000000001</v>
      </c>
      <c r="I81" s="15"/>
      <c r="J81" s="15">
        <f>+H81*E81</f>
        <v>24398290.628052</v>
      </c>
      <c r="K81" s="164"/>
      <c r="L81" s="228"/>
      <c r="M81" s="228"/>
      <c r="N81" s="254"/>
      <c r="O81" s="254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228"/>
      <c r="AJ81" s="228"/>
      <c r="AK81" s="228"/>
      <c r="AL81" s="228"/>
      <c r="AM81" s="228"/>
      <c r="AN81" s="228"/>
    </row>
    <row r="82" spans="1:40">
      <c r="A82" s="75">
        <f>+A81+1</f>
        <v>55</v>
      </c>
      <c r="B82" s="20"/>
      <c r="C82" s="223" t="s">
        <v>36</v>
      </c>
      <c r="D82" s="15" t="s">
        <v>328</v>
      </c>
      <c r="E82" s="312">
        <v>24757158</v>
      </c>
      <c r="F82" s="15"/>
      <c r="G82" s="15" t="str">
        <f>+G81</f>
        <v>TP</v>
      </c>
      <c r="H82" s="242">
        <f>+H81</f>
        <v>0.89107700000000001</v>
      </c>
      <c r="I82" s="15"/>
      <c r="J82" s="15">
        <f t="shared" ref="J82:J89" si="1">+H82*E82</f>
        <v>22060534.079165999</v>
      </c>
      <c r="K82" s="164"/>
      <c r="L82" s="255"/>
      <c r="M82" s="228"/>
      <c r="N82" s="254"/>
      <c r="O82" s="254"/>
      <c r="P82" s="228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</row>
    <row r="83" spans="1:40">
      <c r="A83" s="75">
        <f>+A82+1</f>
        <v>56</v>
      </c>
      <c r="B83" s="20"/>
      <c r="C83" s="223" t="s">
        <v>172</v>
      </c>
      <c r="D83" s="15" t="s">
        <v>89</v>
      </c>
      <c r="E83" s="312">
        <v>23867589</v>
      </c>
      <c r="F83" s="15"/>
      <c r="G83" s="15" t="s">
        <v>156</v>
      </c>
      <c r="H83" s="242">
        <f>+H31</f>
        <v>0.12817542985934385</v>
      </c>
      <c r="I83" s="15"/>
      <c r="J83" s="15">
        <f t="shared" si="1"/>
        <v>3059238.4797811471</v>
      </c>
      <c r="K83" s="15"/>
      <c r="L83" s="255"/>
      <c r="M83" s="228"/>
      <c r="N83" s="254"/>
      <c r="O83" s="254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</row>
    <row r="84" spans="1:40">
      <c r="A84" s="75">
        <f>+A83+1</f>
        <v>57</v>
      </c>
      <c r="B84" s="20"/>
      <c r="C84" s="223" t="s">
        <v>33</v>
      </c>
      <c r="D84" s="15" t="s">
        <v>99</v>
      </c>
      <c r="E84" s="312">
        <v>364051</v>
      </c>
      <c r="F84" s="15"/>
      <c r="G84" s="15" t="s">
        <v>156</v>
      </c>
      <c r="H84" s="242">
        <v>1</v>
      </c>
      <c r="I84" s="15"/>
      <c r="J84" s="15">
        <f t="shared" si="1"/>
        <v>364051</v>
      </c>
      <c r="K84" s="15"/>
      <c r="L84" s="255"/>
      <c r="M84" s="228"/>
      <c r="N84" s="254"/>
      <c r="O84" s="254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</row>
    <row r="85" spans="1:40">
      <c r="A85" s="75">
        <f>+A84+1</f>
        <v>58</v>
      </c>
      <c r="B85" s="20"/>
      <c r="C85" s="223" t="s">
        <v>231</v>
      </c>
      <c r="D85" s="15" t="s">
        <v>118</v>
      </c>
      <c r="E85" s="312">
        <v>227200</v>
      </c>
      <c r="F85" s="15"/>
      <c r="G85" s="15" t="str">
        <f>G83</f>
        <v>W/S</v>
      </c>
      <c r="H85" s="242">
        <f>H83</f>
        <v>0.12817542985934385</v>
      </c>
      <c r="I85" s="15"/>
      <c r="J85" s="15">
        <f t="shared" si="1"/>
        <v>29121.457664042922</v>
      </c>
      <c r="K85" s="15"/>
      <c r="L85" s="256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</row>
    <row r="86" spans="1:40">
      <c r="A86" s="75">
        <f t="shared" ref="A86:A122" si="2">+A85+1</f>
        <v>59</v>
      </c>
      <c r="B86" s="20"/>
      <c r="C86" s="223" t="s">
        <v>232</v>
      </c>
      <c r="D86" s="15" t="s">
        <v>119</v>
      </c>
      <c r="E86" s="312">
        <v>212741.24</v>
      </c>
      <c r="F86" s="15"/>
      <c r="G86" s="15" t="str">
        <f>+G85</f>
        <v>W/S</v>
      </c>
      <c r="H86" s="242">
        <f>+H85</f>
        <v>0.12817542985934385</v>
      </c>
      <c r="I86" s="15"/>
      <c r="J86" s="15">
        <f t="shared" si="1"/>
        <v>27268.199885809834</v>
      </c>
      <c r="K86" s="15"/>
      <c r="L86" s="256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</row>
    <row r="87" spans="1:40">
      <c r="A87" s="75">
        <f t="shared" si="2"/>
        <v>60</v>
      </c>
      <c r="B87" s="20"/>
      <c r="C87" s="223" t="s">
        <v>35</v>
      </c>
      <c r="D87" s="15"/>
      <c r="E87" s="312">
        <v>1180264</v>
      </c>
      <c r="F87" s="15"/>
      <c r="G87" s="15" t="str">
        <f>G83</f>
        <v>W/S</v>
      </c>
      <c r="H87" s="242">
        <f>H83</f>
        <v>0.12817542985934385</v>
      </c>
      <c r="I87" s="15"/>
      <c r="J87" s="15">
        <f t="shared" si="1"/>
        <v>151280.84554750862</v>
      </c>
      <c r="K87" s="15"/>
      <c r="L87" s="256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</row>
    <row r="88" spans="1:40">
      <c r="A88" s="75">
        <f t="shared" si="2"/>
        <v>61</v>
      </c>
      <c r="B88" s="20"/>
      <c r="C88" s="223" t="s">
        <v>34</v>
      </c>
      <c r="D88" s="15" t="s">
        <v>379</v>
      </c>
      <c r="E88" s="15">
        <v>0</v>
      </c>
      <c r="F88" s="15"/>
      <c r="G88" s="289" t="str">
        <f>+G81</f>
        <v>TP</v>
      </c>
      <c r="H88" s="242">
        <f>+H81</f>
        <v>0.89107700000000001</v>
      </c>
      <c r="I88" s="15"/>
      <c r="J88" s="15">
        <f>+H88*E88</f>
        <v>0</v>
      </c>
      <c r="K88" s="15"/>
      <c r="L88" s="256"/>
      <c r="M88" s="228"/>
      <c r="N88" s="228"/>
      <c r="O88" s="228"/>
      <c r="P88" s="228"/>
      <c r="Q88" s="228"/>
      <c r="R88" s="228"/>
      <c r="S88" s="228"/>
      <c r="T88" s="228"/>
      <c r="U88" s="228"/>
      <c r="V88" s="228"/>
      <c r="W88" s="228"/>
      <c r="X88" s="228"/>
      <c r="Y88" s="228"/>
      <c r="Z88" s="228"/>
      <c r="AA88" s="228"/>
      <c r="AB88" s="228"/>
      <c r="AC88" s="228"/>
      <c r="AD88" s="228"/>
      <c r="AE88" s="228"/>
      <c r="AF88" s="228"/>
      <c r="AG88" s="228"/>
      <c r="AH88" s="228"/>
      <c r="AI88" s="228"/>
      <c r="AJ88" s="228"/>
      <c r="AK88" s="228"/>
      <c r="AL88" s="228"/>
      <c r="AM88" s="228"/>
      <c r="AN88" s="228"/>
    </row>
    <row r="89" spans="1:40" ht="16" thickBot="1">
      <c r="A89" s="75">
        <f t="shared" si="2"/>
        <v>62</v>
      </c>
      <c r="B89" s="20"/>
      <c r="C89" s="223" t="s">
        <v>157</v>
      </c>
      <c r="D89" s="15" t="str">
        <f>+D34</f>
        <v>356.1</v>
      </c>
      <c r="E89" s="311">
        <v>0</v>
      </c>
      <c r="F89" s="15"/>
      <c r="G89" s="15" t="s">
        <v>189</v>
      </c>
      <c r="H89" s="242">
        <f>+H34</f>
        <v>0</v>
      </c>
      <c r="I89" s="15"/>
      <c r="J89" s="21">
        <f t="shared" si="1"/>
        <v>0</v>
      </c>
      <c r="K89" s="15"/>
      <c r="L89" s="256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</row>
    <row r="90" spans="1:40">
      <c r="A90" s="75">
        <f t="shared" si="2"/>
        <v>63</v>
      </c>
      <c r="B90" s="20"/>
      <c r="C90" s="223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5"/>
      <c r="E90" s="15">
        <f>+E81-E82+E83-E84-E87+E89+E88+E85-E86</f>
        <v>24961250.760000002</v>
      </c>
      <c r="F90" s="15"/>
      <c r="G90" s="15"/>
      <c r="H90" s="15"/>
      <c r="I90" s="15"/>
      <c r="J90" s="15">
        <f>+J81-J82+J83-J84-J87+J89+J88+J85-J86</f>
        <v>4883516.4408978727</v>
      </c>
      <c r="K90" s="15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</row>
    <row r="91" spans="1:40">
      <c r="A91" s="75">
        <f t="shared" si="2"/>
        <v>64</v>
      </c>
      <c r="B91" s="20"/>
      <c r="C91" s="20"/>
      <c r="D91" s="15"/>
      <c r="E91" s="20"/>
      <c r="F91" s="15"/>
      <c r="G91" s="15"/>
      <c r="H91" s="15"/>
      <c r="I91" s="15"/>
      <c r="J91" s="20"/>
      <c r="K91" s="15"/>
      <c r="L91" s="228"/>
      <c r="M91" s="228"/>
      <c r="N91" s="228"/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</row>
    <row r="92" spans="1:40">
      <c r="A92" s="75">
        <f t="shared" si="2"/>
        <v>65</v>
      </c>
      <c r="B92" s="20"/>
      <c r="C92" s="223" t="s">
        <v>123</v>
      </c>
      <c r="D92" s="15"/>
      <c r="E92" s="15"/>
      <c r="F92" s="15"/>
      <c r="G92" s="15"/>
      <c r="H92" s="15"/>
      <c r="I92" s="15"/>
      <c r="J92" s="15"/>
      <c r="K92" s="15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</row>
    <row r="93" spans="1:40">
      <c r="A93" s="75">
        <f t="shared" si="2"/>
        <v>66</v>
      </c>
      <c r="B93" s="20"/>
      <c r="C93" s="223" t="str">
        <f>+C16</f>
        <v xml:space="preserve">  Transmission</v>
      </c>
      <c r="D93" s="15" t="s">
        <v>329</v>
      </c>
      <c r="E93" s="312">
        <v>3941332.7692763074</v>
      </c>
      <c r="F93" s="15"/>
      <c r="G93" s="15" t="s">
        <v>138</v>
      </c>
      <c r="H93" s="242">
        <f>+J144</f>
        <v>0.89107700000000001</v>
      </c>
      <c r="I93" s="15"/>
      <c r="J93" s="15">
        <f>+H93*E93</f>
        <v>3512030.9800484241</v>
      </c>
      <c r="K93" s="15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</row>
    <row r="94" spans="1:40">
      <c r="A94" s="75">
        <f t="shared" si="2"/>
        <v>67</v>
      </c>
      <c r="B94" s="20"/>
      <c r="C94" s="223" t="str">
        <f>+C17</f>
        <v xml:space="preserve">  New Construction CUS Assets</v>
      </c>
      <c r="D94" s="223" t="s">
        <v>366</v>
      </c>
      <c r="E94" s="312">
        <f>'BHP WP2 Capital Additions'!F22</f>
        <v>564634.56367199996</v>
      </c>
      <c r="F94" s="15"/>
      <c r="G94" s="15" t="s">
        <v>138</v>
      </c>
      <c r="H94" s="242">
        <f>H93</f>
        <v>0.89107700000000001</v>
      </c>
      <c r="I94" s="15"/>
      <c r="J94" s="15">
        <f>+H94*E94</f>
        <v>503132.87309315469</v>
      </c>
      <c r="K94" s="15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</row>
    <row r="95" spans="1:40">
      <c r="A95" s="75">
        <f t="shared" si="2"/>
        <v>68</v>
      </c>
      <c r="B95" s="20"/>
      <c r="C95" s="223" t="str">
        <f>+C18</f>
        <v xml:space="preserve">  New Construction CUS Assets</v>
      </c>
      <c r="D95" s="223" t="s">
        <v>367</v>
      </c>
      <c r="E95" s="312">
        <f>'BHP WP3 Capital Additions'!F27</f>
        <v>162401.98895533331</v>
      </c>
      <c r="F95" s="15"/>
      <c r="G95" s="15" t="s">
        <v>138</v>
      </c>
      <c r="H95" s="242">
        <f>H94</f>
        <v>0.89107700000000001</v>
      </c>
      <c r="I95" s="15"/>
      <c r="J95" s="15">
        <f>+H95*E95</f>
        <v>144712.67711235155</v>
      </c>
      <c r="K95" s="15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</row>
    <row r="96" spans="1:40">
      <c r="A96" s="75">
        <f t="shared" si="2"/>
        <v>69</v>
      </c>
      <c r="B96" s="20"/>
      <c r="C96" s="223" t="s">
        <v>233</v>
      </c>
      <c r="D96" s="15" t="s">
        <v>330</v>
      </c>
      <c r="E96" s="312">
        <v>3345749.7036805381</v>
      </c>
      <c r="F96" s="15"/>
      <c r="G96" s="15" t="s">
        <v>156</v>
      </c>
      <c r="H96" s="242">
        <f>H83</f>
        <v>0.12817542985934385</v>
      </c>
      <c r="I96" s="15"/>
      <c r="J96" s="15">
        <f>+H96*E96</f>
        <v>428842.90647102532</v>
      </c>
      <c r="K96" s="15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AM96" s="228"/>
      <c r="AN96" s="228"/>
    </row>
    <row r="97" spans="1:40" ht="16" thickBot="1">
      <c r="A97" s="75">
        <f t="shared" si="2"/>
        <v>70</v>
      </c>
      <c r="B97" s="20"/>
      <c r="C97" s="223" t="str">
        <f>+C89</f>
        <v xml:space="preserve">  Common</v>
      </c>
      <c r="D97" s="15" t="s">
        <v>90</v>
      </c>
      <c r="E97" s="312">
        <v>0</v>
      </c>
      <c r="F97" s="15"/>
      <c r="G97" s="15" t="s">
        <v>189</v>
      </c>
      <c r="H97" s="242">
        <f>+H89</f>
        <v>0</v>
      </c>
      <c r="I97" s="15"/>
      <c r="J97" s="21">
        <f>+H97*E97</f>
        <v>0</v>
      </c>
      <c r="K97" s="15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</row>
    <row r="98" spans="1:40">
      <c r="A98" s="75">
        <f t="shared" si="2"/>
        <v>71</v>
      </c>
      <c r="B98" s="20"/>
      <c r="C98" s="223" t="str">
        <f>"TOTAL DEPRECIATION (Sum lines "&amp;A93&amp;" - "&amp;A97&amp;")"</f>
        <v>TOTAL DEPRECIATION (Sum lines 66 - 70)</v>
      </c>
      <c r="D98" s="15"/>
      <c r="E98" s="327">
        <f>SUM(E93:E97)</f>
        <v>8014119.025584178</v>
      </c>
      <c r="F98" s="15"/>
      <c r="G98" s="15"/>
      <c r="H98" s="15"/>
      <c r="I98" s="15"/>
      <c r="J98" s="15">
        <f>SUM(J93:J97)</f>
        <v>4588719.4367249561</v>
      </c>
      <c r="K98" s="15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228"/>
      <c r="AJ98" s="228"/>
      <c r="AK98" s="228"/>
      <c r="AL98" s="228"/>
      <c r="AM98" s="228"/>
      <c r="AN98" s="228"/>
    </row>
    <row r="99" spans="1:40">
      <c r="A99" s="75">
        <f t="shared" si="2"/>
        <v>72</v>
      </c>
      <c r="B99" s="20"/>
      <c r="C99" s="223"/>
      <c r="D99" s="15"/>
      <c r="E99" s="85"/>
      <c r="F99" s="15"/>
      <c r="G99" s="15"/>
      <c r="H99" s="15"/>
      <c r="I99" s="15"/>
      <c r="J99" s="15"/>
      <c r="K99" s="15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  <c r="AN99" s="228"/>
    </row>
    <row r="100" spans="1:40">
      <c r="A100" s="75">
        <f t="shared" si="2"/>
        <v>73</v>
      </c>
      <c r="B100" s="20"/>
      <c r="C100" s="223" t="s">
        <v>55</v>
      </c>
      <c r="D100" s="20"/>
      <c r="E100" s="15"/>
      <c r="F100" s="15"/>
      <c r="G100" s="15"/>
      <c r="H100" s="15"/>
      <c r="I100" s="15"/>
      <c r="J100" s="15"/>
      <c r="K100" s="15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</row>
    <row r="101" spans="1:40">
      <c r="A101" s="75">
        <f t="shared" si="2"/>
        <v>74</v>
      </c>
      <c r="B101" s="20"/>
      <c r="C101" s="223" t="s">
        <v>173</v>
      </c>
      <c r="D101" s="20"/>
      <c r="E101" s="290"/>
      <c r="F101" s="15"/>
      <c r="G101" s="15"/>
      <c r="H101" s="20"/>
      <c r="I101" s="15"/>
      <c r="J101" s="20"/>
      <c r="K101" s="15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8"/>
      <c r="AL101" s="228"/>
      <c r="AM101" s="228"/>
      <c r="AN101" s="228"/>
    </row>
    <row r="102" spans="1:40">
      <c r="A102" s="75">
        <f t="shared" si="2"/>
        <v>75</v>
      </c>
      <c r="B102" s="20"/>
      <c r="C102" s="223" t="s">
        <v>174</v>
      </c>
      <c r="D102" s="15" t="s">
        <v>331</v>
      </c>
      <c r="E102" s="312">
        <v>31712</v>
      </c>
      <c r="F102" s="15"/>
      <c r="G102" s="15" t="s">
        <v>156</v>
      </c>
      <c r="H102" s="257">
        <f>+J176</f>
        <v>0.12817542985934385</v>
      </c>
      <c r="I102" s="15"/>
      <c r="J102" s="15">
        <f>+H102*E102</f>
        <v>4064.6992316995124</v>
      </c>
      <c r="K102" s="15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228"/>
      <c r="AJ102" s="228"/>
      <c r="AK102" s="228"/>
      <c r="AL102" s="228"/>
      <c r="AM102" s="228"/>
      <c r="AN102" s="228"/>
    </row>
    <row r="103" spans="1:40">
      <c r="A103" s="75">
        <f t="shared" si="2"/>
        <v>76</v>
      </c>
      <c r="B103" s="20"/>
      <c r="C103" s="223" t="s">
        <v>175</v>
      </c>
      <c r="D103" s="15" t="s">
        <v>41</v>
      </c>
      <c r="E103" s="310">
        <v>0</v>
      </c>
      <c r="F103" s="15"/>
      <c r="G103" s="15" t="str">
        <f>+G102</f>
        <v>W/S</v>
      </c>
      <c r="H103" s="257">
        <f>+H102</f>
        <v>0.12817542985934385</v>
      </c>
      <c r="I103" s="15"/>
      <c r="J103" s="15">
        <f>+H103*E103</f>
        <v>0</v>
      </c>
      <c r="K103" s="15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8"/>
      <c r="AL103" s="228"/>
      <c r="AM103" s="228"/>
      <c r="AN103" s="228"/>
    </row>
    <row r="104" spans="1:40">
      <c r="A104" s="75">
        <f t="shared" si="2"/>
        <v>77</v>
      </c>
      <c r="B104" s="20"/>
      <c r="C104" s="223" t="s">
        <v>176</v>
      </c>
      <c r="D104" s="15" t="s">
        <v>133</v>
      </c>
      <c r="E104" s="15"/>
      <c r="F104" s="15"/>
      <c r="G104" s="15"/>
      <c r="H104" s="20"/>
      <c r="I104" s="15"/>
      <c r="J104" s="20"/>
      <c r="K104" s="15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8"/>
      <c r="AL104" s="228"/>
      <c r="AM104" s="228"/>
      <c r="AN104" s="228"/>
    </row>
    <row r="105" spans="1:40">
      <c r="A105" s="75">
        <f t="shared" si="2"/>
        <v>78</v>
      </c>
      <c r="B105" s="20"/>
      <c r="C105" s="223" t="s">
        <v>177</v>
      </c>
      <c r="D105" s="15" t="s">
        <v>332</v>
      </c>
      <c r="E105" s="312">
        <v>7043598</v>
      </c>
      <c r="F105" s="15"/>
      <c r="G105" s="15" t="s">
        <v>169</v>
      </c>
      <c r="H105" s="257">
        <f>+H24</f>
        <v>0.16176886398777601</v>
      </c>
      <c r="I105" s="15"/>
      <c r="J105" s="15">
        <f>+H105*E105</f>
        <v>1139434.8468465712</v>
      </c>
      <c r="K105" s="15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8"/>
      <c r="AL105" s="228"/>
      <c r="AM105" s="228"/>
      <c r="AN105" s="228"/>
    </row>
    <row r="106" spans="1:40">
      <c r="A106" s="75">
        <f t="shared" si="2"/>
        <v>79</v>
      </c>
      <c r="B106" s="20"/>
      <c r="C106" s="223" t="s">
        <v>178</v>
      </c>
      <c r="D106" s="15" t="s">
        <v>41</v>
      </c>
      <c r="E106" s="310">
        <v>0</v>
      </c>
      <c r="F106" s="15"/>
      <c r="G106" s="15" t="str">
        <f>+G50</f>
        <v>NA</v>
      </c>
      <c r="H106" s="258" t="s">
        <v>228</v>
      </c>
      <c r="I106" s="15"/>
      <c r="J106" s="15">
        <v>0</v>
      </c>
      <c r="K106" s="15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</row>
    <row r="107" spans="1:40" ht="16" thickBot="1">
      <c r="A107" s="75">
        <f t="shared" si="2"/>
        <v>80</v>
      </c>
      <c r="B107" s="20"/>
      <c r="C107" s="223" t="s">
        <v>179</v>
      </c>
      <c r="D107" s="15" t="str">
        <f>+D106</f>
        <v>263.i</v>
      </c>
      <c r="E107" s="311">
        <v>0</v>
      </c>
      <c r="F107" s="15"/>
      <c r="G107" s="15" t="str">
        <f>+G105</f>
        <v>GP</v>
      </c>
      <c r="H107" s="257">
        <f>+H105</f>
        <v>0.16176886398777601</v>
      </c>
      <c r="I107" s="15"/>
      <c r="J107" s="21">
        <f>+H107*E107</f>
        <v>0</v>
      </c>
      <c r="K107" s="15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</row>
    <row r="108" spans="1:40">
      <c r="A108" s="75">
        <f t="shared" si="2"/>
        <v>81</v>
      </c>
      <c r="B108" s="20"/>
      <c r="C108" s="223" t="str">
        <f>"TOTAL OTHER TAXES  (sum lines "&amp;A102&amp;" - "&amp;A107&amp;")"</f>
        <v>TOTAL OTHER TAXES  (sum lines 75 - 80)</v>
      </c>
      <c r="D108" s="15"/>
      <c r="E108" s="15">
        <f>SUM(E102:E107)</f>
        <v>7075310</v>
      </c>
      <c r="F108" s="15"/>
      <c r="G108" s="15"/>
      <c r="H108" s="257"/>
      <c r="I108" s="15"/>
      <c r="J108" s="15">
        <f>SUM(J102:J107)</f>
        <v>1143499.5460782708</v>
      </c>
      <c r="K108" s="15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</row>
    <row r="109" spans="1:40">
      <c r="A109" s="75">
        <f t="shared" si="2"/>
        <v>82</v>
      </c>
      <c r="B109" s="20"/>
      <c r="C109" s="223"/>
      <c r="D109" s="15"/>
      <c r="E109" s="15"/>
      <c r="F109" s="15"/>
      <c r="G109" s="15"/>
      <c r="H109" s="257"/>
      <c r="I109" s="15"/>
      <c r="J109" s="15"/>
      <c r="K109" s="15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</row>
    <row r="110" spans="1:40">
      <c r="A110" s="75">
        <f t="shared" si="2"/>
        <v>83</v>
      </c>
      <c r="B110" s="20"/>
      <c r="C110" s="223"/>
      <c r="D110" s="15"/>
      <c r="E110" s="15"/>
      <c r="F110" s="15"/>
      <c r="G110" s="15"/>
      <c r="H110" s="257"/>
      <c r="I110" s="15"/>
      <c r="J110" s="15"/>
      <c r="K110" s="15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</row>
    <row r="111" spans="1:40">
      <c r="A111" s="75">
        <f t="shared" si="2"/>
        <v>84</v>
      </c>
      <c r="B111" s="20"/>
      <c r="C111" s="223" t="s">
        <v>180</v>
      </c>
      <c r="D111" s="15" t="s">
        <v>54</v>
      </c>
      <c r="E111" s="15"/>
      <c r="F111" s="15"/>
      <c r="G111" s="20"/>
      <c r="H111" s="259"/>
      <c r="I111" s="15"/>
      <c r="J111" s="20"/>
      <c r="K111" s="15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</row>
    <row r="112" spans="1:40">
      <c r="A112" s="75">
        <f t="shared" si="2"/>
        <v>85</v>
      </c>
      <c r="B112" s="20"/>
      <c r="C112" s="260" t="s">
        <v>224</v>
      </c>
      <c r="D112" s="15"/>
      <c r="E112" s="291">
        <f>IF(E230&gt;0,1-(((1-E231)*(1-E230))/(1-E231*E230*E232)),0)</f>
        <v>0.20999999999999996</v>
      </c>
      <c r="F112" s="15"/>
      <c r="G112" s="20"/>
      <c r="H112" s="259"/>
      <c r="I112" s="15"/>
      <c r="J112" s="20"/>
      <c r="K112" s="15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</row>
    <row r="113" spans="1:40">
      <c r="A113" s="75">
        <f t="shared" si="2"/>
        <v>86</v>
      </c>
      <c r="B113" s="20"/>
      <c r="C113" s="20" t="s">
        <v>225</v>
      </c>
      <c r="D113" s="15"/>
      <c r="E113" s="291">
        <f>IF(J199&gt;0,(E112/(1-E112))*(1-J196/J199),0)</f>
        <v>0.18690379068709864</v>
      </c>
      <c r="F113" s="15"/>
      <c r="G113" s="20"/>
      <c r="H113" s="259"/>
      <c r="I113" s="15"/>
      <c r="J113" s="20"/>
      <c r="K113" s="15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</row>
    <row r="114" spans="1:40">
      <c r="A114" s="75">
        <f t="shared" si="2"/>
        <v>87</v>
      </c>
      <c r="B114" s="20"/>
      <c r="C114" s="223" t="str">
        <f>"       where WCLTD=(line "&amp;A196&amp;") and R= (line "&amp;A199&amp;")"</f>
        <v xml:space="preserve">       where WCLTD=(line 156) and R= (line 159)</v>
      </c>
      <c r="D114" s="15"/>
      <c r="E114" s="15"/>
      <c r="F114" s="15"/>
      <c r="G114" s="20"/>
      <c r="H114" s="259"/>
      <c r="I114" s="15"/>
      <c r="J114" s="20"/>
      <c r="K114" s="15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228"/>
      <c r="AJ114" s="228"/>
      <c r="AK114" s="228"/>
      <c r="AL114" s="228"/>
      <c r="AM114" s="228"/>
      <c r="AN114" s="228"/>
    </row>
    <row r="115" spans="1:40">
      <c r="A115" s="75">
        <f t="shared" si="2"/>
        <v>88</v>
      </c>
      <c r="B115" s="20"/>
      <c r="C115" s="223" t="s">
        <v>56</v>
      </c>
      <c r="D115" s="15"/>
      <c r="E115" s="15"/>
      <c r="F115" s="15"/>
      <c r="G115" s="20"/>
      <c r="H115" s="259"/>
      <c r="I115" s="15"/>
      <c r="J115" s="20"/>
      <c r="K115" s="15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228"/>
      <c r="AJ115" s="228"/>
      <c r="AK115" s="228"/>
      <c r="AL115" s="228"/>
      <c r="AM115" s="228"/>
      <c r="AN115" s="228"/>
    </row>
    <row r="116" spans="1:40">
      <c r="A116" s="75">
        <f t="shared" si="2"/>
        <v>89</v>
      </c>
      <c r="B116" s="20"/>
      <c r="C116" s="260"/>
      <c r="D116" s="15"/>
      <c r="E116" s="261"/>
      <c r="F116" s="15"/>
      <c r="G116" s="20"/>
      <c r="H116" s="259"/>
      <c r="I116" s="15"/>
      <c r="J116" s="20"/>
      <c r="K116" s="15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228"/>
      <c r="AJ116" s="228"/>
      <c r="AK116" s="228"/>
      <c r="AL116" s="228"/>
      <c r="AM116" s="228"/>
      <c r="AN116" s="228"/>
    </row>
    <row r="117" spans="1:40">
      <c r="A117" s="75">
        <f t="shared" si="2"/>
        <v>90</v>
      </c>
      <c r="B117" s="20"/>
      <c r="C117" s="292" t="s">
        <v>214</v>
      </c>
      <c r="D117" s="20" t="str">
        <f>"(line "&amp;A113&amp;" * line "&amp;A120&amp;")"</f>
        <v>(line 86 * line 93)</v>
      </c>
      <c r="E117" s="174"/>
      <c r="F117" s="15"/>
      <c r="G117" s="15" t="s">
        <v>133</v>
      </c>
      <c r="H117" s="257" t="s">
        <v>133</v>
      </c>
      <c r="I117" s="15"/>
      <c r="J117" s="15">
        <f>E113*J120</f>
        <v>1984300.9130936721</v>
      </c>
      <c r="K117" s="15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228"/>
      <c r="AJ117" s="228"/>
      <c r="AK117" s="228"/>
      <c r="AL117" s="228"/>
      <c r="AM117" s="228"/>
      <c r="AN117" s="228"/>
    </row>
    <row r="118" spans="1:40">
      <c r="A118" s="75">
        <f t="shared" si="2"/>
        <v>91</v>
      </c>
      <c r="B118" s="20"/>
      <c r="C118" s="262"/>
      <c r="D118" s="263"/>
      <c r="E118" s="15"/>
      <c r="F118" s="15"/>
      <c r="G118" s="15"/>
      <c r="H118" s="257"/>
      <c r="I118" s="15"/>
      <c r="J118" s="15"/>
      <c r="K118" s="15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228"/>
      <c r="AJ118" s="228"/>
      <c r="AK118" s="228"/>
      <c r="AL118" s="228"/>
      <c r="AM118" s="228"/>
      <c r="AN118" s="228"/>
    </row>
    <row r="119" spans="1:40">
      <c r="A119" s="75">
        <f t="shared" si="2"/>
        <v>92</v>
      </c>
      <c r="B119" s="20"/>
      <c r="C119" s="223" t="s">
        <v>181</v>
      </c>
      <c r="D119" s="244"/>
      <c r="E119" s="15"/>
      <c r="F119" s="15"/>
      <c r="K119" s="15"/>
      <c r="L119" s="228"/>
      <c r="M119" s="228"/>
      <c r="N119" s="228"/>
      <c r="O119" s="228"/>
      <c r="P119" s="228"/>
      <c r="Q119" s="228"/>
      <c r="R119" s="228"/>
      <c r="S119" s="228"/>
      <c r="T119" s="228"/>
      <c r="U119" s="228"/>
      <c r="V119" s="228"/>
      <c r="W119" s="228"/>
      <c r="X119" s="228"/>
      <c r="Y119" s="228"/>
      <c r="Z119" s="228"/>
      <c r="AA119" s="228"/>
      <c r="AB119" s="228"/>
      <c r="AC119" s="228"/>
      <c r="AD119" s="228"/>
      <c r="AE119" s="228"/>
      <c r="AF119" s="228"/>
      <c r="AG119" s="228"/>
      <c r="AH119" s="228"/>
      <c r="AI119" s="228"/>
      <c r="AJ119" s="228"/>
      <c r="AK119" s="228"/>
      <c r="AL119" s="228"/>
      <c r="AM119" s="228"/>
      <c r="AN119" s="228"/>
    </row>
    <row r="120" spans="1:40" ht="17.25" customHeight="1">
      <c r="A120" s="75">
        <f t="shared" si="2"/>
        <v>93</v>
      </c>
      <c r="B120" s="20"/>
      <c r="C120" s="292" t="str">
        <f>"  [ Rate Base (line "&amp;A67&amp;") * R (line "&amp;A199&amp;")]"</f>
        <v xml:space="preserve">  [ Rate Base (line 53) * R (line 159)]</v>
      </c>
      <c r="D120" s="20"/>
      <c r="E120" s="15"/>
      <c r="F120" s="15"/>
      <c r="G120" s="15" t="s">
        <v>57</v>
      </c>
      <c r="H120" s="259"/>
      <c r="I120" s="15"/>
      <c r="J120" s="15">
        <f>+$J199*J67</f>
        <v>10616696.995812412</v>
      </c>
      <c r="K120" s="15"/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  <c r="V120" s="228"/>
      <c r="W120" s="228"/>
      <c r="X120" s="228"/>
      <c r="Y120" s="228"/>
      <c r="Z120" s="228"/>
      <c r="AA120" s="228"/>
      <c r="AB120" s="228"/>
      <c r="AC120" s="228"/>
      <c r="AD120" s="228"/>
      <c r="AE120" s="228"/>
      <c r="AF120" s="228"/>
      <c r="AG120" s="228"/>
      <c r="AH120" s="228"/>
      <c r="AI120" s="228"/>
      <c r="AJ120" s="228"/>
      <c r="AK120" s="228"/>
      <c r="AL120" s="228"/>
      <c r="AM120" s="228"/>
      <c r="AN120" s="228"/>
    </row>
    <row r="121" spans="1:40">
      <c r="A121" s="75">
        <f t="shared" si="2"/>
        <v>94</v>
      </c>
      <c r="B121" s="20"/>
      <c r="C121" s="223"/>
      <c r="D121" s="20"/>
      <c r="E121" s="249"/>
      <c r="F121" s="15"/>
      <c r="G121" s="15"/>
      <c r="H121" s="259"/>
      <c r="I121" s="15"/>
      <c r="J121" s="249"/>
      <c r="K121" s="15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228"/>
      <c r="AJ121" s="228"/>
      <c r="AK121" s="228"/>
      <c r="AL121" s="228"/>
      <c r="AM121" s="228"/>
      <c r="AN121" s="228"/>
    </row>
    <row r="122" spans="1:40" ht="16" thickBot="1">
      <c r="A122" s="75">
        <f t="shared" si="2"/>
        <v>95</v>
      </c>
      <c r="B122" s="20"/>
      <c r="C122" s="223" t="str">
        <f>"ESTIMATED REVENUE REQUIREMENT  (sum lines "&amp;A90&amp;", "&amp;A98&amp;", "&amp;A108&amp;", "&amp;A117&amp;", "&amp;A120&amp;")"</f>
        <v>ESTIMATED REVENUE REQUIREMENT  (sum lines 63, 71, 81, 90, 93)</v>
      </c>
      <c r="D122" s="15"/>
      <c r="E122" s="293">
        <f>E117+E108+E98+E90</f>
        <v>40050679.785584182</v>
      </c>
      <c r="F122" s="15"/>
      <c r="G122" s="15"/>
      <c r="H122" s="15"/>
      <c r="I122" s="15"/>
      <c r="J122" s="294">
        <f>J117+J108+J98+J90+J120</f>
        <v>23216733.332607184</v>
      </c>
      <c r="K122" s="164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228"/>
      <c r="AJ122" s="228"/>
      <c r="AK122" s="228"/>
      <c r="AL122" s="228"/>
      <c r="AM122" s="228"/>
      <c r="AN122" s="228"/>
    </row>
    <row r="123" spans="1:40" ht="16" thickTop="1">
      <c r="A123" s="75"/>
      <c r="B123" s="20"/>
      <c r="C123" s="20"/>
      <c r="D123" s="20"/>
      <c r="E123" s="20"/>
      <c r="F123" s="20"/>
      <c r="G123" s="20"/>
      <c r="H123" s="20"/>
      <c r="I123" s="20"/>
      <c r="J123" s="20"/>
      <c r="K123" s="15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228"/>
      <c r="AJ123" s="228"/>
      <c r="AK123" s="228"/>
      <c r="AL123" s="228"/>
      <c r="AM123" s="228"/>
      <c r="AN123" s="228"/>
    </row>
    <row r="124" spans="1:40">
      <c r="A124" s="75"/>
      <c r="B124" s="20"/>
      <c r="C124" s="20"/>
      <c r="D124" s="20"/>
      <c r="E124" s="20"/>
      <c r="F124" s="20"/>
      <c r="G124" s="20"/>
      <c r="H124" s="20"/>
      <c r="I124" s="227" t="s">
        <v>325</v>
      </c>
      <c r="J124" s="264">
        <f>J1</f>
        <v>43373</v>
      </c>
      <c r="K124" s="15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  <c r="AK124" s="228"/>
      <c r="AL124" s="228"/>
      <c r="AM124" s="228"/>
      <c r="AN124" s="228"/>
    </row>
    <row r="125" spans="1:40">
      <c r="A125" s="75"/>
      <c r="B125" s="20"/>
      <c r="C125" s="20"/>
      <c r="D125" s="20"/>
      <c r="E125" s="20"/>
      <c r="F125" s="20"/>
      <c r="G125" s="20"/>
      <c r="I125" s="227" t="str">
        <f>$I$2</f>
        <v>Service Year</v>
      </c>
      <c r="J125" s="164">
        <f>$J$2</f>
        <v>2019</v>
      </c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228"/>
      <c r="AJ125" s="228"/>
      <c r="AK125" s="228"/>
      <c r="AL125" s="228"/>
      <c r="AM125" s="228"/>
      <c r="AN125" s="228"/>
    </row>
    <row r="126" spans="1:40">
      <c r="A126" s="333" t="s">
        <v>239</v>
      </c>
      <c r="B126" s="333"/>
      <c r="C126" s="333"/>
      <c r="D126" s="333"/>
      <c r="E126" s="333"/>
      <c r="F126" s="333"/>
      <c r="G126" s="333"/>
      <c r="H126" s="333"/>
      <c r="I126" s="333"/>
      <c r="J126" s="333"/>
      <c r="K126" s="333"/>
      <c r="L126" s="228"/>
      <c r="M126" s="228"/>
      <c r="N126" s="228"/>
      <c r="O126" s="228"/>
      <c r="P126" s="228"/>
      <c r="Q126" s="228"/>
      <c r="R126" s="228"/>
      <c r="S126" s="228"/>
      <c r="T126" s="228"/>
      <c r="U126" s="228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228"/>
      <c r="AJ126" s="228"/>
      <c r="AK126" s="228"/>
      <c r="AL126" s="228"/>
      <c r="AM126" s="228"/>
      <c r="AN126" s="228"/>
    </row>
    <row r="127" spans="1:40">
      <c r="A127" s="334" t="s">
        <v>134</v>
      </c>
      <c r="B127" s="334"/>
      <c r="C127" s="334"/>
      <c r="D127" s="334"/>
      <c r="E127" s="334"/>
      <c r="F127" s="334"/>
      <c r="G127" s="334"/>
      <c r="H127" s="334"/>
      <c r="I127" s="334"/>
      <c r="J127" s="334"/>
      <c r="K127" s="334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228"/>
      <c r="AJ127" s="228"/>
      <c r="AK127" s="228"/>
      <c r="AL127" s="228"/>
      <c r="AM127" s="228"/>
      <c r="AN127" s="228"/>
    </row>
    <row r="128" spans="1:40">
      <c r="A128" s="20"/>
      <c r="B128" s="20"/>
      <c r="C128" s="164"/>
      <c r="D128" s="164"/>
      <c r="F128" s="164"/>
      <c r="G128" s="164"/>
      <c r="H128" s="164"/>
      <c r="I128" s="164"/>
      <c r="J128" s="164"/>
      <c r="K128" s="164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228"/>
      <c r="AJ128" s="228"/>
      <c r="AK128" s="228"/>
      <c r="AL128" s="228"/>
      <c r="AM128" s="228"/>
      <c r="AN128" s="228"/>
    </row>
    <row r="129" spans="1:40">
      <c r="A129" s="332" t="s">
        <v>238</v>
      </c>
      <c r="B129" s="332"/>
      <c r="C129" s="332"/>
      <c r="D129" s="332"/>
      <c r="E129" s="332"/>
      <c r="F129" s="332"/>
      <c r="G129" s="332"/>
      <c r="H129" s="332"/>
      <c r="I129" s="332"/>
      <c r="J129" s="332"/>
      <c r="K129" s="332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228"/>
      <c r="Z129" s="228"/>
      <c r="AA129" s="228"/>
      <c r="AB129" s="228"/>
      <c r="AC129" s="228"/>
      <c r="AD129" s="228"/>
      <c r="AE129" s="228"/>
      <c r="AF129" s="228"/>
      <c r="AG129" s="228"/>
      <c r="AH129" s="228"/>
      <c r="AI129" s="228"/>
      <c r="AJ129" s="228"/>
      <c r="AK129" s="228"/>
      <c r="AL129" s="228"/>
      <c r="AM129" s="228"/>
      <c r="AN129" s="228"/>
    </row>
    <row r="130" spans="1:40">
      <c r="A130" s="75"/>
      <c r="B130" s="20"/>
      <c r="C130" s="20"/>
      <c r="D130" s="223"/>
      <c r="E130" s="223"/>
      <c r="F130" s="223"/>
      <c r="G130" s="223"/>
      <c r="H130" s="223"/>
      <c r="I130" s="223"/>
      <c r="J130" s="223"/>
      <c r="K130" s="223"/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8"/>
      <c r="Z130" s="228"/>
      <c r="AA130" s="228"/>
      <c r="AB130" s="228"/>
      <c r="AC130" s="228"/>
      <c r="AD130" s="228"/>
      <c r="AE130" s="228"/>
      <c r="AF130" s="228"/>
      <c r="AG130" s="228"/>
      <c r="AH130" s="228"/>
      <c r="AI130" s="228"/>
      <c r="AJ130" s="228"/>
      <c r="AK130" s="228"/>
      <c r="AL130" s="228"/>
      <c r="AM130" s="228"/>
      <c r="AN130" s="228"/>
    </row>
    <row r="131" spans="1:40">
      <c r="A131" s="335" t="s">
        <v>3</v>
      </c>
      <c r="B131" s="335"/>
      <c r="C131" s="335"/>
      <c r="D131" s="335"/>
      <c r="E131" s="335"/>
      <c r="F131" s="335"/>
      <c r="G131" s="335"/>
      <c r="H131" s="335"/>
      <c r="I131" s="335"/>
      <c r="J131" s="335"/>
      <c r="K131" s="335"/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8"/>
      <c r="Z131" s="228"/>
      <c r="AA131" s="228"/>
      <c r="AB131" s="228"/>
      <c r="AC131" s="228"/>
      <c r="AD131" s="228"/>
      <c r="AE131" s="228"/>
      <c r="AF131" s="228"/>
      <c r="AG131" s="228"/>
      <c r="AH131" s="228"/>
      <c r="AI131" s="228"/>
      <c r="AJ131" s="228"/>
      <c r="AK131" s="228"/>
      <c r="AL131" s="228"/>
      <c r="AM131" s="228"/>
      <c r="AN131" s="228"/>
    </row>
    <row r="132" spans="1:40">
      <c r="A132" s="75"/>
      <c r="B132" s="20"/>
      <c r="C132" s="241"/>
      <c r="D132" s="164"/>
      <c r="E132" s="164"/>
      <c r="F132" s="164"/>
      <c r="G132" s="164"/>
      <c r="H132" s="164"/>
      <c r="I132" s="164"/>
      <c r="J132" s="164"/>
      <c r="K132" s="15"/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228"/>
      <c r="Z132" s="228"/>
      <c r="AA132" s="228"/>
      <c r="AB132" s="228"/>
      <c r="AC132" s="228"/>
      <c r="AD132" s="228"/>
      <c r="AE132" s="228"/>
      <c r="AF132" s="228"/>
      <c r="AG132" s="228"/>
      <c r="AH132" s="228"/>
      <c r="AI132" s="228"/>
      <c r="AJ132" s="228"/>
      <c r="AK132" s="228"/>
      <c r="AL132" s="228"/>
      <c r="AM132" s="228"/>
      <c r="AN132" s="228"/>
    </row>
    <row r="133" spans="1:40">
      <c r="A133" s="75" t="s">
        <v>135</v>
      </c>
      <c r="B133" s="20"/>
      <c r="C133" s="241"/>
      <c r="D133" s="164"/>
      <c r="E133" s="164"/>
      <c r="F133" s="164"/>
      <c r="G133" s="164"/>
      <c r="H133" s="164"/>
      <c r="I133" s="164"/>
      <c r="J133" s="164"/>
      <c r="K133" s="15"/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  <c r="V133" s="228"/>
      <c r="W133" s="228"/>
      <c r="X133" s="228"/>
      <c r="Y133" s="228"/>
      <c r="Z133" s="228"/>
      <c r="AA133" s="228"/>
      <c r="AB133" s="228"/>
      <c r="AC133" s="228"/>
      <c r="AD133" s="228"/>
      <c r="AE133" s="228"/>
      <c r="AF133" s="228"/>
      <c r="AG133" s="228"/>
      <c r="AH133" s="228"/>
      <c r="AI133" s="228"/>
      <c r="AJ133" s="228"/>
      <c r="AK133" s="228"/>
      <c r="AL133" s="228"/>
      <c r="AM133" s="228"/>
      <c r="AN133" s="228"/>
    </row>
    <row r="134" spans="1:40" ht="16" thickBot="1">
      <c r="A134" s="240" t="s">
        <v>136</v>
      </c>
      <c r="B134" s="20"/>
      <c r="C134" s="224" t="s">
        <v>81</v>
      </c>
      <c r="D134" s="164"/>
      <c r="E134" s="164"/>
      <c r="F134" s="164"/>
      <c r="G134" s="164"/>
      <c r="H134" s="164"/>
      <c r="I134" s="20"/>
      <c r="J134" s="20"/>
      <c r="K134" s="15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228"/>
      <c r="AJ134" s="228"/>
      <c r="AK134" s="228"/>
      <c r="AL134" s="228"/>
      <c r="AM134" s="228"/>
      <c r="AN134" s="228"/>
    </row>
    <row r="135" spans="1:40" ht="16" thickBot="1">
      <c r="A135" s="75"/>
      <c r="B135" s="20"/>
      <c r="C135" s="224"/>
      <c r="D135" s="164"/>
      <c r="E135" s="21" t="s">
        <v>0</v>
      </c>
      <c r="F135" s="164"/>
      <c r="G135" s="164"/>
      <c r="H135" s="164"/>
      <c r="I135" s="164"/>
      <c r="J135" s="164"/>
      <c r="K135" s="15"/>
      <c r="L135" s="228"/>
      <c r="M135" s="228"/>
      <c r="N135" s="228"/>
      <c r="O135" s="228"/>
      <c r="P135" s="228"/>
      <c r="Q135" s="228"/>
      <c r="R135" s="228"/>
      <c r="S135" s="228"/>
      <c r="T135" s="228"/>
      <c r="U135" s="228"/>
      <c r="V135" s="228"/>
      <c r="W135" s="228"/>
      <c r="X135" s="228"/>
      <c r="Y135" s="228"/>
      <c r="Z135" s="228"/>
      <c r="AA135" s="228"/>
      <c r="AB135" s="228"/>
      <c r="AC135" s="228"/>
      <c r="AD135" s="228"/>
      <c r="AE135" s="228"/>
      <c r="AF135" s="228"/>
      <c r="AG135" s="228"/>
      <c r="AH135" s="228"/>
      <c r="AI135" s="228"/>
      <c r="AJ135" s="228"/>
      <c r="AK135" s="228"/>
      <c r="AL135" s="228"/>
      <c r="AM135" s="228"/>
      <c r="AN135" s="228"/>
    </row>
    <row r="136" spans="1:40" ht="16.5" customHeight="1">
      <c r="A136" s="75">
        <f>+A122+1</f>
        <v>96</v>
      </c>
      <c r="B136" s="20"/>
      <c r="C136" s="19" t="s">
        <v>71</v>
      </c>
      <c r="D136" s="164"/>
      <c r="E136" s="15" t="s">
        <v>380</v>
      </c>
      <c r="F136" s="15"/>
      <c r="G136" s="15"/>
      <c r="H136" s="15"/>
      <c r="I136" s="15"/>
      <c r="J136" s="15">
        <f>E16+E17+E18</f>
        <v>216065012.44083333</v>
      </c>
      <c r="K136" s="15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8"/>
      <c r="AA136" s="228"/>
      <c r="AB136" s="228"/>
      <c r="AC136" s="228"/>
      <c r="AD136" s="228"/>
      <c r="AE136" s="228"/>
      <c r="AF136" s="228"/>
      <c r="AG136" s="228"/>
      <c r="AH136" s="228"/>
      <c r="AI136" s="228"/>
      <c r="AJ136" s="228"/>
      <c r="AK136" s="228"/>
      <c r="AL136" s="228"/>
      <c r="AM136" s="228"/>
      <c r="AN136" s="228"/>
    </row>
    <row r="137" spans="1:40">
      <c r="A137" s="75">
        <f>+A136+1</f>
        <v>97</v>
      </c>
      <c r="B137" s="20"/>
      <c r="C137" s="19" t="s">
        <v>52</v>
      </c>
      <c r="D137" s="20"/>
      <c r="E137" s="20" t="s">
        <v>120</v>
      </c>
      <c r="F137" s="20"/>
      <c r="G137" s="20"/>
      <c r="H137" s="20"/>
      <c r="I137" s="20"/>
      <c r="J137" s="329">
        <v>24620434.659539968</v>
      </c>
      <c r="K137" s="15"/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  <c r="V137" s="228"/>
      <c r="W137" s="228"/>
      <c r="X137" s="228"/>
      <c r="Y137" s="228"/>
      <c r="Z137" s="228"/>
      <c r="AA137" s="228"/>
      <c r="AB137" s="228"/>
      <c r="AC137" s="228"/>
      <c r="AD137" s="228"/>
      <c r="AE137" s="228"/>
      <c r="AF137" s="228"/>
      <c r="AG137" s="228"/>
      <c r="AH137" s="228"/>
      <c r="AI137" s="228"/>
      <c r="AJ137" s="228"/>
      <c r="AK137" s="228"/>
      <c r="AL137" s="228"/>
      <c r="AM137" s="228"/>
      <c r="AN137" s="228"/>
    </row>
    <row r="138" spans="1:40" ht="16" thickBot="1">
      <c r="A138" s="75">
        <f t="shared" ref="A138:A199" si="3">+A137+1</f>
        <v>98</v>
      </c>
      <c r="B138" s="20"/>
      <c r="C138" s="295" t="s">
        <v>53</v>
      </c>
      <c r="D138" s="265"/>
      <c r="E138" s="21" t="s">
        <v>120</v>
      </c>
      <c r="F138" s="15"/>
      <c r="G138" s="15"/>
      <c r="H138" s="266"/>
      <c r="I138" s="15"/>
      <c r="J138" s="21">
        <v>0</v>
      </c>
      <c r="K138" s="15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228"/>
      <c r="AJ138" s="228"/>
      <c r="AK138" s="228"/>
      <c r="AL138" s="228"/>
      <c r="AM138" s="228"/>
      <c r="AN138" s="228"/>
    </row>
    <row r="139" spans="1:40">
      <c r="A139" s="75">
        <f t="shared" si="3"/>
        <v>99</v>
      </c>
      <c r="B139" s="20"/>
      <c r="C139" s="19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64"/>
      <c r="E139" s="15"/>
      <c r="F139" s="15"/>
      <c r="G139" s="15"/>
      <c r="H139" s="266"/>
      <c r="I139" s="15"/>
      <c r="J139" s="15">
        <f>J136-J137-J138</f>
        <v>191444577.78129336</v>
      </c>
      <c r="K139" s="15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228"/>
      <c r="AJ139" s="228"/>
      <c r="AK139" s="228"/>
      <c r="AL139" s="228"/>
      <c r="AM139" s="228"/>
      <c r="AN139" s="228"/>
    </row>
    <row r="140" spans="1:40">
      <c r="A140" s="75">
        <f t="shared" si="3"/>
        <v>100</v>
      </c>
      <c r="B140" s="20"/>
      <c r="C140" s="19" t="str">
        <f>"Plus Common Use AC Facilities (line "&amp;A150&amp;")"</f>
        <v>Plus Common Use AC Facilities (line 110)</v>
      </c>
      <c r="D140" s="164"/>
      <c r="E140" s="15"/>
      <c r="F140" s="15"/>
      <c r="G140" s="15"/>
      <c r="H140" s="266"/>
      <c r="I140" s="15"/>
      <c r="J140" s="15">
        <f>+J150</f>
        <v>9970779.4549999982</v>
      </c>
      <c r="K140" s="15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228"/>
      <c r="AJ140" s="228"/>
      <c r="AK140" s="228"/>
      <c r="AL140" s="228"/>
      <c r="AM140" s="228"/>
      <c r="AN140" s="228"/>
    </row>
    <row r="141" spans="1:40">
      <c r="A141" s="75">
        <f t="shared" si="3"/>
        <v>101</v>
      </c>
      <c r="B141" s="20"/>
      <c r="C141" s="19" t="str">
        <f>"Total Gross Plant for the CUS System (line "&amp;A139&amp;" plus line "&amp;A140&amp;")"</f>
        <v>Total Gross Plant for the CUS System (line 99 plus line 100)</v>
      </c>
      <c r="D141" s="164"/>
      <c r="E141" s="15"/>
      <c r="F141" s="15"/>
      <c r="G141" s="15"/>
      <c r="H141" s="266"/>
      <c r="I141" s="15"/>
      <c r="J141" s="175">
        <f>SUM(J139:J140)</f>
        <v>201415357.23629338</v>
      </c>
      <c r="K141" s="15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8"/>
      <c r="AG141" s="228"/>
      <c r="AH141" s="228"/>
      <c r="AI141" s="228"/>
      <c r="AJ141" s="228"/>
      <c r="AK141" s="228"/>
      <c r="AL141" s="228"/>
      <c r="AM141" s="228"/>
      <c r="AN141" s="228"/>
    </row>
    <row r="142" spans="1:40">
      <c r="A142" s="75">
        <f t="shared" si="3"/>
        <v>102</v>
      </c>
      <c r="B142" s="20"/>
      <c r="C142" s="19" t="str">
        <f>"Total CUS Plant (line "&amp;A136&amp;" plus line "&amp;A150&amp;")"</f>
        <v>Total CUS Plant (line 96 plus line 110)</v>
      </c>
      <c r="D142" s="164"/>
      <c r="E142" s="15"/>
      <c r="F142" s="15"/>
      <c r="G142" s="15"/>
      <c r="H142" s="266"/>
      <c r="I142" s="15"/>
      <c r="J142" s="249">
        <f>+J136+J150</f>
        <v>226035791.89583331</v>
      </c>
      <c r="K142" s="15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228"/>
      <c r="AJ142" s="228"/>
      <c r="AK142" s="228"/>
      <c r="AL142" s="228"/>
      <c r="AM142" s="228"/>
      <c r="AN142" s="228"/>
    </row>
    <row r="143" spans="1:40">
      <c r="A143" s="75">
        <f t="shared" si="3"/>
        <v>103</v>
      </c>
      <c r="B143" s="20"/>
      <c r="C143" s="20"/>
      <c r="D143" s="164"/>
      <c r="E143" s="15"/>
      <c r="F143" s="15"/>
      <c r="G143" s="15"/>
      <c r="H143" s="266"/>
      <c r="I143" s="15"/>
      <c r="J143" s="20"/>
      <c r="K143" s="15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228"/>
      <c r="AJ143" s="228"/>
      <c r="AK143" s="228"/>
      <c r="AL143" s="228"/>
      <c r="AM143" s="228"/>
      <c r="AN143" s="228"/>
    </row>
    <row r="144" spans="1:40">
      <c r="A144" s="75">
        <f t="shared" si="3"/>
        <v>104</v>
      </c>
      <c r="B144" s="20"/>
      <c r="C144" s="19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231"/>
      <c r="E144" s="267"/>
      <c r="F144" s="267"/>
      <c r="G144" s="267"/>
      <c r="H144" s="234"/>
      <c r="I144" s="15" t="s">
        <v>182</v>
      </c>
      <c r="J144" s="268">
        <f>ROUND(IF(J142&gt;0,J141/J142,0),6)</f>
        <v>0.89107700000000001</v>
      </c>
      <c r="K144" s="15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</row>
    <row r="145" spans="1:40">
      <c r="A145" s="75">
        <f t="shared" si="3"/>
        <v>105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15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</row>
    <row r="146" spans="1:40" ht="16" thickBot="1">
      <c r="A146" s="75">
        <f t="shared" si="3"/>
        <v>106</v>
      </c>
      <c r="B146" s="20"/>
      <c r="C146" s="224" t="s">
        <v>69</v>
      </c>
      <c r="D146" s="164"/>
      <c r="E146" s="21" t="s">
        <v>0</v>
      </c>
      <c r="F146" s="164"/>
      <c r="G146" s="164"/>
      <c r="H146" s="164"/>
      <c r="I146" s="164"/>
      <c r="J146" s="164"/>
      <c r="K146" s="20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</row>
    <row r="147" spans="1:40">
      <c r="A147" s="75">
        <f t="shared" si="3"/>
        <v>107</v>
      </c>
      <c r="B147" s="20"/>
      <c r="C147" s="19" t="s">
        <v>70</v>
      </c>
      <c r="D147" s="164"/>
      <c r="E147" s="15" t="str">
        <f>"Column (3) line "&amp;A19&amp;""</f>
        <v>Column (3) line 5</v>
      </c>
      <c r="F147" s="15"/>
      <c r="G147" s="15"/>
      <c r="H147" s="15"/>
      <c r="I147" s="15"/>
      <c r="J147" s="15">
        <f>+E19</f>
        <v>376277440</v>
      </c>
      <c r="K147" s="20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</row>
    <row r="148" spans="1:40">
      <c r="A148" s="75">
        <f t="shared" si="3"/>
        <v>108</v>
      </c>
      <c r="B148" s="20"/>
      <c r="C148" s="19" t="s">
        <v>73</v>
      </c>
      <c r="D148" s="20"/>
      <c r="E148" s="20" t="s">
        <v>120</v>
      </c>
      <c r="F148" s="20"/>
      <c r="G148" s="20"/>
      <c r="H148" s="20"/>
      <c r="I148" s="20"/>
      <c r="J148" s="315">
        <f>+J147-J150</f>
        <v>366306660.54500002</v>
      </c>
      <c r="K148" s="20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</row>
    <row r="149" spans="1:40" ht="16" thickBot="1">
      <c r="A149" s="75">
        <f t="shared" si="3"/>
        <v>109</v>
      </c>
      <c r="B149" s="20"/>
      <c r="C149" s="295" t="s">
        <v>74</v>
      </c>
      <c r="D149" s="265"/>
      <c r="E149" s="21" t="s">
        <v>120</v>
      </c>
      <c r="F149" s="15"/>
      <c r="G149" s="15"/>
      <c r="H149" s="266"/>
      <c r="I149" s="15"/>
      <c r="J149" s="21">
        <v>0</v>
      </c>
      <c r="K149" s="20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</row>
    <row r="150" spans="1:40">
      <c r="A150" s="75">
        <f t="shared" si="3"/>
        <v>110</v>
      </c>
      <c r="B150" s="20"/>
      <c r="C150" s="19" t="str">
        <f>"Common Use AC Facilities (line "&amp;A147&amp;" less lines "&amp;A148&amp;" &amp; "&amp;A149&amp;")"</f>
        <v>Common Use AC Facilities (line 107 less lines 108 &amp; 109)</v>
      </c>
      <c r="D150" s="164"/>
      <c r="E150" s="15"/>
      <c r="F150" s="15"/>
      <c r="G150" s="15"/>
      <c r="H150" s="266"/>
      <c r="I150" s="15"/>
      <c r="J150" s="15">
        <v>9970779.4549999982</v>
      </c>
      <c r="K150" s="20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228"/>
      <c r="AL150" s="228"/>
      <c r="AM150" s="228"/>
      <c r="AN150" s="228"/>
    </row>
    <row r="151" spans="1:40">
      <c r="A151" s="75">
        <f t="shared" si="3"/>
        <v>111</v>
      </c>
      <c r="B151" s="20"/>
      <c r="C151" s="20"/>
      <c r="D151" s="164"/>
      <c r="E151" s="15"/>
      <c r="F151" s="15"/>
      <c r="G151" s="15"/>
      <c r="H151" s="266"/>
      <c r="I151" s="15"/>
      <c r="J151" s="20"/>
      <c r="K151" s="20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</row>
    <row r="152" spans="1:40">
      <c r="A152" s="75">
        <f t="shared" si="3"/>
        <v>112</v>
      </c>
      <c r="B152" s="20"/>
      <c r="C152" s="19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231"/>
      <c r="E152" s="267"/>
      <c r="F152" s="267"/>
      <c r="G152" s="267"/>
      <c r="H152" s="234"/>
      <c r="I152" s="15" t="s">
        <v>72</v>
      </c>
      <c r="J152" s="268">
        <f>ROUND(IF(J147&gt;0,J150/J147,0),6)</f>
        <v>2.6498000000000001E-2</v>
      </c>
      <c r="K152" s="20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</row>
    <row r="153" spans="1:40">
      <c r="A153" s="75">
        <f t="shared" si="3"/>
        <v>113</v>
      </c>
      <c r="B153" s="20"/>
      <c r="C153" s="20"/>
      <c r="D153" s="164"/>
      <c r="E153" s="15"/>
      <c r="F153" s="15"/>
      <c r="G153" s="15"/>
      <c r="H153" s="266"/>
      <c r="I153" s="15"/>
      <c r="J153" s="20"/>
      <c r="K153" s="20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228"/>
      <c r="AJ153" s="228"/>
      <c r="AK153" s="228"/>
      <c r="AL153" s="228"/>
      <c r="AM153" s="228"/>
      <c r="AN153" s="228"/>
    </row>
    <row r="154" spans="1:40" ht="16" thickBot="1">
      <c r="A154" s="75">
        <f t="shared" si="3"/>
        <v>114</v>
      </c>
      <c r="B154" s="20"/>
      <c r="C154" s="224" t="s">
        <v>160</v>
      </c>
      <c r="D154" s="164"/>
      <c r="E154" s="21" t="s">
        <v>0</v>
      </c>
      <c r="F154" s="15"/>
      <c r="G154" s="15"/>
      <c r="H154" s="266"/>
      <c r="I154" s="15"/>
      <c r="J154" s="15"/>
      <c r="K154" s="20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228"/>
      <c r="AJ154" s="228"/>
      <c r="AK154" s="228"/>
      <c r="AL154" s="228"/>
      <c r="AM154" s="228"/>
      <c r="AN154" s="228"/>
    </row>
    <row r="155" spans="1:40">
      <c r="A155" s="75">
        <f t="shared" si="3"/>
        <v>115</v>
      </c>
      <c r="B155" s="20"/>
      <c r="C155" s="20" t="s">
        <v>44</v>
      </c>
      <c r="D155" s="164"/>
      <c r="E155" s="15" t="s">
        <v>381</v>
      </c>
      <c r="F155" s="15"/>
      <c r="G155" s="15"/>
      <c r="H155" s="266"/>
      <c r="I155" s="15"/>
      <c r="J155" s="15">
        <f>SUM(E28:E29)</f>
        <v>50143330.029327676</v>
      </c>
      <c r="K155" s="20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228"/>
      <c r="AJ155" s="228"/>
      <c r="AK155" s="228"/>
      <c r="AL155" s="228"/>
      <c r="AM155" s="228"/>
      <c r="AN155" s="228"/>
    </row>
    <row r="156" spans="1:40">
      <c r="A156" s="75">
        <f t="shared" si="3"/>
        <v>116</v>
      </c>
      <c r="B156" s="20"/>
      <c r="C156" s="19" t="s">
        <v>313</v>
      </c>
      <c r="D156" s="164"/>
      <c r="E156" s="15" t="s">
        <v>120</v>
      </c>
      <c r="F156" s="15"/>
      <c r="G156" s="15"/>
      <c r="H156" s="266"/>
      <c r="I156" s="15"/>
      <c r="J156" s="329">
        <v>8437254.4067756683</v>
      </c>
      <c r="K156" s="20"/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  <c r="V156" s="228"/>
      <c r="W156" s="228"/>
      <c r="X156" s="228"/>
      <c r="Y156" s="228"/>
      <c r="Z156" s="228"/>
      <c r="AA156" s="228"/>
      <c r="AB156" s="228"/>
      <c r="AC156" s="228"/>
      <c r="AD156" s="228"/>
      <c r="AE156" s="228"/>
      <c r="AF156" s="228"/>
      <c r="AG156" s="228"/>
      <c r="AH156" s="228"/>
      <c r="AI156" s="228"/>
      <c r="AJ156" s="228"/>
      <c r="AK156" s="228"/>
      <c r="AL156" s="228"/>
      <c r="AM156" s="228"/>
      <c r="AN156" s="228"/>
    </row>
    <row r="157" spans="1:40">
      <c r="A157" s="75">
        <f t="shared" si="3"/>
        <v>117</v>
      </c>
      <c r="B157" s="20"/>
      <c r="C157" s="296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69"/>
      <c r="E157" s="175"/>
      <c r="F157" s="15"/>
      <c r="G157" s="15"/>
      <c r="H157" s="266"/>
      <c r="I157" s="15"/>
      <c r="J157" s="175">
        <f>J155-J156</f>
        <v>41706075.622552007</v>
      </c>
      <c r="K157" s="20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</row>
    <row r="158" spans="1:40">
      <c r="A158" s="75">
        <f t="shared" si="3"/>
        <v>118</v>
      </c>
      <c r="B158" s="20"/>
      <c r="C158" s="19" t="str">
        <f>"Plus Common Use AC Facilities Accumulated Depreciation (line "&amp;A167&amp;")"</f>
        <v>Plus Common Use AC Facilities Accumulated Depreciation (line 127)</v>
      </c>
      <c r="D158" s="270"/>
      <c r="E158" s="249"/>
      <c r="F158" s="15"/>
      <c r="G158" s="15"/>
      <c r="H158" s="266"/>
      <c r="I158" s="15"/>
      <c r="J158" s="249">
        <f>+J167</f>
        <v>3311898.5399999996</v>
      </c>
      <c r="K158" s="20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</row>
    <row r="159" spans="1:40">
      <c r="A159" s="75">
        <f t="shared" si="3"/>
        <v>119</v>
      </c>
      <c r="B159" s="20"/>
      <c r="C159" s="19" t="str">
        <f>"Total Accumulated Depreciation for the CUS System (line "&amp;A157&amp;" plus line "&amp;A158&amp;")"</f>
        <v>Total Accumulated Depreciation for the CUS System (line 117 plus line 118)</v>
      </c>
      <c r="D159" s="270"/>
      <c r="E159" s="249"/>
      <c r="F159" s="15"/>
      <c r="G159" s="15"/>
      <c r="H159" s="266"/>
      <c r="I159" s="15"/>
      <c r="J159" s="175">
        <f>SUM(J157:J158)</f>
        <v>45017974.162552007</v>
      </c>
      <c r="K159" s="20"/>
      <c r="L159" s="228"/>
      <c r="M159" s="228"/>
      <c r="N159" s="228"/>
      <c r="O159" s="228"/>
      <c r="P159" s="228"/>
      <c r="Q159" s="228"/>
      <c r="R159" s="228"/>
      <c r="S159" s="228"/>
      <c r="T159" s="228"/>
      <c r="U159" s="228"/>
      <c r="V159" s="228"/>
      <c r="W159" s="228"/>
      <c r="X159" s="228"/>
      <c r="Y159" s="228"/>
      <c r="Z159" s="228"/>
      <c r="AA159" s="228"/>
      <c r="AB159" s="228"/>
      <c r="AC159" s="228"/>
      <c r="AD159" s="228"/>
      <c r="AE159" s="228"/>
      <c r="AF159" s="228"/>
      <c r="AG159" s="228"/>
      <c r="AH159" s="228"/>
      <c r="AI159" s="228"/>
      <c r="AJ159" s="228"/>
      <c r="AK159" s="228"/>
      <c r="AL159" s="228"/>
      <c r="AM159" s="228"/>
      <c r="AN159" s="228"/>
    </row>
    <row r="160" spans="1:40">
      <c r="A160" s="75">
        <f t="shared" si="3"/>
        <v>120</v>
      </c>
      <c r="B160" s="20"/>
      <c r="C160" s="19" t="str">
        <f>"Total CUS Accumulated Depreciation (line "&amp;A155&amp;" plus line "&amp;A158&amp;")"</f>
        <v>Total CUS Accumulated Depreciation (line 115 plus line 118)</v>
      </c>
      <c r="D160" s="270"/>
      <c r="E160" s="249"/>
      <c r="F160" s="15"/>
      <c r="G160" s="15"/>
      <c r="H160" s="266"/>
      <c r="I160" s="15"/>
      <c r="J160" s="249">
        <f>+J155+J158</f>
        <v>53455228.569327675</v>
      </c>
      <c r="K160" s="20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</row>
    <row r="161" spans="1:40">
      <c r="A161" s="75">
        <f t="shared" si="3"/>
        <v>121</v>
      </c>
      <c r="B161" s="20"/>
      <c r="C161" s="20"/>
      <c r="D161" s="164"/>
      <c r="E161" s="15"/>
      <c r="F161" s="15"/>
      <c r="G161" s="15"/>
      <c r="H161" s="266"/>
      <c r="I161" s="15"/>
      <c r="J161" s="15"/>
      <c r="K161" s="20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228"/>
      <c r="AL161" s="228"/>
      <c r="AM161" s="228"/>
      <c r="AN161" s="228"/>
    </row>
    <row r="162" spans="1:40">
      <c r="A162" s="75">
        <f t="shared" si="3"/>
        <v>122</v>
      </c>
      <c r="B162" s="20"/>
      <c r="C162" s="19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64"/>
      <c r="E162" s="15"/>
      <c r="F162" s="15"/>
      <c r="G162" s="15"/>
      <c r="H162" s="266"/>
      <c r="I162" s="15" t="s">
        <v>45</v>
      </c>
      <c r="J162" s="268">
        <f>ROUND(IF(J160&gt;0,J159/J160,0),6)</f>
        <v>0.84216199999999997</v>
      </c>
      <c r="K162" s="20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  <c r="V162" s="228"/>
      <c r="W162" s="228"/>
      <c r="X162" s="228"/>
      <c r="Y162" s="228"/>
      <c r="Z162" s="228"/>
      <c r="AA162" s="228"/>
      <c r="AB162" s="228"/>
      <c r="AC162" s="228"/>
      <c r="AD162" s="228"/>
      <c r="AE162" s="228"/>
      <c r="AF162" s="228"/>
      <c r="AG162" s="228"/>
      <c r="AH162" s="228"/>
      <c r="AI162" s="228"/>
      <c r="AJ162" s="228"/>
      <c r="AK162" s="228"/>
      <c r="AL162" s="228"/>
      <c r="AM162" s="228"/>
      <c r="AN162" s="228"/>
    </row>
    <row r="163" spans="1:40">
      <c r="A163" s="75">
        <f t="shared" si="3"/>
        <v>123</v>
      </c>
      <c r="B163" s="20"/>
      <c r="C163" s="20"/>
      <c r="D163" s="164"/>
      <c r="E163" s="15"/>
      <c r="F163" s="15"/>
      <c r="G163" s="15"/>
      <c r="H163" s="266"/>
      <c r="I163" s="15"/>
      <c r="J163" s="15"/>
      <c r="K163" s="20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228"/>
      <c r="AF163" s="228"/>
      <c r="AG163" s="228"/>
      <c r="AH163" s="228"/>
      <c r="AI163" s="228"/>
      <c r="AJ163" s="228"/>
      <c r="AK163" s="228"/>
      <c r="AL163" s="228"/>
      <c r="AM163" s="228"/>
      <c r="AN163" s="228"/>
    </row>
    <row r="164" spans="1:40" ht="16" thickBot="1">
      <c r="A164" s="75">
        <f t="shared" si="3"/>
        <v>124</v>
      </c>
      <c r="B164" s="20"/>
      <c r="C164" s="20"/>
      <c r="D164" s="164"/>
      <c r="E164" s="21" t="s">
        <v>0</v>
      </c>
      <c r="F164" s="15"/>
      <c r="G164" s="15"/>
      <c r="H164" s="266"/>
      <c r="I164" s="15"/>
      <c r="J164" s="15"/>
      <c r="K164" s="20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  <c r="V164" s="228"/>
      <c r="W164" s="228"/>
      <c r="X164" s="228"/>
      <c r="Y164" s="228"/>
      <c r="Z164" s="228"/>
      <c r="AA164" s="228"/>
      <c r="AB164" s="228"/>
      <c r="AC164" s="228"/>
      <c r="AD164" s="228"/>
      <c r="AE164" s="228"/>
      <c r="AF164" s="228"/>
      <c r="AG164" s="228"/>
      <c r="AH164" s="228"/>
      <c r="AI164" s="228"/>
      <c r="AJ164" s="228"/>
      <c r="AK164" s="228"/>
      <c r="AL164" s="228"/>
      <c r="AM164" s="228"/>
      <c r="AN164" s="228"/>
    </row>
    <row r="165" spans="1:40">
      <c r="A165" s="75">
        <f t="shared" si="3"/>
        <v>125</v>
      </c>
      <c r="B165" s="20"/>
      <c r="C165" s="20" t="s">
        <v>47</v>
      </c>
      <c r="D165" s="164"/>
      <c r="E165" s="15" t="s">
        <v>87</v>
      </c>
      <c r="F165" s="15"/>
      <c r="G165" s="15"/>
      <c r="H165" s="266"/>
      <c r="I165" s="15"/>
      <c r="J165" s="15">
        <f>+E30</f>
        <v>133804900.12065056</v>
      </c>
      <c r="K165" s="20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  <c r="V165" s="228"/>
      <c r="W165" s="228"/>
      <c r="X165" s="228"/>
      <c r="Y165" s="228"/>
      <c r="Z165" s="228"/>
      <c r="AA165" s="228"/>
      <c r="AB165" s="228"/>
      <c r="AC165" s="228"/>
      <c r="AD165" s="228"/>
      <c r="AE165" s="228"/>
      <c r="AF165" s="228"/>
      <c r="AG165" s="228"/>
      <c r="AH165" s="228"/>
      <c r="AI165" s="228"/>
      <c r="AJ165" s="228"/>
      <c r="AK165" s="228"/>
      <c r="AL165" s="228"/>
      <c r="AM165" s="228"/>
      <c r="AN165" s="228"/>
    </row>
    <row r="166" spans="1:40">
      <c r="A166" s="75">
        <f t="shared" si="3"/>
        <v>126</v>
      </c>
      <c r="B166" s="20"/>
      <c r="C166" s="20" t="s">
        <v>121</v>
      </c>
      <c r="D166" s="164"/>
      <c r="E166" s="15"/>
      <c r="F166" s="15"/>
      <c r="G166" s="15"/>
      <c r="H166" s="266"/>
      <c r="I166" s="15"/>
      <c r="J166" s="315">
        <f>+J165-J167</f>
        <v>130493001.58065055</v>
      </c>
      <c r="K166" s="20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  <c r="AL166" s="228"/>
      <c r="AM166" s="228"/>
      <c r="AN166" s="228"/>
    </row>
    <row r="167" spans="1:40">
      <c r="A167" s="75">
        <f t="shared" si="3"/>
        <v>127</v>
      </c>
      <c r="B167" s="20"/>
      <c r="C167" s="297" t="str">
        <f>"Common Use AC Facilities (line "&amp;A165&amp;" less line "&amp;A166&amp;")"</f>
        <v>Common Use AC Facilities (line 125 less line 126)</v>
      </c>
      <c r="D167" s="269"/>
      <c r="E167" s="175"/>
      <c r="F167" s="15"/>
      <c r="G167" s="15"/>
      <c r="H167" s="266"/>
      <c r="I167" s="15"/>
      <c r="J167" s="175">
        <v>3311898.5399999996</v>
      </c>
      <c r="K167" s="20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28"/>
      <c r="AB167" s="228"/>
      <c r="AC167" s="228"/>
      <c r="AD167" s="228"/>
      <c r="AE167" s="228"/>
      <c r="AF167" s="228"/>
      <c r="AG167" s="228"/>
      <c r="AH167" s="228"/>
      <c r="AI167" s="228"/>
      <c r="AJ167" s="228"/>
      <c r="AK167" s="228"/>
      <c r="AL167" s="228"/>
      <c r="AM167" s="228"/>
      <c r="AN167" s="228"/>
    </row>
    <row r="168" spans="1:40">
      <c r="A168" s="75">
        <f t="shared" si="3"/>
        <v>128</v>
      </c>
      <c r="B168" s="20"/>
      <c r="C168" s="20"/>
      <c r="D168" s="164"/>
      <c r="E168" s="15"/>
      <c r="F168" s="15"/>
      <c r="G168" s="15"/>
      <c r="H168" s="266"/>
      <c r="I168" s="15"/>
      <c r="J168" s="15"/>
      <c r="K168" s="20"/>
      <c r="L168" s="228"/>
      <c r="M168" s="228"/>
      <c r="N168" s="228"/>
      <c r="O168" s="228"/>
      <c r="P168" s="228"/>
      <c r="Q168" s="228"/>
      <c r="R168" s="228"/>
      <c r="S168" s="228"/>
      <c r="T168" s="228"/>
      <c r="U168" s="228"/>
      <c r="V168" s="228"/>
      <c r="W168" s="228"/>
      <c r="X168" s="228"/>
      <c r="Y168" s="228"/>
      <c r="Z168" s="228"/>
      <c r="AA168" s="228"/>
      <c r="AB168" s="228"/>
      <c r="AC168" s="228"/>
      <c r="AD168" s="228"/>
      <c r="AE168" s="228"/>
      <c r="AF168" s="228"/>
      <c r="AG168" s="228"/>
      <c r="AH168" s="228"/>
      <c r="AI168" s="228"/>
      <c r="AJ168" s="228"/>
      <c r="AK168" s="228"/>
      <c r="AL168" s="228"/>
      <c r="AM168" s="228"/>
      <c r="AN168" s="228"/>
    </row>
    <row r="169" spans="1:40">
      <c r="A169" s="75">
        <f t="shared" si="3"/>
        <v>129</v>
      </c>
      <c r="B169" s="20"/>
      <c r="C169" s="19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64"/>
      <c r="E169" s="15"/>
      <c r="F169" s="15"/>
      <c r="G169" s="15"/>
      <c r="H169" s="266"/>
      <c r="I169" s="15" t="s">
        <v>48</v>
      </c>
      <c r="J169" s="268">
        <f>ROUND(IF(J165&gt;0,J167/J165,0),6)</f>
        <v>2.4752E-2</v>
      </c>
      <c r="K169" s="20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N169" s="228"/>
    </row>
    <row r="170" spans="1:40">
      <c r="A170" s="75">
        <f t="shared" si="3"/>
        <v>130</v>
      </c>
      <c r="B170" s="20"/>
      <c r="C170" s="20"/>
      <c r="D170" s="164"/>
      <c r="E170" s="15"/>
      <c r="F170" s="15"/>
      <c r="G170" s="15"/>
      <c r="H170" s="266"/>
      <c r="I170" s="15"/>
      <c r="J170" s="15"/>
      <c r="K170" s="20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  <c r="AL170" s="228"/>
      <c r="AM170" s="228"/>
      <c r="AN170" s="228"/>
    </row>
    <row r="171" spans="1:40">
      <c r="A171" s="75">
        <f t="shared" si="3"/>
        <v>131</v>
      </c>
      <c r="B171" s="20"/>
      <c r="C171" s="223" t="s">
        <v>183</v>
      </c>
      <c r="D171" s="15"/>
      <c r="E171" s="15"/>
      <c r="F171" s="15"/>
      <c r="G171" s="15"/>
      <c r="H171" s="15"/>
      <c r="I171" s="15"/>
      <c r="J171" s="15"/>
      <c r="K171" s="15"/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  <c r="V171" s="228"/>
      <c r="W171" s="228"/>
      <c r="X171" s="228"/>
      <c r="Y171" s="228"/>
      <c r="Z171" s="228"/>
      <c r="AA171" s="228"/>
      <c r="AB171" s="228"/>
      <c r="AC171" s="228"/>
      <c r="AD171" s="228"/>
      <c r="AE171" s="228"/>
      <c r="AF171" s="228"/>
      <c r="AG171" s="228"/>
      <c r="AH171" s="228"/>
      <c r="AI171" s="228"/>
      <c r="AJ171" s="228"/>
      <c r="AK171" s="228"/>
      <c r="AL171" s="228"/>
      <c r="AM171" s="228"/>
      <c r="AN171" s="228"/>
    </row>
    <row r="172" spans="1:40" ht="16" thickBot="1">
      <c r="A172" s="75">
        <f t="shared" si="3"/>
        <v>132</v>
      </c>
      <c r="B172" s="20"/>
      <c r="C172" s="223"/>
      <c r="D172" s="21" t="s">
        <v>184</v>
      </c>
      <c r="E172" s="271" t="s">
        <v>185</v>
      </c>
      <c r="F172" s="271" t="s">
        <v>138</v>
      </c>
      <c r="G172" s="15"/>
      <c r="H172" s="271" t="s">
        <v>186</v>
      </c>
      <c r="I172" s="249"/>
      <c r="J172" s="272"/>
      <c r="K172" s="15"/>
      <c r="L172" s="228"/>
      <c r="M172" s="228"/>
      <c r="N172" s="228"/>
      <c r="O172" s="228"/>
      <c r="P172" s="228"/>
      <c r="Q172" s="228"/>
      <c r="R172" s="228"/>
      <c r="S172" s="228"/>
      <c r="T172" s="228"/>
      <c r="U172" s="228"/>
      <c r="V172" s="228"/>
      <c r="W172" s="228"/>
      <c r="X172" s="228"/>
      <c r="Y172" s="228"/>
      <c r="Z172" s="228"/>
      <c r="AA172" s="228"/>
      <c r="AB172" s="228"/>
      <c r="AC172" s="228"/>
      <c r="AD172" s="228"/>
      <c r="AE172" s="228"/>
      <c r="AF172" s="228"/>
      <c r="AG172" s="228"/>
      <c r="AH172" s="228"/>
      <c r="AI172" s="228"/>
      <c r="AJ172" s="228"/>
      <c r="AK172" s="228"/>
      <c r="AL172" s="228"/>
      <c r="AM172" s="228"/>
      <c r="AN172" s="228"/>
    </row>
    <row r="173" spans="1:40">
      <c r="A173" s="75">
        <f t="shared" si="3"/>
        <v>133</v>
      </c>
      <c r="B173" s="20"/>
      <c r="C173" s="223" t="s">
        <v>153</v>
      </c>
      <c r="D173" s="15" t="s">
        <v>91</v>
      </c>
      <c r="E173" s="312">
        <v>1838526</v>
      </c>
      <c r="F173" s="298">
        <f>+J144</f>
        <v>0.89107700000000001</v>
      </c>
      <c r="G173" s="20"/>
      <c r="H173" s="15">
        <f>E173*F173</f>
        <v>1638268.2325019999</v>
      </c>
      <c r="I173" s="249"/>
      <c r="J173" s="273"/>
      <c r="K173" s="15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228"/>
      <c r="AJ173" s="228"/>
      <c r="AK173" s="228"/>
      <c r="AL173" s="228"/>
      <c r="AM173" s="228"/>
      <c r="AN173" s="228"/>
    </row>
    <row r="174" spans="1:40">
      <c r="A174" s="75">
        <f t="shared" si="3"/>
        <v>134</v>
      </c>
      <c r="B174" s="20"/>
      <c r="C174" s="223" t="s">
        <v>105</v>
      </c>
      <c r="D174" s="15" t="s">
        <v>106</v>
      </c>
      <c r="E174" s="312">
        <v>20866169</v>
      </c>
      <c r="F174" s="298">
        <v>0</v>
      </c>
      <c r="G174" s="298"/>
      <c r="H174" s="15">
        <f>E174*F174</f>
        <v>0</v>
      </c>
      <c r="I174" s="249"/>
      <c r="J174" s="272" t="s">
        <v>187</v>
      </c>
      <c r="K174" s="15"/>
      <c r="L174" s="228"/>
      <c r="M174" s="228"/>
      <c r="N174" s="228"/>
      <c r="O174" s="228"/>
      <c r="P174" s="228"/>
      <c r="Q174" s="228"/>
      <c r="R174" s="228"/>
      <c r="S174" s="228"/>
      <c r="T174" s="228"/>
      <c r="U174" s="228"/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228"/>
      <c r="AJ174" s="228"/>
      <c r="AK174" s="228"/>
      <c r="AL174" s="228"/>
      <c r="AM174" s="228"/>
      <c r="AN174" s="228"/>
    </row>
    <row r="175" spans="1:40" ht="16" thickBot="1">
      <c r="A175" s="75">
        <f t="shared" si="3"/>
        <v>135</v>
      </c>
      <c r="B175" s="20"/>
      <c r="C175" s="223" t="s">
        <v>107</v>
      </c>
      <c r="D175" s="15" t="s">
        <v>108</v>
      </c>
      <c r="E175" s="327">
        <v>-8084716</v>
      </c>
      <c r="F175" s="298">
        <v>0</v>
      </c>
      <c r="G175" s="298"/>
      <c r="H175" s="21">
        <f>E175*F175</f>
        <v>0</v>
      </c>
      <c r="I175" s="249"/>
      <c r="J175" s="240" t="s">
        <v>188</v>
      </c>
      <c r="K175" s="15"/>
      <c r="L175" s="228"/>
      <c r="M175" s="228"/>
      <c r="N175" s="228"/>
      <c r="O175" s="228"/>
      <c r="P175" s="228"/>
      <c r="Q175" s="228"/>
      <c r="R175" s="228"/>
      <c r="S175" s="228"/>
      <c r="T175" s="228"/>
      <c r="U175" s="228"/>
      <c r="V175" s="228"/>
      <c r="W175" s="228"/>
      <c r="X175" s="228"/>
      <c r="Y175" s="228"/>
      <c r="Z175" s="228"/>
      <c r="AA175" s="228"/>
      <c r="AB175" s="228"/>
      <c r="AC175" s="228"/>
      <c r="AD175" s="228"/>
      <c r="AE175" s="228"/>
      <c r="AF175" s="228"/>
      <c r="AG175" s="228"/>
      <c r="AH175" s="228"/>
      <c r="AI175" s="228"/>
      <c r="AJ175" s="228"/>
      <c r="AK175" s="228"/>
      <c r="AL175" s="228"/>
      <c r="AM175" s="228"/>
      <c r="AN175" s="228"/>
    </row>
    <row r="176" spans="1:40">
      <c r="A176" s="75">
        <f t="shared" si="3"/>
        <v>136</v>
      </c>
      <c r="B176" s="20"/>
      <c r="C176" s="223" t="str">
        <f>"  Adjusted Total  (sum lines "&amp;A174&amp;"-"&amp;A175&amp;")"</f>
        <v xml:space="preserve">  Adjusted Total  (sum lines 134-135)</v>
      </c>
      <c r="D176" s="15"/>
      <c r="E176" s="15">
        <f>SUM(E174:E175)</f>
        <v>12781453</v>
      </c>
      <c r="F176" s="15"/>
      <c r="G176" s="20"/>
      <c r="H176" s="15">
        <f>SUM(H173:H175)</f>
        <v>1638268.2325019999</v>
      </c>
      <c r="I176" s="15" t="s">
        <v>58</v>
      </c>
      <c r="J176" s="242">
        <f>IF(E176&gt;0,+H176/E176,0)</f>
        <v>0.12817542985934385</v>
      </c>
      <c r="K176" s="266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  <c r="AL176" s="228"/>
      <c r="AM176" s="228"/>
      <c r="AN176" s="228"/>
    </row>
    <row r="177" spans="1:40">
      <c r="A177" s="75">
        <f t="shared" si="3"/>
        <v>137</v>
      </c>
      <c r="B177" s="20"/>
      <c r="C177" s="223"/>
      <c r="D177" s="15"/>
      <c r="E177" s="15"/>
      <c r="F177" s="15"/>
      <c r="G177" s="15"/>
      <c r="H177" s="15"/>
      <c r="I177" s="15"/>
      <c r="J177" s="15"/>
      <c r="K177" s="15"/>
      <c r="L177" s="228"/>
      <c r="M177" s="228"/>
      <c r="N177" s="228"/>
      <c r="O177" s="228"/>
      <c r="P177" s="228"/>
      <c r="Q177" s="228"/>
      <c r="R177" s="228"/>
      <c r="S177" s="228"/>
      <c r="T177" s="228"/>
      <c r="U177" s="228"/>
      <c r="V177" s="228"/>
      <c r="W177" s="228"/>
      <c r="X177" s="228"/>
      <c r="Y177" s="228"/>
      <c r="Z177" s="228"/>
      <c r="AA177" s="228"/>
      <c r="AB177" s="228"/>
      <c r="AC177" s="228"/>
      <c r="AD177" s="228"/>
      <c r="AE177" s="228"/>
      <c r="AF177" s="228"/>
      <c r="AG177" s="228"/>
      <c r="AH177" s="228"/>
      <c r="AI177" s="228"/>
      <c r="AJ177" s="228"/>
      <c r="AK177" s="228"/>
      <c r="AL177" s="228"/>
      <c r="AM177" s="228"/>
      <c r="AN177" s="228"/>
    </row>
    <row r="178" spans="1:40" ht="16" thickBot="1">
      <c r="A178" s="75">
        <f t="shared" si="3"/>
        <v>138</v>
      </c>
      <c r="B178" s="20"/>
      <c r="C178" s="223" t="s">
        <v>92</v>
      </c>
      <c r="D178" s="15"/>
      <c r="E178" s="271" t="s">
        <v>185</v>
      </c>
      <c r="F178" s="271" t="s">
        <v>192</v>
      </c>
      <c r="G178" s="246" t="s">
        <v>138</v>
      </c>
      <c r="H178" s="274" t="s">
        <v>95</v>
      </c>
      <c r="I178" s="259"/>
      <c r="J178" s="244"/>
      <c r="K178" s="20"/>
      <c r="L178" s="228"/>
      <c r="M178" s="228"/>
      <c r="N178" s="228"/>
      <c r="O178" s="228"/>
      <c r="P178" s="228"/>
      <c r="Q178" s="228"/>
      <c r="R178" s="228"/>
      <c r="S178" s="228"/>
      <c r="T178" s="228"/>
      <c r="U178" s="228"/>
      <c r="V178" s="228"/>
      <c r="W178" s="228"/>
      <c r="X178" s="228"/>
      <c r="Y178" s="228"/>
      <c r="Z178" s="228"/>
      <c r="AA178" s="228"/>
      <c r="AB178" s="228"/>
      <c r="AC178" s="228"/>
      <c r="AD178" s="228"/>
      <c r="AE178" s="228"/>
      <c r="AF178" s="228"/>
      <c r="AG178" s="228"/>
      <c r="AH178" s="228"/>
      <c r="AI178" s="228"/>
      <c r="AJ178" s="228"/>
      <c r="AK178" s="228"/>
      <c r="AL178" s="228"/>
      <c r="AM178" s="228"/>
      <c r="AN178" s="228"/>
    </row>
    <row r="179" spans="1:40">
      <c r="A179" s="75">
        <f t="shared" si="3"/>
        <v>139</v>
      </c>
      <c r="B179" s="20"/>
      <c r="C179" s="223" t="s">
        <v>93</v>
      </c>
      <c r="D179" s="15" t="str">
        <f>"lines "&amp;A39&amp;", "&amp;A40&amp;" &amp; "&amp;A41&amp;""</f>
        <v>lines 25, 26 &amp; 27</v>
      </c>
      <c r="E179" s="15">
        <f>E39+E40+E41</f>
        <v>165921682.41150567</v>
      </c>
      <c r="F179" s="299">
        <f>IF(E181&gt;0,+E179/E181,0)</f>
        <v>0.40627823155964621</v>
      </c>
      <c r="G179" s="300">
        <f>+J144</f>
        <v>0.89107700000000001</v>
      </c>
      <c r="H179" s="301">
        <f>IF(F179&gt;0,+G179*F179,0)</f>
        <v>0.36202518774347486</v>
      </c>
      <c r="I179" s="302"/>
      <c r="J179" s="75"/>
      <c r="K179" s="15"/>
      <c r="L179" s="228"/>
      <c r="M179" s="228"/>
      <c r="N179" s="228"/>
      <c r="O179" s="228"/>
      <c r="P179" s="228"/>
      <c r="Q179" s="228"/>
      <c r="R179" s="228"/>
      <c r="S179" s="228"/>
      <c r="T179" s="228"/>
      <c r="U179" s="228"/>
      <c r="V179" s="228"/>
      <c r="W179" s="228"/>
      <c r="X179" s="228"/>
      <c r="Y179" s="228"/>
      <c r="Z179" s="228"/>
      <c r="AA179" s="228"/>
      <c r="AB179" s="228"/>
      <c r="AC179" s="228"/>
      <c r="AD179" s="228"/>
      <c r="AE179" s="228"/>
      <c r="AF179" s="228"/>
      <c r="AG179" s="228"/>
      <c r="AH179" s="228"/>
      <c r="AI179" s="228"/>
      <c r="AJ179" s="228"/>
      <c r="AK179" s="228"/>
      <c r="AL179" s="228"/>
      <c r="AM179" s="228"/>
      <c r="AN179" s="228"/>
    </row>
    <row r="180" spans="1:40">
      <c r="A180" s="75">
        <f t="shared" si="3"/>
        <v>140</v>
      </c>
      <c r="B180" s="20"/>
      <c r="C180" s="223" t="s">
        <v>94</v>
      </c>
      <c r="D180" s="15" t="str">
        <f>"line "&amp;A42&amp;""</f>
        <v>line 28</v>
      </c>
      <c r="E180" s="15">
        <f>E42</f>
        <v>242472539.87934944</v>
      </c>
      <c r="F180" s="299">
        <f>IF(E181&gt;0,+E180/E181,0)</f>
        <v>0.59372176844035374</v>
      </c>
      <c r="G180" s="20"/>
      <c r="H180" s="257"/>
      <c r="I180" s="266"/>
      <c r="J180" s="257"/>
      <c r="K180" s="259"/>
      <c r="L180" s="228"/>
      <c r="M180" s="228"/>
      <c r="N180" s="228"/>
      <c r="O180" s="228"/>
      <c r="P180" s="228"/>
      <c r="Q180" s="228"/>
      <c r="R180" s="228"/>
      <c r="S180" s="228"/>
      <c r="T180" s="228"/>
      <c r="U180" s="228"/>
      <c r="V180" s="228"/>
      <c r="W180" s="228"/>
      <c r="X180" s="228"/>
      <c r="Y180" s="228"/>
      <c r="Z180" s="228"/>
      <c r="AA180" s="228"/>
      <c r="AB180" s="228"/>
      <c r="AC180" s="228"/>
      <c r="AD180" s="228"/>
      <c r="AE180" s="228"/>
      <c r="AF180" s="228"/>
      <c r="AG180" s="228"/>
      <c r="AH180" s="228"/>
      <c r="AI180" s="228"/>
      <c r="AJ180" s="228"/>
      <c r="AK180" s="228"/>
      <c r="AL180" s="228"/>
      <c r="AM180" s="228"/>
      <c r="AN180" s="228"/>
    </row>
    <row r="181" spans="1:40">
      <c r="A181" s="75">
        <f t="shared" si="3"/>
        <v>141</v>
      </c>
      <c r="B181" s="20"/>
      <c r="C181" s="223" t="str">
        <f>"  Total  (sum lines "&amp;A179&amp;" - "&amp;A180&amp;")"</f>
        <v xml:space="preserve">  Total  (sum lines 139 - 140)</v>
      </c>
      <c r="D181" s="15"/>
      <c r="E181" s="175">
        <f>SUM(E179:E180)</f>
        <v>408394222.29085511</v>
      </c>
      <c r="F181" s="303">
        <f>SUM(F179:F180)</f>
        <v>1</v>
      </c>
      <c r="G181" s="15"/>
      <c r="H181" s="15"/>
      <c r="I181" s="15" t="s">
        <v>96</v>
      </c>
      <c r="J181" s="275">
        <f>+H179</f>
        <v>0.36202518774347486</v>
      </c>
      <c r="K181" s="15"/>
      <c r="L181" s="228"/>
      <c r="M181" s="228"/>
      <c r="N181" s="228"/>
      <c r="O181" s="228"/>
      <c r="P181" s="228"/>
      <c r="Q181" s="228"/>
      <c r="R181" s="228"/>
      <c r="S181" s="228"/>
      <c r="T181" s="228"/>
      <c r="U181" s="228"/>
      <c r="V181" s="228"/>
      <c r="W181" s="228"/>
      <c r="X181" s="228"/>
      <c r="Y181" s="228"/>
      <c r="Z181" s="228"/>
      <c r="AA181" s="228"/>
      <c r="AB181" s="228"/>
      <c r="AC181" s="228"/>
      <c r="AD181" s="228"/>
      <c r="AE181" s="228"/>
      <c r="AF181" s="228"/>
      <c r="AG181" s="228"/>
      <c r="AH181" s="228"/>
      <c r="AI181" s="228"/>
      <c r="AJ181" s="228"/>
      <c r="AK181" s="228"/>
      <c r="AL181" s="228"/>
      <c r="AM181" s="228"/>
      <c r="AN181" s="228"/>
    </row>
    <row r="182" spans="1:40">
      <c r="A182" s="75">
        <f t="shared" si="3"/>
        <v>142</v>
      </c>
      <c r="B182" s="20"/>
      <c r="C182" s="223"/>
      <c r="D182" s="15"/>
      <c r="E182" s="20"/>
      <c r="F182" s="15"/>
      <c r="G182" s="15"/>
      <c r="H182" s="15"/>
      <c r="I182" s="15"/>
      <c r="J182" s="275"/>
      <c r="K182" s="15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  <c r="V182" s="228"/>
      <c r="W182" s="228"/>
      <c r="X182" s="228"/>
      <c r="Y182" s="228"/>
      <c r="Z182" s="228"/>
      <c r="AA182" s="228"/>
      <c r="AB182" s="228"/>
      <c r="AC182" s="228"/>
      <c r="AD182" s="228"/>
      <c r="AE182" s="228"/>
      <c r="AF182" s="228"/>
      <c r="AG182" s="228"/>
      <c r="AH182" s="228"/>
      <c r="AI182" s="228"/>
      <c r="AJ182" s="228"/>
      <c r="AK182" s="228"/>
      <c r="AL182" s="228"/>
      <c r="AM182" s="228"/>
      <c r="AN182" s="228"/>
    </row>
    <row r="183" spans="1:40" s="278" customFormat="1" ht="16" thickBot="1">
      <c r="A183" s="75">
        <f t="shared" si="3"/>
        <v>143</v>
      </c>
      <c r="B183" s="276"/>
      <c r="C183" s="277" t="s">
        <v>190</v>
      </c>
      <c r="D183" s="246" t="s">
        <v>184</v>
      </c>
      <c r="E183" s="15"/>
      <c r="F183" s="15"/>
      <c r="G183" s="15"/>
      <c r="H183" s="15"/>
      <c r="I183" s="15"/>
      <c r="J183" s="271" t="s">
        <v>185</v>
      </c>
      <c r="K183" s="15"/>
    </row>
    <row r="184" spans="1:40">
      <c r="A184" s="75">
        <f t="shared" si="3"/>
        <v>144</v>
      </c>
      <c r="B184" s="276"/>
      <c r="C184" s="164" t="s">
        <v>243</v>
      </c>
      <c r="D184" s="15" t="s">
        <v>333</v>
      </c>
      <c r="E184" s="15"/>
      <c r="F184" s="15"/>
      <c r="G184" s="15"/>
      <c r="H184" s="15"/>
      <c r="I184" s="15"/>
      <c r="J184" s="316">
        <v>20719991</v>
      </c>
      <c r="K184" s="15"/>
      <c r="L184" s="228"/>
      <c r="M184" s="228"/>
      <c r="N184" s="228"/>
      <c r="O184" s="228"/>
      <c r="P184" s="228"/>
      <c r="Q184" s="228"/>
      <c r="R184" s="228"/>
      <c r="S184" s="228"/>
      <c r="T184" s="228"/>
      <c r="U184" s="228"/>
      <c r="V184" s="228"/>
      <c r="W184" s="228"/>
      <c r="X184" s="228"/>
      <c r="Y184" s="228"/>
      <c r="Z184" s="228"/>
      <c r="AA184" s="228"/>
      <c r="AB184" s="228"/>
      <c r="AC184" s="228"/>
      <c r="AD184" s="228"/>
      <c r="AE184" s="228"/>
      <c r="AF184" s="228"/>
      <c r="AG184" s="228"/>
      <c r="AH184" s="228"/>
      <c r="AI184" s="228"/>
      <c r="AJ184" s="228"/>
      <c r="AK184" s="228"/>
      <c r="AL184" s="228"/>
      <c r="AM184" s="228"/>
      <c r="AN184" s="228"/>
    </row>
    <row r="185" spans="1:40">
      <c r="A185" s="75">
        <f t="shared" si="3"/>
        <v>145</v>
      </c>
      <c r="B185" s="278"/>
      <c r="C185" s="223"/>
      <c r="D185" s="15"/>
      <c r="E185" s="15"/>
      <c r="F185" s="15"/>
      <c r="G185" s="15"/>
      <c r="H185" s="15"/>
      <c r="I185" s="15"/>
      <c r="J185" s="15"/>
      <c r="K185" s="15"/>
      <c r="L185" s="228"/>
      <c r="M185" s="228"/>
      <c r="N185" s="228"/>
      <c r="O185" s="228"/>
      <c r="P185" s="228"/>
      <c r="Q185" s="228"/>
      <c r="R185" s="228"/>
      <c r="S185" s="228"/>
      <c r="T185" s="228"/>
      <c r="U185" s="228"/>
      <c r="V185" s="228"/>
      <c r="W185" s="228"/>
      <c r="X185" s="228"/>
      <c r="Y185" s="228"/>
      <c r="Z185" s="228"/>
      <c r="AA185" s="228"/>
      <c r="AB185" s="228"/>
      <c r="AC185" s="228"/>
      <c r="AD185" s="228"/>
      <c r="AE185" s="228"/>
      <c r="AF185" s="228"/>
      <c r="AG185" s="228"/>
      <c r="AH185" s="228"/>
      <c r="AI185" s="228"/>
      <c r="AJ185" s="228"/>
      <c r="AK185" s="228"/>
      <c r="AL185" s="228"/>
      <c r="AM185" s="228"/>
      <c r="AN185" s="228"/>
    </row>
    <row r="186" spans="1:40">
      <c r="A186" s="75">
        <f t="shared" si="3"/>
        <v>146</v>
      </c>
      <c r="B186" s="276"/>
      <c r="C186" s="223" t="s">
        <v>244</v>
      </c>
      <c r="D186" s="15" t="s">
        <v>245</v>
      </c>
      <c r="E186" s="15"/>
      <c r="F186" s="15"/>
      <c r="G186" s="15"/>
      <c r="H186" s="15"/>
      <c r="I186" s="15"/>
      <c r="J186" s="312">
        <v>0</v>
      </c>
      <c r="K186" s="15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228"/>
      <c r="AJ186" s="228"/>
      <c r="AK186" s="228"/>
      <c r="AL186" s="228"/>
      <c r="AM186" s="228"/>
      <c r="AN186" s="228"/>
    </row>
    <row r="187" spans="1:40">
      <c r="A187" s="75">
        <f t="shared" si="3"/>
        <v>147</v>
      </c>
      <c r="B187" s="276"/>
      <c r="C187" s="223"/>
      <c r="D187" s="15"/>
      <c r="E187" s="15"/>
      <c r="F187" s="15"/>
      <c r="G187" s="15"/>
      <c r="H187" s="15"/>
      <c r="I187" s="15"/>
      <c r="J187" s="15"/>
      <c r="K187" s="15"/>
      <c r="L187" s="228"/>
      <c r="M187" s="228"/>
      <c r="N187" s="228"/>
      <c r="O187" s="228"/>
      <c r="P187" s="228"/>
      <c r="Q187" s="228"/>
      <c r="R187" s="228"/>
      <c r="S187" s="228"/>
      <c r="T187" s="228"/>
      <c r="U187" s="228"/>
      <c r="V187" s="228"/>
      <c r="W187" s="228"/>
      <c r="X187" s="228"/>
      <c r="Y187" s="228"/>
      <c r="Z187" s="228"/>
      <c r="AA187" s="228"/>
      <c r="AB187" s="228"/>
      <c r="AC187" s="228"/>
      <c r="AD187" s="228"/>
      <c r="AE187" s="228"/>
      <c r="AF187" s="228"/>
      <c r="AG187" s="228"/>
      <c r="AH187" s="228"/>
      <c r="AI187" s="228"/>
      <c r="AJ187" s="228"/>
      <c r="AK187" s="228"/>
      <c r="AL187" s="228"/>
      <c r="AM187" s="228"/>
      <c r="AN187" s="228"/>
    </row>
    <row r="188" spans="1:40">
      <c r="A188" s="75">
        <f t="shared" si="3"/>
        <v>148</v>
      </c>
      <c r="B188" s="276"/>
      <c r="C188" s="277" t="s">
        <v>246</v>
      </c>
      <c r="D188" s="246" t="s">
        <v>184</v>
      </c>
      <c r="E188" s="15"/>
      <c r="F188" s="15"/>
      <c r="G188" s="15"/>
      <c r="H188" s="15"/>
      <c r="I188" s="15"/>
      <c r="J188" s="15"/>
      <c r="K188" s="15"/>
      <c r="L188" s="228"/>
      <c r="M188" s="228"/>
      <c r="N188" s="228"/>
      <c r="O188" s="228"/>
      <c r="P188" s="228"/>
      <c r="Q188" s="228"/>
      <c r="R188" s="228"/>
      <c r="S188" s="228"/>
      <c r="T188" s="228"/>
      <c r="U188" s="228"/>
      <c r="V188" s="228"/>
      <c r="W188" s="228"/>
      <c r="X188" s="228"/>
      <c r="Y188" s="228"/>
      <c r="Z188" s="228"/>
      <c r="AA188" s="228"/>
      <c r="AB188" s="228"/>
      <c r="AC188" s="228"/>
      <c r="AD188" s="228"/>
      <c r="AE188" s="228"/>
      <c r="AF188" s="228"/>
      <c r="AG188" s="228"/>
      <c r="AH188" s="228"/>
      <c r="AI188" s="228"/>
      <c r="AJ188" s="228"/>
      <c r="AK188" s="228"/>
      <c r="AL188" s="228"/>
      <c r="AM188" s="228"/>
      <c r="AN188" s="228"/>
    </row>
    <row r="189" spans="1:40">
      <c r="A189" s="75">
        <f t="shared" si="3"/>
        <v>149</v>
      </c>
      <c r="B189" s="276"/>
      <c r="C189" s="223" t="s">
        <v>13</v>
      </c>
      <c r="D189" s="15" t="s">
        <v>247</v>
      </c>
      <c r="E189" s="164"/>
      <c r="F189" s="15"/>
      <c r="G189" s="15"/>
      <c r="H189" s="15"/>
      <c r="I189" s="15"/>
      <c r="J189" s="312">
        <v>384662411</v>
      </c>
      <c r="K189" s="15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8"/>
      <c r="AD189" s="228"/>
      <c r="AE189" s="228"/>
      <c r="AF189" s="228"/>
      <c r="AG189" s="228"/>
      <c r="AH189" s="228"/>
      <c r="AI189" s="228"/>
      <c r="AJ189" s="228"/>
      <c r="AK189" s="228"/>
      <c r="AL189" s="228"/>
      <c r="AM189" s="228"/>
      <c r="AN189" s="228"/>
    </row>
    <row r="190" spans="1:40">
      <c r="A190" s="75">
        <f t="shared" si="3"/>
        <v>150</v>
      </c>
      <c r="B190" s="276"/>
      <c r="C190" s="223" t="s">
        <v>248</v>
      </c>
      <c r="D190" s="15" t="s">
        <v>249</v>
      </c>
      <c r="E190" s="15"/>
      <c r="F190" s="15"/>
      <c r="G190" s="15"/>
      <c r="H190" s="15"/>
      <c r="I190" s="15"/>
      <c r="J190" s="312">
        <v>0</v>
      </c>
      <c r="K190" s="15"/>
      <c r="L190" s="228"/>
      <c r="M190" s="228"/>
      <c r="N190" s="228"/>
      <c r="O190" s="228"/>
      <c r="P190" s="228"/>
      <c r="Q190" s="228"/>
      <c r="R190" s="228"/>
      <c r="S190" s="228"/>
      <c r="T190" s="228"/>
      <c r="U190" s="228"/>
      <c r="V190" s="228"/>
      <c r="W190" s="228"/>
      <c r="X190" s="228"/>
      <c r="Y190" s="228"/>
      <c r="Z190" s="228"/>
      <c r="AA190" s="228"/>
      <c r="AB190" s="228"/>
      <c r="AC190" s="228"/>
      <c r="AD190" s="228"/>
      <c r="AE190" s="228"/>
      <c r="AF190" s="228"/>
      <c r="AG190" s="228"/>
      <c r="AH190" s="228"/>
      <c r="AI190" s="228"/>
      <c r="AJ190" s="228"/>
      <c r="AK190" s="228"/>
      <c r="AL190" s="228"/>
      <c r="AM190" s="228"/>
      <c r="AN190" s="228"/>
    </row>
    <row r="191" spans="1:40">
      <c r="A191" s="75">
        <f t="shared" si="3"/>
        <v>151</v>
      </c>
      <c r="B191" s="276"/>
      <c r="C191" s="223" t="s">
        <v>250</v>
      </c>
      <c r="D191" s="15" t="s">
        <v>251</v>
      </c>
      <c r="E191" s="15"/>
      <c r="F191" s="15"/>
      <c r="G191" s="15"/>
      <c r="H191" s="15"/>
      <c r="I191" s="15"/>
      <c r="J191" s="316">
        <v>0</v>
      </c>
      <c r="K191" s="15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228"/>
      <c r="AJ191" s="228"/>
      <c r="AK191" s="228"/>
      <c r="AL191" s="228"/>
      <c r="AM191" s="228"/>
      <c r="AN191" s="228"/>
    </row>
    <row r="192" spans="1:40" ht="16" thickBot="1">
      <c r="A192" s="75">
        <f t="shared" si="3"/>
        <v>152</v>
      </c>
      <c r="B192" s="276"/>
      <c r="C192" s="223" t="s">
        <v>252</v>
      </c>
      <c r="D192" s="15" t="s">
        <v>253</v>
      </c>
      <c r="E192" s="15"/>
      <c r="F192" s="15"/>
      <c r="G192" s="15"/>
      <c r="H192" s="15"/>
      <c r="I192" s="15"/>
      <c r="J192" s="313">
        <v>1262188</v>
      </c>
      <c r="K192" s="15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8"/>
      <c r="AD192" s="228"/>
      <c r="AE192" s="228"/>
      <c r="AF192" s="228"/>
      <c r="AG192" s="228"/>
      <c r="AH192" s="228"/>
      <c r="AI192" s="228"/>
      <c r="AJ192" s="228"/>
      <c r="AK192" s="228"/>
      <c r="AL192" s="228"/>
      <c r="AM192" s="228"/>
      <c r="AN192" s="228"/>
    </row>
    <row r="193" spans="1:40">
      <c r="A193" s="75">
        <f t="shared" si="3"/>
        <v>153</v>
      </c>
      <c r="B193" s="276"/>
      <c r="C193" s="304" t="s">
        <v>254</v>
      </c>
      <c r="D193" s="15"/>
      <c r="E193" s="164" t="str">
        <f>"(sum lines "&amp;A189&amp;"-"&amp;A192&amp;")"</f>
        <v>(sum lines 149-152)</v>
      </c>
      <c r="F193" s="164"/>
      <c r="G193" s="164"/>
      <c r="H193" s="164"/>
      <c r="I193" s="164"/>
      <c r="J193" s="85">
        <f>SUM(J189:J192)</f>
        <v>385924599</v>
      </c>
      <c r="K193" s="15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228"/>
      <c r="AJ193" s="228"/>
      <c r="AK193" s="228"/>
      <c r="AL193" s="228"/>
      <c r="AM193" s="228"/>
      <c r="AN193" s="228"/>
    </row>
    <row r="194" spans="1:40">
      <c r="A194" s="75">
        <f t="shared" si="3"/>
        <v>154</v>
      </c>
      <c r="B194" s="20"/>
      <c r="C194" s="223"/>
      <c r="D194" s="15"/>
      <c r="E194" s="15"/>
      <c r="F194" s="15"/>
      <c r="G194" s="15"/>
      <c r="H194" s="266"/>
      <c r="I194" s="15"/>
      <c r="J194" s="15"/>
      <c r="K194" s="15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  <c r="V194" s="228"/>
      <c r="W194" s="228"/>
      <c r="X194" s="228"/>
      <c r="Y194" s="228"/>
      <c r="Z194" s="228"/>
      <c r="AA194" s="228"/>
      <c r="AB194" s="228"/>
      <c r="AC194" s="228"/>
      <c r="AD194" s="228"/>
      <c r="AE194" s="228"/>
      <c r="AF194" s="228"/>
      <c r="AG194" s="228"/>
      <c r="AH194" s="228"/>
      <c r="AI194" s="228"/>
      <c r="AJ194" s="228"/>
      <c r="AK194" s="228"/>
      <c r="AL194" s="228"/>
      <c r="AM194" s="228"/>
      <c r="AN194" s="228"/>
    </row>
    <row r="195" spans="1:40" ht="16" thickBot="1">
      <c r="A195" s="75">
        <f t="shared" si="3"/>
        <v>155</v>
      </c>
      <c r="B195" s="20"/>
      <c r="C195" s="223"/>
      <c r="D195" s="21" t="s">
        <v>184</v>
      </c>
      <c r="E195" s="279" t="s">
        <v>185</v>
      </c>
      <c r="F195" s="240" t="s">
        <v>192</v>
      </c>
      <c r="G195" s="15"/>
      <c r="H195" s="240" t="s">
        <v>191</v>
      </c>
      <c r="I195" s="15"/>
      <c r="J195" s="240" t="s">
        <v>193</v>
      </c>
      <c r="K195" s="15"/>
      <c r="L195" s="228"/>
      <c r="M195" s="228"/>
      <c r="N195" s="228"/>
      <c r="O195" s="228"/>
      <c r="P195" s="228"/>
      <c r="Q195" s="228"/>
      <c r="R195" s="228"/>
      <c r="S195" s="228"/>
      <c r="T195" s="228"/>
      <c r="U195" s="228"/>
      <c r="V195" s="228"/>
      <c r="W195" s="228"/>
      <c r="X195" s="228"/>
      <c r="Y195" s="228"/>
      <c r="Z195" s="228"/>
      <c r="AA195" s="228"/>
      <c r="AB195" s="228"/>
      <c r="AC195" s="228"/>
      <c r="AD195" s="228"/>
      <c r="AE195" s="228"/>
      <c r="AF195" s="228"/>
      <c r="AG195" s="228"/>
      <c r="AH195" s="228"/>
      <c r="AI195" s="228"/>
      <c r="AJ195" s="228"/>
      <c r="AK195" s="228"/>
      <c r="AL195" s="228"/>
      <c r="AM195" s="228"/>
      <c r="AN195" s="228"/>
    </row>
    <row r="196" spans="1:40">
      <c r="A196" s="75">
        <f t="shared" si="3"/>
        <v>156</v>
      </c>
      <c r="B196" s="20"/>
      <c r="C196" s="224" t="s">
        <v>241</v>
      </c>
      <c r="D196" s="305" t="s">
        <v>302</v>
      </c>
      <c r="E196" s="310">
        <v>342764610</v>
      </c>
      <c r="F196" s="306">
        <v>0.43</v>
      </c>
      <c r="G196" s="307"/>
      <c r="H196" s="317">
        <f>IF(E196&gt;0,+J184/E196,0)</f>
        <v>6.0449621680604658E-2</v>
      </c>
      <c r="I196" s="20"/>
      <c r="J196" s="299">
        <f>H196*F196</f>
        <v>2.5993337322660001E-2</v>
      </c>
      <c r="K196" s="280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  <c r="AL196" s="228"/>
      <c r="AM196" s="228"/>
      <c r="AN196" s="228"/>
    </row>
    <row r="197" spans="1:40">
      <c r="A197" s="75">
        <f t="shared" si="3"/>
        <v>157</v>
      </c>
      <c r="B197" s="20"/>
      <c r="C197" s="224" t="s">
        <v>242</v>
      </c>
      <c r="D197" s="239" t="s">
        <v>249</v>
      </c>
      <c r="E197" s="310"/>
      <c r="F197" s="306">
        <f>IF($E$199&gt;0,E197/$E$199,0)</f>
        <v>0</v>
      </c>
      <c r="G197" s="307"/>
      <c r="H197" s="299">
        <f>IF(E197&gt;0,J186/E197,0)</f>
        <v>0</v>
      </c>
      <c r="I197" s="20"/>
      <c r="J197" s="299">
        <f>H197*F197</f>
        <v>0</v>
      </c>
      <c r="K197" s="15"/>
      <c r="L197" s="228"/>
      <c r="M197" s="228"/>
      <c r="N197" s="228"/>
      <c r="O197" s="228"/>
      <c r="P197" s="228"/>
      <c r="Q197" s="228"/>
      <c r="R197" s="228"/>
      <c r="S197" s="228"/>
      <c r="T197" s="228"/>
      <c r="U197" s="228"/>
      <c r="V197" s="228"/>
      <c r="W197" s="228"/>
      <c r="X197" s="228"/>
      <c r="Y197" s="228"/>
      <c r="Z197" s="228"/>
      <c r="AA197" s="228"/>
      <c r="AB197" s="228"/>
      <c r="AC197" s="228"/>
      <c r="AD197" s="228"/>
      <c r="AE197" s="228"/>
      <c r="AF197" s="228"/>
      <c r="AG197" s="228"/>
      <c r="AH197" s="228"/>
      <c r="AI197" s="228"/>
      <c r="AJ197" s="228"/>
      <c r="AK197" s="228"/>
      <c r="AL197" s="228"/>
      <c r="AM197" s="228"/>
      <c r="AN197" s="228"/>
    </row>
    <row r="198" spans="1:40" ht="16" thickBot="1">
      <c r="A198" s="75">
        <f t="shared" si="3"/>
        <v>158</v>
      </c>
      <c r="B198" s="20"/>
      <c r="C198" s="304" t="s">
        <v>255</v>
      </c>
      <c r="D198" s="239" t="str">
        <f>"(see above line "&amp;A193&amp;")"</f>
        <v>(see above line 153)</v>
      </c>
      <c r="E198" s="21">
        <f>+J193</f>
        <v>385924599</v>
      </c>
      <c r="F198" s="306">
        <v>0.56999999999999995</v>
      </c>
      <c r="G198" s="20" t="s">
        <v>122</v>
      </c>
      <c r="H198" s="299">
        <v>0.108</v>
      </c>
      <c r="I198" s="20" t="s">
        <v>122</v>
      </c>
      <c r="J198" s="308">
        <f>H198*F198</f>
        <v>6.1559999999999997E-2</v>
      </c>
      <c r="K198" s="15"/>
      <c r="L198" s="228"/>
      <c r="M198" s="228"/>
      <c r="N198" s="228"/>
      <c r="O198" s="228"/>
      <c r="P198" s="228"/>
      <c r="Q198" s="228"/>
      <c r="R198" s="228"/>
      <c r="S198" s="228"/>
      <c r="T198" s="228"/>
      <c r="U198" s="228"/>
      <c r="V198" s="228"/>
      <c r="W198" s="228"/>
      <c r="X198" s="228"/>
      <c r="Y198" s="228"/>
      <c r="Z198" s="228"/>
      <c r="AA198" s="228"/>
      <c r="AB198" s="228"/>
      <c r="AC198" s="228"/>
      <c r="AD198" s="228"/>
      <c r="AE198" s="228"/>
      <c r="AF198" s="228"/>
      <c r="AG198" s="228"/>
      <c r="AH198" s="228"/>
      <c r="AI198" s="228"/>
      <c r="AJ198" s="228"/>
      <c r="AK198" s="228"/>
      <c r="AL198" s="228"/>
      <c r="AM198" s="228"/>
      <c r="AN198" s="228"/>
    </row>
    <row r="199" spans="1:40">
      <c r="A199" s="75">
        <f t="shared" si="3"/>
        <v>159</v>
      </c>
      <c r="B199" s="20"/>
      <c r="C199" s="223" t="str">
        <f>"Total  (sum lines "&amp;A196&amp;"-"&amp;A198&amp;")"</f>
        <v>Total  (sum lines 156-158)</v>
      </c>
      <c r="D199" s="20"/>
      <c r="E199" s="15">
        <f>E198+E197+E196</f>
        <v>728689209</v>
      </c>
      <c r="F199" s="15" t="s">
        <v>133</v>
      </c>
      <c r="G199" s="15"/>
      <c r="H199" s="15"/>
      <c r="I199" s="15" t="s">
        <v>271</v>
      </c>
      <c r="J199" s="299">
        <f>SUM(J196:J198)</f>
        <v>8.7553337322659991E-2</v>
      </c>
      <c r="K199" s="280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228"/>
      <c r="AJ199" s="228"/>
      <c r="AK199" s="228"/>
      <c r="AL199" s="228"/>
      <c r="AM199" s="228"/>
      <c r="AN199" s="228"/>
    </row>
    <row r="200" spans="1:40">
      <c r="A200" s="75"/>
      <c r="B200" s="20"/>
      <c r="C200" s="223"/>
      <c r="D200" s="20"/>
      <c r="E200" s="15"/>
      <c r="F200" s="15"/>
      <c r="G200" s="15"/>
      <c r="H200" s="15"/>
      <c r="I200" s="174" t="s">
        <v>325</v>
      </c>
      <c r="J200" s="309">
        <f>J1</f>
        <v>43373</v>
      </c>
      <c r="K200" s="280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  <c r="V200" s="228"/>
      <c r="W200" s="228"/>
      <c r="X200" s="228"/>
      <c r="Y200" s="228"/>
      <c r="Z200" s="228"/>
      <c r="AA200" s="228"/>
      <c r="AB200" s="228"/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8"/>
      <c r="AN200" s="228"/>
    </row>
    <row r="201" spans="1:40">
      <c r="A201" s="20"/>
      <c r="B201" s="20"/>
      <c r="C201" s="20"/>
      <c r="D201" s="20"/>
      <c r="E201" s="20"/>
      <c r="F201" s="15"/>
      <c r="G201" s="15"/>
      <c r="I201" s="227" t="str">
        <f>$I$2</f>
        <v>Service Year</v>
      </c>
      <c r="J201" s="164">
        <f>$J$2</f>
        <v>2019</v>
      </c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  <c r="AL201" s="228"/>
      <c r="AM201" s="228"/>
      <c r="AN201" s="228"/>
    </row>
    <row r="202" spans="1:40">
      <c r="A202" s="75"/>
      <c r="B202" s="20"/>
      <c r="C202" s="223"/>
      <c r="D202" s="164"/>
      <c r="E202" s="15"/>
      <c r="F202" s="15"/>
      <c r="G202" s="15"/>
      <c r="H202" s="15"/>
      <c r="I202" s="164"/>
      <c r="J202" s="15"/>
      <c r="K202" s="164"/>
      <c r="L202" s="228"/>
      <c r="M202" s="228"/>
      <c r="N202" s="228"/>
      <c r="O202" s="228"/>
      <c r="P202" s="228"/>
      <c r="Q202" s="228"/>
      <c r="R202" s="228"/>
      <c r="S202" s="228"/>
      <c r="T202" s="228"/>
      <c r="U202" s="228"/>
      <c r="V202" s="228"/>
      <c r="W202" s="228"/>
      <c r="X202" s="228"/>
      <c r="Y202" s="228"/>
      <c r="Z202" s="228"/>
      <c r="AA202" s="228"/>
      <c r="AB202" s="228"/>
      <c r="AC202" s="228"/>
      <c r="AD202" s="228"/>
      <c r="AE202" s="228"/>
      <c r="AF202" s="228"/>
      <c r="AG202" s="228"/>
      <c r="AH202" s="228"/>
      <c r="AI202" s="228"/>
      <c r="AJ202" s="228"/>
      <c r="AK202" s="228"/>
      <c r="AL202" s="228"/>
      <c r="AM202" s="228"/>
      <c r="AN202" s="228"/>
    </row>
    <row r="203" spans="1:40">
      <c r="A203" s="333" t="s">
        <v>239</v>
      </c>
      <c r="B203" s="333"/>
      <c r="C203" s="333"/>
      <c r="D203" s="333"/>
      <c r="E203" s="333"/>
      <c r="F203" s="333"/>
      <c r="G203" s="333"/>
      <c r="H203" s="333"/>
      <c r="I203" s="333"/>
      <c r="J203" s="333"/>
      <c r="K203" s="333"/>
      <c r="L203" s="228"/>
      <c r="M203" s="228"/>
      <c r="N203" s="228"/>
      <c r="O203" s="228"/>
      <c r="P203" s="228"/>
      <c r="Q203" s="228"/>
      <c r="R203" s="228"/>
      <c r="S203" s="228"/>
      <c r="T203" s="228"/>
      <c r="U203" s="228"/>
      <c r="V203" s="228"/>
      <c r="W203" s="228"/>
      <c r="X203" s="228"/>
      <c r="Y203" s="228"/>
      <c r="Z203" s="228"/>
      <c r="AA203" s="228"/>
      <c r="AB203" s="228"/>
      <c r="AC203" s="228"/>
      <c r="AD203" s="228"/>
      <c r="AE203" s="228"/>
      <c r="AF203" s="228"/>
      <c r="AG203" s="228"/>
      <c r="AH203" s="228"/>
      <c r="AI203" s="228"/>
      <c r="AJ203" s="228"/>
      <c r="AK203" s="228"/>
      <c r="AL203" s="228"/>
      <c r="AM203" s="228"/>
      <c r="AN203" s="228"/>
    </row>
    <row r="204" spans="1:40">
      <c r="A204" s="334" t="s">
        <v>134</v>
      </c>
      <c r="B204" s="334"/>
      <c r="C204" s="334"/>
      <c r="D204" s="334"/>
      <c r="E204" s="334"/>
      <c r="F204" s="334"/>
      <c r="G204" s="334"/>
      <c r="H204" s="334"/>
      <c r="I204" s="334"/>
      <c r="J204" s="334"/>
      <c r="K204" s="334"/>
      <c r="L204" s="228"/>
      <c r="M204" s="228"/>
      <c r="N204" s="228"/>
      <c r="O204" s="228"/>
      <c r="P204" s="228"/>
      <c r="Q204" s="228"/>
      <c r="R204" s="228"/>
      <c r="S204" s="228"/>
      <c r="T204" s="228"/>
      <c r="U204" s="228"/>
      <c r="V204" s="228"/>
      <c r="W204" s="228"/>
      <c r="X204" s="228"/>
      <c r="Y204" s="228"/>
      <c r="Z204" s="228"/>
      <c r="AA204" s="228"/>
      <c r="AB204" s="228"/>
      <c r="AC204" s="228"/>
      <c r="AD204" s="228"/>
      <c r="AE204" s="228"/>
      <c r="AF204" s="228"/>
      <c r="AG204" s="228"/>
      <c r="AH204" s="228"/>
      <c r="AI204" s="228"/>
      <c r="AJ204" s="228"/>
      <c r="AK204" s="228"/>
      <c r="AL204" s="228"/>
      <c r="AM204" s="228"/>
      <c r="AN204" s="228"/>
    </row>
    <row r="205" spans="1:40">
      <c r="A205" s="20"/>
      <c r="B205" s="20"/>
      <c r="C205" s="164"/>
      <c r="D205" s="164"/>
      <c r="F205" s="164"/>
      <c r="G205" s="164"/>
      <c r="H205" s="164"/>
      <c r="I205" s="164"/>
      <c r="J205" s="164"/>
      <c r="K205" s="164"/>
      <c r="L205" s="228"/>
      <c r="M205" s="228"/>
      <c r="N205" s="228"/>
      <c r="O205" s="228"/>
      <c r="P205" s="228"/>
      <c r="Q205" s="228"/>
      <c r="R205" s="228"/>
      <c r="S205" s="228"/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228"/>
      <c r="AJ205" s="228"/>
      <c r="AK205" s="228"/>
      <c r="AL205" s="228"/>
      <c r="AM205" s="228"/>
      <c r="AN205" s="228"/>
    </row>
    <row r="206" spans="1:40">
      <c r="A206" s="332" t="s">
        <v>238</v>
      </c>
      <c r="B206" s="332"/>
      <c r="C206" s="332"/>
      <c r="D206" s="332"/>
      <c r="E206" s="332"/>
      <c r="F206" s="332"/>
      <c r="G206" s="332"/>
      <c r="H206" s="332"/>
      <c r="I206" s="332"/>
      <c r="J206" s="332"/>
      <c r="K206" s="332"/>
      <c r="L206" s="228"/>
      <c r="M206" s="228"/>
      <c r="N206" s="228"/>
      <c r="O206" s="228"/>
      <c r="P206" s="228"/>
      <c r="Q206" s="228"/>
      <c r="R206" s="228"/>
      <c r="S206" s="228"/>
      <c r="T206" s="228"/>
      <c r="U206" s="228"/>
      <c r="V206" s="228"/>
      <c r="W206" s="228"/>
      <c r="X206" s="228"/>
      <c r="Y206" s="228"/>
      <c r="Z206" s="228"/>
      <c r="AA206" s="228"/>
      <c r="AB206" s="228"/>
      <c r="AC206" s="228"/>
      <c r="AD206" s="228"/>
      <c r="AE206" s="228"/>
      <c r="AF206" s="228"/>
      <c r="AG206" s="228"/>
      <c r="AH206" s="228"/>
      <c r="AI206" s="228"/>
      <c r="AJ206" s="228"/>
      <c r="AK206" s="228"/>
      <c r="AL206" s="228"/>
      <c r="AM206" s="228"/>
      <c r="AN206" s="228"/>
    </row>
    <row r="207" spans="1:40">
      <c r="A207" s="75"/>
      <c r="B207" s="19"/>
      <c r="C207" s="281"/>
      <c r="D207" s="75"/>
      <c r="E207" s="15"/>
      <c r="F207" s="15"/>
      <c r="G207" s="15"/>
      <c r="H207" s="15"/>
      <c r="I207" s="19"/>
      <c r="J207" s="282"/>
      <c r="K207" s="283"/>
      <c r="L207" s="228"/>
      <c r="M207" s="228"/>
      <c r="N207" s="228"/>
      <c r="O207" s="228"/>
      <c r="P207" s="228"/>
      <c r="Q207" s="228"/>
      <c r="R207" s="228"/>
      <c r="S207" s="228"/>
      <c r="T207" s="228"/>
      <c r="U207" s="228"/>
      <c r="V207" s="228"/>
      <c r="W207" s="228"/>
      <c r="X207" s="228"/>
      <c r="Y207" s="228"/>
      <c r="Z207" s="228"/>
      <c r="AA207" s="228"/>
      <c r="AB207" s="228"/>
      <c r="AC207" s="228"/>
      <c r="AD207" s="228"/>
      <c r="AE207" s="228"/>
      <c r="AF207" s="228"/>
      <c r="AG207" s="228"/>
      <c r="AH207" s="228"/>
      <c r="AI207" s="228"/>
      <c r="AJ207" s="228"/>
      <c r="AK207" s="228"/>
      <c r="AL207" s="228"/>
      <c r="AM207" s="228"/>
      <c r="AN207" s="228"/>
    </row>
    <row r="208" spans="1:40">
      <c r="A208" s="75"/>
      <c r="B208" s="19"/>
      <c r="C208" s="224"/>
      <c r="D208" s="75"/>
      <c r="E208" s="15"/>
      <c r="F208" s="15"/>
      <c r="G208" s="15"/>
      <c r="H208" s="15"/>
      <c r="I208" s="19"/>
      <c r="J208" s="15"/>
      <c r="K208" s="19"/>
      <c r="L208" s="228"/>
      <c r="M208" s="228"/>
      <c r="N208" s="228"/>
      <c r="O208" s="228"/>
      <c r="P208" s="228"/>
      <c r="Q208" s="228"/>
      <c r="R208" s="228"/>
      <c r="S208" s="228"/>
      <c r="T208" s="228"/>
      <c r="U208" s="228"/>
      <c r="V208" s="228"/>
      <c r="W208" s="228"/>
      <c r="X208" s="228"/>
      <c r="Y208" s="228"/>
      <c r="Z208" s="228"/>
      <c r="AA208" s="228"/>
      <c r="AB208" s="228"/>
      <c r="AC208" s="228"/>
      <c r="AD208" s="228"/>
      <c r="AE208" s="228"/>
      <c r="AF208" s="228"/>
      <c r="AG208" s="228"/>
      <c r="AH208" s="228"/>
      <c r="AI208" s="228"/>
      <c r="AJ208" s="228"/>
      <c r="AK208" s="228"/>
      <c r="AL208" s="228"/>
      <c r="AM208" s="228"/>
      <c r="AN208" s="228"/>
    </row>
    <row r="209" spans="1:40">
      <c r="A209" s="75" t="s">
        <v>194</v>
      </c>
      <c r="B209" s="19"/>
      <c r="C209" s="224"/>
      <c r="D209" s="19"/>
      <c r="E209" s="15"/>
      <c r="F209" s="15"/>
      <c r="G209" s="15"/>
      <c r="H209" s="15"/>
      <c r="I209" s="19"/>
      <c r="J209" s="15"/>
      <c r="K209" s="19"/>
      <c r="L209" s="228"/>
      <c r="M209" s="228"/>
      <c r="N209" s="228"/>
      <c r="O209" s="228"/>
      <c r="P209" s="228"/>
      <c r="Q209" s="228"/>
      <c r="R209" s="228"/>
      <c r="S209" s="228"/>
      <c r="T209" s="228"/>
      <c r="U209" s="228"/>
      <c r="V209" s="228"/>
      <c r="W209" s="228"/>
      <c r="X209" s="228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228"/>
      <c r="AJ209" s="228"/>
      <c r="AK209" s="228"/>
      <c r="AL209" s="228"/>
      <c r="AM209" s="228"/>
      <c r="AN209" s="228"/>
    </row>
    <row r="210" spans="1:40" ht="16" thickBot="1">
      <c r="A210" s="240" t="s">
        <v>195</v>
      </c>
      <c r="B210" s="19"/>
      <c r="C210" s="224"/>
      <c r="D210" s="19"/>
      <c r="E210" s="15"/>
      <c r="F210" s="15"/>
      <c r="G210" s="15"/>
      <c r="H210" s="15"/>
      <c r="I210" s="19"/>
      <c r="J210" s="15"/>
      <c r="K210" s="19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228"/>
      <c r="AJ210" s="228"/>
      <c r="AK210" s="228"/>
      <c r="AL210" s="228"/>
      <c r="AM210" s="228"/>
      <c r="AN210" s="228"/>
    </row>
    <row r="211" spans="1:40">
      <c r="A211" s="75"/>
      <c r="B211" s="19"/>
      <c r="C211" s="224"/>
      <c r="D211" s="19"/>
      <c r="E211" s="15"/>
      <c r="F211" s="15"/>
      <c r="G211" s="15"/>
      <c r="H211" s="15"/>
      <c r="I211" s="19"/>
      <c r="J211" s="15"/>
      <c r="K211" s="19"/>
      <c r="L211" s="228"/>
      <c r="M211" s="228"/>
      <c r="N211" s="228"/>
      <c r="O211" s="228"/>
      <c r="P211" s="228"/>
      <c r="Q211" s="228"/>
      <c r="R211" s="228"/>
      <c r="S211" s="228"/>
      <c r="T211" s="228"/>
      <c r="U211" s="228"/>
      <c r="V211" s="228"/>
      <c r="W211" s="228"/>
      <c r="X211" s="228"/>
      <c r="Y211" s="228"/>
      <c r="Z211" s="228"/>
      <c r="AA211" s="228"/>
      <c r="AB211" s="228"/>
      <c r="AC211" s="228"/>
      <c r="AD211" s="228"/>
      <c r="AE211" s="228"/>
      <c r="AF211" s="228"/>
      <c r="AG211" s="228"/>
      <c r="AH211" s="228"/>
      <c r="AI211" s="228"/>
      <c r="AJ211" s="228"/>
      <c r="AK211" s="228"/>
      <c r="AL211" s="228"/>
      <c r="AM211" s="228"/>
      <c r="AN211" s="228"/>
    </row>
    <row r="212" spans="1:40">
      <c r="A212" s="20"/>
      <c r="B212" s="20"/>
      <c r="C212" s="20"/>
      <c r="D212" s="20"/>
      <c r="E212" s="20"/>
      <c r="F212" s="20"/>
      <c r="G212" s="20"/>
      <c r="H212" s="20"/>
      <c r="I212" s="20"/>
      <c r="J212" s="19"/>
      <c r="K212" s="19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228"/>
      <c r="AJ212" s="228"/>
      <c r="AK212" s="228"/>
      <c r="AL212" s="228"/>
      <c r="AM212" s="228"/>
      <c r="AN212" s="228"/>
    </row>
    <row r="213" spans="1:40">
      <c r="A213" s="75" t="s">
        <v>196</v>
      </c>
      <c r="B213" s="19"/>
      <c r="C213" s="19" t="s">
        <v>273</v>
      </c>
      <c r="D213" s="19"/>
      <c r="E213" s="19"/>
      <c r="F213" s="19"/>
      <c r="G213" s="19"/>
      <c r="H213" s="19"/>
      <c r="I213" s="19"/>
      <c r="J213" s="19"/>
      <c r="K213" s="19"/>
      <c r="L213" s="228"/>
      <c r="M213" s="228"/>
      <c r="N213" s="228"/>
      <c r="O213" s="228"/>
      <c r="P213" s="228"/>
      <c r="Q213" s="228"/>
      <c r="R213" s="228"/>
      <c r="S213" s="228"/>
      <c r="T213" s="228"/>
      <c r="U213" s="228"/>
      <c r="V213" s="228"/>
      <c r="W213" s="228"/>
      <c r="X213" s="228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228"/>
      <c r="AJ213" s="228"/>
      <c r="AK213" s="228"/>
      <c r="AL213" s="228"/>
      <c r="AM213" s="228"/>
      <c r="AN213" s="228"/>
    </row>
    <row r="214" spans="1:40">
      <c r="A214" s="75"/>
      <c r="B214" s="19"/>
      <c r="C214" s="19" t="s">
        <v>50</v>
      </c>
      <c r="D214" s="19"/>
      <c r="E214" s="19"/>
      <c r="F214" s="19"/>
      <c r="G214" s="19"/>
      <c r="H214" s="19"/>
      <c r="I214" s="19"/>
      <c r="J214" s="19"/>
      <c r="K214" s="19"/>
      <c r="L214" s="228"/>
      <c r="M214" s="228"/>
      <c r="N214" s="228"/>
      <c r="O214" s="228"/>
      <c r="P214" s="228"/>
      <c r="Q214" s="228"/>
      <c r="R214" s="228"/>
      <c r="S214" s="228"/>
      <c r="T214" s="228"/>
      <c r="U214" s="228"/>
      <c r="V214" s="228"/>
      <c r="W214" s="228"/>
      <c r="X214" s="228"/>
      <c r="Y214" s="228"/>
      <c r="Z214" s="228"/>
      <c r="AA214" s="228"/>
      <c r="AB214" s="228"/>
      <c r="AC214" s="228"/>
      <c r="AD214" s="228"/>
      <c r="AE214" s="228"/>
      <c r="AF214" s="228"/>
      <c r="AG214" s="228"/>
      <c r="AH214" s="228"/>
      <c r="AI214" s="228"/>
      <c r="AJ214" s="228"/>
      <c r="AK214" s="228"/>
      <c r="AL214" s="228"/>
      <c r="AM214" s="228"/>
      <c r="AN214" s="228"/>
    </row>
    <row r="215" spans="1:40">
      <c r="A215" s="75"/>
      <c r="B215" s="19"/>
      <c r="C215" s="19" t="s">
        <v>78</v>
      </c>
      <c r="D215" s="19"/>
      <c r="E215" s="19"/>
      <c r="F215" s="19"/>
      <c r="G215" s="19"/>
      <c r="H215" s="19"/>
      <c r="I215" s="19"/>
      <c r="J215" s="19"/>
      <c r="K215" s="19"/>
      <c r="L215" s="228"/>
      <c r="M215" s="228"/>
      <c r="N215" s="228"/>
      <c r="O215" s="228"/>
      <c r="P215" s="228"/>
      <c r="Q215" s="228"/>
      <c r="R215" s="228"/>
      <c r="S215" s="228"/>
      <c r="T215" s="228"/>
      <c r="U215" s="228"/>
      <c r="V215" s="228"/>
      <c r="W215" s="228"/>
      <c r="X215" s="228"/>
      <c r="Y215" s="228"/>
      <c r="Z215" s="228"/>
      <c r="AA215" s="228"/>
      <c r="AB215" s="228"/>
      <c r="AC215" s="228"/>
      <c r="AD215" s="228"/>
      <c r="AE215" s="228"/>
      <c r="AF215" s="228"/>
      <c r="AG215" s="228"/>
      <c r="AH215" s="228"/>
      <c r="AI215" s="228"/>
      <c r="AJ215" s="228"/>
      <c r="AK215" s="228"/>
      <c r="AL215" s="228"/>
      <c r="AM215" s="228"/>
      <c r="AN215" s="228"/>
    </row>
    <row r="216" spans="1:40">
      <c r="A216" s="75" t="s">
        <v>197</v>
      </c>
      <c r="B216" s="19"/>
      <c r="C216" s="19" t="s">
        <v>203</v>
      </c>
      <c r="D216" s="19"/>
      <c r="E216" s="19"/>
      <c r="F216" s="19"/>
      <c r="G216" s="19"/>
      <c r="H216" s="19"/>
      <c r="I216" s="19"/>
      <c r="J216" s="19"/>
      <c r="K216" s="19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  <c r="V216" s="228"/>
      <c r="W216" s="228"/>
      <c r="X216" s="228"/>
      <c r="Y216" s="228"/>
      <c r="Z216" s="228"/>
      <c r="AA216" s="228"/>
      <c r="AB216" s="228"/>
      <c r="AC216" s="228"/>
      <c r="AD216" s="228"/>
      <c r="AE216" s="228"/>
      <c r="AF216" s="228"/>
      <c r="AG216" s="228"/>
      <c r="AH216" s="228"/>
      <c r="AI216" s="228"/>
      <c r="AJ216" s="228"/>
      <c r="AK216" s="228"/>
      <c r="AL216" s="228"/>
      <c r="AM216" s="228"/>
      <c r="AN216" s="228"/>
    </row>
    <row r="217" spans="1:40">
      <c r="A217" s="75" t="s">
        <v>198</v>
      </c>
      <c r="B217" s="19"/>
      <c r="C217" s="19" t="s">
        <v>42</v>
      </c>
      <c r="D217" s="19"/>
      <c r="E217" s="19"/>
      <c r="F217" s="19"/>
      <c r="G217" s="19"/>
      <c r="H217" s="19"/>
      <c r="I217" s="19"/>
      <c r="J217" s="19"/>
      <c r="K217" s="19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  <c r="AK217" s="228"/>
      <c r="AL217" s="228"/>
      <c r="AM217" s="228"/>
      <c r="AN217" s="228"/>
    </row>
    <row r="218" spans="1:40">
      <c r="A218" s="75" t="s">
        <v>199</v>
      </c>
      <c r="B218" s="19"/>
      <c r="C218" s="19" t="s">
        <v>51</v>
      </c>
      <c r="D218" s="19"/>
      <c r="E218" s="19"/>
      <c r="F218" s="19"/>
      <c r="G218" s="19"/>
      <c r="H218" s="19"/>
      <c r="I218" s="19"/>
      <c r="J218" s="19"/>
      <c r="K218" s="19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  <c r="AK218" s="228"/>
      <c r="AL218" s="228"/>
      <c r="AM218" s="228"/>
      <c r="AN218" s="228"/>
    </row>
    <row r="219" spans="1:40">
      <c r="A219" s="75" t="s">
        <v>200</v>
      </c>
      <c r="B219" s="19"/>
      <c r="C219" s="19" t="s">
        <v>307</v>
      </c>
      <c r="D219" s="19"/>
      <c r="E219" s="19"/>
      <c r="F219" s="19"/>
      <c r="G219" s="19"/>
      <c r="H219" s="19"/>
      <c r="I219" s="19"/>
      <c r="J219" s="19"/>
      <c r="K219" s="19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228"/>
      <c r="AJ219" s="228"/>
      <c r="AK219" s="228"/>
      <c r="AL219" s="228"/>
      <c r="AM219" s="228"/>
      <c r="AN219" s="228"/>
    </row>
    <row r="220" spans="1:40">
      <c r="A220" s="75"/>
      <c r="B220" s="19"/>
      <c r="C220" s="20" t="s">
        <v>100</v>
      </c>
      <c r="D220" s="19"/>
      <c r="E220" s="19"/>
      <c r="F220" s="19"/>
      <c r="G220" s="19"/>
      <c r="H220" s="19"/>
      <c r="I220" s="19"/>
      <c r="J220" s="19"/>
      <c r="K220" s="19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  <c r="AK220" s="228"/>
      <c r="AL220" s="228"/>
      <c r="AM220" s="228"/>
      <c r="AN220" s="228"/>
    </row>
    <row r="221" spans="1:40">
      <c r="A221" s="75" t="s">
        <v>201</v>
      </c>
      <c r="B221" s="19"/>
      <c r="C221" s="19" t="s">
        <v>206</v>
      </c>
      <c r="D221" s="19"/>
      <c r="E221" s="19"/>
      <c r="F221" s="19"/>
      <c r="G221" s="19"/>
      <c r="H221" s="19"/>
      <c r="I221" s="19"/>
      <c r="J221" s="19"/>
      <c r="K221" s="19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  <c r="AK221" s="228"/>
      <c r="AL221" s="228"/>
      <c r="AM221" s="228"/>
      <c r="AN221" s="228"/>
    </row>
    <row r="222" spans="1:40">
      <c r="A222" s="75"/>
      <c r="B222" s="19"/>
      <c r="C222" s="19" t="s">
        <v>132</v>
      </c>
      <c r="D222" s="19"/>
      <c r="E222" s="19"/>
      <c r="F222" s="19"/>
      <c r="G222" s="19"/>
      <c r="H222" s="19"/>
      <c r="I222" s="19"/>
      <c r="J222" s="19"/>
      <c r="K222" s="19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  <c r="AK222" s="228"/>
      <c r="AL222" s="228"/>
      <c r="AM222" s="228"/>
      <c r="AN222" s="228"/>
    </row>
    <row r="223" spans="1:40">
      <c r="A223" s="75"/>
      <c r="B223" s="19"/>
      <c r="C223" s="19" t="s">
        <v>229</v>
      </c>
      <c r="D223" s="19"/>
      <c r="E223" s="19"/>
      <c r="F223" s="19"/>
      <c r="G223" s="19"/>
      <c r="H223" s="19"/>
      <c r="I223" s="19"/>
      <c r="J223" s="19"/>
      <c r="K223" s="19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  <c r="AK223" s="228"/>
      <c r="AL223" s="228"/>
      <c r="AM223" s="228"/>
      <c r="AN223" s="228"/>
    </row>
    <row r="224" spans="1:40">
      <c r="A224" s="75" t="s">
        <v>202</v>
      </c>
      <c r="B224" s="19"/>
      <c r="C224" s="19" t="s">
        <v>213</v>
      </c>
      <c r="D224" s="19"/>
      <c r="E224" s="19"/>
      <c r="F224" s="19"/>
      <c r="G224" s="19"/>
      <c r="H224" s="19"/>
      <c r="I224" s="19"/>
      <c r="J224" s="19"/>
      <c r="K224" s="19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  <c r="AK224" s="228"/>
      <c r="AL224" s="228"/>
      <c r="AM224" s="228"/>
      <c r="AN224" s="228"/>
    </row>
    <row r="225" spans="1:40">
      <c r="A225" s="75"/>
      <c r="B225" s="19"/>
      <c r="C225" s="19" t="s">
        <v>215</v>
      </c>
      <c r="D225" s="19"/>
      <c r="E225" s="19"/>
      <c r="F225" s="19"/>
      <c r="G225" s="19"/>
      <c r="H225" s="19"/>
      <c r="I225" s="19"/>
      <c r="J225" s="19"/>
      <c r="K225" s="19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8"/>
      <c r="AL225" s="228"/>
      <c r="AM225" s="228"/>
      <c r="AN225" s="228"/>
    </row>
    <row r="226" spans="1:40">
      <c r="A226" s="75"/>
      <c r="B226" s="19"/>
      <c r="C226" s="19" t="s">
        <v>216</v>
      </c>
      <c r="D226" s="19"/>
      <c r="E226" s="19"/>
      <c r="F226" s="19"/>
      <c r="G226" s="19"/>
      <c r="H226" s="19"/>
      <c r="I226" s="19"/>
      <c r="J226" s="19"/>
      <c r="K226" s="19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  <c r="AK226" s="228"/>
      <c r="AL226" s="228"/>
      <c r="AM226" s="228"/>
      <c r="AN226" s="228"/>
    </row>
    <row r="227" spans="1:40">
      <c r="A227" s="75"/>
      <c r="B227" s="19"/>
      <c r="C227" s="19" t="s">
        <v>217</v>
      </c>
      <c r="D227" s="19"/>
      <c r="E227" s="19"/>
      <c r="F227" s="19"/>
      <c r="G227" s="19"/>
      <c r="H227" s="19"/>
      <c r="I227" s="19"/>
      <c r="J227" s="19"/>
      <c r="K227" s="19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  <c r="AK227" s="228"/>
      <c r="AL227" s="228"/>
      <c r="AM227" s="228"/>
      <c r="AN227" s="228"/>
    </row>
    <row r="228" spans="1:40">
      <c r="A228" s="75"/>
      <c r="B228" s="19"/>
      <c r="C228" s="19" t="s">
        <v>218</v>
      </c>
      <c r="D228" s="19"/>
      <c r="E228" s="19"/>
      <c r="F228" s="19"/>
      <c r="G228" s="19"/>
      <c r="H228" s="19"/>
      <c r="I228" s="19"/>
      <c r="J228" s="19"/>
      <c r="K228" s="19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  <c r="AK228" s="228"/>
      <c r="AL228" s="228"/>
      <c r="AM228" s="228"/>
      <c r="AN228" s="228"/>
    </row>
    <row r="229" spans="1:40">
      <c r="A229" s="75"/>
      <c r="B229" s="19"/>
      <c r="C229" s="19" t="s">
        <v>79</v>
      </c>
      <c r="D229" s="19"/>
      <c r="E229" s="19"/>
      <c r="F229" s="19"/>
      <c r="G229" s="19"/>
      <c r="H229" s="19"/>
      <c r="I229" s="19"/>
      <c r="J229" s="19"/>
      <c r="K229" s="19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  <c r="AK229" s="228"/>
      <c r="AL229" s="228"/>
      <c r="AM229" s="228"/>
      <c r="AN229" s="228"/>
    </row>
    <row r="230" spans="1:40">
      <c r="A230" s="75" t="s">
        <v>133</v>
      </c>
      <c r="B230" s="19"/>
      <c r="C230" s="19" t="s">
        <v>226</v>
      </c>
      <c r="D230" s="19" t="s">
        <v>219</v>
      </c>
      <c r="E230" s="328">
        <v>0.21</v>
      </c>
      <c r="F230" s="19"/>
      <c r="G230" s="19"/>
      <c r="H230" s="19"/>
      <c r="I230" s="19"/>
      <c r="J230" s="19"/>
      <c r="K230" s="19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  <c r="AK230" s="228"/>
      <c r="AL230" s="228"/>
      <c r="AM230" s="228"/>
      <c r="AN230" s="228"/>
    </row>
    <row r="231" spans="1:40">
      <c r="A231" s="75"/>
      <c r="B231" s="19"/>
      <c r="C231" s="19"/>
      <c r="D231" s="19" t="s">
        <v>220</v>
      </c>
      <c r="E231" s="284">
        <v>0</v>
      </c>
      <c r="F231" s="19" t="s">
        <v>221</v>
      </c>
      <c r="G231" s="19"/>
      <c r="H231" s="19"/>
      <c r="I231" s="19"/>
      <c r="J231" s="19"/>
      <c r="K231" s="19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  <c r="AK231" s="228"/>
      <c r="AL231" s="228"/>
      <c r="AM231" s="228"/>
      <c r="AN231" s="228"/>
    </row>
    <row r="232" spans="1:40">
      <c r="A232" s="75"/>
      <c r="B232" s="19"/>
      <c r="C232" s="19"/>
      <c r="D232" s="19" t="s">
        <v>222</v>
      </c>
      <c r="E232" s="284">
        <v>0</v>
      </c>
      <c r="F232" s="19" t="s">
        <v>223</v>
      </c>
      <c r="G232" s="19"/>
      <c r="H232" s="19"/>
      <c r="I232" s="19"/>
      <c r="J232" s="19"/>
      <c r="K232" s="19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  <c r="AK232" s="228"/>
      <c r="AL232" s="228"/>
      <c r="AM232" s="228"/>
      <c r="AN232" s="228"/>
    </row>
    <row r="233" spans="1:40">
      <c r="A233" s="285" t="s">
        <v>204</v>
      </c>
      <c r="B233" s="20"/>
      <c r="C233" s="20" t="s">
        <v>368</v>
      </c>
      <c r="D233" s="20"/>
      <c r="E233" s="20"/>
      <c r="F233" s="20"/>
      <c r="G233" s="20"/>
      <c r="H233" s="20"/>
      <c r="I233" s="20"/>
      <c r="J233" s="20"/>
      <c r="K233" s="20"/>
    </row>
    <row r="234" spans="1:40" ht="15" customHeight="1">
      <c r="A234" s="286" t="s">
        <v>205</v>
      </c>
      <c r="C234" s="224" t="s">
        <v>32</v>
      </c>
    </row>
  </sheetData>
  <mergeCells count="13">
    <mergeCell ref="A203:K203"/>
    <mergeCell ref="A204:K204"/>
    <mergeCell ref="A206:K206"/>
    <mergeCell ref="A131:K131"/>
    <mergeCell ref="A126:K126"/>
    <mergeCell ref="A127:K127"/>
    <mergeCell ref="A129:K129"/>
    <mergeCell ref="A74:K74"/>
    <mergeCell ref="A4:K4"/>
    <mergeCell ref="A5:K5"/>
    <mergeCell ref="A7:K7"/>
    <mergeCell ref="A71:K71"/>
    <mergeCell ref="A72:K72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16"/>
  <sheetViews>
    <sheetView zoomScaleNormal="100" workbookViewId="0">
      <selection activeCell="D59" sqref="D59:D60"/>
    </sheetView>
  </sheetViews>
  <sheetFormatPr defaultColWidth="7.07421875" defaultRowHeight="12.5"/>
  <cols>
    <col min="1" max="1" width="3.4609375" style="38" customWidth="1"/>
    <col min="2" max="2" width="4.07421875" style="38" customWidth="1"/>
    <col min="3" max="3" width="1.84375" style="38" customWidth="1"/>
    <col min="4" max="4" width="44.921875" style="41" customWidth="1"/>
    <col min="5" max="5" width="11.53515625" style="41" bestFit="1" customWidth="1"/>
    <col min="6" max="6" width="10.921875" style="38" customWidth="1"/>
    <col min="7" max="7" width="9.4609375" style="38" customWidth="1"/>
    <col min="8" max="8" width="11.3828125" style="38" customWidth="1"/>
    <col min="9" max="16384" width="7.07421875" style="38"/>
  </cols>
  <sheetData>
    <row r="1" spans="2:7">
      <c r="F1" s="338" t="s">
        <v>349</v>
      </c>
      <c r="G1" s="338"/>
    </row>
    <row r="2" spans="2:7" ht="43.5" customHeight="1">
      <c r="B2" s="336" t="s">
        <v>348</v>
      </c>
      <c r="C2" s="337"/>
      <c r="D2" s="337"/>
      <c r="E2" s="337"/>
      <c r="F2" s="337"/>
      <c r="G2" s="337"/>
    </row>
    <row r="3" spans="2:7" ht="13">
      <c r="D3" s="204"/>
      <c r="F3" s="203"/>
    </row>
    <row r="4" spans="2:7">
      <c r="B4" s="86" t="s">
        <v>135</v>
      </c>
    </row>
    <row r="5" spans="2:7" ht="13">
      <c r="B5" s="87" t="s">
        <v>136</v>
      </c>
      <c r="F5" s="202" t="s">
        <v>347</v>
      </c>
    </row>
    <row r="6" spans="2:7" ht="13">
      <c r="B6" s="39">
        <v>1</v>
      </c>
      <c r="C6" s="40" t="s">
        <v>346</v>
      </c>
      <c r="D6" s="42"/>
      <c r="E6" s="42"/>
      <c r="F6" s="201" t="s">
        <v>340</v>
      </c>
    </row>
    <row r="7" spans="2:7">
      <c r="B7" s="39">
        <f t="shared" ref="B7:B38" si="0">+B6+1</f>
        <v>2</v>
      </c>
      <c r="C7" s="42"/>
      <c r="D7" s="200">
        <v>43070</v>
      </c>
      <c r="E7" s="105"/>
      <c r="F7" s="47"/>
    </row>
    <row r="8" spans="2:7">
      <c r="B8" s="39">
        <f t="shared" si="0"/>
        <v>3</v>
      </c>
      <c r="C8" s="42"/>
      <c r="D8" s="200">
        <v>43101</v>
      </c>
      <c r="E8" s="105"/>
      <c r="F8" s="47"/>
    </row>
    <row r="9" spans="2:7">
      <c r="B9" s="39">
        <f t="shared" si="0"/>
        <v>4</v>
      </c>
      <c r="C9" s="42"/>
      <c r="D9" s="200">
        <v>43132</v>
      </c>
      <c r="E9" s="105"/>
      <c r="F9" s="47"/>
    </row>
    <row r="10" spans="2:7">
      <c r="B10" s="39">
        <f t="shared" si="0"/>
        <v>5</v>
      </c>
      <c r="C10" s="42"/>
      <c r="D10" s="200">
        <v>43160</v>
      </c>
      <c r="E10" s="105"/>
      <c r="F10" s="47"/>
    </row>
    <row r="11" spans="2:7">
      <c r="B11" s="39">
        <f t="shared" si="0"/>
        <v>6</v>
      </c>
      <c r="C11" s="42"/>
      <c r="D11" s="200">
        <v>43191</v>
      </c>
      <c r="E11" s="105"/>
    </row>
    <row r="12" spans="2:7" ht="12.75" customHeight="1">
      <c r="B12" s="39">
        <f t="shared" si="0"/>
        <v>7</v>
      </c>
      <c r="C12" s="42"/>
      <c r="D12" s="200">
        <v>43221</v>
      </c>
      <c r="E12" s="105"/>
      <c r="F12" s="47"/>
    </row>
    <row r="13" spans="2:7" ht="13">
      <c r="B13" s="39">
        <f t="shared" si="0"/>
        <v>8</v>
      </c>
      <c r="C13" s="40"/>
      <c r="D13" s="200">
        <v>43252</v>
      </c>
      <c r="E13" s="105"/>
      <c r="F13" s="47"/>
    </row>
    <row r="14" spans="2:7">
      <c r="B14" s="39">
        <f t="shared" si="0"/>
        <v>9</v>
      </c>
      <c r="C14" s="42"/>
      <c r="D14" s="200">
        <v>43282</v>
      </c>
      <c r="E14" s="105"/>
      <c r="F14" s="47">
        <v>14801684.470000001</v>
      </c>
    </row>
    <row r="15" spans="2:7">
      <c r="B15" s="39">
        <f t="shared" si="0"/>
        <v>10</v>
      </c>
      <c r="C15" s="42"/>
      <c r="D15" s="200">
        <v>43313</v>
      </c>
      <c r="E15" s="105"/>
    </row>
    <row r="16" spans="2:7">
      <c r="B16" s="39">
        <f t="shared" si="0"/>
        <v>11</v>
      </c>
      <c r="C16" s="42"/>
      <c r="D16" s="200">
        <v>43344</v>
      </c>
      <c r="E16" s="105"/>
      <c r="F16" s="47"/>
    </row>
    <row r="17" spans="2:8">
      <c r="B17" s="39">
        <f t="shared" si="0"/>
        <v>12</v>
      </c>
      <c r="C17" s="42"/>
      <c r="D17" s="200">
        <v>43374</v>
      </c>
      <c r="E17" s="105"/>
      <c r="F17" s="47"/>
    </row>
    <row r="18" spans="2:8">
      <c r="B18" s="39">
        <f t="shared" si="0"/>
        <v>13</v>
      </c>
      <c r="C18" s="42"/>
      <c r="D18" s="200">
        <v>43405</v>
      </c>
      <c r="E18" s="105"/>
      <c r="F18" s="47">
        <v>9536012.2400000002</v>
      </c>
    </row>
    <row r="19" spans="2:8">
      <c r="B19" s="39">
        <f t="shared" si="0"/>
        <v>14</v>
      </c>
      <c r="C19" s="42"/>
      <c r="D19" s="200">
        <v>43435</v>
      </c>
      <c r="E19" s="105"/>
      <c r="G19" s="42"/>
    </row>
    <row r="20" spans="2:8" ht="13">
      <c r="B20" s="39">
        <f t="shared" si="0"/>
        <v>15</v>
      </c>
      <c r="C20" s="199" t="s">
        <v>390</v>
      </c>
      <c r="D20" s="38"/>
      <c r="E20" s="105"/>
      <c r="F20" s="193">
        <f>SUM(F7:F18)</f>
        <v>24337696.710000001</v>
      </c>
      <c r="G20" s="46"/>
      <c r="H20" s="46"/>
    </row>
    <row r="21" spans="2:8">
      <c r="B21" s="39">
        <f t="shared" si="0"/>
        <v>16</v>
      </c>
      <c r="C21" s="42"/>
      <c r="D21" s="42" t="s">
        <v>345</v>
      </c>
      <c r="E21" s="42"/>
      <c r="F21" s="198">
        <f>'BHP WP5 Depreciation Rates'!H21</f>
        <v>2.3199999999999998E-2</v>
      </c>
    </row>
    <row r="22" spans="2:8" ht="13.5" thickBot="1">
      <c r="B22" s="39">
        <f t="shared" si="0"/>
        <v>17</v>
      </c>
      <c r="C22" s="40" t="str">
        <f>"Annual Transmisison Depreciation Expense (line "&amp;B20&amp;" x line "&amp;B21&amp;")"</f>
        <v>Annual Transmisison Depreciation Expense (line 15 x line 16)</v>
      </c>
      <c r="D22" s="42"/>
      <c r="E22" s="42"/>
      <c r="F22" s="197">
        <f>+F20*F21</f>
        <v>564634.56367199996</v>
      </c>
    </row>
    <row r="23" spans="2:8" ht="13" thickTop="1">
      <c r="B23" s="39">
        <f t="shared" si="0"/>
        <v>18</v>
      </c>
      <c r="C23" s="42"/>
      <c r="D23" s="194"/>
      <c r="E23" s="194"/>
    </row>
    <row r="24" spans="2:8">
      <c r="B24" s="39">
        <f t="shared" si="0"/>
        <v>19</v>
      </c>
      <c r="C24" s="42"/>
      <c r="D24" s="194"/>
      <c r="E24" s="196" t="s">
        <v>344</v>
      </c>
      <c r="F24" s="42" t="s">
        <v>343</v>
      </c>
    </row>
    <row r="25" spans="2:8" ht="13">
      <c r="B25" s="39">
        <f t="shared" si="0"/>
        <v>20</v>
      </c>
      <c r="C25" s="40"/>
      <c r="E25" s="195" t="s">
        <v>342</v>
      </c>
      <c r="F25" s="86" t="s">
        <v>341</v>
      </c>
    </row>
    <row r="26" spans="2:8" ht="13">
      <c r="B26" s="39">
        <f t="shared" si="0"/>
        <v>21</v>
      </c>
      <c r="C26" s="40" t="s">
        <v>389</v>
      </c>
      <c r="E26" s="195" t="s">
        <v>340</v>
      </c>
      <c r="F26" s="86" t="s">
        <v>339</v>
      </c>
    </row>
    <row r="27" spans="2:8">
      <c r="B27" s="39">
        <f t="shared" si="0"/>
        <v>22</v>
      </c>
      <c r="F27" s="47"/>
    </row>
    <row r="28" spans="2:8">
      <c r="B28" s="39">
        <f t="shared" si="0"/>
        <v>23</v>
      </c>
      <c r="D28" s="190" t="s">
        <v>396</v>
      </c>
      <c r="E28" s="210">
        <f>Estimate!J16+F8</f>
        <v>164606185.92671001</v>
      </c>
      <c r="F28" s="47">
        <f>(+E28*$F$21)/12</f>
        <v>318238.62612497265</v>
      </c>
    </row>
    <row r="29" spans="2:8">
      <c r="B29" s="39">
        <f t="shared" si="0"/>
        <v>24</v>
      </c>
      <c r="D29" s="192">
        <v>43132</v>
      </c>
      <c r="E29" s="188">
        <f>+E28+F9</f>
        <v>164606185.92671001</v>
      </c>
      <c r="F29" s="47">
        <f t="shared" ref="F29:F39" si="1">(+E29*$F$21)/12</f>
        <v>318238.62612497265</v>
      </c>
    </row>
    <row r="30" spans="2:8">
      <c r="B30" s="39">
        <f t="shared" si="0"/>
        <v>25</v>
      </c>
      <c r="D30" s="192">
        <v>43160</v>
      </c>
      <c r="E30" s="188">
        <f>+E29+F10</f>
        <v>164606185.92671001</v>
      </c>
      <c r="F30" s="47">
        <f t="shared" si="1"/>
        <v>318238.62612497265</v>
      </c>
    </row>
    <row r="31" spans="2:8">
      <c r="B31" s="39">
        <f t="shared" si="0"/>
        <v>26</v>
      </c>
      <c r="D31" s="192">
        <v>43191</v>
      </c>
      <c r="E31" s="188">
        <f>+E30+F11</f>
        <v>164606185.92671001</v>
      </c>
      <c r="F31" s="47">
        <f t="shared" si="1"/>
        <v>318238.62612497265</v>
      </c>
    </row>
    <row r="32" spans="2:8">
      <c r="B32" s="39">
        <f t="shared" si="0"/>
        <v>27</v>
      </c>
      <c r="D32" s="192">
        <v>43221</v>
      </c>
      <c r="E32" s="188">
        <f t="shared" ref="E32:E37" si="2">+E31+F12</f>
        <v>164606185.92671001</v>
      </c>
      <c r="F32" s="47">
        <f t="shared" si="1"/>
        <v>318238.62612497265</v>
      </c>
    </row>
    <row r="33" spans="2:7">
      <c r="B33" s="39">
        <f t="shared" si="0"/>
        <v>28</v>
      </c>
      <c r="D33" s="192">
        <v>43252</v>
      </c>
      <c r="E33" s="188">
        <f t="shared" si="2"/>
        <v>164606185.92671001</v>
      </c>
      <c r="F33" s="47">
        <f t="shared" si="1"/>
        <v>318238.62612497265</v>
      </c>
    </row>
    <row r="34" spans="2:7">
      <c r="B34" s="39">
        <f t="shared" si="0"/>
        <v>29</v>
      </c>
      <c r="D34" s="192">
        <v>43282</v>
      </c>
      <c r="E34" s="188">
        <f t="shared" si="2"/>
        <v>179407870.39671001</v>
      </c>
      <c r="F34" s="47">
        <f t="shared" si="1"/>
        <v>346855.21610030596</v>
      </c>
    </row>
    <row r="35" spans="2:7">
      <c r="B35" s="39">
        <f t="shared" si="0"/>
        <v>30</v>
      </c>
      <c r="D35" s="192">
        <v>43313</v>
      </c>
      <c r="E35" s="188">
        <f t="shared" si="2"/>
        <v>179407870.39671001</v>
      </c>
      <c r="F35" s="47">
        <f t="shared" si="1"/>
        <v>346855.21610030596</v>
      </c>
    </row>
    <row r="36" spans="2:7">
      <c r="B36" s="39">
        <f t="shared" si="0"/>
        <v>31</v>
      </c>
      <c r="D36" s="192">
        <v>43344</v>
      </c>
      <c r="E36" s="188">
        <f t="shared" si="2"/>
        <v>179407870.39671001</v>
      </c>
      <c r="F36" s="47">
        <f t="shared" si="1"/>
        <v>346855.21610030596</v>
      </c>
    </row>
    <row r="37" spans="2:7">
      <c r="B37" s="39">
        <f t="shared" si="0"/>
        <v>32</v>
      </c>
      <c r="D37" s="192">
        <v>43374</v>
      </c>
      <c r="E37" s="188">
        <f t="shared" si="2"/>
        <v>179407870.39671001</v>
      </c>
      <c r="F37" s="47">
        <f t="shared" si="1"/>
        <v>346855.21610030596</v>
      </c>
    </row>
    <row r="38" spans="2:7">
      <c r="B38" s="39">
        <f t="shared" si="0"/>
        <v>33</v>
      </c>
      <c r="D38" s="192">
        <v>43405</v>
      </c>
      <c r="E38" s="188">
        <f>+E37+F18</f>
        <v>188943882.63671002</v>
      </c>
      <c r="F38" s="47">
        <f t="shared" si="1"/>
        <v>365291.50643097266</v>
      </c>
    </row>
    <row r="39" spans="2:7">
      <c r="B39" s="39">
        <f t="shared" ref="B39:B59" si="3">+B38+1</f>
        <v>34</v>
      </c>
      <c r="D39" s="192">
        <v>43435</v>
      </c>
      <c r="E39" s="188">
        <f>+E38+F18</f>
        <v>198479894.87671003</v>
      </c>
      <c r="F39" s="47">
        <f t="shared" si="1"/>
        <v>383727.79676163936</v>
      </c>
    </row>
    <row r="40" spans="2:7">
      <c r="B40" s="39">
        <f t="shared" si="3"/>
        <v>35</v>
      </c>
      <c r="D40" s="190" t="s">
        <v>393</v>
      </c>
      <c r="E40" s="188"/>
      <c r="F40" s="193">
        <f>SUM(F28:F39)</f>
        <v>4045871.9243436716</v>
      </c>
    </row>
    <row r="41" spans="2:7">
      <c r="B41" s="39">
        <f t="shared" si="3"/>
        <v>36</v>
      </c>
      <c r="C41" s="42" t="s">
        <v>394</v>
      </c>
      <c r="D41" s="192"/>
      <c r="E41" s="188"/>
      <c r="F41" s="47"/>
    </row>
    <row r="42" spans="2:7">
      <c r="B42" s="39">
        <f t="shared" si="3"/>
        <v>37</v>
      </c>
      <c r="D42" s="222">
        <v>43466</v>
      </c>
      <c r="E42" s="188">
        <f>+E39+'BHP WP3 Capital Additions'!D10</f>
        <v>198479894.87671003</v>
      </c>
      <c r="F42" s="47">
        <f t="shared" ref="F42:F53" si="4">(+E42*$F$21)/12</f>
        <v>383727.79676163936</v>
      </c>
      <c r="G42" s="191"/>
    </row>
    <row r="43" spans="2:7">
      <c r="B43" s="39">
        <f t="shared" si="3"/>
        <v>38</v>
      </c>
      <c r="D43" s="222">
        <v>43497</v>
      </c>
      <c r="E43" s="188">
        <f>+E42+'BHP WP3 Capital Additions'!D11</f>
        <v>198479894.87671003</v>
      </c>
      <c r="F43" s="47">
        <f t="shared" si="4"/>
        <v>383727.79676163936</v>
      </c>
      <c r="G43" s="191"/>
    </row>
    <row r="44" spans="2:7">
      <c r="B44" s="39">
        <f t="shared" si="3"/>
        <v>39</v>
      </c>
      <c r="D44" s="222">
        <v>43525</v>
      </c>
      <c r="E44" s="188">
        <f>+E43+'BHP WP3 Capital Additions'!D12</f>
        <v>198479894.87671003</v>
      </c>
      <c r="F44" s="47">
        <f t="shared" si="4"/>
        <v>383727.79676163936</v>
      </c>
      <c r="G44" s="191"/>
    </row>
    <row r="45" spans="2:7">
      <c r="B45" s="39">
        <f t="shared" si="3"/>
        <v>40</v>
      </c>
      <c r="D45" s="222">
        <v>43556</v>
      </c>
      <c r="E45" s="188">
        <f>+E44+'BHP WP3 Capital Additions'!D13</f>
        <v>198479894.87671003</v>
      </c>
      <c r="F45" s="47">
        <f t="shared" si="4"/>
        <v>383727.79676163936</v>
      </c>
      <c r="G45" s="191"/>
    </row>
    <row r="46" spans="2:7">
      <c r="B46" s="39">
        <f t="shared" si="3"/>
        <v>41</v>
      </c>
      <c r="D46" s="222">
        <v>43586</v>
      </c>
      <c r="E46" s="188">
        <f>+E45+'BHP WP3 Capital Additions'!D14</f>
        <v>198479894.87671003</v>
      </c>
      <c r="F46" s="47">
        <f t="shared" si="4"/>
        <v>383727.79676163936</v>
      </c>
      <c r="G46" s="191"/>
    </row>
    <row r="47" spans="2:7">
      <c r="B47" s="39">
        <f t="shared" si="3"/>
        <v>42</v>
      </c>
      <c r="D47" s="222">
        <v>43617</v>
      </c>
      <c r="E47" s="188">
        <f>+E46+'BHP WP3 Capital Additions'!D15</f>
        <v>198479894.87671003</v>
      </c>
      <c r="F47" s="47">
        <f t="shared" si="4"/>
        <v>383727.79676163936</v>
      </c>
      <c r="G47" s="191"/>
    </row>
    <row r="48" spans="2:7">
      <c r="B48" s="39">
        <f t="shared" si="3"/>
        <v>43</v>
      </c>
      <c r="D48" s="222">
        <v>43647</v>
      </c>
      <c r="E48" s="188">
        <f>+E47+'BHP WP3 Capital Additions'!D16</f>
        <v>198479894.87671003</v>
      </c>
      <c r="F48" s="47">
        <f t="shared" si="4"/>
        <v>383727.79676163936</v>
      </c>
      <c r="G48" s="191"/>
    </row>
    <row r="49" spans="2:7">
      <c r="B49" s="39">
        <f t="shared" si="3"/>
        <v>44</v>
      </c>
      <c r="D49" s="222">
        <v>43678</v>
      </c>
      <c r="E49" s="188">
        <f>+E48+'BHP WP3 Capital Additions'!D17</f>
        <v>198479894.87671003</v>
      </c>
      <c r="F49" s="47">
        <f t="shared" si="4"/>
        <v>383727.79676163936</v>
      </c>
      <c r="G49" s="191"/>
    </row>
    <row r="50" spans="2:7">
      <c r="B50" s="39">
        <f t="shared" si="3"/>
        <v>45</v>
      </c>
      <c r="D50" s="222">
        <v>43709</v>
      </c>
      <c r="E50" s="188">
        <f>+E49+'BHP WP3 Capital Additions'!D18</f>
        <v>198479894.87671003</v>
      </c>
      <c r="F50" s="47">
        <f t="shared" si="4"/>
        <v>383727.79676163936</v>
      </c>
      <c r="G50" s="191"/>
    </row>
    <row r="51" spans="2:7">
      <c r="B51" s="39">
        <f t="shared" si="3"/>
        <v>46</v>
      </c>
      <c r="D51" s="222">
        <v>43739</v>
      </c>
      <c r="E51" s="188">
        <f>+E50+'BHP WP3 Capital Additions'!D19</f>
        <v>230356693.40671003</v>
      </c>
      <c r="F51" s="47">
        <f t="shared" si="4"/>
        <v>445356.27391963935</v>
      </c>
      <c r="G51" s="191"/>
    </row>
    <row r="52" spans="2:7">
      <c r="B52" s="39">
        <f t="shared" si="3"/>
        <v>47</v>
      </c>
      <c r="D52" s="222">
        <v>43770</v>
      </c>
      <c r="E52" s="188">
        <f>+E51+'BHP WP3 Capital Additions'!D20</f>
        <v>230356693.40671003</v>
      </c>
      <c r="F52" s="47">
        <f t="shared" si="4"/>
        <v>445356.27391963935</v>
      </c>
      <c r="G52" s="191"/>
    </row>
    <row r="53" spans="2:7">
      <c r="B53" s="39">
        <f t="shared" si="3"/>
        <v>48</v>
      </c>
      <c r="D53" s="222">
        <v>43800</v>
      </c>
      <c r="E53" s="188">
        <f>+E52+'BHP WP3 Capital Additions'!D21</f>
        <v>238974758.29671001</v>
      </c>
      <c r="F53" s="47">
        <f t="shared" si="4"/>
        <v>462017.86604030599</v>
      </c>
      <c r="G53" s="191"/>
    </row>
    <row r="54" spans="2:7">
      <c r="B54" s="39">
        <f t="shared" si="3"/>
        <v>49</v>
      </c>
      <c r="D54" s="190" t="str">
        <f>"Subtotal of 2019 Increase for Accumulated Depreciation (lines "&amp;B42&amp;"-"&amp;B53&amp;")"</f>
        <v>Subtotal of 2019 Increase for Accumulated Depreciation (lines 37-48)</v>
      </c>
      <c r="F54" s="189">
        <f>SUM(F42:F53)</f>
        <v>4806280.5847343393</v>
      </c>
    </row>
    <row r="55" spans="2:7">
      <c r="B55" s="39">
        <f t="shared" si="3"/>
        <v>50</v>
      </c>
      <c r="D55" s="187" t="str">
        <f>"Average 2019 Impact for rate base consideration (line "&amp;B54&amp;" ÷ 2)"</f>
        <v>Average 2019 Impact for rate base consideration (line 49 ÷ 2)</v>
      </c>
      <c r="F55" s="188">
        <f>+F54/2</f>
        <v>2403140.2923671696</v>
      </c>
    </row>
    <row r="56" spans="2:7">
      <c r="B56" s="39">
        <f t="shared" si="3"/>
        <v>51</v>
      </c>
    </row>
    <row r="57" spans="2:7" ht="13" thickBot="1">
      <c r="B57" s="39">
        <f t="shared" si="3"/>
        <v>52</v>
      </c>
      <c r="D57" s="187" t="str">
        <f>"Total Accumulated Depreciation for 2018 &amp; 2019 (lines "&amp;B40&amp;" + "&amp;B55&amp;")"</f>
        <v>Total Accumulated Depreciation for 2018 &amp; 2019 (lines 35 + 50)</v>
      </c>
      <c r="F57" s="186">
        <f>+F40+F55</f>
        <v>6449012.2167108413</v>
      </c>
    </row>
    <row r="58" spans="2:7" ht="13" thickTop="1">
      <c r="B58" s="39">
        <f t="shared" si="3"/>
        <v>53</v>
      </c>
    </row>
    <row r="59" spans="2:7">
      <c r="B59" s="39">
        <f t="shared" si="3"/>
        <v>54</v>
      </c>
      <c r="D59" s="321" t="s">
        <v>391</v>
      </c>
    </row>
    <row r="60" spans="2:7">
      <c r="D60" s="41" t="s">
        <v>392</v>
      </c>
    </row>
    <row r="115" spans="7:8">
      <c r="G115" s="38" t="s">
        <v>138</v>
      </c>
      <c r="H115" s="38">
        <f>+J184</f>
        <v>0</v>
      </c>
    </row>
    <row r="116" spans="7:8">
      <c r="H116" s="38">
        <f>+H115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10"/>
  <sheetViews>
    <sheetView zoomScaleNormal="100" workbookViewId="0">
      <selection activeCell="C30" sqref="C30:E30"/>
    </sheetView>
  </sheetViews>
  <sheetFormatPr defaultColWidth="7.07421875" defaultRowHeight="12.5"/>
  <cols>
    <col min="1" max="1" width="3.53515625" style="38" customWidth="1"/>
    <col min="2" max="2" width="1.84375" style="38" customWidth="1"/>
    <col min="3" max="3" width="43.53515625" style="41" customWidth="1"/>
    <col min="4" max="4" width="10.921875" style="38" customWidth="1"/>
    <col min="5" max="5" width="9.4609375" style="38" customWidth="1"/>
    <col min="6" max="6" width="11.3828125" style="38" customWidth="1"/>
    <col min="7" max="8" width="7.07421875" style="38"/>
    <col min="9" max="9" width="10.84375" style="38" bestFit="1" customWidth="1"/>
    <col min="10" max="16384" width="7.07421875" style="38"/>
  </cols>
  <sheetData>
    <row r="1" spans="1:6">
      <c r="F1" s="38" t="s">
        <v>358</v>
      </c>
    </row>
    <row r="2" spans="1:6" ht="40.5" customHeight="1">
      <c r="A2" s="336" t="s">
        <v>357</v>
      </c>
      <c r="B2" s="337"/>
      <c r="C2" s="337"/>
      <c r="D2" s="337"/>
      <c r="E2" s="337"/>
      <c r="F2" s="337"/>
    </row>
    <row r="3" spans="1:6">
      <c r="A3" s="86" t="s">
        <v>135</v>
      </c>
      <c r="B3" s="39"/>
      <c r="C3" s="39"/>
    </row>
    <row r="4" spans="1:6">
      <c r="A4" s="87" t="s">
        <v>136</v>
      </c>
      <c r="B4" s="39"/>
      <c r="C4" s="39"/>
    </row>
    <row r="5" spans="1:6" ht="15.5">
      <c r="A5" s="39">
        <v>1</v>
      </c>
      <c r="B5" s="339" t="s">
        <v>395</v>
      </c>
      <c r="C5" s="339"/>
      <c r="D5" s="339"/>
      <c r="E5" s="339"/>
      <c r="F5" s="339"/>
    </row>
    <row r="6" spans="1:6" ht="15.5">
      <c r="A6" s="39">
        <v>2</v>
      </c>
      <c r="B6" s="209"/>
      <c r="C6" s="209"/>
      <c r="D6" s="209"/>
      <c r="E6" s="209"/>
    </row>
    <row r="7" spans="1:6">
      <c r="A7" s="39">
        <v>3</v>
      </c>
      <c r="C7" s="208" t="s">
        <v>344</v>
      </c>
      <c r="D7" s="208" t="s">
        <v>356</v>
      </c>
      <c r="E7" s="208" t="s">
        <v>355</v>
      </c>
      <c r="F7" s="208" t="s">
        <v>354</v>
      </c>
    </row>
    <row r="8" spans="1:6" ht="38">
      <c r="A8" s="39">
        <v>4</v>
      </c>
      <c r="B8" s="40" t="s">
        <v>353</v>
      </c>
      <c r="E8" s="204" t="s">
        <v>352</v>
      </c>
      <c r="F8" s="207" t="s">
        <v>351</v>
      </c>
    </row>
    <row r="9" spans="1:6">
      <c r="A9" s="39">
        <v>5</v>
      </c>
      <c r="C9" s="200">
        <v>43435</v>
      </c>
      <c r="D9" s="47">
        <v>0</v>
      </c>
      <c r="E9" s="206">
        <v>12</v>
      </c>
      <c r="F9" s="188">
        <f t="shared" ref="F9:F21" si="0">(+D9*E9)/12</f>
        <v>0</v>
      </c>
    </row>
    <row r="10" spans="1:6">
      <c r="A10" s="39">
        <v>6</v>
      </c>
      <c r="C10" s="200">
        <v>43466</v>
      </c>
      <c r="D10" s="47"/>
      <c r="E10" s="206">
        <v>11.5</v>
      </c>
      <c r="F10" s="188">
        <f t="shared" si="0"/>
        <v>0</v>
      </c>
    </row>
    <row r="11" spans="1:6">
      <c r="A11" s="39">
        <v>7</v>
      </c>
      <c r="C11" s="200">
        <v>43497</v>
      </c>
      <c r="D11" s="47"/>
      <c r="E11" s="206">
        <v>10.5</v>
      </c>
      <c r="F11" s="188">
        <f t="shared" si="0"/>
        <v>0</v>
      </c>
    </row>
    <row r="12" spans="1:6">
      <c r="A12" s="39">
        <v>8</v>
      </c>
      <c r="C12" s="200">
        <v>43525</v>
      </c>
      <c r="D12" s="47"/>
      <c r="E12" s="206">
        <v>9.5</v>
      </c>
      <c r="F12" s="188">
        <f t="shared" si="0"/>
        <v>0</v>
      </c>
    </row>
    <row r="13" spans="1:6">
      <c r="A13" s="39">
        <v>9</v>
      </c>
      <c r="C13" s="200">
        <v>43556</v>
      </c>
      <c r="D13" s="47"/>
      <c r="E13" s="206">
        <v>8.5</v>
      </c>
      <c r="F13" s="188">
        <f t="shared" si="0"/>
        <v>0</v>
      </c>
    </row>
    <row r="14" spans="1:6">
      <c r="A14" s="39">
        <v>10</v>
      </c>
      <c r="C14" s="200">
        <v>43586</v>
      </c>
      <c r="D14" s="47"/>
      <c r="E14" s="206">
        <v>7.5</v>
      </c>
      <c r="F14" s="188">
        <f t="shared" si="0"/>
        <v>0</v>
      </c>
    </row>
    <row r="15" spans="1:6">
      <c r="A15" s="39">
        <v>11</v>
      </c>
      <c r="C15" s="200">
        <v>43617</v>
      </c>
      <c r="D15" s="47"/>
      <c r="E15" s="206">
        <v>6.5</v>
      </c>
      <c r="F15" s="188">
        <f t="shared" si="0"/>
        <v>0</v>
      </c>
    </row>
    <row r="16" spans="1:6">
      <c r="A16" s="39">
        <v>12</v>
      </c>
      <c r="C16" s="200">
        <v>43647</v>
      </c>
      <c r="D16" s="47"/>
      <c r="E16" s="206">
        <v>5.5</v>
      </c>
      <c r="F16" s="188">
        <f t="shared" si="0"/>
        <v>0</v>
      </c>
    </row>
    <row r="17" spans="1:9">
      <c r="A17" s="39">
        <v>13</v>
      </c>
      <c r="C17" s="200">
        <v>43678</v>
      </c>
      <c r="D17" s="47"/>
      <c r="E17" s="206">
        <v>4.5</v>
      </c>
      <c r="F17" s="188">
        <f t="shared" si="0"/>
        <v>0</v>
      </c>
    </row>
    <row r="18" spans="1:9">
      <c r="A18" s="39">
        <v>14</v>
      </c>
      <c r="C18" s="200">
        <v>43709</v>
      </c>
      <c r="D18" s="47"/>
      <c r="E18" s="206">
        <v>3.5</v>
      </c>
      <c r="F18" s="188">
        <f t="shared" si="0"/>
        <v>0</v>
      </c>
    </row>
    <row r="19" spans="1:9">
      <c r="A19" s="39">
        <v>15</v>
      </c>
      <c r="C19" s="200">
        <v>43739</v>
      </c>
      <c r="D19" s="47">
        <v>31876798.529999997</v>
      </c>
      <c r="E19" s="206">
        <v>2.5</v>
      </c>
      <c r="F19" s="188">
        <f t="shared" si="0"/>
        <v>6640999.6937499987</v>
      </c>
    </row>
    <row r="20" spans="1:9">
      <c r="A20" s="39">
        <v>16</v>
      </c>
      <c r="C20" s="200">
        <v>43770</v>
      </c>
      <c r="D20" s="47"/>
      <c r="E20" s="206">
        <v>1.5</v>
      </c>
      <c r="F20" s="188">
        <f t="shared" si="0"/>
        <v>0</v>
      </c>
    </row>
    <row r="21" spans="1:9">
      <c r="A21" s="39">
        <v>17</v>
      </c>
      <c r="C21" s="200">
        <v>43800</v>
      </c>
      <c r="D21" s="47">
        <v>8618064.8900000006</v>
      </c>
      <c r="E21" s="206">
        <v>0.5</v>
      </c>
      <c r="F21" s="188">
        <f t="shared" si="0"/>
        <v>359086.03708333336</v>
      </c>
      <c r="I21" s="188"/>
    </row>
    <row r="22" spans="1:9">
      <c r="A22" s="39">
        <v>18</v>
      </c>
      <c r="D22" s="205"/>
      <c r="F22" s="205"/>
    </row>
    <row r="23" spans="1:9" ht="13">
      <c r="A23" s="39">
        <v>19</v>
      </c>
      <c r="B23" s="40"/>
      <c r="D23" s="191">
        <f>SUM(D9:D22)</f>
        <v>40494863.420000002</v>
      </c>
      <c r="F23" s="191">
        <f>SUM(F9:F22)</f>
        <v>7000085.7308333321</v>
      </c>
    </row>
    <row r="24" spans="1:9">
      <c r="A24" s="39">
        <v>20</v>
      </c>
    </row>
    <row r="25" spans="1:9">
      <c r="A25" s="39">
        <v>21</v>
      </c>
      <c r="C25" s="42" t="s">
        <v>345</v>
      </c>
      <c r="D25" s="42"/>
      <c r="E25" s="42"/>
      <c r="F25" s="198">
        <f>'BHP WP2 Capital Additions'!F21</f>
        <v>2.3199999999999998E-2</v>
      </c>
    </row>
    <row r="26" spans="1:9">
      <c r="A26" s="39">
        <v>22</v>
      </c>
      <c r="C26" s="42"/>
      <c r="D26" s="42"/>
      <c r="E26" s="42"/>
      <c r="F26" s="194"/>
    </row>
    <row r="27" spans="1:9" ht="13" thickBot="1">
      <c r="A27" s="39">
        <v>23</v>
      </c>
      <c r="C27" s="42" t="s">
        <v>350</v>
      </c>
      <c r="D27" s="42"/>
      <c r="E27" s="42"/>
      <c r="F27" s="197">
        <f>+F23*F25</f>
        <v>162401.98895533331</v>
      </c>
    </row>
    <row r="28" spans="1:9" ht="13" thickTop="1">
      <c r="A28" s="39">
        <v>24</v>
      </c>
    </row>
    <row r="29" spans="1:9">
      <c r="A29" s="39">
        <v>25</v>
      </c>
      <c r="C29" s="321" t="s">
        <v>397</v>
      </c>
    </row>
    <row r="30" spans="1:9" ht="12.75" customHeight="1">
      <c r="A30" s="39">
        <v>26</v>
      </c>
      <c r="C30" s="321" t="s">
        <v>399</v>
      </c>
      <c r="D30" s="321"/>
      <c r="E30" s="321"/>
    </row>
    <row r="31" spans="1:9">
      <c r="A31" s="39">
        <v>27</v>
      </c>
      <c r="C31" s="321" t="s">
        <v>398</v>
      </c>
    </row>
    <row r="32" spans="1:9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109" spans="6:7">
      <c r="F109" s="38" t="s">
        <v>138</v>
      </c>
      <c r="G109" s="38">
        <f>+I178</f>
        <v>0</v>
      </c>
    </row>
    <row r="110" spans="6:7">
      <c r="G110" s="38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CC"/>
  </sheetPr>
  <dimension ref="A2:I38"/>
  <sheetViews>
    <sheetView topLeftCell="A16" zoomScaleNormal="100" workbookViewId="0">
      <selection activeCell="F37" sqref="F37"/>
    </sheetView>
  </sheetViews>
  <sheetFormatPr defaultColWidth="7.07421875" defaultRowHeight="12.5"/>
  <cols>
    <col min="1" max="1" width="10.15234375" style="38" customWidth="1"/>
    <col min="2" max="2" width="3.53515625" style="38" customWidth="1"/>
    <col min="3" max="4" width="1.84375" style="38" customWidth="1"/>
    <col min="5" max="5" width="4" style="38" customWidth="1"/>
    <col min="6" max="6" width="24.15234375" style="38" customWidth="1"/>
    <col min="7" max="7" width="1.921875" style="38" customWidth="1"/>
    <col min="8" max="8" width="8.15234375" style="41" customWidth="1"/>
    <col min="9" max="9" width="8.15234375" style="38" customWidth="1"/>
    <col min="10" max="16384" width="7.07421875" style="38"/>
  </cols>
  <sheetData>
    <row r="2" spans="1:9">
      <c r="I2" s="38" t="s">
        <v>369</v>
      </c>
    </row>
    <row r="3" spans="1:9" ht="40.5" customHeight="1">
      <c r="B3" s="336" t="s">
        <v>370</v>
      </c>
      <c r="C3" s="337"/>
      <c r="D3" s="337"/>
      <c r="E3" s="337"/>
      <c r="F3" s="337"/>
      <c r="G3" s="337"/>
      <c r="H3" s="337"/>
    </row>
    <row r="7" spans="1:9">
      <c r="F7" s="101"/>
    </row>
    <row r="8" spans="1:9" ht="13">
      <c r="A8" s="337"/>
      <c r="B8" s="337"/>
      <c r="C8" s="337"/>
      <c r="D8" s="337"/>
      <c r="E8" s="337"/>
      <c r="F8" s="337"/>
      <c r="G8" s="337"/>
      <c r="H8" s="337"/>
    </row>
    <row r="9" spans="1:9">
      <c r="B9" s="86" t="s">
        <v>135</v>
      </c>
      <c r="H9" s="172" t="s">
        <v>324</v>
      </c>
    </row>
    <row r="10" spans="1:9">
      <c r="B10" s="87" t="s">
        <v>136</v>
      </c>
      <c r="D10" s="98" t="s">
        <v>256</v>
      </c>
      <c r="E10" s="98"/>
      <c r="F10" s="98"/>
      <c r="H10" s="99" t="s">
        <v>122</v>
      </c>
    </row>
    <row r="11" spans="1:9">
      <c r="B11" s="39">
        <v>1</v>
      </c>
    </row>
    <row r="12" spans="1:9" ht="13">
      <c r="B12" s="39">
        <v>2</v>
      </c>
      <c r="D12" s="40" t="s">
        <v>77</v>
      </c>
      <c r="E12" s="40"/>
    </row>
    <row r="13" spans="1:9">
      <c r="B13" s="39">
        <v>3</v>
      </c>
    </row>
    <row r="14" spans="1:9">
      <c r="B14" s="39">
        <v>4</v>
      </c>
      <c r="E14" s="38">
        <v>350</v>
      </c>
      <c r="F14" s="42" t="s">
        <v>257</v>
      </c>
      <c r="H14" s="173">
        <v>0</v>
      </c>
    </row>
    <row r="15" spans="1:9">
      <c r="B15" s="39">
        <v>5</v>
      </c>
      <c r="E15" s="38">
        <v>352</v>
      </c>
      <c r="F15" s="42" t="s">
        <v>258</v>
      </c>
      <c r="H15" s="173">
        <v>2.3900000000000001E-2</v>
      </c>
    </row>
    <row r="16" spans="1:9">
      <c r="B16" s="39">
        <v>6</v>
      </c>
      <c r="E16" s="38">
        <v>353</v>
      </c>
      <c r="F16" s="42" t="s">
        <v>259</v>
      </c>
      <c r="H16" s="173">
        <v>2.6599999999999999E-2</v>
      </c>
    </row>
    <row r="17" spans="2:8">
      <c r="B17" s="39">
        <v>7</v>
      </c>
      <c r="E17" s="38">
        <v>354</v>
      </c>
      <c r="F17" s="42" t="s">
        <v>260</v>
      </c>
      <c r="H17" s="173">
        <v>2.0400000000000001E-2</v>
      </c>
    </row>
    <row r="18" spans="2:8">
      <c r="B18" s="39">
        <v>8</v>
      </c>
      <c r="E18" s="38">
        <v>355</v>
      </c>
      <c r="F18" s="42" t="s">
        <v>261</v>
      </c>
      <c r="H18" s="173">
        <v>2.2200000000000001E-2</v>
      </c>
    </row>
    <row r="19" spans="2:8">
      <c r="B19" s="39">
        <v>9</v>
      </c>
      <c r="E19" s="38">
        <v>356</v>
      </c>
      <c r="F19" s="42" t="s">
        <v>262</v>
      </c>
      <c r="H19" s="173">
        <v>2.0400000000000001E-2</v>
      </c>
    </row>
    <row r="20" spans="2:8">
      <c r="B20" s="39">
        <v>10</v>
      </c>
      <c r="E20" s="38">
        <v>359</v>
      </c>
      <c r="F20" s="42" t="s">
        <v>263</v>
      </c>
      <c r="H20" s="173">
        <v>1.95E-2</v>
      </c>
    </row>
    <row r="21" spans="2:8">
      <c r="B21" s="39">
        <v>11</v>
      </c>
      <c r="F21" s="42" t="s">
        <v>4</v>
      </c>
      <c r="H21" s="173">
        <v>2.3199999999999998E-2</v>
      </c>
    </row>
    <row r="22" spans="2:8">
      <c r="B22" s="39">
        <v>12</v>
      </c>
      <c r="H22" s="173"/>
    </row>
    <row r="23" spans="2:8" ht="13">
      <c r="B23" s="39">
        <v>13</v>
      </c>
      <c r="D23" s="40" t="s">
        <v>66</v>
      </c>
      <c r="H23" s="173"/>
    </row>
    <row r="24" spans="2:8">
      <c r="B24" s="39">
        <v>14</v>
      </c>
      <c r="H24" s="173"/>
    </row>
    <row r="25" spans="2:8">
      <c r="B25" s="39">
        <v>15</v>
      </c>
      <c r="E25" s="38">
        <v>389</v>
      </c>
      <c r="F25" s="158" t="s">
        <v>257</v>
      </c>
      <c r="H25" s="173">
        <v>0</v>
      </c>
    </row>
    <row r="26" spans="2:8">
      <c r="B26" s="39">
        <v>16</v>
      </c>
      <c r="E26" s="38">
        <v>390</v>
      </c>
      <c r="F26" s="42" t="s">
        <v>258</v>
      </c>
      <c r="H26" s="173">
        <v>4.7300000000000002E-2</v>
      </c>
    </row>
    <row r="27" spans="2:8">
      <c r="B27" s="39">
        <v>17</v>
      </c>
      <c r="E27" s="38">
        <v>391</v>
      </c>
      <c r="F27" s="42" t="s">
        <v>264</v>
      </c>
      <c r="H27" s="173">
        <v>0.1056</v>
      </c>
    </row>
    <row r="28" spans="2:8">
      <c r="B28" s="39">
        <v>18</v>
      </c>
      <c r="E28" s="38">
        <v>392</v>
      </c>
      <c r="F28" s="42" t="s">
        <v>265</v>
      </c>
      <c r="H28" s="173">
        <v>9.06E-2</v>
      </c>
    </row>
    <row r="29" spans="2:8">
      <c r="B29" s="39">
        <v>19</v>
      </c>
      <c r="E29" s="38">
        <v>393</v>
      </c>
      <c r="F29" s="42" t="s">
        <v>266</v>
      </c>
      <c r="H29" s="173">
        <v>4.2299999999999997E-2</v>
      </c>
    </row>
    <row r="30" spans="2:8">
      <c r="B30" s="39">
        <v>20</v>
      </c>
      <c r="E30" s="38">
        <v>394</v>
      </c>
      <c r="F30" s="42" t="s">
        <v>12</v>
      </c>
      <c r="H30" s="173">
        <v>4.2299999999999997E-2</v>
      </c>
    </row>
    <row r="31" spans="2:8">
      <c r="B31" s="39">
        <v>21</v>
      </c>
      <c r="E31" s="38">
        <v>395</v>
      </c>
      <c r="F31" s="42" t="s">
        <v>267</v>
      </c>
      <c r="H31" s="173">
        <v>3.0599999999999999E-2</v>
      </c>
    </row>
    <row r="32" spans="2:8">
      <c r="B32" s="39">
        <v>22</v>
      </c>
      <c r="E32" s="38">
        <v>396</v>
      </c>
      <c r="F32" s="42" t="s">
        <v>268</v>
      </c>
      <c r="H32" s="173">
        <v>4.2299999999999997E-2</v>
      </c>
    </row>
    <row r="33" spans="2:8">
      <c r="B33" s="39">
        <v>23</v>
      </c>
      <c r="E33" s="38">
        <v>397</v>
      </c>
      <c r="F33" s="42" t="s">
        <v>269</v>
      </c>
      <c r="H33" s="173">
        <v>4.3900000000000002E-2</v>
      </c>
    </row>
    <row r="34" spans="2:8">
      <c r="B34" s="39">
        <v>24</v>
      </c>
      <c r="E34" s="38">
        <v>398</v>
      </c>
      <c r="F34" s="42" t="s">
        <v>270</v>
      </c>
      <c r="H34" s="173">
        <v>5.8099999999999999E-2</v>
      </c>
    </row>
    <row r="35" spans="2:8">
      <c r="B35" s="171">
        <v>25</v>
      </c>
      <c r="C35" s="46"/>
      <c r="D35" s="46"/>
      <c r="E35" s="46"/>
      <c r="F35" s="105" t="s">
        <v>11</v>
      </c>
      <c r="G35" s="46"/>
      <c r="H35" s="173">
        <v>6.5299999999999997E-2</v>
      </c>
    </row>
    <row r="36" spans="2:8">
      <c r="B36" s="39">
        <v>26</v>
      </c>
    </row>
    <row r="37" spans="2:8">
      <c r="B37" s="39">
        <v>27</v>
      </c>
      <c r="D37" s="42" t="s">
        <v>323</v>
      </c>
      <c r="E37" s="100"/>
      <c r="F37" s="42"/>
    </row>
    <row r="38" spans="2:8">
      <c r="F38" s="42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2"/>
    <pageSetUpPr fitToPage="1"/>
  </sheetPr>
  <dimension ref="A2:BQ67"/>
  <sheetViews>
    <sheetView topLeftCell="A31" zoomScale="70" zoomScaleNormal="70" zoomScaleSheetLayoutView="85" workbookViewId="0">
      <selection activeCell="F51" sqref="F51"/>
    </sheetView>
  </sheetViews>
  <sheetFormatPr defaultRowHeight="15.5"/>
  <cols>
    <col min="1" max="1" width="6" customWidth="1"/>
    <col min="2" max="2" width="1.4609375" customWidth="1"/>
    <col min="3" max="3" width="36" customWidth="1"/>
    <col min="4" max="4" width="23.3828125" customWidth="1"/>
    <col min="5" max="5" width="15.15234375" customWidth="1"/>
    <col min="6" max="12" width="15.921875" customWidth="1"/>
    <col min="13" max="13" width="14.3828125" bestFit="1" customWidth="1"/>
    <col min="14" max="18" width="15.921875" customWidth="1"/>
    <col min="20" max="20" width="10.3828125" bestFit="1" customWidth="1"/>
    <col min="21" max="21" width="12.921875" bestFit="1" customWidth="1"/>
  </cols>
  <sheetData>
    <row r="2" spans="1:69">
      <c r="A2" s="6"/>
      <c r="B2" s="6"/>
      <c r="C2" s="6"/>
      <c r="D2" s="109"/>
      <c r="E2" s="20"/>
      <c r="F2" s="6"/>
      <c r="G2" s="6"/>
      <c r="H2" s="6"/>
      <c r="I2" s="166"/>
      <c r="J2" s="6"/>
      <c r="K2" s="6"/>
      <c r="L2" s="6"/>
      <c r="O2" s="1"/>
      <c r="R2" s="167">
        <f>I2</f>
        <v>0</v>
      </c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6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</row>
    <row r="4" spans="1:69" ht="15" customHeight="1">
      <c r="A4" s="340" t="s">
        <v>239</v>
      </c>
      <c r="B4" s="340"/>
      <c r="C4" s="340"/>
      <c r="D4" s="340"/>
      <c r="E4" s="340"/>
      <c r="F4" s="340"/>
      <c r="G4" s="340"/>
      <c r="H4" s="340"/>
      <c r="I4" s="340"/>
      <c r="J4" s="340" t="s">
        <v>239</v>
      </c>
      <c r="K4" s="340"/>
      <c r="L4" s="340"/>
      <c r="M4" s="340"/>
      <c r="N4" s="340"/>
      <c r="O4" s="340"/>
      <c r="P4" s="340"/>
      <c r="Q4" s="340"/>
      <c r="R4" s="34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</row>
    <row r="5" spans="1:69">
      <c r="A5" s="341" t="s">
        <v>134</v>
      </c>
      <c r="B5" s="341"/>
      <c r="C5" s="341"/>
      <c r="D5" s="341"/>
      <c r="E5" s="341"/>
      <c r="F5" s="341"/>
      <c r="G5" s="341"/>
      <c r="H5" s="341"/>
      <c r="I5" s="341"/>
      <c r="J5" s="341" t="s">
        <v>134</v>
      </c>
      <c r="K5" s="341"/>
      <c r="L5" s="341"/>
      <c r="M5" s="341"/>
      <c r="N5" s="341"/>
      <c r="O5" s="341"/>
      <c r="P5" s="341"/>
      <c r="Q5" s="341"/>
      <c r="R5" s="341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</row>
    <row r="6" spans="1:69">
      <c r="A6" s="6"/>
      <c r="B6" s="6"/>
      <c r="C6" s="1"/>
      <c r="D6" s="1"/>
      <c r="F6" s="1"/>
      <c r="G6" s="1"/>
      <c r="H6" s="1"/>
      <c r="I6" s="38" t="s">
        <v>360</v>
      </c>
      <c r="J6" s="6"/>
      <c r="K6" s="6"/>
      <c r="L6" s="1"/>
      <c r="M6" s="1"/>
      <c r="O6" s="1"/>
      <c r="P6" s="1"/>
      <c r="Q6" s="1"/>
      <c r="R6" s="1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</row>
    <row r="7" spans="1:69" ht="15" customHeight="1">
      <c r="A7" s="342" t="s">
        <v>238</v>
      </c>
      <c r="B7" s="342"/>
      <c r="C7" s="342"/>
      <c r="D7" s="342"/>
      <c r="E7" s="342"/>
      <c r="F7" s="342"/>
      <c r="G7" s="342"/>
      <c r="H7" s="342"/>
      <c r="I7" s="342"/>
      <c r="J7" s="342" t="s">
        <v>238</v>
      </c>
      <c r="K7" s="342"/>
      <c r="L7" s="342"/>
      <c r="M7" s="342"/>
      <c r="N7" s="342"/>
      <c r="O7" s="342"/>
      <c r="P7" s="342"/>
      <c r="Q7" s="342"/>
      <c r="R7" s="342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</row>
    <row r="8" spans="1:69">
      <c r="A8" s="13"/>
      <c r="B8" s="6"/>
      <c r="C8" s="1"/>
      <c r="D8" s="1"/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</row>
    <row r="9" spans="1:69">
      <c r="A9" s="6"/>
      <c r="B9" s="6"/>
      <c r="C9" s="3"/>
      <c r="D9" s="3"/>
      <c r="E9" s="3"/>
      <c r="F9" s="4"/>
      <c r="G9" s="4"/>
      <c r="H9" s="4"/>
      <c r="I9" s="4"/>
      <c r="J9" s="4"/>
      <c r="K9" s="4"/>
      <c r="L9" s="3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9">
      <c r="A10" s="6"/>
      <c r="B10" s="6"/>
      <c r="C10" s="2"/>
      <c r="D10" s="10" t="s">
        <v>144</v>
      </c>
      <c r="E10" s="4"/>
      <c r="F10" s="4"/>
      <c r="G10" s="4"/>
      <c r="H10" s="4"/>
      <c r="I10" s="4"/>
      <c r="J10" s="4"/>
      <c r="K10" s="4"/>
      <c r="L10" s="3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</row>
    <row r="11" spans="1:69">
      <c r="A11" s="13" t="s">
        <v>135</v>
      </c>
      <c r="B11" s="6"/>
      <c r="C11" s="2"/>
      <c r="D11" s="17" t="s">
        <v>146</v>
      </c>
      <c r="E11" s="14" t="s">
        <v>147</v>
      </c>
      <c r="F11" s="18"/>
      <c r="G11" s="18"/>
      <c r="H11" s="18"/>
      <c r="I11" s="18"/>
      <c r="J11" s="18"/>
      <c r="K11" s="18"/>
      <c r="L11" s="3"/>
      <c r="O11" s="110"/>
      <c r="P11" s="110"/>
      <c r="Q11" s="12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</row>
    <row r="12" spans="1:69" ht="16" thickBot="1">
      <c r="A12" s="16" t="s">
        <v>136</v>
      </c>
      <c r="B12" s="6"/>
      <c r="C12" s="7" t="s">
        <v>149</v>
      </c>
      <c r="D12" s="4"/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5" t="s">
        <v>109</v>
      </c>
      <c r="N12" s="5" t="s">
        <v>23</v>
      </c>
      <c r="O12" s="5" t="s">
        <v>24</v>
      </c>
      <c r="P12" s="5" t="s">
        <v>25</v>
      </c>
      <c r="Q12" s="5" t="s">
        <v>26</v>
      </c>
      <c r="R12" s="5" t="s">
        <v>27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</row>
    <row r="13" spans="1:69">
      <c r="A13" s="13"/>
      <c r="B13" s="6"/>
      <c r="C13" s="2"/>
      <c r="D13" s="4"/>
      <c r="E13" s="111">
        <v>42705</v>
      </c>
      <c r="F13" s="111">
        <v>42736</v>
      </c>
      <c r="G13" s="111">
        <v>42767</v>
      </c>
      <c r="H13" s="111">
        <v>42795</v>
      </c>
      <c r="I13" s="111">
        <v>42826</v>
      </c>
      <c r="J13" s="111">
        <v>42856</v>
      </c>
      <c r="K13" s="111">
        <v>42887</v>
      </c>
      <c r="L13" s="111">
        <v>42917</v>
      </c>
      <c r="M13" s="111">
        <v>42948</v>
      </c>
      <c r="N13" s="111">
        <v>42979</v>
      </c>
      <c r="O13" s="111">
        <v>43009</v>
      </c>
      <c r="P13" s="111">
        <v>43040</v>
      </c>
      <c r="Q13" s="111">
        <v>43070</v>
      </c>
      <c r="R13" s="72" t="s">
        <v>14</v>
      </c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</row>
    <row r="14" spans="1:69">
      <c r="A14" s="13"/>
      <c r="B14" s="6"/>
      <c r="C14" s="2" t="s">
        <v>30</v>
      </c>
      <c r="D14" s="4" t="s">
        <v>319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S14" s="4"/>
      <c r="T14" s="4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</row>
    <row r="15" spans="1:69">
      <c r="A15" s="13">
        <v>1</v>
      </c>
      <c r="B15" s="6"/>
      <c r="C15" s="2" t="s">
        <v>151</v>
      </c>
      <c r="D15" s="4" t="s">
        <v>39</v>
      </c>
      <c r="E15" s="85">
        <v>580371825.39999998</v>
      </c>
      <c r="F15" s="85">
        <v>580971089.06000006</v>
      </c>
      <c r="G15" s="85">
        <v>582689799.5</v>
      </c>
      <c r="H15" s="85">
        <v>582198437.33000004</v>
      </c>
      <c r="I15" s="85">
        <v>582100135.63</v>
      </c>
      <c r="J15" s="85">
        <v>586944821.49000001</v>
      </c>
      <c r="K15" s="85">
        <v>591382506.36000013</v>
      </c>
      <c r="L15" s="85">
        <v>591877312.13</v>
      </c>
      <c r="M15" s="85">
        <v>592661979.5</v>
      </c>
      <c r="N15" s="85">
        <v>592647379.03999996</v>
      </c>
      <c r="O15" s="85">
        <v>593489463.6400001</v>
      </c>
      <c r="P15" s="85">
        <v>592091475.69000006</v>
      </c>
      <c r="Q15" s="85">
        <v>590861691.46000004</v>
      </c>
      <c r="R15" s="85">
        <f t="shared" ref="R15:R21" si="0">AVERAGE(E15:Q15)</f>
        <v>587714455.09461546</v>
      </c>
      <c r="S15" s="4"/>
      <c r="T15" s="6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</row>
    <row r="16" spans="1:69">
      <c r="A16" s="13">
        <f t="shared" ref="A16:A65" si="1">+A15+1</f>
        <v>2</v>
      </c>
      <c r="B16" s="6"/>
      <c r="C16" s="2" t="s">
        <v>153</v>
      </c>
      <c r="D16" s="4" t="s">
        <v>84</v>
      </c>
      <c r="E16" s="85">
        <v>147397689.00999999</v>
      </c>
      <c r="F16" s="85">
        <v>148311086.17000002</v>
      </c>
      <c r="G16" s="85">
        <v>147483671.59999999</v>
      </c>
      <c r="H16" s="85">
        <v>147222510.54999998</v>
      </c>
      <c r="I16" s="85">
        <v>147232810.21000001</v>
      </c>
      <c r="J16" s="85">
        <v>182358105.28</v>
      </c>
      <c r="K16" s="85">
        <v>183334685.12</v>
      </c>
      <c r="L16" s="85">
        <v>183558414.78999999</v>
      </c>
      <c r="M16" s="85">
        <v>183782816.03</v>
      </c>
      <c r="N16" s="85">
        <v>184134531.13999999</v>
      </c>
      <c r="O16" s="85">
        <v>184317222.44</v>
      </c>
      <c r="P16" s="85">
        <v>184644657.31</v>
      </c>
      <c r="Q16" s="85">
        <v>184727230</v>
      </c>
      <c r="R16" s="85">
        <f t="shared" si="0"/>
        <v>169885033.05000001</v>
      </c>
      <c r="S16" s="4"/>
      <c r="T16" s="6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</row>
    <row r="17" spans="1:69">
      <c r="A17" s="13">
        <f t="shared" si="1"/>
        <v>3</v>
      </c>
      <c r="B17" s="6"/>
      <c r="C17" s="2" t="s">
        <v>154</v>
      </c>
      <c r="D17" s="4" t="s">
        <v>85</v>
      </c>
      <c r="E17" s="85">
        <v>364302868.34000015</v>
      </c>
      <c r="F17" s="85">
        <v>364025861.93000001</v>
      </c>
      <c r="G17" s="85">
        <v>364239187.69999999</v>
      </c>
      <c r="H17" s="85">
        <v>364738527.56</v>
      </c>
      <c r="I17" s="85">
        <v>365303789.62</v>
      </c>
      <c r="J17" s="85">
        <v>365889307.28000003</v>
      </c>
      <c r="K17" s="85">
        <v>366260196.93000001</v>
      </c>
      <c r="L17" s="85">
        <v>366789755.01000005</v>
      </c>
      <c r="M17" s="85">
        <v>368205430.73000002</v>
      </c>
      <c r="N17" s="85">
        <v>368778060.44</v>
      </c>
      <c r="O17" s="85">
        <v>371559059.69</v>
      </c>
      <c r="P17" s="85">
        <v>372736502.88999999</v>
      </c>
      <c r="Q17" s="85">
        <v>376277440</v>
      </c>
      <c r="R17" s="85">
        <f t="shared" si="0"/>
        <v>367623537.54769236</v>
      </c>
      <c r="S17" s="4"/>
      <c r="T17" s="6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</row>
    <row r="18" spans="1:69">
      <c r="A18" s="13">
        <f t="shared" si="1"/>
        <v>4</v>
      </c>
      <c r="B18" s="6"/>
      <c r="C18" s="2" t="s">
        <v>155</v>
      </c>
      <c r="D18" s="4" t="s">
        <v>314</v>
      </c>
      <c r="E18" s="85">
        <v>44336918.479999997</v>
      </c>
      <c r="F18" s="85">
        <v>44283010.890000001</v>
      </c>
      <c r="G18" s="85">
        <v>44354902.350000001</v>
      </c>
      <c r="H18" s="85">
        <v>44456651.879999995</v>
      </c>
      <c r="I18" s="85">
        <v>44224254.929999992</v>
      </c>
      <c r="J18" s="85">
        <v>43395041.170000002</v>
      </c>
      <c r="K18" s="85">
        <v>43319462.559999995</v>
      </c>
      <c r="L18" s="85">
        <v>43245129.359999999</v>
      </c>
      <c r="M18" s="85">
        <v>43217848.159999996</v>
      </c>
      <c r="N18" s="85">
        <v>43198311.859999999</v>
      </c>
      <c r="O18" s="85">
        <v>43765385.329999998</v>
      </c>
      <c r="P18" s="85">
        <v>46081022.689999998</v>
      </c>
      <c r="Q18" s="85">
        <v>44141667.160000011</v>
      </c>
      <c r="R18" s="85">
        <f t="shared" si="0"/>
        <v>44001508.216923073</v>
      </c>
      <c r="S18" s="4"/>
      <c r="T18" s="6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</row>
    <row r="19" spans="1:69">
      <c r="A19" s="13">
        <f t="shared" si="1"/>
        <v>5</v>
      </c>
      <c r="B19" s="6"/>
      <c r="C19" s="2" t="s">
        <v>101</v>
      </c>
      <c r="D19" s="4" t="s">
        <v>334</v>
      </c>
      <c r="E19" s="85">
        <v>31383081.020000003</v>
      </c>
      <c r="F19" s="85">
        <v>28067710.539999999</v>
      </c>
      <c r="G19" s="85">
        <v>29499382.100000001</v>
      </c>
      <c r="H19" s="85">
        <v>29162168.420000002</v>
      </c>
      <c r="I19" s="85">
        <v>29603164.020000003</v>
      </c>
      <c r="J19" s="85">
        <v>29590233.490000002</v>
      </c>
      <c r="K19" s="85">
        <v>29544673.25</v>
      </c>
      <c r="L19" s="85">
        <v>29813513.699999999</v>
      </c>
      <c r="M19" s="85">
        <v>29634760.079999998</v>
      </c>
      <c r="N19" s="85">
        <v>29541829.66</v>
      </c>
      <c r="O19" s="85">
        <v>29756466.07</v>
      </c>
      <c r="P19" s="85">
        <v>31078508.299999997</v>
      </c>
      <c r="Q19" s="85">
        <v>31425945.649999999</v>
      </c>
      <c r="R19" s="85">
        <f t="shared" si="0"/>
        <v>29853956.638461538</v>
      </c>
      <c r="S19" s="4"/>
      <c r="T19" s="6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</row>
    <row r="20" spans="1:69">
      <c r="A20" s="13">
        <f t="shared" si="1"/>
        <v>6</v>
      </c>
      <c r="B20" s="6"/>
      <c r="C20" s="2" t="s">
        <v>68</v>
      </c>
      <c r="D20" s="4" t="s">
        <v>67</v>
      </c>
      <c r="E20" s="85">
        <v>7247022.9500000002</v>
      </c>
      <c r="F20" s="85">
        <v>7246017.2200000007</v>
      </c>
      <c r="G20" s="85">
        <v>7246017.2200000007</v>
      </c>
      <c r="H20" s="85">
        <v>7294121.7100000009</v>
      </c>
      <c r="I20" s="85">
        <v>7294043.620000001</v>
      </c>
      <c r="J20" s="85">
        <v>7247585.1600000001</v>
      </c>
      <c r="K20" s="85">
        <v>7232639.8200000003</v>
      </c>
      <c r="L20" s="85">
        <v>7232639.8200000003</v>
      </c>
      <c r="M20" s="85">
        <v>7232639.8200000003</v>
      </c>
      <c r="N20" s="85">
        <v>7232639.8200000003</v>
      </c>
      <c r="O20" s="85">
        <v>7232639.8200000003</v>
      </c>
      <c r="P20" s="85">
        <v>7259164.3100000005</v>
      </c>
      <c r="Q20" s="85">
        <v>7058966.8799999999</v>
      </c>
      <c r="R20" s="85">
        <f t="shared" si="0"/>
        <v>7235087.5515384609</v>
      </c>
      <c r="S20" s="4"/>
      <c r="T20" s="6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</row>
    <row r="21" spans="1:69">
      <c r="A21" s="13">
        <f t="shared" si="1"/>
        <v>7</v>
      </c>
      <c r="B21" s="6"/>
      <c r="C21" s="2" t="s">
        <v>157</v>
      </c>
      <c r="D21" s="4" t="s">
        <v>158</v>
      </c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>
        <v>0</v>
      </c>
      <c r="R21" s="85">
        <f t="shared" si="0"/>
        <v>0</v>
      </c>
      <c r="S21" s="4"/>
      <c r="T21" s="6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</row>
    <row r="22" spans="1:69">
      <c r="A22" s="13">
        <f t="shared" si="1"/>
        <v>8</v>
      </c>
      <c r="B22" s="6"/>
      <c r="C22" s="12" t="s">
        <v>5</v>
      </c>
      <c r="D22" s="4" t="str">
        <f>"(sum lines "&amp;A15&amp;" - "&amp;A21&amp;")"</f>
        <v>(sum lines 1 - 7)</v>
      </c>
      <c r="E22" s="112">
        <f>SUM(E15:E21)</f>
        <v>1175039405.2</v>
      </c>
      <c r="F22" s="112">
        <f>SUM(F15:F21)</f>
        <v>1172904775.8100002</v>
      </c>
      <c r="G22" s="112">
        <f t="shared" ref="G22:R22" si="2">SUM(G15:G21)</f>
        <v>1175512960.4699998</v>
      </c>
      <c r="H22" s="112">
        <f t="shared" si="2"/>
        <v>1175072417.4500003</v>
      </c>
      <c r="I22" s="112">
        <f t="shared" si="2"/>
        <v>1175758198.03</v>
      </c>
      <c r="J22" s="112">
        <f t="shared" si="2"/>
        <v>1215425093.8700001</v>
      </c>
      <c r="K22" s="112">
        <f t="shared" si="2"/>
        <v>1221074164.04</v>
      </c>
      <c r="L22" s="112">
        <f t="shared" si="2"/>
        <v>1222516764.8099999</v>
      </c>
      <c r="M22" s="112">
        <f t="shared" si="2"/>
        <v>1224735474.3199999</v>
      </c>
      <c r="N22" s="112">
        <f t="shared" si="2"/>
        <v>1225532751.9599998</v>
      </c>
      <c r="O22" s="112">
        <f t="shared" si="2"/>
        <v>1230120236.99</v>
      </c>
      <c r="P22" s="112">
        <f t="shared" si="2"/>
        <v>1233891331.1899998</v>
      </c>
      <c r="Q22" s="112">
        <f t="shared" si="2"/>
        <v>1234492941.1500003</v>
      </c>
      <c r="R22" s="112">
        <f t="shared" si="2"/>
        <v>1206313578.0992308</v>
      </c>
      <c r="S22" s="4"/>
      <c r="T22" s="11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</row>
    <row r="23" spans="1:69">
      <c r="A23" s="13">
        <f t="shared" si="1"/>
        <v>9</v>
      </c>
      <c r="B23" s="6"/>
      <c r="C23" s="2"/>
      <c r="D23" s="4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4"/>
      <c r="T23" s="4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</row>
    <row r="24" spans="1:69">
      <c r="A24" s="13">
        <f t="shared" si="1"/>
        <v>10</v>
      </c>
      <c r="B24" s="6"/>
      <c r="C24" s="2" t="s">
        <v>31</v>
      </c>
      <c r="D24" s="4" t="s">
        <v>319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4"/>
      <c r="T24" s="4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</row>
    <row r="25" spans="1:69">
      <c r="A25" s="13">
        <f t="shared" si="1"/>
        <v>11</v>
      </c>
      <c r="B25" s="6"/>
      <c r="C25" s="2" t="str">
        <f>+C15</f>
        <v xml:space="preserve">  Production</v>
      </c>
      <c r="D25" s="4" t="s">
        <v>315</v>
      </c>
      <c r="E25" s="85">
        <v>179595430.06767491</v>
      </c>
      <c r="F25" s="85">
        <v>179707795.4200041</v>
      </c>
      <c r="G25" s="85">
        <v>180991592.02204376</v>
      </c>
      <c r="H25" s="85">
        <v>181492680.64350995</v>
      </c>
      <c r="I25" s="85">
        <v>182636233.28592739</v>
      </c>
      <c r="J25" s="85">
        <v>183863297.50153357</v>
      </c>
      <c r="K25" s="85">
        <v>185170831.66958767</v>
      </c>
      <c r="L25" s="85">
        <v>186508967.82839173</v>
      </c>
      <c r="M25" s="85">
        <v>187925140.06154537</v>
      </c>
      <c r="N25" s="85">
        <v>189103071.99770027</v>
      </c>
      <c r="O25" s="85">
        <v>190485204.445871</v>
      </c>
      <c r="P25" s="85">
        <v>190680045.3787823</v>
      </c>
      <c r="Q25" s="85">
        <v>190308275.31008568</v>
      </c>
      <c r="R25" s="85">
        <f t="shared" ref="R25:R31" si="3">AVERAGE(E25:Q25)</f>
        <v>185266812.74097365</v>
      </c>
      <c r="S25" s="4"/>
      <c r="T25" s="4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</row>
    <row r="26" spans="1:69">
      <c r="A26" s="13">
        <f t="shared" si="1"/>
        <v>12</v>
      </c>
      <c r="B26" s="6"/>
      <c r="C26" s="2" t="s">
        <v>153</v>
      </c>
      <c r="D26" s="4" t="s">
        <v>86</v>
      </c>
      <c r="E26" s="85">
        <v>40071560.31471353</v>
      </c>
      <c r="F26" s="85">
        <v>40353416.529604934</v>
      </c>
      <c r="G26" s="85">
        <v>40610890.312418818</v>
      </c>
      <c r="H26" s="85">
        <v>40868105.983453199</v>
      </c>
      <c r="I26" s="85">
        <v>41127360.701783866</v>
      </c>
      <c r="J26" s="85">
        <v>41416743.582618073</v>
      </c>
      <c r="K26" s="85">
        <v>41743388.480731606</v>
      </c>
      <c r="L26" s="85">
        <v>42066035.39634563</v>
      </c>
      <c r="M26" s="85">
        <v>42402520.49545192</v>
      </c>
      <c r="N26" s="85">
        <v>42727387.35738381</v>
      </c>
      <c r="O26" s="85">
        <v>43056492.734677814</v>
      </c>
      <c r="P26" s="85">
        <v>43344934.96493116</v>
      </c>
      <c r="Q26" s="85">
        <v>43694317.812616833</v>
      </c>
      <c r="R26" s="85">
        <f t="shared" si="3"/>
        <v>41806396.512825474</v>
      </c>
      <c r="S26" s="4"/>
      <c r="T26" s="4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</row>
    <row r="27" spans="1:69">
      <c r="A27" s="13">
        <f t="shared" si="1"/>
        <v>13</v>
      </c>
      <c r="B27" s="6"/>
      <c r="C27" s="2" t="s">
        <v>154</v>
      </c>
      <c r="D27" s="4" t="s">
        <v>87</v>
      </c>
      <c r="E27" s="85">
        <v>126243153.67837404</v>
      </c>
      <c r="F27" s="85">
        <v>126950510.24788336</v>
      </c>
      <c r="G27" s="85">
        <v>127646726.63163508</v>
      </c>
      <c r="H27" s="85">
        <v>128276085.7313109</v>
      </c>
      <c r="I27" s="85">
        <v>128943172.03341094</v>
      </c>
      <c r="J27" s="85">
        <v>129588844.62202002</v>
      </c>
      <c r="K27" s="85">
        <v>130231926.31273839</v>
      </c>
      <c r="L27" s="85">
        <v>130850197.33070257</v>
      </c>
      <c r="M27" s="85">
        <v>131564540.82987137</v>
      </c>
      <c r="N27" s="85">
        <v>132232874.83076648</v>
      </c>
      <c r="O27" s="85">
        <v>132656017.24593018</v>
      </c>
      <c r="P27" s="85">
        <v>133037785.40330355</v>
      </c>
      <c r="Q27" s="85">
        <v>133804900.12065056</v>
      </c>
      <c r="R27" s="85">
        <f>AVERAGE(E27:Q27)</f>
        <v>130155902.69373825</v>
      </c>
      <c r="S27" s="4"/>
      <c r="T27" s="4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</row>
    <row r="28" spans="1:69">
      <c r="A28" s="13">
        <f t="shared" si="1"/>
        <v>14</v>
      </c>
      <c r="B28" s="6"/>
      <c r="C28" s="2" t="str">
        <f>+C18</f>
        <v xml:space="preserve">  General &amp; Intangible</v>
      </c>
      <c r="D28" s="4" t="s">
        <v>335</v>
      </c>
      <c r="E28" s="85">
        <v>17685961.029237501</v>
      </c>
      <c r="F28" s="85">
        <v>17829203.763507299</v>
      </c>
      <c r="G28" s="85">
        <v>17966337.933902301</v>
      </c>
      <c r="H28" s="85">
        <v>18104475.851725601</v>
      </c>
      <c r="I28" s="85">
        <v>18205189.058878001</v>
      </c>
      <c r="J28" s="85">
        <v>17588306.033828501</v>
      </c>
      <c r="K28" s="85">
        <v>17576037.4769421</v>
      </c>
      <c r="L28" s="85">
        <v>17647418.5531317</v>
      </c>
      <c r="M28" s="85">
        <v>17735014.833131701</v>
      </c>
      <c r="N28" s="85">
        <v>17844497.284149598</v>
      </c>
      <c r="O28" s="85">
        <v>17972980.323521201</v>
      </c>
      <c r="P28" s="85">
        <v>18079192.252983298</v>
      </c>
      <c r="Q28" s="85">
        <v>17944744.736646902</v>
      </c>
      <c r="R28" s="85">
        <f t="shared" si="3"/>
        <v>17859950.702429667</v>
      </c>
      <c r="S28" s="4"/>
      <c r="T28" s="4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</row>
    <row r="29" spans="1:69">
      <c r="A29" s="13">
        <f t="shared" si="1"/>
        <v>15</v>
      </c>
      <c r="B29" s="6"/>
      <c r="C29" s="2" t="s">
        <v>101</v>
      </c>
      <c r="D29" s="4" t="s">
        <v>336</v>
      </c>
      <c r="E29" s="85">
        <v>15540366.539999999</v>
      </c>
      <c r="F29" s="85">
        <v>12970399.750000002</v>
      </c>
      <c r="G29" s="85">
        <v>13681663.720000001</v>
      </c>
      <c r="H29" s="85">
        <v>13767737.5</v>
      </c>
      <c r="I29" s="85">
        <v>14314075.080000002</v>
      </c>
      <c r="J29" s="85">
        <v>14444060.750000002</v>
      </c>
      <c r="K29" s="85">
        <v>14581285.160000002</v>
      </c>
      <c r="L29" s="85">
        <v>14769922.99</v>
      </c>
      <c r="M29" s="85">
        <v>14925564.170000002</v>
      </c>
      <c r="N29" s="85">
        <v>14803893.152000003</v>
      </c>
      <c r="O29" s="85">
        <v>14917091.75</v>
      </c>
      <c r="P29" s="85">
        <v>15641088.310000002</v>
      </c>
      <c r="Q29" s="85">
        <v>15571481.040000001</v>
      </c>
      <c r="R29" s="85">
        <f t="shared" si="3"/>
        <v>14609894.608615385</v>
      </c>
      <c r="S29" s="4"/>
      <c r="T29" s="4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</row>
    <row r="30" spans="1:69">
      <c r="A30" s="13">
        <f t="shared" si="1"/>
        <v>16</v>
      </c>
      <c r="B30" s="6"/>
      <c r="C30" s="2" t="str">
        <f>+C20</f>
        <v xml:space="preserve">  Communication System</v>
      </c>
      <c r="D30" s="4" t="s">
        <v>337</v>
      </c>
      <c r="E30" s="85">
        <v>2261649.1800000002</v>
      </c>
      <c r="F30" s="85">
        <v>2295356.4500000002</v>
      </c>
      <c r="G30" s="85">
        <v>2329061.63</v>
      </c>
      <c r="H30" s="85">
        <v>2362867.02</v>
      </c>
      <c r="I30" s="85">
        <v>2396772.4700000002</v>
      </c>
      <c r="J30" s="85">
        <v>2430580.9700000002</v>
      </c>
      <c r="K30" s="85">
        <v>2449308.36</v>
      </c>
      <c r="L30" s="85">
        <v>2482942.1100000003</v>
      </c>
      <c r="M30" s="85">
        <v>2516575.8600000003</v>
      </c>
      <c r="N30" s="85">
        <v>2550209.61</v>
      </c>
      <c r="O30" s="85">
        <v>2583843.3600000003</v>
      </c>
      <c r="P30" s="85">
        <v>2617534.7999999998</v>
      </c>
      <c r="Q30" s="85">
        <v>2450694.38</v>
      </c>
      <c r="R30" s="85">
        <f t="shared" si="3"/>
        <v>2440568.9384615384</v>
      </c>
      <c r="S30" s="4"/>
      <c r="T30" s="4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</row>
    <row r="31" spans="1:69">
      <c r="A31" s="13">
        <f t="shared" si="1"/>
        <v>17</v>
      </c>
      <c r="B31" s="6"/>
      <c r="C31" s="2" t="str">
        <f>+C21</f>
        <v xml:space="preserve">  Common</v>
      </c>
      <c r="D31" s="4" t="s">
        <v>158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>
        <v>0</v>
      </c>
      <c r="R31" s="85">
        <f t="shared" si="3"/>
        <v>0</v>
      </c>
      <c r="S31" s="4"/>
      <c r="T31" s="4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</row>
    <row r="32" spans="1:69">
      <c r="A32" s="13">
        <f t="shared" si="1"/>
        <v>18</v>
      </c>
      <c r="B32" s="6"/>
      <c r="C32" s="2" t="s">
        <v>7</v>
      </c>
      <c r="D32" s="4" t="str">
        <f>"(sum lines "&amp;A25&amp;" - "&amp;A31&amp;")"</f>
        <v>(sum lines 11 - 17)</v>
      </c>
      <c r="E32" s="112">
        <f>SUM(E25:E31)</f>
        <v>381398120.81</v>
      </c>
      <c r="F32" s="112">
        <f t="shared" ref="F32:R32" si="4">SUM(F25:F31)</f>
        <v>380106682.16099972</v>
      </c>
      <c r="G32" s="112">
        <f t="shared" si="4"/>
        <v>383226272.25</v>
      </c>
      <c r="H32" s="112">
        <f t="shared" si="4"/>
        <v>384871952.7299996</v>
      </c>
      <c r="I32" s="112">
        <f t="shared" si="4"/>
        <v>387622802.63000023</v>
      </c>
      <c r="J32" s="112">
        <f t="shared" si="4"/>
        <v>389331833.46000016</v>
      </c>
      <c r="K32" s="112">
        <f t="shared" si="4"/>
        <v>391752777.4599998</v>
      </c>
      <c r="L32" s="112">
        <f t="shared" si="4"/>
        <v>394325484.20857167</v>
      </c>
      <c r="M32" s="112">
        <f t="shared" si="4"/>
        <v>397069356.25000042</v>
      </c>
      <c r="N32" s="112">
        <f t="shared" si="4"/>
        <v>399261934.23200017</v>
      </c>
      <c r="O32" s="112">
        <f>SUM(O25:O31)</f>
        <v>401671629.86000019</v>
      </c>
      <c r="P32" s="112">
        <f>SUM(P25:P31)</f>
        <v>403400581.11000031</v>
      </c>
      <c r="Q32" s="112">
        <f>SUM(Q25:Q31)</f>
        <v>403774413.39999998</v>
      </c>
      <c r="R32" s="112">
        <f t="shared" si="4"/>
        <v>392139526.19704401</v>
      </c>
      <c r="S32" s="4"/>
      <c r="T32" s="128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</row>
    <row r="33" spans="1:69">
      <c r="A33" s="13">
        <f t="shared" si="1"/>
        <v>19</v>
      </c>
      <c r="B33" s="6"/>
      <c r="C33" s="6"/>
      <c r="D33" s="4" t="s">
        <v>133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4"/>
      <c r="T33" s="4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</row>
    <row r="34" spans="1:69">
      <c r="A34" s="13">
        <f t="shared" si="1"/>
        <v>20</v>
      </c>
      <c r="B34" s="6"/>
      <c r="C34" s="2" t="s">
        <v>161</v>
      </c>
      <c r="D34" s="4" t="s">
        <v>319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4"/>
      <c r="T34" s="4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</row>
    <row r="35" spans="1:69">
      <c r="A35" s="13">
        <f t="shared" si="1"/>
        <v>21</v>
      </c>
      <c r="B35" s="6"/>
      <c r="C35" s="2" t="str">
        <f>+C25</f>
        <v xml:space="preserve">  Production</v>
      </c>
      <c r="D35" s="4" t="str">
        <f t="shared" ref="D35:D41" si="5">"(line "&amp;A15&amp;" - line "&amp;A25&amp;")"</f>
        <v>(line 1 - line 11)</v>
      </c>
      <c r="E35" s="85">
        <f>+E15-E25</f>
        <v>400776395.3323251</v>
      </c>
      <c r="F35" s="85">
        <f t="shared" ref="F35:Q35" si="6">+F15-F25</f>
        <v>401263293.63999593</v>
      </c>
      <c r="G35" s="85">
        <f t="shared" si="6"/>
        <v>401698207.47795624</v>
      </c>
      <c r="H35" s="85">
        <f t="shared" si="6"/>
        <v>400705756.68649006</v>
      </c>
      <c r="I35" s="85">
        <f t="shared" si="6"/>
        <v>399463902.34407258</v>
      </c>
      <c r="J35" s="85">
        <f t="shared" si="6"/>
        <v>403081523.98846644</v>
      </c>
      <c r="K35" s="85">
        <f t="shared" si="6"/>
        <v>406211674.69041246</v>
      </c>
      <c r="L35" s="85">
        <f t="shared" si="6"/>
        <v>405368344.30160826</v>
      </c>
      <c r="M35" s="85">
        <f t="shared" si="6"/>
        <v>404736839.43845463</v>
      </c>
      <c r="N35" s="85">
        <f t="shared" si="6"/>
        <v>403544307.04229969</v>
      </c>
      <c r="O35" s="85">
        <f t="shared" si="6"/>
        <v>403004259.19412911</v>
      </c>
      <c r="P35" s="85">
        <f t="shared" si="6"/>
        <v>401411430.31121778</v>
      </c>
      <c r="Q35" s="85">
        <f t="shared" si="6"/>
        <v>400553416.14991438</v>
      </c>
      <c r="R35" s="85">
        <f>R15-R25</f>
        <v>402447642.35364181</v>
      </c>
      <c r="S35" s="4"/>
      <c r="T35" s="4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</row>
    <row r="36" spans="1:69">
      <c r="A36" s="13">
        <f t="shared" si="1"/>
        <v>22</v>
      </c>
      <c r="B36" s="6"/>
      <c r="C36" s="2" t="s">
        <v>153</v>
      </c>
      <c r="D36" s="4" t="str">
        <f t="shared" si="5"/>
        <v>(line 2 - line 12)</v>
      </c>
      <c r="E36" s="85">
        <f t="shared" ref="E36:Q41" si="7">+E16-E26</f>
        <v>107326128.69528645</v>
      </c>
      <c r="F36" s="85">
        <f t="shared" si="7"/>
        <v>107957669.64039508</v>
      </c>
      <c r="G36" s="85">
        <f t="shared" si="7"/>
        <v>106872781.28758118</v>
      </c>
      <c r="H36" s="85">
        <f t="shared" si="7"/>
        <v>106354404.56654678</v>
      </c>
      <c r="I36" s="85">
        <f t="shared" si="7"/>
        <v>106105449.50821614</v>
      </c>
      <c r="J36" s="85">
        <f t="shared" si="7"/>
        <v>140941361.69738191</v>
      </c>
      <c r="K36" s="85">
        <f t="shared" si="7"/>
        <v>141591296.6392684</v>
      </c>
      <c r="L36" s="85">
        <f t="shared" si="7"/>
        <v>141492379.39365435</v>
      </c>
      <c r="M36" s="85">
        <f t="shared" si="7"/>
        <v>141380295.53454807</v>
      </c>
      <c r="N36" s="85">
        <f t="shared" si="7"/>
        <v>141407143.78261617</v>
      </c>
      <c r="O36" s="85">
        <f t="shared" si="7"/>
        <v>141260729.70532218</v>
      </c>
      <c r="P36" s="85">
        <f t="shared" si="7"/>
        <v>141299722.34506884</v>
      </c>
      <c r="Q36" s="85">
        <f t="shared" si="7"/>
        <v>141032912.18738317</v>
      </c>
      <c r="R36" s="85">
        <f t="shared" ref="R36:R41" si="8">R16-R26</f>
        <v>128078636.53717454</v>
      </c>
      <c r="S36" s="4"/>
      <c r="T36" s="4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</row>
    <row r="37" spans="1:69">
      <c r="A37" s="13">
        <f t="shared" si="1"/>
        <v>23</v>
      </c>
      <c r="B37" s="6"/>
      <c r="C37" s="2" t="s">
        <v>234</v>
      </c>
      <c r="D37" s="4" t="str">
        <f t="shared" si="5"/>
        <v>(line 3 - line 13)</v>
      </c>
      <c r="E37" s="85">
        <f t="shared" si="7"/>
        <v>238059714.6616261</v>
      </c>
      <c r="F37" s="85">
        <f t="shared" si="7"/>
        <v>237075351.68211663</v>
      </c>
      <c r="G37" s="85">
        <f t="shared" si="7"/>
        <v>236592461.06836492</v>
      </c>
      <c r="H37" s="85">
        <f t="shared" si="7"/>
        <v>236462441.8286891</v>
      </c>
      <c r="I37" s="85">
        <f t="shared" si="7"/>
        <v>236360617.58658907</v>
      </c>
      <c r="J37" s="85">
        <f t="shared" si="7"/>
        <v>236300462.65798002</v>
      </c>
      <c r="K37" s="85">
        <f t="shared" si="7"/>
        <v>236028270.61726162</v>
      </c>
      <c r="L37" s="85">
        <f t="shared" si="7"/>
        <v>235939557.67929748</v>
      </c>
      <c r="M37" s="85">
        <f t="shared" si="7"/>
        <v>236640889.90012866</v>
      </c>
      <c r="N37" s="85">
        <f t="shared" si="7"/>
        <v>236545185.6092335</v>
      </c>
      <c r="O37" s="85">
        <f t="shared" si="7"/>
        <v>238903042.4440698</v>
      </c>
      <c r="P37" s="85">
        <f t="shared" si="7"/>
        <v>239698717.48669642</v>
      </c>
      <c r="Q37" s="85">
        <f t="shared" si="7"/>
        <v>242472539.87934944</v>
      </c>
      <c r="R37" s="85">
        <f t="shared" si="8"/>
        <v>237467634.85395411</v>
      </c>
      <c r="S37" s="4"/>
      <c r="T37" s="4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</row>
    <row r="38" spans="1:69">
      <c r="A38" s="13">
        <f t="shared" si="1"/>
        <v>24</v>
      </c>
      <c r="B38" s="6"/>
      <c r="C38" s="2" t="str">
        <f>+C28</f>
        <v xml:space="preserve">  General &amp; Intangible</v>
      </c>
      <c r="D38" s="4" t="str">
        <f t="shared" si="5"/>
        <v>(line 4 - line 14)</v>
      </c>
      <c r="E38" s="85">
        <f t="shared" si="7"/>
        <v>26650957.450762495</v>
      </c>
      <c r="F38" s="85">
        <f t="shared" si="7"/>
        <v>26453807.126492701</v>
      </c>
      <c r="G38" s="85">
        <f t="shared" si="7"/>
        <v>26388564.416097701</v>
      </c>
      <c r="H38" s="85">
        <f t="shared" si="7"/>
        <v>26352176.028274395</v>
      </c>
      <c r="I38" s="85">
        <f t="shared" si="7"/>
        <v>26019065.871121991</v>
      </c>
      <c r="J38" s="85">
        <f t="shared" si="7"/>
        <v>25806735.136171501</v>
      </c>
      <c r="K38" s="85">
        <f t="shared" si="7"/>
        <v>25743425.083057895</v>
      </c>
      <c r="L38" s="85">
        <f t="shared" si="7"/>
        <v>25597710.8068683</v>
      </c>
      <c r="M38" s="85">
        <f t="shared" si="7"/>
        <v>25482833.326868296</v>
      </c>
      <c r="N38" s="85">
        <f t="shared" si="7"/>
        <v>25353814.575850401</v>
      </c>
      <c r="O38" s="85">
        <f t="shared" si="7"/>
        <v>25792405.006478798</v>
      </c>
      <c r="P38" s="85">
        <f t="shared" si="7"/>
        <v>28001830.437016699</v>
      </c>
      <c r="Q38" s="85">
        <f t="shared" si="7"/>
        <v>26196922.42335311</v>
      </c>
      <c r="R38" s="85">
        <f t="shared" si="8"/>
        <v>26141557.514493406</v>
      </c>
      <c r="S38" s="4"/>
      <c r="T38" s="4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</row>
    <row r="39" spans="1:69">
      <c r="A39" s="13">
        <f t="shared" si="1"/>
        <v>25</v>
      </c>
      <c r="B39" s="6"/>
      <c r="C39" s="2" t="s">
        <v>101</v>
      </c>
      <c r="D39" s="4" t="str">
        <f t="shared" si="5"/>
        <v>(line 5 - line 15)</v>
      </c>
      <c r="E39" s="85">
        <f>+E19-E29</f>
        <v>15842714.480000004</v>
      </c>
      <c r="F39" s="85">
        <f t="shared" si="7"/>
        <v>15097310.789999997</v>
      </c>
      <c r="G39" s="85">
        <f t="shared" si="7"/>
        <v>15817718.380000001</v>
      </c>
      <c r="H39" s="85">
        <f t="shared" si="7"/>
        <v>15394430.920000002</v>
      </c>
      <c r="I39" s="85">
        <f t="shared" si="7"/>
        <v>15289088.940000001</v>
      </c>
      <c r="J39" s="85">
        <f t="shared" si="7"/>
        <v>15146172.74</v>
      </c>
      <c r="K39" s="85">
        <f t="shared" si="7"/>
        <v>14963388.089999998</v>
      </c>
      <c r="L39" s="85">
        <f t="shared" si="7"/>
        <v>15043590.709999999</v>
      </c>
      <c r="M39" s="85">
        <f t="shared" si="7"/>
        <v>14709195.909999996</v>
      </c>
      <c r="N39" s="85">
        <f t="shared" si="7"/>
        <v>14737936.507999998</v>
      </c>
      <c r="O39" s="85">
        <f t="shared" si="7"/>
        <v>14839374.32</v>
      </c>
      <c r="P39" s="85">
        <f t="shared" si="7"/>
        <v>15437419.989999995</v>
      </c>
      <c r="Q39" s="85">
        <f t="shared" si="7"/>
        <v>15854464.609999998</v>
      </c>
      <c r="R39" s="85">
        <f t="shared" si="8"/>
        <v>15244062.029846152</v>
      </c>
      <c r="S39" s="4"/>
      <c r="T39" s="4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</row>
    <row r="40" spans="1:69">
      <c r="A40" s="13">
        <f t="shared" si="1"/>
        <v>26</v>
      </c>
      <c r="B40" s="6"/>
      <c r="C40" s="2" t="str">
        <f>+C30</f>
        <v xml:space="preserve">  Communication System</v>
      </c>
      <c r="D40" s="4" t="str">
        <f t="shared" si="5"/>
        <v>(line 6 - line 16)</v>
      </c>
      <c r="E40" s="85">
        <f t="shared" si="7"/>
        <v>4985373.7699999996</v>
      </c>
      <c r="F40" s="85">
        <f t="shared" si="7"/>
        <v>4950660.7700000005</v>
      </c>
      <c r="G40" s="85">
        <f t="shared" si="7"/>
        <v>4916955.5900000008</v>
      </c>
      <c r="H40" s="85">
        <f t="shared" si="7"/>
        <v>4931254.6900000013</v>
      </c>
      <c r="I40" s="85">
        <f t="shared" si="7"/>
        <v>4897271.1500000004</v>
      </c>
      <c r="J40" s="85">
        <f t="shared" si="7"/>
        <v>4817004.1899999995</v>
      </c>
      <c r="K40" s="85">
        <f t="shared" si="7"/>
        <v>4783331.4600000009</v>
      </c>
      <c r="L40" s="85">
        <f t="shared" si="7"/>
        <v>4749697.71</v>
      </c>
      <c r="M40" s="85">
        <f t="shared" si="7"/>
        <v>4716063.96</v>
      </c>
      <c r="N40" s="85">
        <f t="shared" si="7"/>
        <v>4682430.2100000009</v>
      </c>
      <c r="O40" s="85">
        <f t="shared" si="7"/>
        <v>4648796.46</v>
      </c>
      <c r="P40" s="85">
        <f t="shared" si="7"/>
        <v>4641629.5100000007</v>
      </c>
      <c r="Q40" s="85">
        <f>+Q20-Q30</f>
        <v>4608272.5</v>
      </c>
      <c r="R40" s="85">
        <f t="shared" si="8"/>
        <v>4794518.6130769225</v>
      </c>
      <c r="S40" s="4"/>
      <c r="T40" s="4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</row>
    <row r="41" spans="1:69">
      <c r="A41" s="13">
        <f t="shared" si="1"/>
        <v>27</v>
      </c>
      <c r="B41" s="6"/>
      <c r="C41" s="2" t="str">
        <f>+C31</f>
        <v xml:space="preserve">  Common</v>
      </c>
      <c r="D41" s="4" t="str">
        <f t="shared" si="5"/>
        <v>(line 7 - line 17)</v>
      </c>
      <c r="E41" s="85">
        <f t="shared" si="7"/>
        <v>0</v>
      </c>
      <c r="F41" s="85">
        <f t="shared" si="7"/>
        <v>0</v>
      </c>
      <c r="G41" s="85">
        <f t="shared" si="7"/>
        <v>0</v>
      </c>
      <c r="H41" s="85">
        <f t="shared" si="7"/>
        <v>0</v>
      </c>
      <c r="I41" s="85">
        <f t="shared" si="7"/>
        <v>0</v>
      </c>
      <c r="J41" s="85">
        <f t="shared" si="7"/>
        <v>0</v>
      </c>
      <c r="K41" s="85">
        <f t="shared" si="7"/>
        <v>0</v>
      </c>
      <c r="L41" s="85">
        <f t="shared" si="7"/>
        <v>0</v>
      </c>
      <c r="M41" s="85">
        <f t="shared" si="7"/>
        <v>0</v>
      </c>
      <c r="N41" s="85">
        <f t="shared" si="7"/>
        <v>0</v>
      </c>
      <c r="O41" s="85">
        <f t="shared" si="7"/>
        <v>0</v>
      </c>
      <c r="P41" s="85">
        <f t="shared" si="7"/>
        <v>0</v>
      </c>
      <c r="Q41" s="85">
        <f t="shared" si="7"/>
        <v>0</v>
      </c>
      <c r="R41" s="108">
        <f t="shared" si="8"/>
        <v>0</v>
      </c>
      <c r="S41" s="4"/>
      <c r="T41" s="4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</row>
    <row r="42" spans="1:69">
      <c r="A42" s="13">
        <f t="shared" si="1"/>
        <v>28</v>
      </c>
      <c r="B42" s="6"/>
      <c r="C42" s="2" t="s">
        <v>6</v>
      </c>
      <c r="D42" s="4" t="str">
        <f>"(sum lines "&amp;A35&amp;" - "&amp;A41&amp;")"</f>
        <v>(sum lines 21 - 27)</v>
      </c>
      <c r="E42" s="113">
        <f>SUM(E35:E41)</f>
        <v>793641284.3900001</v>
      </c>
      <c r="F42" s="113">
        <f t="shared" ref="F42:Q42" si="9">SUM(F35:F41)</f>
        <v>792798093.64900029</v>
      </c>
      <c r="G42" s="113">
        <f t="shared" si="9"/>
        <v>792286688.22000003</v>
      </c>
      <c r="H42" s="113">
        <f t="shared" si="9"/>
        <v>790200464.72000039</v>
      </c>
      <c r="I42" s="113">
        <f t="shared" si="9"/>
        <v>788135395.39999986</v>
      </c>
      <c r="J42" s="113">
        <f t="shared" si="9"/>
        <v>826093260.40999997</v>
      </c>
      <c r="K42" s="113">
        <f t="shared" si="9"/>
        <v>829321386.58000052</v>
      </c>
      <c r="L42" s="113">
        <f t="shared" si="9"/>
        <v>828191280.60142851</v>
      </c>
      <c r="M42" s="113">
        <f t="shared" si="9"/>
        <v>827666118.06999958</v>
      </c>
      <c r="N42" s="113">
        <f t="shared" si="9"/>
        <v>826270817.72799981</v>
      </c>
      <c r="O42" s="113">
        <f t="shared" si="9"/>
        <v>828448607.13</v>
      </c>
      <c r="P42" s="113">
        <f t="shared" si="9"/>
        <v>830490750.07999969</v>
      </c>
      <c r="Q42" s="113">
        <f t="shared" si="9"/>
        <v>830718527.75000012</v>
      </c>
      <c r="R42" s="113">
        <f>SUM(R35:R41)</f>
        <v>814174051.90218687</v>
      </c>
      <c r="S42" s="4"/>
      <c r="T42" s="74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</row>
    <row r="43" spans="1:69">
      <c r="A43" s="13"/>
      <c r="B43" s="6"/>
      <c r="C43" s="2"/>
      <c r="D43" s="4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4"/>
      <c r="T43" s="74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</row>
    <row r="44" spans="1:69">
      <c r="A44" s="13"/>
      <c r="B44" s="6"/>
      <c r="C44" s="2" t="s">
        <v>320</v>
      </c>
      <c r="D44" s="4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4"/>
      <c r="T44" s="74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</row>
    <row r="45" spans="1:69" ht="18.5">
      <c r="A45" s="13"/>
      <c r="B45" s="6"/>
      <c r="C45" s="124" t="s">
        <v>321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4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</row>
    <row r="46" spans="1:69">
      <c r="A46" s="13"/>
      <c r="B46" s="6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74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</row>
    <row r="47" spans="1:69" ht="23">
      <c r="A47" s="13"/>
      <c r="B47" s="6"/>
      <c r="C47" s="2"/>
      <c r="D47" s="4"/>
      <c r="E47" s="160" t="s">
        <v>384</v>
      </c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74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</row>
    <row r="48" spans="1:69">
      <c r="A48" s="13">
        <f>+A42+1</f>
        <v>29</v>
      </c>
      <c r="B48" s="6"/>
      <c r="C48" s="6"/>
      <c r="D48" s="4"/>
      <c r="E48" s="161" t="s">
        <v>15</v>
      </c>
      <c r="F48" s="161" t="s">
        <v>16</v>
      </c>
      <c r="G48" s="161" t="s">
        <v>17</v>
      </c>
      <c r="H48" s="15"/>
      <c r="I48" s="4"/>
      <c r="J48" s="4"/>
      <c r="K48" s="4"/>
      <c r="L48" s="4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</row>
    <row r="49" spans="1:62">
      <c r="A49" s="13">
        <f t="shared" si="1"/>
        <v>30</v>
      </c>
      <c r="B49" s="6"/>
      <c r="C49" s="12" t="s">
        <v>316</v>
      </c>
      <c r="D49" s="4"/>
      <c r="E49" s="162">
        <v>42705</v>
      </c>
      <c r="F49" s="162">
        <v>43070</v>
      </c>
      <c r="G49" s="15" t="s">
        <v>29</v>
      </c>
      <c r="H49" s="15"/>
      <c r="I49" s="4"/>
      <c r="J49" s="4"/>
      <c r="K49" s="4"/>
      <c r="L49" s="4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</row>
    <row r="50" spans="1:62">
      <c r="A50" s="13">
        <f t="shared" si="1"/>
        <v>31</v>
      </c>
      <c r="B50" s="6"/>
      <c r="C50" s="2" t="s">
        <v>207</v>
      </c>
      <c r="D50" s="122" t="s">
        <v>308</v>
      </c>
      <c r="E50" s="85">
        <v>0</v>
      </c>
      <c r="F50" s="85">
        <v>0</v>
      </c>
      <c r="G50" s="85">
        <f t="shared" ref="G50:G55" si="10">(+E50+F50)/2</f>
        <v>0</v>
      </c>
      <c r="H50" s="15"/>
      <c r="I50" s="15"/>
      <c r="J50" s="15"/>
      <c r="K50" s="15"/>
      <c r="L50" s="8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</row>
    <row r="51" spans="1:62">
      <c r="A51" s="13">
        <f t="shared" si="1"/>
        <v>32</v>
      </c>
      <c r="B51" s="6"/>
      <c r="C51" s="2" t="s">
        <v>208</v>
      </c>
      <c r="D51" s="122" t="s">
        <v>309</v>
      </c>
      <c r="E51" s="85">
        <v>-192842703</v>
      </c>
      <c r="F51" s="85">
        <v>-122122002</v>
      </c>
      <c r="G51" s="85">
        <f t="shared" si="10"/>
        <v>-157482352.5</v>
      </c>
      <c r="H51" s="15"/>
      <c r="I51" s="4"/>
      <c r="J51" s="4"/>
      <c r="K51" s="4"/>
      <c r="L51" s="102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</row>
    <row r="52" spans="1:62">
      <c r="A52" s="13">
        <f t="shared" si="1"/>
        <v>33</v>
      </c>
      <c r="B52" s="6"/>
      <c r="C52" s="2" t="s">
        <v>209</v>
      </c>
      <c r="D52" s="122" t="s">
        <v>310</v>
      </c>
      <c r="E52" s="108">
        <v>-34384010</v>
      </c>
      <c r="F52" s="108">
        <v>-18129142</v>
      </c>
      <c r="G52" s="85">
        <f t="shared" si="10"/>
        <v>-26256576</v>
      </c>
      <c r="H52" s="15"/>
      <c r="I52" s="4"/>
      <c r="J52" s="4"/>
      <c r="K52" s="4"/>
      <c r="L52" s="8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</row>
    <row r="53" spans="1:62">
      <c r="A53" s="13">
        <f t="shared" si="1"/>
        <v>34</v>
      </c>
      <c r="B53" s="6"/>
      <c r="C53" s="2" t="s">
        <v>211</v>
      </c>
      <c r="D53" s="122" t="s">
        <v>311</v>
      </c>
      <c r="E53" s="108">
        <v>15707242</v>
      </c>
      <c r="F53" s="108">
        <v>29587154</v>
      </c>
      <c r="G53" s="85">
        <f t="shared" si="10"/>
        <v>22647198</v>
      </c>
      <c r="H53" s="15"/>
      <c r="I53" s="323">
        <v>42705</v>
      </c>
      <c r="J53" s="323">
        <v>43070</v>
      </c>
      <c r="K53" s="4" t="s">
        <v>29</v>
      </c>
      <c r="L53" s="8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</row>
    <row r="54" spans="1:62">
      <c r="A54" s="13">
        <f t="shared" si="1"/>
        <v>35</v>
      </c>
      <c r="B54" s="6"/>
      <c r="C54" s="6" t="s">
        <v>210</v>
      </c>
      <c r="D54" s="122" t="s">
        <v>312</v>
      </c>
      <c r="E54" s="108">
        <v>0</v>
      </c>
      <c r="F54" s="108"/>
      <c r="G54" s="85">
        <f t="shared" si="10"/>
        <v>0</v>
      </c>
      <c r="H54" s="325">
        <v>254015</v>
      </c>
      <c r="I54" s="72">
        <v>0</v>
      </c>
      <c r="J54" s="72">
        <v>-97101164</v>
      </c>
      <c r="K54" s="72">
        <v>-48550582</v>
      </c>
      <c r="L54" s="324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</row>
    <row r="55" spans="1:62">
      <c r="A55" s="13">
        <f t="shared" si="1"/>
        <v>36</v>
      </c>
      <c r="B55" s="6"/>
      <c r="C55" s="2" t="s">
        <v>230</v>
      </c>
      <c r="D55" s="123" t="s">
        <v>338</v>
      </c>
      <c r="E55" s="163">
        <f>9367358*0.35</f>
        <v>3278575.3</v>
      </c>
      <c r="F55" s="322">
        <f>(5094675*0.21)+J54</f>
        <v>-96031282.25</v>
      </c>
      <c r="G55" s="163">
        <f t="shared" si="10"/>
        <v>-46376353.475000001</v>
      </c>
      <c r="H55" s="15"/>
      <c r="I55" s="4"/>
      <c r="J55" s="4"/>
      <c r="K55" s="4"/>
      <c r="L55" s="8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</row>
    <row r="56" spans="1:62">
      <c r="A56" s="13">
        <f t="shared" si="1"/>
        <v>37</v>
      </c>
      <c r="B56" s="6"/>
      <c r="C56" s="2" t="s">
        <v>8</v>
      </c>
      <c r="D56" s="4" t="str">
        <f>"(sum lines "&amp;A50&amp;" - "&amp;A55&amp;")"</f>
        <v>(sum lines 31 - 36)</v>
      </c>
      <c r="E56" s="85">
        <f>SUM(E50:E55)</f>
        <v>-208240895.69999999</v>
      </c>
      <c r="F56" s="85">
        <f>SUM(F50:F55)</f>
        <v>-206695272.25</v>
      </c>
      <c r="G56" s="85">
        <f>SUM(G50:G55)</f>
        <v>-207468083.97499999</v>
      </c>
      <c r="H56" s="15"/>
      <c r="I56" s="4"/>
      <c r="J56" s="4"/>
      <c r="K56" s="4"/>
      <c r="L56" s="73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</row>
    <row r="57" spans="1:62">
      <c r="A57" s="13">
        <f t="shared" si="1"/>
        <v>38</v>
      </c>
      <c r="B57" s="6"/>
      <c r="C57" s="6"/>
      <c r="D57" s="4"/>
      <c r="E57" s="85"/>
      <c r="F57" s="85"/>
      <c r="G57" s="85"/>
      <c r="H57" s="15"/>
      <c r="I57" s="4"/>
      <c r="J57" s="4"/>
      <c r="K57" s="4"/>
      <c r="L57" s="4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</row>
    <row r="58" spans="1:62">
      <c r="A58" s="13">
        <f t="shared" si="1"/>
        <v>39</v>
      </c>
      <c r="B58" s="6"/>
      <c r="C58" s="12" t="s">
        <v>168</v>
      </c>
      <c r="D58" s="4" t="s">
        <v>236</v>
      </c>
      <c r="E58" s="85"/>
      <c r="F58" s="85"/>
      <c r="G58" s="85">
        <f>(+E58+F58)/2</f>
        <v>0</v>
      </c>
      <c r="H58" s="15"/>
      <c r="I58" s="4"/>
      <c r="J58" s="4"/>
      <c r="K58" s="4"/>
      <c r="L58" s="103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</row>
    <row r="59" spans="1:62">
      <c r="A59" s="13">
        <f t="shared" si="1"/>
        <v>40</v>
      </c>
      <c r="B59" s="6"/>
      <c r="C59" s="2"/>
      <c r="D59" s="4"/>
      <c r="E59" s="85"/>
      <c r="F59" s="85"/>
      <c r="G59" s="85"/>
      <c r="H59" s="15"/>
      <c r="I59" s="4"/>
      <c r="J59" s="4"/>
      <c r="K59" s="4"/>
      <c r="L59" s="4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</row>
    <row r="60" spans="1:62">
      <c r="A60" s="13">
        <f t="shared" si="1"/>
        <v>41</v>
      </c>
      <c r="B60" s="6"/>
      <c r="C60" s="2" t="s">
        <v>322</v>
      </c>
      <c r="D60" s="4"/>
      <c r="E60" s="85"/>
      <c r="F60" s="85"/>
      <c r="G60" s="85"/>
      <c r="H60" s="15"/>
      <c r="I60" s="4"/>
      <c r="J60" s="4"/>
      <c r="K60" s="4"/>
      <c r="L60" s="4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</row>
    <row r="61" spans="1:62">
      <c r="A61" s="13">
        <f t="shared" si="1"/>
        <v>42</v>
      </c>
      <c r="B61" s="6"/>
      <c r="C61" s="2"/>
      <c r="D61" s="20"/>
      <c r="E61" s="85"/>
      <c r="F61" s="85"/>
      <c r="G61" s="85"/>
      <c r="H61" s="15"/>
      <c r="I61" s="4"/>
      <c r="J61" s="4"/>
      <c r="K61" s="4"/>
      <c r="L61" s="5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</row>
    <row r="62" spans="1:62">
      <c r="A62" s="13">
        <f t="shared" si="1"/>
        <v>43</v>
      </c>
      <c r="B62" s="6"/>
      <c r="C62" s="2" t="s">
        <v>272</v>
      </c>
      <c r="D62" s="4" t="s">
        <v>98</v>
      </c>
      <c r="E62" s="108">
        <v>4978503</v>
      </c>
      <c r="F62" s="108">
        <v>4210110</v>
      </c>
      <c r="G62" s="85">
        <f>(+E62+F62)/2</f>
        <v>4594306.5</v>
      </c>
      <c r="H62" s="15"/>
      <c r="I62" s="4"/>
      <c r="J62" s="4"/>
      <c r="K62" s="4"/>
      <c r="L62" s="5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</row>
    <row r="63" spans="1:62">
      <c r="A63" s="13">
        <f t="shared" si="1"/>
        <v>44</v>
      </c>
      <c r="B63" s="6"/>
      <c r="C63" s="2" t="s">
        <v>272</v>
      </c>
      <c r="D63" s="4" t="s">
        <v>97</v>
      </c>
      <c r="E63" s="108">
        <v>19059</v>
      </c>
      <c r="F63" s="108">
        <v>17641</v>
      </c>
      <c r="G63" s="85">
        <f>(+E63+F63)/2</f>
        <v>18350</v>
      </c>
      <c r="H63" s="15"/>
      <c r="I63" s="4"/>
      <c r="J63" s="4"/>
      <c r="K63" s="4"/>
      <c r="L63" s="5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</row>
    <row r="64" spans="1:62">
      <c r="A64" s="13">
        <f t="shared" si="1"/>
        <v>45</v>
      </c>
      <c r="B64" s="6"/>
      <c r="C64" s="2" t="s">
        <v>212</v>
      </c>
      <c r="D64" s="15" t="s">
        <v>40</v>
      </c>
      <c r="E64" s="108">
        <v>3523967</v>
      </c>
      <c r="F64" s="108">
        <v>3496663.59</v>
      </c>
      <c r="G64" s="85">
        <f>(+E64+F64)/2</f>
        <v>3510315.2949999999</v>
      </c>
      <c r="H64" s="15"/>
      <c r="I64" s="4"/>
      <c r="J64" s="4"/>
      <c r="K64" s="4"/>
      <c r="L64" s="5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</row>
    <row r="65" spans="1:62">
      <c r="A65" s="13">
        <f t="shared" si="1"/>
        <v>46</v>
      </c>
      <c r="B65" s="6"/>
      <c r="C65" s="2" t="s">
        <v>9</v>
      </c>
      <c r="D65" s="4" t="str">
        <f>"(sum lines "&amp;A61&amp;" - "&amp;A64&amp;")"</f>
        <v>(sum lines 42 - 45)</v>
      </c>
      <c r="E65" s="112">
        <f>SUM(E62:E64)</f>
        <v>8521529</v>
      </c>
      <c r="F65" s="112">
        <f>SUM(F62:F64)</f>
        <v>7724414.5899999999</v>
      </c>
      <c r="G65" s="112">
        <f>SUM(G62:G64)</f>
        <v>8122971.7949999999</v>
      </c>
      <c r="H65" s="164"/>
      <c r="I65" s="1"/>
      <c r="J65" s="1"/>
      <c r="K65" s="1"/>
      <c r="L65" s="73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</row>
    <row r="66" spans="1:62">
      <c r="E66" s="165"/>
      <c r="F66" s="165"/>
      <c r="G66" s="165"/>
      <c r="H66" s="165"/>
    </row>
    <row r="67" spans="1:62">
      <c r="E67" s="165"/>
      <c r="F67" s="165"/>
      <c r="G67" s="165"/>
      <c r="H67" s="165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CCFFCC"/>
    <pageSetUpPr fitToPage="1"/>
  </sheetPr>
  <dimension ref="A1:L206"/>
  <sheetViews>
    <sheetView zoomScaleNormal="100" workbookViewId="0">
      <selection activeCell="K11" sqref="K11"/>
    </sheetView>
  </sheetViews>
  <sheetFormatPr defaultColWidth="7.07421875" defaultRowHeight="12.5"/>
  <cols>
    <col min="1" max="1" width="4.84375" style="50" customWidth="1"/>
    <col min="2" max="2" width="15.61328125" style="50" customWidth="1"/>
    <col min="3" max="3" width="7.07421875" style="50" customWidth="1"/>
    <col min="4" max="4" width="8.84375" style="50" customWidth="1"/>
    <col min="5" max="5" width="7.921875" style="50" customWidth="1"/>
    <col min="6" max="6" width="7.61328125" style="50" customWidth="1"/>
    <col min="7" max="7" width="10.3828125" style="50" customWidth="1"/>
    <col min="8" max="8" width="13" style="50" customWidth="1"/>
    <col min="9" max="9" width="11.84375" style="50" customWidth="1"/>
    <col min="10" max="10" width="11.53515625" style="50" bestFit="1" customWidth="1"/>
    <col min="11" max="11" width="8" style="50" customWidth="1"/>
    <col min="12" max="16384" width="7.07421875" style="50"/>
  </cols>
  <sheetData>
    <row r="1" spans="1:11" ht="13">
      <c r="K1" s="44"/>
    </row>
    <row r="2" spans="1:11">
      <c r="B2" s="22"/>
      <c r="C2" s="23"/>
      <c r="D2" s="23"/>
      <c r="E2" s="23"/>
      <c r="F2" s="23"/>
      <c r="G2" s="23"/>
      <c r="H2" s="23"/>
      <c r="J2" s="38" t="s">
        <v>359</v>
      </c>
    </row>
    <row r="3" spans="1:11" ht="15" customHeight="1">
      <c r="A3" s="330" t="s">
        <v>274</v>
      </c>
      <c r="B3" s="330"/>
      <c r="C3" s="330"/>
      <c r="D3" s="330"/>
      <c r="E3" s="330"/>
      <c r="F3" s="330"/>
      <c r="G3" s="330"/>
      <c r="H3" s="330"/>
      <c r="I3" s="330"/>
      <c r="J3" s="330"/>
    </row>
    <row r="4" spans="1:11" ht="15" customHeight="1">
      <c r="A4" s="330" t="s">
        <v>43</v>
      </c>
      <c r="B4" s="330"/>
      <c r="C4" s="330"/>
      <c r="D4" s="330"/>
      <c r="E4" s="330"/>
      <c r="F4" s="330"/>
      <c r="G4" s="330"/>
      <c r="H4" s="330"/>
      <c r="I4" s="330"/>
      <c r="J4" s="330"/>
    </row>
    <row r="5" spans="1:11" ht="13">
      <c r="B5" s="22"/>
      <c r="C5" s="23"/>
      <c r="D5" s="45"/>
      <c r="E5" s="23"/>
      <c r="G5" s="23"/>
      <c r="H5" s="23"/>
      <c r="I5" s="23"/>
      <c r="J5" s="23"/>
    </row>
    <row r="6" spans="1:11" ht="17.5">
      <c r="A6" s="106" t="s">
        <v>135</v>
      </c>
      <c r="B6" s="22"/>
      <c r="C6" s="23"/>
      <c r="D6" s="343" t="s">
        <v>382</v>
      </c>
      <c r="E6" s="344"/>
      <c r="F6" s="344"/>
      <c r="G6" s="344"/>
      <c r="H6" s="345"/>
      <c r="I6" s="23"/>
      <c r="J6" s="23"/>
    </row>
    <row r="7" spans="1:11" ht="13" thickBot="1">
      <c r="A7" s="107" t="s">
        <v>136</v>
      </c>
    </row>
    <row r="8" spans="1:11" ht="15.5">
      <c r="A8" s="104">
        <v>1</v>
      </c>
      <c r="B8" s="48"/>
      <c r="C8" s="49"/>
      <c r="D8" s="88" t="s">
        <v>37</v>
      </c>
      <c r="E8" s="76" t="s">
        <v>60</v>
      </c>
      <c r="F8" s="76" t="s">
        <v>61</v>
      </c>
      <c r="G8" s="77" t="s">
        <v>62</v>
      </c>
      <c r="H8" s="88" t="s">
        <v>103</v>
      </c>
      <c r="I8" s="88" t="s">
        <v>1</v>
      </c>
      <c r="J8" s="76" t="s">
        <v>240</v>
      </c>
      <c r="K8"/>
    </row>
    <row r="9" spans="1:11" ht="15.5">
      <c r="A9" s="104">
        <f>A8+1</f>
        <v>2</v>
      </c>
      <c r="B9" s="51"/>
      <c r="C9" s="52"/>
      <c r="D9" s="78" t="s">
        <v>240</v>
      </c>
      <c r="E9" s="78" t="s">
        <v>240</v>
      </c>
      <c r="F9" s="78" t="s">
        <v>63</v>
      </c>
      <c r="G9" s="79" t="s">
        <v>64</v>
      </c>
      <c r="H9" s="80" t="s">
        <v>104</v>
      </c>
      <c r="I9" s="80" t="s">
        <v>2</v>
      </c>
      <c r="J9" s="80" t="s">
        <v>75</v>
      </c>
      <c r="K9"/>
    </row>
    <row r="10" spans="1:11" ht="16" thickBot="1">
      <c r="A10" s="104">
        <f t="shared" ref="A10:A47" si="0">A9+1</f>
        <v>3</v>
      </c>
      <c r="B10" s="53"/>
      <c r="C10" s="54"/>
      <c r="D10" s="81" t="s">
        <v>65</v>
      </c>
      <c r="E10" s="78" t="s">
        <v>65</v>
      </c>
      <c r="F10" s="81" t="s">
        <v>65</v>
      </c>
      <c r="G10" s="82" t="s">
        <v>65</v>
      </c>
      <c r="H10" s="89" t="s">
        <v>65</v>
      </c>
      <c r="I10" s="89" t="s">
        <v>65</v>
      </c>
      <c r="J10" s="80" t="s">
        <v>76</v>
      </c>
      <c r="K10"/>
    </row>
    <row r="11" spans="1:11" ht="15.5">
      <c r="A11" s="104">
        <f t="shared" si="0"/>
        <v>4</v>
      </c>
      <c r="B11" s="90" t="s">
        <v>113</v>
      </c>
      <c r="C11" s="91"/>
      <c r="D11" s="177">
        <v>284</v>
      </c>
      <c r="E11" s="76">
        <v>383</v>
      </c>
      <c r="F11" s="178">
        <v>2</v>
      </c>
      <c r="G11" s="76">
        <v>56</v>
      </c>
      <c r="H11" s="77">
        <v>260</v>
      </c>
      <c r="I11" s="177">
        <v>80</v>
      </c>
      <c r="J11" s="76">
        <f>SUM(D11:I11)</f>
        <v>1065</v>
      </c>
      <c r="K11"/>
    </row>
    <row r="12" spans="1:11" ht="15.5">
      <c r="A12" s="104">
        <f t="shared" si="0"/>
        <v>5</v>
      </c>
      <c r="B12" s="90" t="s">
        <v>124</v>
      </c>
      <c r="C12" s="92"/>
      <c r="D12" s="179">
        <v>292</v>
      </c>
      <c r="E12" s="78">
        <v>352</v>
      </c>
      <c r="F12" s="180">
        <v>2</v>
      </c>
      <c r="G12" s="78">
        <v>52</v>
      </c>
      <c r="H12" s="79">
        <v>260</v>
      </c>
      <c r="I12" s="179">
        <v>80</v>
      </c>
      <c r="J12" s="78">
        <f t="shared" ref="J12:J21" si="1">SUM(D12:I12)</f>
        <v>1038</v>
      </c>
      <c r="K12"/>
    </row>
    <row r="13" spans="1:11" ht="15.5">
      <c r="A13" s="104">
        <f t="shared" si="0"/>
        <v>6</v>
      </c>
      <c r="B13" s="90" t="s">
        <v>125</v>
      </c>
      <c r="C13" s="92"/>
      <c r="D13" s="179">
        <v>269</v>
      </c>
      <c r="E13" s="78">
        <v>327</v>
      </c>
      <c r="F13" s="180">
        <v>2</v>
      </c>
      <c r="G13" s="78">
        <v>47</v>
      </c>
      <c r="H13" s="79">
        <v>260</v>
      </c>
      <c r="I13" s="179">
        <v>80</v>
      </c>
      <c r="J13" s="78">
        <f t="shared" si="1"/>
        <v>985</v>
      </c>
      <c r="K13"/>
    </row>
    <row r="14" spans="1:11" ht="15.5">
      <c r="A14" s="104">
        <f t="shared" si="0"/>
        <v>7</v>
      </c>
      <c r="B14" s="90" t="s">
        <v>129</v>
      </c>
      <c r="C14" s="92"/>
      <c r="D14" s="179">
        <v>250</v>
      </c>
      <c r="E14" s="78">
        <v>294</v>
      </c>
      <c r="F14" s="180">
        <v>3</v>
      </c>
      <c r="G14" s="78">
        <v>42</v>
      </c>
      <c r="H14" s="79">
        <v>260</v>
      </c>
      <c r="I14" s="179">
        <v>80</v>
      </c>
      <c r="J14" s="78">
        <f t="shared" si="1"/>
        <v>929</v>
      </c>
      <c r="K14"/>
    </row>
    <row r="15" spans="1:11" ht="15.5">
      <c r="A15" s="104">
        <f t="shared" si="0"/>
        <v>8</v>
      </c>
      <c r="B15" s="90" t="s">
        <v>130</v>
      </c>
      <c r="C15" s="92"/>
      <c r="D15" s="179">
        <v>231</v>
      </c>
      <c r="E15" s="78">
        <v>253</v>
      </c>
      <c r="F15" s="180">
        <v>3</v>
      </c>
      <c r="G15" s="78">
        <v>39</v>
      </c>
      <c r="H15" s="79">
        <v>260</v>
      </c>
      <c r="I15" s="179">
        <v>80</v>
      </c>
      <c r="J15" s="78">
        <f t="shared" si="1"/>
        <v>866</v>
      </c>
      <c r="K15"/>
    </row>
    <row r="16" spans="1:11" ht="15.5">
      <c r="A16" s="104">
        <f t="shared" si="0"/>
        <v>9</v>
      </c>
      <c r="B16" s="90" t="s">
        <v>131</v>
      </c>
      <c r="C16" s="92"/>
      <c r="D16" s="179">
        <v>317</v>
      </c>
      <c r="E16" s="78">
        <v>268</v>
      </c>
      <c r="F16" s="180">
        <v>3</v>
      </c>
      <c r="G16" s="78">
        <v>59</v>
      </c>
      <c r="H16" s="79">
        <v>260</v>
      </c>
      <c r="I16" s="179">
        <v>80</v>
      </c>
      <c r="J16" s="78">
        <f t="shared" si="1"/>
        <v>987</v>
      </c>
      <c r="K16"/>
    </row>
    <row r="17" spans="1:12" ht="15.5">
      <c r="A17" s="104">
        <f t="shared" si="0"/>
        <v>10</v>
      </c>
      <c r="B17" s="90" t="s">
        <v>126</v>
      </c>
      <c r="C17" s="92"/>
      <c r="D17" s="179">
        <v>357</v>
      </c>
      <c r="E17" s="78">
        <v>304</v>
      </c>
      <c r="F17" s="180">
        <v>3</v>
      </c>
      <c r="G17" s="78">
        <v>76</v>
      </c>
      <c r="H17" s="79">
        <v>260</v>
      </c>
      <c r="I17" s="179">
        <v>80</v>
      </c>
      <c r="J17" s="78">
        <f t="shared" si="1"/>
        <v>1080</v>
      </c>
      <c r="K17"/>
    </row>
    <row r="18" spans="1:12" ht="15.5">
      <c r="A18" s="104">
        <f t="shared" si="0"/>
        <v>11</v>
      </c>
      <c r="B18" s="90" t="s">
        <v>110</v>
      </c>
      <c r="C18" s="92"/>
      <c r="D18" s="179">
        <v>290</v>
      </c>
      <c r="E18" s="78">
        <v>270</v>
      </c>
      <c r="F18" s="180">
        <v>3</v>
      </c>
      <c r="G18" s="78">
        <v>55</v>
      </c>
      <c r="H18" s="79">
        <v>260</v>
      </c>
      <c r="I18" s="179">
        <v>80</v>
      </c>
      <c r="J18" s="78">
        <f t="shared" si="1"/>
        <v>958</v>
      </c>
      <c r="K18"/>
    </row>
    <row r="19" spans="1:12" ht="15.5">
      <c r="A19" s="104">
        <f t="shared" si="0"/>
        <v>12</v>
      </c>
      <c r="B19" s="90" t="s">
        <v>127</v>
      </c>
      <c r="C19" s="92"/>
      <c r="D19" s="179">
        <v>307</v>
      </c>
      <c r="E19" s="78">
        <v>273</v>
      </c>
      <c r="F19" s="180">
        <v>4</v>
      </c>
      <c r="G19" s="78">
        <v>66</v>
      </c>
      <c r="H19" s="79">
        <v>260</v>
      </c>
      <c r="I19" s="179">
        <v>80</v>
      </c>
      <c r="J19" s="78">
        <f t="shared" si="1"/>
        <v>990</v>
      </c>
      <c r="K19"/>
    </row>
    <row r="20" spans="1:12" ht="15.5">
      <c r="A20" s="104">
        <f t="shared" si="0"/>
        <v>13</v>
      </c>
      <c r="B20" s="90" t="s">
        <v>111</v>
      </c>
      <c r="C20" s="92"/>
      <c r="D20" s="179">
        <v>227</v>
      </c>
      <c r="E20" s="78">
        <v>260</v>
      </c>
      <c r="F20" s="180">
        <v>3</v>
      </c>
      <c r="G20" s="78">
        <v>38</v>
      </c>
      <c r="H20" s="79">
        <v>260</v>
      </c>
      <c r="I20" s="179">
        <v>80</v>
      </c>
      <c r="J20" s="78">
        <f t="shared" si="1"/>
        <v>868</v>
      </c>
      <c r="K20"/>
    </row>
    <row r="21" spans="1:12" ht="15.5">
      <c r="A21" s="104">
        <f t="shared" si="0"/>
        <v>14</v>
      </c>
      <c r="B21" s="90" t="s">
        <v>112</v>
      </c>
      <c r="C21" s="92"/>
      <c r="D21" s="179">
        <v>223</v>
      </c>
      <c r="E21" s="78">
        <v>320</v>
      </c>
      <c r="F21" s="180">
        <v>2</v>
      </c>
      <c r="G21" s="78">
        <v>38</v>
      </c>
      <c r="H21" s="79">
        <v>260</v>
      </c>
      <c r="I21" s="179">
        <v>80</v>
      </c>
      <c r="J21" s="78">
        <f t="shared" si="1"/>
        <v>923</v>
      </c>
      <c r="K21"/>
    </row>
    <row r="22" spans="1:12" ht="16" thickBot="1">
      <c r="A22" s="104">
        <f t="shared" si="0"/>
        <v>15</v>
      </c>
      <c r="B22" s="93" t="s">
        <v>128</v>
      </c>
      <c r="C22" s="94"/>
      <c r="D22" s="181">
        <v>295</v>
      </c>
      <c r="E22" s="81">
        <v>348</v>
      </c>
      <c r="F22" s="182">
        <v>2</v>
      </c>
      <c r="G22" s="81">
        <v>52</v>
      </c>
      <c r="H22" s="182">
        <v>260</v>
      </c>
      <c r="I22" s="181">
        <v>80</v>
      </c>
      <c r="J22" s="81">
        <f>SUM(D22:I22)</f>
        <v>1037</v>
      </c>
      <c r="K22"/>
    </row>
    <row r="23" spans="1:12" ht="16" thickBot="1">
      <c r="A23" s="104">
        <f t="shared" si="0"/>
        <v>16</v>
      </c>
      <c r="B23" s="56"/>
      <c r="C23" s="55"/>
      <c r="D23" s="83"/>
      <c r="E23" s="83"/>
      <c r="F23" s="83"/>
      <c r="G23" s="78"/>
      <c r="H23" s="79"/>
      <c r="I23" s="81"/>
      <c r="J23" s="83"/>
      <c r="K23"/>
    </row>
    <row r="24" spans="1:12" ht="16" thickBot="1">
      <c r="A24" s="104">
        <f t="shared" si="0"/>
        <v>17</v>
      </c>
      <c r="B24" s="60" t="s">
        <v>82</v>
      </c>
      <c r="C24" s="57"/>
      <c r="D24" s="152">
        <f t="shared" ref="D24:J24" si="2">SUM(D11:D22)/12</f>
        <v>278.5</v>
      </c>
      <c r="E24" s="152">
        <f t="shared" si="2"/>
        <v>304.33333333333331</v>
      </c>
      <c r="F24" s="152">
        <f t="shared" si="2"/>
        <v>2.6666666666666665</v>
      </c>
      <c r="G24" s="152">
        <f t="shared" si="2"/>
        <v>51.666666666666664</v>
      </c>
      <c r="H24" s="152">
        <f>SUM(H11:H22)/12</f>
        <v>260</v>
      </c>
      <c r="I24" s="84">
        <f t="shared" si="2"/>
        <v>80</v>
      </c>
      <c r="J24" s="84">
        <f t="shared" si="2"/>
        <v>977.16666666666663</v>
      </c>
      <c r="K24"/>
    </row>
    <row r="25" spans="1:12">
      <c r="A25" s="104">
        <f t="shared" si="0"/>
        <v>18</v>
      </c>
      <c r="D25" s="153"/>
      <c r="E25" s="153"/>
      <c r="F25" s="153"/>
      <c r="G25" s="153"/>
      <c r="H25" s="153"/>
    </row>
    <row r="26" spans="1:12" ht="17.5">
      <c r="A26" s="104">
        <f t="shared" si="0"/>
        <v>19</v>
      </c>
      <c r="B26" s="22"/>
      <c r="C26" s="23"/>
      <c r="D26" s="346" t="s">
        <v>383</v>
      </c>
      <c r="E26" s="347"/>
      <c r="F26" s="347"/>
      <c r="G26" s="347"/>
      <c r="H26" s="348"/>
      <c r="I26" s="23"/>
    </row>
    <row r="27" spans="1:12" ht="13" thickBot="1">
      <c r="A27" s="104">
        <f t="shared" si="0"/>
        <v>20</v>
      </c>
      <c r="D27" s="153"/>
      <c r="E27" s="153"/>
      <c r="F27" s="153"/>
      <c r="G27" s="153"/>
      <c r="H27" s="153"/>
    </row>
    <row r="28" spans="1:12">
      <c r="A28" s="104">
        <f t="shared" si="0"/>
        <v>21</v>
      </c>
      <c r="B28" s="48"/>
      <c r="C28" s="49"/>
      <c r="D28" s="154" t="s">
        <v>37</v>
      </c>
      <c r="E28" s="125" t="s">
        <v>60</v>
      </c>
      <c r="F28" s="125" t="s">
        <v>61</v>
      </c>
      <c r="G28" s="150" t="s">
        <v>62</v>
      </c>
      <c r="H28" s="154" t="s">
        <v>103</v>
      </c>
      <c r="I28" s="88" t="s">
        <v>1</v>
      </c>
      <c r="J28" s="76" t="s">
        <v>240</v>
      </c>
    </row>
    <row r="29" spans="1:12">
      <c r="A29" s="104">
        <f t="shared" si="0"/>
        <v>22</v>
      </c>
      <c r="B29" s="51"/>
      <c r="C29" s="52"/>
      <c r="D29" s="126" t="s">
        <v>240</v>
      </c>
      <c r="E29" s="126" t="s">
        <v>240</v>
      </c>
      <c r="F29" s="126" t="s">
        <v>63</v>
      </c>
      <c r="G29" s="151" t="s">
        <v>64</v>
      </c>
      <c r="H29" s="155" t="s">
        <v>104</v>
      </c>
      <c r="I29" s="80" t="s">
        <v>2</v>
      </c>
      <c r="J29" s="80" t="s">
        <v>75</v>
      </c>
    </row>
    <row r="30" spans="1:12" ht="13" thickBot="1">
      <c r="A30" s="104">
        <f t="shared" si="0"/>
        <v>23</v>
      </c>
      <c r="B30" s="53"/>
      <c r="C30" s="54"/>
      <c r="D30" s="127" t="s">
        <v>65</v>
      </c>
      <c r="E30" s="126" t="s">
        <v>65</v>
      </c>
      <c r="F30" s="127" t="s">
        <v>65</v>
      </c>
      <c r="G30" s="156" t="s">
        <v>65</v>
      </c>
      <c r="H30" s="157" t="s">
        <v>65</v>
      </c>
      <c r="I30" s="89" t="s">
        <v>65</v>
      </c>
      <c r="J30" s="89" t="s">
        <v>76</v>
      </c>
    </row>
    <row r="31" spans="1:12">
      <c r="A31" s="104">
        <f t="shared" si="0"/>
        <v>24</v>
      </c>
      <c r="B31" s="90" t="s">
        <v>113</v>
      </c>
      <c r="C31" s="91"/>
      <c r="D31" s="211">
        <v>308</v>
      </c>
      <c r="E31" s="211">
        <v>350</v>
      </c>
      <c r="F31" s="212">
        <v>2</v>
      </c>
      <c r="G31" s="211">
        <v>57</v>
      </c>
      <c r="H31" s="150">
        <v>255</v>
      </c>
      <c r="I31" s="125">
        <v>80</v>
      </c>
      <c r="J31" s="168">
        <f>SUM(D31:I31)</f>
        <v>1052</v>
      </c>
      <c r="K31" s="55"/>
      <c r="L31" s="62"/>
    </row>
    <row r="32" spans="1:12">
      <c r="A32" s="104">
        <f t="shared" si="0"/>
        <v>25</v>
      </c>
      <c r="B32" s="90" t="s">
        <v>124</v>
      </c>
      <c r="C32" s="92"/>
      <c r="D32" s="213">
        <v>282</v>
      </c>
      <c r="E32" s="213">
        <v>327</v>
      </c>
      <c r="F32" s="214">
        <v>3</v>
      </c>
      <c r="G32" s="213">
        <v>53</v>
      </c>
      <c r="H32" s="151">
        <v>255</v>
      </c>
      <c r="I32" s="126">
        <v>80</v>
      </c>
      <c r="J32" s="169">
        <f t="shared" ref="J32:J41" si="3">SUM(D32:I32)</f>
        <v>1000</v>
      </c>
      <c r="K32" s="55"/>
    </row>
    <row r="33" spans="1:11">
      <c r="A33" s="104">
        <f t="shared" si="0"/>
        <v>26</v>
      </c>
      <c r="B33" s="90" t="s">
        <v>125</v>
      </c>
      <c r="C33" s="92"/>
      <c r="D33" s="213">
        <v>247</v>
      </c>
      <c r="E33" s="213">
        <v>324</v>
      </c>
      <c r="F33" s="214">
        <v>2</v>
      </c>
      <c r="G33" s="213">
        <v>45</v>
      </c>
      <c r="H33" s="151">
        <v>255</v>
      </c>
      <c r="I33" s="126">
        <v>80</v>
      </c>
      <c r="J33" s="169">
        <f t="shared" si="3"/>
        <v>953</v>
      </c>
      <c r="K33" s="55"/>
    </row>
    <row r="34" spans="1:11">
      <c r="A34" s="104">
        <f t="shared" si="0"/>
        <v>27</v>
      </c>
      <c r="B34" s="90" t="s">
        <v>129</v>
      </c>
      <c r="C34" s="92"/>
      <c r="D34" s="213">
        <v>252</v>
      </c>
      <c r="E34" s="213">
        <v>293</v>
      </c>
      <c r="F34" s="214">
        <v>3</v>
      </c>
      <c r="G34" s="213">
        <v>43</v>
      </c>
      <c r="H34" s="151">
        <v>255</v>
      </c>
      <c r="I34" s="126">
        <v>80</v>
      </c>
      <c r="J34" s="169">
        <f t="shared" si="3"/>
        <v>926</v>
      </c>
      <c r="K34" s="55"/>
    </row>
    <row r="35" spans="1:11">
      <c r="A35" s="104">
        <f t="shared" si="0"/>
        <v>28</v>
      </c>
      <c r="B35" s="90" t="s">
        <v>130</v>
      </c>
      <c r="C35" s="92"/>
      <c r="D35" s="213">
        <v>302</v>
      </c>
      <c r="E35" s="213">
        <v>234</v>
      </c>
      <c r="F35" s="214">
        <v>3</v>
      </c>
      <c r="G35" s="213">
        <v>45</v>
      </c>
      <c r="H35" s="151">
        <v>255</v>
      </c>
      <c r="I35" s="126">
        <v>80</v>
      </c>
      <c r="J35" s="169">
        <f t="shared" si="3"/>
        <v>919</v>
      </c>
      <c r="K35" s="55"/>
    </row>
    <row r="36" spans="1:11">
      <c r="A36" s="104">
        <f t="shared" si="0"/>
        <v>29</v>
      </c>
      <c r="B36" s="90" t="s">
        <v>131</v>
      </c>
      <c r="C36" s="92"/>
      <c r="D36" s="213">
        <v>325</v>
      </c>
      <c r="E36" s="213">
        <v>257</v>
      </c>
      <c r="F36" s="214">
        <v>3</v>
      </c>
      <c r="G36" s="213">
        <v>65</v>
      </c>
      <c r="H36" s="151">
        <v>255</v>
      </c>
      <c r="I36" s="126">
        <v>80</v>
      </c>
      <c r="J36" s="169">
        <f t="shared" si="3"/>
        <v>985</v>
      </c>
      <c r="K36" s="55"/>
    </row>
    <row r="37" spans="1:11">
      <c r="A37" s="104">
        <f t="shared" si="0"/>
        <v>30</v>
      </c>
      <c r="B37" s="90" t="s">
        <v>126</v>
      </c>
      <c r="C37" s="92"/>
      <c r="D37" s="213">
        <v>355</v>
      </c>
      <c r="E37" s="213">
        <v>243</v>
      </c>
      <c r="F37" s="214">
        <v>4</v>
      </c>
      <c r="G37" s="213">
        <v>76</v>
      </c>
      <c r="H37" s="151">
        <v>255</v>
      </c>
      <c r="I37" s="126">
        <v>80</v>
      </c>
      <c r="J37" s="169">
        <f t="shared" si="3"/>
        <v>1013</v>
      </c>
      <c r="K37" s="55"/>
    </row>
    <row r="38" spans="1:11">
      <c r="A38" s="104">
        <f t="shared" si="0"/>
        <v>31</v>
      </c>
      <c r="B38" s="90" t="s">
        <v>110</v>
      </c>
      <c r="C38" s="92"/>
      <c r="D38" s="213">
        <v>356</v>
      </c>
      <c r="E38" s="213">
        <v>257</v>
      </c>
      <c r="F38" s="214">
        <v>4</v>
      </c>
      <c r="G38" s="213">
        <v>65</v>
      </c>
      <c r="H38" s="151">
        <v>255</v>
      </c>
      <c r="I38" s="126">
        <v>80</v>
      </c>
      <c r="J38" s="169">
        <f t="shared" si="3"/>
        <v>1017</v>
      </c>
      <c r="K38" s="55"/>
    </row>
    <row r="39" spans="1:11">
      <c r="A39" s="104">
        <f t="shared" si="0"/>
        <v>32</v>
      </c>
      <c r="B39" s="90" t="s">
        <v>127</v>
      </c>
      <c r="C39" s="92"/>
      <c r="D39" s="213">
        <v>262</v>
      </c>
      <c r="E39" s="213">
        <v>260</v>
      </c>
      <c r="F39" s="214">
        <v>3</v>
      </c>
      <c r="G39" s="213">
        <v>59</v>
      </c>
      <c r="H39" s="151">
        <v>255</v>
      </c>
      <c r="I39" s="126">
        <v>80</v>
      </c>
      <c r="J39" s="169">
        <f t="shared" si="3"/>
        <v>919</v>
      </c>
      <c r="K39" s="55"/>
    </row>
    <row r="40" spans="1:11">
      <c r="A40" s="104">
        <f t="shared" si="0"/>
        <v>33</v>
      </c>
      <c r="B40" s="90" t="s">
        <v>111</v>
      </c>
      <c r="C40" s="92"/>
      <c r="D40" s="213">
        <v>249</v>
      </c>
      <c r="E40" s="213">
        <v>247</v>
      </c>
      <c r="F40" s="214">
        <v>3</v>
      </c>
      <c r="G40" s="213">
        <v>40</v>
      </c>
      <c r="H40" s="151">
        <v>255</v>
      </c>
      <c r="I40" s="126">
        <v>80</v>
      </c>
      <c r="J40" s="169">
        <f t="shared" si="3"/>
        <v>874</v>
      </c>
      <c r="K40" s="55"/>
    </row>
    <row r="41" spans="1:11">
      <c r="A41" s="104">
        <f t="shared" si="0"/>
        <v>34</v>
      </c>
      <c r="B41" s="90" t="s">
        <v>112</v>
      </c>
      <c r="C41" s="92"/>
      <c r="D41" s="213">
        <v>223</v>
      </c>
      <c r="E41" s="213">
        <v>304</v>
      </c>
      <c r="F41" s="214">
        <v>2</v>
      </c>
      <c r="G41" s="213">
        <v>42</v>
      </c>
      <c r="H41" s="151">
        <v>255</v>
      </c>
      <c r="I41" s="126">
        <v>80</v>
      </c>
      <c r="J41" s="169">
        <f t="shared" si="3"/>
        <v>906</v>
      </c>
      <c r="K41" s="55"/>
    </row>
    <row r="42" spans="1:11" ht="13" thickBot="1">
      <c r="A42" s="104">
        <f t="shared" si="0"/>
        <v>35</v>
      </c>
      <c r="B42" s="93" t="s">
        <v>128</v>
      </c>
      <c r="C42" s="94"/>
      <c r="D42" s="215">
        <v>318</v>
      </c>
      <c r="E42" s="215">
        <v>331</v>
      </c>
      <c r="F42" s="216">
        <v>2</v>
      </c>
      <c r="G42" s="215">
        <v>55</v>
      </c>
      <c r="H42" s="215">
        <v>255</v>
      </c>
      <c r="I42" s="127">
        <v>80</v>
      </c>
      <c r="J42" s="170">
        <f>SUM(D42:I42)</f>
        <v>1041</v>
      </c>
      <c r="K42" s="55"/>
    </row>
    <row r="43" spans="1:11" ht="13" thickBot="1">
      <c r="A43" s="104">
        <f t="shared" si="0"/>
        <v>36</v>
      </c>
      <c r="B43" s="56"/>
      <c r="C43" s="55"/>
      <c r="D43" s="217"/>
      <c r="E43" s="217"/>
      <c r="F43" s="217"/>
      <c r="G43" s="217"/>
      <c r="H43" s="217"/>
      <c r="I43" s="217"/>
      <c r="J43" s="217"/>
      <c r="K43" s="55"/>
    </row>
    <row r="44" spans="1:11" ht="13" thickBot="1">
      <c r="A44" s="104">
        <f t="shared" si="0"/>
        <v>37</v>
      </c>
      <c r="B44" s="60" t="s">
        <v>82</v>
      </c>
      <c r="C44" s="57"/>
      <c r="D44" s="218">
        <f t="shared" ref="D44:J44" si="4">SUM(D31:D42)/12</f>
        <v>289.91666666666669</v>
      </c>
      <c r="E44" s="152">
        <f t="shared" si="4"/>
        <v>285.58333333333331</v>
      </c>
      <c r="F44" s="219">
        <f t="shared" si="4"/>
        <v>2.8333333333333335</v>
      </c>
      <c r="G44" s="152">
        <f t="shared" si="4"/>
        <v>53.75</v>
      </c>
      <c r="H44" s="220">
        <f t="shared" si="4"/>
        <v>255</v>
      </c>
      <c r="I44" s="221">
        <f t="shared" si="4"/>
        <v>80</v>
      </c>
      <c r="J44" s="84">
        <f t="shared" si="4"/>
        <v>967.08333333333337</v>
      </c>
      <c r="K44" s="159"/>
    </row>
    <row r="45" spans="1:11">
      <c r="A45" s="104">
        <f t="shared" si="0"/>
        <v>38</v>
      </c>
    </row>
    <row r="46" spans="1:11">
      <c r="A46" s="104">
        <f t="shared" si="0"/>
        <v>39</v>
      </c>
      <c r="B46" s="64" t="s">
        <v>317</v>
      </c>
      <c r="C46" s="62"/>
      <c r="D46" s="58"/>
      <c r="E46" s="58"/>
      <c r="F46" s="58"/>
      <c r="G46" s="121"/>
      <c r="H46" s="121"/>
      <c r="I46" s="59"/>
    </row>
    <row r="47" spans="1:11">
      <c r="A47" s="104">
        <f t="shared" si="0"/>
        <v>40</v>
      </c>
      <c r="B47" s="64" t="s">
        <v>318</v>
      </c>
      <c r="C47" s="62"/>
      <c r="G47" s="121"/>
    </row>
    <row r="48" spans="1:11">
      <c r="A48" s="104"/>
      <c r="B48" s="64"/>
      <c r="D48" s="61"/>
      <c r="E48" s="61"/>
    </row>
    <row r="49" spans="1:7">
      <c r="A49" s="104"/>
      <c r="B49" s="95"/>
      <c r="C49" s="96"/>
      <c r="D49" s="97"/>
      <c r="E49" s="97"/>
      <c r="F49" s="96"/>
      <c r="G49" s="96"/>
    </row>
    <row r="50" spans="1:7">
      <c r="A50" s="104"/>
      <c r="B50" s="61"/>
      <c r="C50" s="61"/>
      <c r="D50" s="61"/>
      <c r="E50" s="61"/>
    </row>
    <row r="51" spans="1:7">
      <c r="A51" s="104"/>
      <c r="B51" s="61"/>
      <c r="C51" s="61"/>
      <c r="D51" s="61"/>
      <c r="E51" s="61"/>
    </row>
    <row r="52" spans="1:7">
      <c r="B52" s="61"/>
      <c r="C52" s="61"/>
      <c r="D52" s="61"/>
      <c r="E52" s="61"/>
    </row>
    <row r="53" spans="1:7">
      <c r="B53" s="61"/>
      <c r="C53" s="61"/>
      <c r="D53" s="61"/>
      <c r="E53" s="61"/>
    </row>
    <row r="54" spans="1:7">
      <c r="B54" s="61"/>
      <c r="C54" s="61"/>
      <c r="D54" s="61"/>
      <c r="E54" s="61"/>
    </row>
    <row r="55" spans="1:7">
      <c r="B55" s="61"/>
      <c r="C55" s="61"/>
      <c r="D55" s="61"/>
      <c r="E55" s="61"/>
    </row>
    <row r="56" spans="1:7">
      <c r="B56" s="61"/>
      <c r="C56" s="61"/>
      <c r="D56" s="61"/>
      <c r="E56" s="61"/>
    </row>
    <row r="57" spans="1:7">
      <c r="B57" s="61"/>
      <c r="C57" s="61"/>
      <c r="D57" s="61"/>
      <c r="E57" s="61"/>
    </row>
    <row r="58" spans="1:7">
      <c r="B58" s="61"/>
      <c r="C58" s="61"/>
      <c r="D58" s="61"/>
      <c r="E58" s="61"/>
    </row>
    <row r="59" spans="1:7">
      <c r="B59" s="63"/>
      <c r="C59" s="63"/>
      <c r="D59" s="63"/>
      <c r="E59" s="63"/>
    </row>
    <row r="114" spans="8:10">
      <c r="H114" s="50" t="s">
        <v>138</v>
      </c>
      <c r="I114" s="50">
        <f>+K183</f>
        <v>0</v>
      </c>
    </row>
    <row r="115" spans="8:10">
      <c r="I115" s="50">
        <f>+I114</f>
        <v>0</v>
      </c>
    </row>
    <row r="128" spans="8:10">
      <c r="I128" s="50">
        <f>+I6</f>
        <v>0</v>
      </c>
      <c r="J128" s="50">
        <f>+J6</f>
        <v>0</v>
      </c>
    </row>
    <row r="206" spans="9:10">
      <c r="I206" s="50">
        <f>I6</f>
        <v>0</v>
      </c>
      <c r="J206" s="50">
        <f>+J6</f>
        <v>0</v>
      </c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2017-05-11T20:39:42Z</cp:lastPrinted>
  <dcterms:created xsi:type="dcterms:W3CDTF">1997-04-03T19:40:56Z</dcterms:created>
  <dcterms:modified xsi:type="dcterms:W3CDTF">2019-07-01T16:18:39Z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