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ates\BHE BHP\FERC\Common Use System\2020 CUS Filing (2021 rate)\True Up\"/>
    </mc:Choice>
  </mc:AlternateContent>
  <xr:revisionPtr revIDLastSave="0" documentId="13_ncr:1_{9CF52704-134C-4CDC-9072-B3D53DD46B73}" xr6:coauthVersionLast="47" xr6:coauthVersionMax="47" xr10:uidLastSave="{00000000-0000-0000-0000-000000000000}"/>
  <bookViews>
    <workbookView xWindow="19090" yWindow="-1330" windowWidth="19420" windowHeight="10420" tabRatio="714" activeTab="1" xr2:uid="{00000000-000D-0000-FFFF-FFFF00000000}"/>
  </bookViews>
  <sheets>
    <sheet name="Cost of Service References" sheetId="4" r:id="rId1"/>
    <sheet name="Capital True up References" sheetId="5" r:id="rId2"/>
    <sheet name="BHP WP1 A&amp;G" sheetId="1" r:id="rId3"/>
    <sheet name="BHP WP4 Transmission Assets" sheetId="2" r:id="rId4"/>
    <sheet name="BHP WP9 Accum Depr" sheetId="6" r:id="rId5"/>
    <sheet name="BHP WP10 Plant in Service" sheetId="9" r:id="rId6"/>
    <sheet name="BHP WP11 Property Tax Expense" sheetId="7" r:id="rId7"/>
    <sheet name="BHP WP12 ADIT" sheetId="10" r:id="rId8"/>
    <sheet name="BHP WP13 Accumulated Reserve " sheetId="11" r:id="rId9"/>
  </sheets>
  <definedNames>
    <definedName name="_xlnm.Print_Area" localSheetId="2">'BHP WP1 A&amp;G'!$A$1:$D$37</definedName>
    <definedName name="_xlnm.Print_Area" localSheetId="5">'BHP WP10 Plant in Service'!$A$1:$M$28</definedName>
    <definedName name="_xlnm.Print_Area" localSheetId="3">'BHP WP4 Transmission Assets'!$A$1:$G$52</definedName>
    <definedName name="_xlnm.Print_Area" localSheetId="4">'BHP WP9 Accum Depr'!$A$1:$O$28</definedName>
    <definedName name="_xlnm.Print_Area" localSheetId="1">'Capital True up References'!$A$1:$P$104</definedName>
  </definedNames>
  <calcPr calcId="191029" iterate="1" iterateCount="300" iterateDelta="1E-4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2" i="9" l="1"/>
  <c r="M13" i="9"/>
  <c r="M14" i="9"/>
  <c r="M15" i="9"/>
  <c r="M16" i="9"/>
  <c r="M17" i="9"/>
  <c r="M18" i="9"/>
  <c r="M19" i="9"/>
  <c r="M20" i="9"/>
  <c r="M21" i="9"/>
  <c r="M22" i="9"/>
  <c r="M23" i="9"/>
  <c r="M11" i="9"/>
  <c r="I24" i="9"/>
  <c r="M11" i="6" l="1"/>
  <c r="O11" i="6" s="1"/>
  <c r="A30" i="6"/>
  <c r="F24" i="10" l="1"/>
  <c r="P29" i="11" l="1"/>
  <c r="O29" i="11"/>
  <c r="N29" i="11"/>
  <c r="J29" i="11"/>
  <c r="I29" i="11"/>
  <c r="R29" i="11" s="1"/>
  <c r="H29" i="11"/>
  <c r="Q29" i="11" s="1"/>
  <c r="P28" i="11"/>
  <c r="O28" i="11"/>
  <c r="N28" i="11"/>
  <c r="J28" i="11"/>
  <c r="I28" i="11"/>
  <c r="H28" i="11"/>
  <c r="Q27" i="11"/>
  <c r="P27" i="11"/>
  <c r="S27" i="11" s="1"/>
  <c r="O27" i="11"/>
  <c r="R27" i="11" s="1"/>
  <c r="N27" i="11"/>
  <c r="J27" i="11"/>
  <c r="I27" i="11"/>
  <c r="H27" i="11"/>
  <c r="S26" i="11"/>
  <c r="P26" i="11"/>
  <c r="O26" i="11"/>
  <c r="R26" i="11" s="1"/>
  <c r="N26" i="11"/>
  <c r="J26" i="11"/>
  <c r="I26" i="11"/>
  <c r="H26" i="11"/>
  <c r="Q26" i="11" s="1"/>
  <c r="P25" i="11"/>
  <c r="O25" i="11"/>
  <c r="N25" i="11"/>
  <c r="J25" i="11"/>
  <c r="I25" i="11"/>
  <c r="H25" i="11"/>
  <c r="P24" i="11"/>
  <c r="O24" i="11"/>
  <c r="N24" i="11"/>
  <c r="J24" i="11"/>
  <c r="I24" i="11"/>
  <c r="H24" i="11"/>
  <c r="P23" i="11"/>
  <c r="O23" i="11"/>
  <c r="N23" i="11"/>
  <c r="J23" i="11"/>
  <c r="I23" i="11"/>
  <c r="R23" i="11" s="1"/>
  <c r="H23" i="11"/>
  <c r="Q23" i="11" s="1"/>
  <c r="R22" i="11"/>
  <c r="P22" i="11"/>
  <c r="O22" i="11"/>
  <c r="N22" i="11"/>
  <c r="J22" i="11"/>
  <c r="S22" i="11" s="1"/>
  <c r="I22" i="11"/>
  <c r="H22" i="11"/>
  <c r="Q22" i="11" s="1"/>
  <c r="P21" i="11"/>
  <c r="O21" i="11"/>
  <c r="N21" i="11"/>
  <c r="J21" i="11"/>
  <c r="I21" i="11"/>
  <c r="H21" i="11"/>
  <c r="Q21" i="11" s="1"/>
  <c r="P20" i="11"/>
  <c r="O20" i="11"/>
  <c r="N20" i="11"/>
  <c r="J20" i="11"/>
  <c r="I20" i="11"/>
  <c r="H20" i="11"/>
  <c r="Q19" i="11"/>
  <c r="P19" i="11"/>
  <c r="O19" i="11"/>
  <c r="R19" i="11" s="1"/>
  <c r="N19" i="11"/>
  <c r="J19" i="11"/>
  <c r="I19" i="11"/>
  <c r="H19" i="11"/>
  <c r="P18" i="11"/>
  <c r="O18" i="11"/>
  <c r="R18" i="11" s="1"/>
  <c r="N18" i="11"/>
  <c r="J18" i="11"/>
  <c r="S18" i="11" s="1"/>
  <c r="I18" i="11"/>
  <c r="H18" i="11"/>
  <c r="Q18" i="11" s="1"/>
  <c r="AH17" i="11"/>
  <c r="AG17" i="11"/>
  <c r="P17" i="11"/>
  <c r="O17" i="11"/>
  <c r="N17" i="11"/>
  <c r="J17" i="11"/>
  <c r="S17" i="11" s="1"/>
  <c r="I17" i="11"/>
  <c r="H17" i="11"/>
  <c r="Q17" i="11" s="1"/>
  <c r="AH16" i="11"/>
  <c r="AG16" i="11"/>
  <c r="P16" i="11"/>
  <c r="O16" i="11"/>
  <c r="N16" i="11"/>
  <c r="J16" i="11"/>
  <c r="S16" i="11" s="1"/>
  <c r="I16" i="11"/>
  <c r="H16" i="11"/>
  <c r="Q16" i="11" s="1"/>
  <c r="AH15" i="11"/>
  <c r="AG15" i="11"/>
  <c r="AI15" i="11" s="1"/>
  <c r="P15" i="11"/>
  <c r="O15" i="11"/>
  <c r="N15" i="11"/>
  <c r="J15" i="11"/>
  <c r="S15" i="11" s="1"/>
  <c r="I15" i="11"/>
  <c r="H15" i="11"/>
  <c r="AH14" i="11"/>
  <c r="AG14" i="11"/>
  <c r="P14" i="11"/>
  <c r="O14" i="11"/>
  <c r="N14" i="11"/>
  <c r="J14" i="11"/>
  <c r="S14" i="11" s="1"/>
  <c r="I14" i="11"/>
  <c r="H14" i="11"/>
  <c r="AH13" i="11"/>
  <c r="AG13" i="11"/>
  <c r="P13" i="11"/>
  <c r="O13" i="11"/>
  <c r="R13" i="11" s="1"/>
  <c r="N13" i="11"/>
  <c r="J13" i="11"/>
  <c r="S13" i="11" s="1"/>
  <c r="I13" i="11"/>
  <c r="H13" i="11"/>
  <c r="AH12" i="11"/>
  <c r="AG12" i="11"/>
  <c r="P12" i="11"/>
  <c r="O12" i="11"/>
  <c r="N12" i="11"/>
  <c r="J12" i="11"/>
  <c r="I12" i="11"/>
  <c r="H12" i="11"/>
  <c r="Q12" i="11" s="1"/>
  <c r="AH11" i="11"/>
  <c r="AI11" i="11" s="1"/>
  <c r="AG11" i="11"/>
  <c r="S11" i="11"/>
  <c r="P11" i="11"/>
  <c r="O11" i="11"/>
  <c r="N11" i="11"/>
  <c r="J11" i="11"/>
  <c r="I11" i="11"/>
  <c r="R11" i="11" s="1"/>
  <c r="H11" i="11"/>
  <c r="Q11" i="11" s="1"/>
  <c r="AH10" i="11"/>
  <c r="AI10" i="11" s="1"/>
  <c r="AG10" i="11"/>
  <c r="P10" i="11"/>
  <c r="O10" i="11"/>
  <c r="N10" i="11"/>
  <c r="J10" i="11"/>
  <c r="I10" i="11"/>
  <c r="H10" i="11"/>
  <c r="AH9" i="11"/>
  <c r="AI9" i="11" s="1"/>
  <c r="AG9" i="11"/>
  <c r="P9" i="11"/>
  <c r="S9" i="11" s="1"/>
  <c r="O9" i="11"/>
  <c r="N9" i="11"/>
  <c r="J9" i="11"/>
  <c r="I9" i="11"/>
  <c r="H9" i="11"/>
  <c r="Q9" i="11" s="1"/>
  <c r="AH8" i="11"/>
  <c r="AG8" i="11"/>
  <c r="P8" i="11"/>
  <c r="O8" i="11"/>
  <c r="N8" i="11"/>
  <c r="J8" i="11"/>
  <c r="I8" i="11"/>
  <c r="H8" i="11"/>
  <c r="Q8" i="11" s="1"/>
  <c r="AH7" i="11"/>
  <c r="AI7" i="11" s="1"/>
  <c r="AG7" i="11"/>
  <c r="P7" i="11"/>
  <c r="O7" i="11"/>
  <c r="N7" i="11"/>
  <c r="J7" i="11"/>
  <c r="I7" i="11"/>
  <c r="R7" i="11" s="1"/>
  <c r="H7" i="11"/>
  <c r="Q7" i="11" s="1"/>
  <c r="AH6" i="11"/>
  <c r="AG6" i="11"/>
  <c r="Y6" i="11"/>
  <c r="Y7" i="11" s="1"/>
  <c r="Y8" i="11" s="1"/>
  <c r="Y9" i="11" s="1"/>
  <c r="Y10" i="11" s="1"/>
  <c r="Y11" i="11" s="1"/>
  <c r="Y12" i="11" s="1"/>
  <c r="Y13" i="11" s="1"/>
  <c r="Y14" i="11" s="1"/>
  <c r="Y15" i="11" s="1"/>
  <c r="Y16" i="11" s="1"/>
  <c r="Y17" i="11" s="1"/>
  <c r="Y18" i="11" s="1"/>
  <c r="Y19" i="11" s="1"/>
  <c r="Y20" i="11" s="1"/>
  <c r="Y21" i="11" s="1"/>
  <c r="Y22" i="11" s="1"/>
  <c r="Y23" i="11" s="1"/>
  <c r="Y24" i="11" s="1"/>
  <c r="Y25" i="11" s="1"/>
  <c r="Y26" i="11" s="1"/>
  <c r="Y27" i="11" s="1"/>
  <c r="Y28" i="11" s="1"/>
  <c r="Y29" i="11" s="1"/>
  <c r="P6" i="11"/>
  <c r="O6" i="11"/>
  <c r="N6" i="11"/>
  <c r="J6" i="11"/>
  <c r="S6" i="11" s="1"/>
  <c r="V6" i="11" s="1"/>
  <c r="I6" i="11"/>
  <c r="R6" i="11" s="1"/>
  <c r="U6" i="11" s="1"/>
  <c r="H6" i="11"/>
  <c r="Q6" i="11" s="1"/>
  <c r="T6" i="11" s="1"/>
  <c r="U7" i="11" l="1"/>
  <c r="S19" i="11"/>
  <c r="S10" i="11"/>
  <c r="AI16" i="11"/>
  <c r="AI17" i="11"/>
  <c r="R21" i="11"/>
  <c r="R10" i="11"/>
  <c r="R14" i="11"/>
  <c r="R15" i="11"/>
  <c r="R16" i="11"/>
  <c r="R17" i="11"/>
  <c r="S23" i="11"/>
  <c r="Q25" i="11"/>
  <c r="AI6" i="11"/>
  <c r="R12" i="11"/>
  <c r="Q13" i="11"/>
  <c r="Q14" i="11"/>
  <c r="R25" i="11"/>
  <c r="AI12" i="11"/>
  <c r="AI13" i="11"/>
  <c r="AI14" i="11"/>
  <c r="AI8" i="11"/>
  <c r="S7" i="11"/>
  <c r="R8" i="11"/>
  <c r="R9" i="11"/>
  <c r="R20" i="11"/>
  <c r="S21" i="11"/>
  <c r="R24" i="11"/>
  <c r="S25" i="11"/>
  <c r="R28" i="11"/>
  <c r="S29" i="11"/>
  <c r="S8" i="11"/>
  <c r="Q10" i="11"/>
  <c r="S12" i="11"/>
  <c r="S20" i="11"/>
  <c r="S24" i="11"/>
  <c r="S28" i="11"/>
  <c r="U8" i="11"/>
  <c r="U9" i="11" s="1"/>
  <c r="U10" i="11" s="1"/>
  <c r="U11" i="11" s="1"/>
  <c r="U12" i="11" s="1"/>
  <c r="U13" i="11" s="1"/>
  <c r="U14" i="11" s="1"/>
  <c r="U15" i="11" s="1"/>
  <c r="U16" i="11" s="1"/>
  <c r="U17" i="11" s="1"/>
  <c r="U18" i="11" s="1"/>
  <c r="U19" i="11" s="1"/>
  <c r="U20" i="11" s="1"/>
  <c r="U21" i="11" s="1"/>
  <c r="U22" i="11" s="1"/>
  <c r="U23" i="11" s="1"/>
  <c r="U24" i="11" s="1"/>
  <c r="U25" i="11" s="1"/>
  <c r="U26" i="11" s="1"/>
  <c r="U27" i="11" s="1"/>
  <c r="U28" i="11" s="1"/>
  <c r="U29" i="11" s="1"/>
  <c r="V7" i="11"/>
  <c r="Q15" i="11"/>
  <c r="Q20" i="11"/>
  <c r="Q24" i="11"/>
  <c r="Q28" i="11"/>
  <c r="T7" i="11"/>
  <c r="X6" i="11"/>
  <c r="V8" i="11" l="1"/>
  <c r="V9" i="11" s="1"/>
  <c r="V10" i="11" s="1"/>
  <c r="V11" i="11" s="1"/>
  <c r="V12" i="11" s="1"/>
  <c r="V13" i="11" s="1"/>
  <c r="V14" i="11" s="1"/>
  <c r="V15" i="11" s="1"/>
  <c r="V16" i="11" s="1"/>
  <c r="V17" i="11" s="1"/>
  <c r="V18" i="11" s="1"/>
  <c r="V19" i="11" s="1"/>
  <c r="V20" i="11" s="1"/>
  <c r="V21" i="11" s="1"/>
  <c r="V22" i="11" s="1"/>
  <c r="V23" i="11" s="1"/>
  <c r="V24" i="11" s="1"/>
  <c r="V25" i="11" s="1"/>
  <c r="V26" i="11" s="1"/>
  <c r="V27" i="11" s="1"/>
  <c r="V28" i="11" s="1"/>
  <c r="V29" i="11" s="1"/>
  <c r="T8" i="11"/>
  <c r="X7" i="11"/>
  <c r="T9" i="11" l="1"/>
  <c r="X8" i="11"/>
  <c r="X9" i="11" l="1"/>
  <c r="T10" i="11"/>
  <c r="X10" i="11" l="1"/>
  <c r="T11" i="11"/>
  <c r="X11" i="11" l="1"/>
  <c r="T12" i="11"/>
  <c r="X12" i="11" l="1"/>
  <c r="T13" i="11"/>
  <c r="X13" i="11" l="1"/>
  <c r="T14" i="11"/>
  <c r="T15" i="11" l="1"/>
  <c r="X14" i="11"/>
  <c r="T16" i="11" l="1"/>
  <c r="X15" i="11"/>
  <c r="T17" i="11" l="1"/>
  <c r="X16" i="11"/>
  <c r="X17" i="11" l="1"/>
  <c r="T18" i="11"/>
  <c r="X18" i="11" l="1"/>
  <c r="AD18" i="11" s="1"/>
  <c r="AH18" i="11" s="1"/>
  <c r="AI18" i="11" s="1"/>
  <c r="T19" i="11"/>
  <c r="X19" i="11" l="1"/>
  <c r="AD19" i="11" s="1"/>
  <c r="AH19" i="11" s="1"/>
  <c r="AI19" i="11" s="1"/>
  <c r="T20" i="11"/>
  <c r="T21" i="11" l="1"/>
  <c r="X20" i="11"/>
  <c r="AD20" i="11" s="1"/>
  <c r="AH20" i="11" s="1"/>
  <c r="AI20" i="11" s="1"/>
  <c r="X21" i="11" l="1"/>
  <c r="AD21" i="11" s="1"/>
  <c r="AH21" i="11" s="1"/>
  <c r="AI21" i="11" s="1"/>
  <c r="T22" i="11"/>
  <c r="X22" i="11" l="1"/>
  <c r="AD22" i="11" s="1"/>
  <c r="AH22" i="11" s="1"/>
  <c r="AI22" i="11" s="1"/>
  <c r="T23" i="11"/>
  <c r="X23" i="11" l="1"/>
  <c r="AD23" i="11" s="1"/>
  <c r="AH23" i="11" s="1"/>
  <c r="AI23" i="11" s="1"/>
  <c r="T24" i="11"/>
  <c r="T25" i="11" l="1"/>
  <c r="X24" i="11"/>
  <c r="AD24" i="11" s="1"/>
  <c r="AH24" i="11" s="1"/>
  <c r="AI24" i="11" s="1"/>
  <c r="T26" i="11" l="1"/>
  <c r="X25" i="11"/>
  <c r="AD25" i="11" s="1"/>
  <c r="AH25" i="11" s="1"/>
  <c r="AI25" i="11" s="1"/>
  <c r="X26" i="11" l="1"/>
  <c r="AD26" i="11" s="1"/>
  <c r="AH26" i="11" s="1"/>
  <c r="AI26" i="11" s="1"/>
  <c r="T27" i="11"/>
  <c r="X27" i="11" l="1"/>
  <c r="AD27" i="11" s="1"/>
  <c r="AH27" i="11" s="1"/>
  <c r="AI27" i="11" s="1"/>
  <c r="T28" i="11"/>
  <c r="T29" i="11" l="1"/>
  <c r="X29" i="11" s="1"/>
  <c r="AD29" i="11" s="1"/>
  <c r="AH29" i="11" s="1"/>
  <c r="AI29" i="11" s="1"/>
  <c r="X28" i="11"/>
  <c r="AD28" i="11" s="1"/>
  <c r="AH28" i="11" s="1"/>
  <c r="AI28" i="11" s="1"/>
  <c r="G15" i="7" l="1"/>
  <c r="G45" i="2" l="1"/>
  <c r="E42" i="2"/>
  <c r="E45" i="2" s="1"/>
  <c r="E31" i="2"/>
  <c r="G20" i="2"/>
  <c r="G25" i="2" s="1"/>
  <c r="G33" i="2" s="1"/>
  <c r="E16" i="2"/>
  <c r="E20" i="2" s="1"/>
  <c r="E25" i="2" s="1"/>
  <c r="E33" i="2" s="1"/>
  <c r="G47" i="2" l="1"/>
  <c r="E47" i="2" l="1"/>
  <c r="P41" i="11" l="1"/>
  <c r="O41" i="11"/>
  <c r="N41" i="11"/>
  <c r="J41" i="11"/>
  <c r="I41" i="11"/>
  <c r="H41" i="11"/>
  <c r="P40" i="11"/>
  <c r="O40" i="11"/>
  <c r="N40" i="11"/>
  <c r="J40" i="11"/>
  <c r="I40" i="11"/>
  <c r="H40" i="11"/>
  <c r="P39" i="11"/>
  <c r="O39" i="11"/>
  <c r="N39" i="11"/>
  <c r="J39" i="11"/>
  <c r="I39" i="11"/>
  <c r="H39" i="11"/>
  <c r="P38" i="11"/>
  <c r="O38" i="11"/>
  <c r="N38" i="11"/>
  <c r="J38" i="11"/>
  <c r="I38" i="11"/>
  <c r="H38" i="11"/>
  <c r="P37" i="11"/>
  <c r="O37" i="11"/>
  <c r="N37" i="11"/>
  <c r="J37" i="11"/>
  <c r="I37" i="11"/>
  <c r="H37" i="11"/>
  <c r="P36" i="11"/>
  <c r="O36" i="11"/>
  <c r="N36" i="11"/>
  <c r="J36" i="11"/>
  <c r="I36" i="11"/>
  <c r="H36" i="11"/>
  <c r="P35" i="11"/>
  <c r="O35" i="11"/>
  <c r="N35" i="11"/>
  <c r="J35" i="11"/>
  <c r="S35" i="11" s="1"/>
  <c r="I35" i="11"/>
  <c r="H35" i="11"/>
  <c r="Q35" i="11" s="1"/>
  <c r="P34" i="11"/>
  <c r="O34" i="11"/>
  <c r="N34" i="11"/>
  <c r="J34" i="11"/>
  <c r="I34" i="11"/>
  <c r="H34" i="11"/>
  <c r="P33" i="11"/>
  <c r="O33" i="11"/>
  <c r="N33" i="11"/>
  <c r="J33" i="11"/>
  <c r="I33" i="11"/>
  <c r="H33" i="11"/>
  <c r="P32" i="11"/>
  <c r="O32" i="11"/>
  <c r="N32" i="11"/>
  <c r="J32" i="11"/>
  <c r="I32" i="11"/>
  <c r="H32" i="11"/>
  <c r="P31" i="11"/>
  <c r="O31" i="11"/>
  <c r="N31" i="11"/>
  <c r="J31" i="11"/>
  <c r="S31" i="11" s="1"/>
  <c r="I31" i="11"/>
  <c r="H31" i="11"/>
  <c r="Q31" i="11" s="1"/>
  <c r="P30" i="11"/>
  <c r="O30" i="11"/>
  <c r="N30" i="11"/>
  <c r="J30" i="11"/>
  <c r="I30" i="11"/>
  <c r="H30" i="11"/>
  <c r="Q34" i="11" l="1"/>
  <c r="Q30" i="11"/>
  <c r="S39" i="11"/>
  <c r="R36" i="11"/>
  <c r="Q39" i="11"/>
  <c r="R31" i="11"/>
  <c r="R35" i="11"/>
  <c r="R39" i="11"/>
  <c r="Q38" i="11"/>
  <c r="R34" i="11"/>
  <c r="R38" i="11"/>
  <c r="R33" i="11"/>
  <c r="R41" i="11"/>
  <c r="Q33" i="11"/>
  <c r="S34" i="11"/>
  <c r="S36" i="11"/>
  <c r="Q41" i="11"/>
  <c r="Q36" i="11"/>
  <c r="S37" i="11"/>
  <c r="R30" i="11"/>
  <c r="R40" i="11"/>
  <c r="S30" i="11"/>
  <c r="S32" i="11"/>
  <c r="Q37" i="11"/>
  <c r="S38" i="11"/>
  <c r="S40" i="11"/>
  <c r="R32" i="11"/>
  <c r="Q32" i="11"/>
  <c r="S33" i="11"/>
  <c r="R37" i="11"/>
  <c r="Q40" i="11"/>
  <c r="S41" i="11"/>
  <c r="U30" i="11" l="1"/>
  <c r="U31" i="11" s="1"/>
  <c r="U32" i="11" s="1"/>
  <c r="U33" i="11" s="1"/>
  <c r="U34" i="11" s="1"/>
  <c r="U35" i="11" s="1"/>
  <c r="U36" i="11" s="1"/>
  <c r="U37" i="11" s="1"/>
  <c r="U38" i="11" s="1"/>
  <c r="U39" i="11" s="1"/>
  <c r="U40" i="11" s="1"/>
  <c r="U41" i="11" s="1"/>
  <c r="V30" i="11"/>
  <c r="V31" i="11" s="1"/>
  <c r="V32" i="11" s="1"/>
  <c r="V33" i="11" s="1"/>
  <c r="V34" i="11" s="1"/>
  <c r="V35" i="11" s="1"/>
  <c r="V36" i="11" s="1"/>
  <c r="V37" i="11" s="1"/>
  <c r="V38" i="11" s="1"/>
  <c r="V39" i="11" s="1"/>
  <c r="V40" i="11" s="1"/>
  <c r="V41" i="11" s="1"/>
  <c r="D14" i="1"/>
  <c r="F21" i="10" l="1"/>
  <c r="Y30" i="11" l="1"/>
  <c r="Y31" i="11" s="1"/>
  <c r="Y32" i="11" s="1"/>
  <c r="Y33" i="11" s="1"/>
  <c r="Y34" i="11" s="1"/>
  <c r="Y35" i="11" s="1"/>
  <c r="Y36" i="11" s="1"/>
  <c r="Y37" i="11" s="1"/>
  <c r="Y38" i="11" s="1"/>
  <c r="Y39" i="11" s="1"/>
  <c r="Y40" i="11" s="1"/>
  <c r="Y41" i="11" s="1"/>
  <c r="G24" i="10" s="1"/>
  <c r="H23" i="10"/>
  <c r="H24" i="10" l="1"/>
  <c r="F25" i="10"/>
  <c r="G21" i="10"/>
  <c r="G25" i="10" s="1"/>
  <c r="H19" i="10"/>
  <c r="H22" i="10"/>
  <c r="H21" i="10" l="1"/>
  <c r="H25" i="10" s="1"/>
  <c r="H13" i="10"/>
  <c r="H11" i="10"/>
  <c r="A11" i="10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A24" i="10" s="1"/>
  <c r="A25" i="10" s="1"/>
  <c r="K24" i="9"/>
  <c r="G24" i="9"/>
  <c r="E24" i="9"/>
  <c r="A12" i="9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M24" i="9" l="1"/>
  <c r="A11" i="7" l="1"/>
  <c r="A12" i="7" s="1"/>
  <c r="A13" i="7" s="1"/>
  <c r="A14" i="7" s="1"/>
  <c r="A15" i="7" s="1"/>
  <c r="A16" i="7" s="1"/>
  <c r="I24" i="6"/>
  <c r="A12" i="6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1" i="6" s="1"/>
  <c r="E24" i="6"/>
  <c r="K104" i="5" l="1"/>
  <c r="K74" i="5"/>
  <c r="G24" i="6" l="1"/>
  <c r="G3" i="2" l="1"/>
  <c r="N80" i="5" l="1"/>
  <c r="N81" i="5" s="1"/>
  <c r="N50" i="5"/>
  <c r="N51" i="5" s="1"/>
  <c r="M80" i="5" l="1"/>
  <c r="M81" i="5" s="1"/>
  <c r="M50" i="5"/>
  <c r="M51" i="5" s="1"/>
  <c r="A13" i="4" l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D31" i="1" l="1"/>
  <c r="F114" i="2"/>
  <c r="F115" i="2" s="1"/>
  <c r="H118" i="1"/>
  <c r="H119" i="1" s="1"/>
  <c r="D23" i="1"/>
  <c r="D25" i="1" s="1"/>
  <c r="T30" i="11" l="1"/>
  <c r="M12" i="6" s="1"/>
  <c r="O12" i="6" s="1"/>
  <c r="T31" i="11" l="1"/>
  <c r="M13" i="6" s="1"/>
  <c r="O13" i="6" s="1"/>
  <c r="X30" i="11"/>
  <c r="AD30" i="11"/>
  <c r="AH30" i="11" s="1"/>
  <c r="AI30" i="11" s="1"/>
  <c r="F14" i="10"/>
  <c r="F15" i="10" l="1"/>
  <c r="X31" i="11"/>
  <c r="AD31" i="11" s="1"/>
  <c r="AH31" i="11" s="1"/>
  <c r="AI31" i="11" s="1"/>
  <c r="T32" i="11"/>
  <c r="M14" i="6" s="1"/>
  <c r="O14" i="6" s="1"/>
  <c r="X32" i="11" l="1"/>
  <c r="AD32" i="11" s="1"/>
  <c r="AH32" i="11" s="1"/>
  <c r="AI32" i="11" s="1"/>
  <c r="T33" i="11"/>
  <c r="M15" i="6" s="1"/>
  <c r="O15" i="6" s="1"/>
  <c r="T34" i="11" l="1"/>
  <c r="M16" i="6" s="1"/>
  <c r="O16" i="6" s="1"/>
  <c r="X33" i="11"/>
  <c r="AD33" i="11" s="1"/>
  <c r="AH33" i="11" s="1"/>
  <c r="AI33" i="11" s="1"/>
  <c r="X34" i="11" l="1"/>
  <c r="T35" i="11"/>
  <c r="M17" i="6" s="1"/>
  <c r="O17" i="6" s="1"/>
  <c r="AD34" i="11"/>
  <c r="AH34" i="11" s="1"/>
  <c r="AI34" i="11" s="1"/>
  <c r="X35" i="11" l="1"/>
  <c r="AD35" i="11" s="1"/>
  <c r="AH35" i="11" s="1"/>
  <c r="AI35" i="11" s="1"/>
  <c r="T36" i="11"/>
  <c r="M18" i="6" s="1"/>
  <c r="O18" i="6" s="1"/>
  <c r="X36" i="11" l="1"/>
  <c r="AD36" i="11" s="1"/>
  <c r="AH36" i="11" s="1"/>
  <c r="AI36" i="11" s="1"/>
  <c r="T37" i="11"/>
  <c r="M19" i="6" s="1"/>
  <c r="O19" i="6" s="1"/>
  <c r="X37" i="11" l="1"/>
  <c r="AD37" i="11" s="1"/>
  <c r="AH37" i="11" s="1"/>
  <c r="AI37" i="11" s="1"/>
  <c r="T38" i="11"/>
  <c r="M20" i="6" s="1"/>
  <c r="O20" i="6" s="1"/>
  <c r="T39" i="11" l="1"/>
  <c r="M21" i="6" s="1"/>
  <c r="O21" i="6" s="1"/>
  <c r="X38" i="11"/>
  <c r="AD38" i="11" s="1"/>
  <c r="AH38" i="11" s="1"/>
  <c r="AI38" i="11" s="1"/>
  <c r="X39" i="11" l="1"/>
  <c r="AD39" i="11" s="1"/>
  <c r="AH39" i="11" s="1"/>
  <c r="AI39" i="11" s="1"/>
  <c r="T40" i="11"/>
  <c r="M22" i="6" s="1"/>
  <c r="O22" i="6" s="1"/>
  <c r="T41" i="11" l="1"/>
  <c r="M23" i="6" s="1"/>
  <c r="O23" i="6" s="1"/>
  <c r="X40" i="11"/>
  <c r="AD40" i="11" s="1"/>
  <c r="AH40" i="11" s="1"/>
  <c r="AI40" i="11" s="1"/>
  <c r="O24" i="6" l="1"/>
  <c r="X41" i="11"/>
  <c r="G14" i="10" s="1"/>
  <c r="AD41" i="11" l="1"/>
  <c r="AH41" i="11" s="1"/>
  <c r="AI41" i="11" s="1"/>
  <c r="AJ41" i="11" s="1"/>
  <c r="G15" i="10"/>
  <c r="H14" i="10"/>
  <c r="H15" i="10" s="1"/>
</calcChain>
</file>

<file path=xl/sharedStrings.xml><?xml version="1.0" encoding="utf-8"?>
<sst xmlns="http://schemas.openxmlformats.org/spreadsheetml/2006/main" count="752" uniqueCount="483">
  <si>
    <t>Workpaper 1</t>
  </si>
  <si>
    <t>Administrative and General Expenses</t>
  </si>
  <si>
    <t>Black Hills Power, Inc.</t>
  </si>
  <si>
    <t>Line</t>
  </si>
  <si>
    <t>Form No. 1</t>
  </si>
  <si>
    <t>No.</t>
  </si>
  <si>
    <t>Page, Line, Col.</t>
  </si>
  <si>
    <t>Company Total</t>
  </si>
  <si>
    <t>EPRI Annual Membership Dues</t>
  </si>
  <si>
    <t>335.1.b</t>
  </si>
  <si>
    <t>Regulatory Commission Expenses</t>
  </si>
  <si>
    <t>Account No. 930.1</t>
  </si>
  <si>
    <t>323.191.b</t>
  </si>
  <si>
    <t xml:space="preserve">Less: Safety Related Advertising </t>
  </si>
  <si>
    <t>EPRI &amp; Reg. Comm. Exp. &amp; Non-safety Ad. (Note I)</t>
  </si>
  <si>
    <t>Transmission Related Regulatory Expense</t>
  </si>
  <si>
    <t>Reserved for future use in the event of a rate case</t>
  </si>
  <si>
    <t>Total</t>
  </si>
  <si>
    <t>Transmission Related Regulatory Expense    (Note I)</t>
  </si>
  <si>
    <t>are safety related advertising.</t>
  </si>
  <si>
    <t>TP</t>
  </si>
  <si>
    <t>Workpaper 4</t>
  </si>
  <si>
    <t>(a)</t>
  </si>
  <si>
    <t>(b)</t>
  </si>
  <si>
    <t>Actual</t>
  </si>
  <si>
    <t>Account</t>
  </si>
  <si>
    <t>Description</t>
  </si>
  <si>
    <t>Actual Cost</t>
  </si>
  <si>
    <t xml:space="preserve"> Accum Depr.</t>
  </si>
  <si>
    <t>230KV Towers and Fixtures</t>
  </si>
  <si>
    <t>230KV Poles and Fixtures</t>
  </si>
  <si>
    <t>230KV Overhead Conductors</t>
  </si>
  <si>
    <t>Road/Trails</t>
  </si>
  <si>
    <t xml:space="preserve">   Subtotal</t>
  </si>
  <si>
    <t>230 KV Substation Equipment</t>
  </si>
  <si>
    <t>230 KV Substation Structures</t>
  </si>
  <si>
    <t xml:space="preserve">  Total 230KV</t>
  </si>
  <si>
    <t>230 KV Lines</t>
  </si>
  <si>
    <t>230 KV Substations</t>
  </si>
  <si>
    <t>TOTAL 230 KV</t>
  </si>
  <si>
    <t>69KV Common Use AC Facilities</t>
  </si>
  <si>
    <t xml:space="preserve">   Subtotal for 69KV Lines</t>
  </si>
  <si>
    <t>Total Transmission Classification</t>
  </si>
  <si>
    <t>Total Transmission per FERC Form 1 (207.58.g) (219.25.b)</t>
  </si>
  <si>
    <t>Amount excluded from the CUS</t>
  </si>
  <si>
    <t>230/69KV Common Use AC Transformers</t>
  </si>
  <si>
    <t>Total 69KV Common Use AC Facilities</t>
  </si>
  <si>
    <t>Total Distribution Plant per FERC Form 1 (207.75.g) (219.26.b)</t>
  </si>
  <si>
    <t>Amount excluded  from the CUS</t>
  </si>
  <si>
    <t>Total CUS System</t>
  </si>
  <si>
    <t>Actual PBOP expense</t>
  </si>
  <si>
    <t>Company Records</t>
  </si>
  <si>
    <t>Notes:</t>
  </si>
  <si>
    <t>Account No. 920</t>
  </si>
  <si>
    <t>Account No. 926</t>
  </si>
  <si>
    <r>
      <t>Company Records</t>
    </r>
    <r>
      <rPr>
        <vertAlign val="superscript"/>
        <sz val="10"/>
        <rFont val="Arial"/>
        <family val="2"/>
      </rPr>
      <t>1</t>
    </r>
  </si>
  <si>
    <r>
      <t>Company Records</t>
    </r>
    <r>
      <rPr>
        <vertAlign val="superscript"/>
        <sz val="10"/>
        <rFont val="Arial"/>
        <family val="2"/>
      </rPr>
      <t>2</t>
    </r>
  </si>
  <si>
    <t>1 - For FERC account no. 930.1, the Company reviews all entries and identifies those that</t>
  </si>
  <si>
    <t>2 - For FERC account nos. 920 and 926, the Company reviews all entries and identifies the</t>
  </si>
  <si>
    <t>PBOP expenses to be removed from A&amp;G.</t>
  </si>
  <si>
    <t>Note:</t>
  </si>
  <si>
    <t>This schedule reflects the transmission and distribution plant determined by Commission order to be</t>
  </si>
  <si>
    <t xml:space="preserve">  FERC Docket No. ER08-1584, the docket that established this formula rate.</t>
  </si>
  <si>
    <t xml:space="preserve">  state-jurisdictional and removed from Common Use Facilities. The jurisdictional split was established in</t>
  </si>
  <si>
    <t>Form 1 Reference</t>
  </si>
  <si>
    <t>(i)</t>
  </si>
  <si>
    <t>Per Tariff and As Filed</t>
  </si>
  <si>
    <t>Updated Reference (Note 3)</t>
  </si>
  <si>
    <t>(1)</t>
  </si>
  <si>
    <t>(2)</t>
  </si>
  <si>
    <t>RATE BASE:</t>
  </si>
  <si>
    <t>GROSS PLANT IN SERVICE</t>
  </si>
  <si>
    <t>(Note H)</t>
  </si>
  <si>
    <t xml:space="preserve">  Production</t>
  </si>
  <si>
    <t>205.46.g</t>
  </si>
  <si>
    <t xml:space="preserve">  Transmission</t>
  </si>
  <si>
    <t>207.58.g</t>
  </si>
  <si>
    <t xml:space="preserve">  Distribution</t>
  </si>
  <si>
    <t>207.75.g</t>
  </si>
  <si>
    <t xml:space="preserve">  General &amp; Intangible</t>
  </si>
  <si>
    <t>See Workpaper 4</t>
  </si>
  <si>
    <t xml:space="preserve">  Allocated Plant</t>
  </si>
  <si>
    <t>See Workpaper 5</t>
  </si>
  <si>
    <t xml:space="preserve">  Communication System</t>
  </si>
  <si>
    <t xml:space="preserve">  Common</t>
  </si>
  <si>
    <t>356.1</t>
  </si>
  <si>
    <t>TOTAL GROSS PLANT</t>
  </si>
  <si>
    <t>(sum lines 1 - 7)</t>
  </si>
  <si>
    <t>ACCUMULATED DEPRECIATION</t>
  </si>
  <si>
    <t>219.20-24.c</t>
  </si>
  <si>
    <t>219.25.c</t>
  </si>
  <si>
    <t>219.26.c</t>
  </si>
  <si>
    <t>219.28.c</t>
  </si>
  <si>
    <t xml:space="preserve">TOTAL ACCUM. DEPRECIATION </t>
  </si>
  <si>
    <t>(sum lines 11 - 17)</t>
  </si>
  <si>
    <t xml:space="preserve"> </t>
  </si>
  <si>
    <t>NET PLANT IN SERVICE</t>
  </si>
  <si>
    <t>(line 1 - line 11)</t>
  </si>
  <si>
    <t>(line 2 - line 12)</t>
  </si>
  <si>
    <t xml:space="preserve">  Distribution </t>
  </si>
  <si>
    <t>(line 3 - line 13)</t>
  </si>
  <si>
    <t>(line 4 - line 14)</t>
  </si>
  <si>
    <t>(line 5 - line 15)</t>
  </si>
  <si>
    <t>(line 6 - line 16)</t>
  </si>
  <si>
    <t>(line 7 - line 17)</t>
  </si>
  <si>
    <t xml:space="preserve">TOTAL NET PLANT </t>
  </si>
  <si>
    <t>(sum lines 21 - 27)</t>
  </si>
  <si>
    <t xml:space="preserve">ADJUSTMENTS TO RATE BASE      </t>
  </si>
  <si>
    <t xml:space="preserve">  Account No. 281 (enter negative)</t>
  </si>
  <si>
    <t>273.8.k</t>
  </si>
  <si>
    <t xml:space="preserve">  Account No. 282 (enter negative)</t>
  </si>
  <si>
    <t>275.2.k</t>
  </si>
  <si>
    <t xml:space="preserve">  Account No. 283 (enter negative)</t>
  </si>
  <si>
    <t>277.9.k</t>
  </si>
  <si>
    <t xml:space="preserve">  Account No. 190 </t>
  </si>
  <si>
    <t>234.8.c</t>
  </si>
  <si>
    <t xml:space="preserve">  Account No. 255 (enter negative)</t>
  </si>
  <si>
    <t>267.8.h</t>
  </si>
  <si>
    <t xml:space="preserve">  FAS 109 Adjustment</t>
  </si>
  <si>
    <t>(232.1.f - 278.1.f - 278.3.f)*.35</t>
  </si>
  <si>
    <t>TOTAL ADJUSTMENTS</t>
  </si>
  <si>
    <t>(sum lines 31 - 36)</t>
  </si>
  <si>
    <t xml:space="preserve">LAND HELD FOR FUTURE USE </t>
  </si>
  <si>
    <t>214.x.d  (Notes B &amp; H)</t>
  </si>
  <si>
    <t>WORKING CAPITAL  (Notes C &amp; H)</t>
  </si>
  <si>
    <t xml:space="preserve">  CWC  </t>
  </si>
  <si>
    <t>(1/8 * line 58)</t>
  </si>
  <si>
    <t xml:space="preserve">  Materials &amp; Supplies</t>
  </si>
  <si>
    <t>227.5.c</t>
  </si>
  <si>
    <t>227.8.c</t>
  </si>
  <si>
    <t xml:space="preserve">  Prepayments (Account 165)</t>
  </si>
  <si>
    <t>111.57.d</t>
  </si>
  <si>
    <t xml:space="preserve">TOTAL WORKING CAPITAL </t>
  </si>
  <si>
    <t>(sum lines 42 - 45)</t>
  </si>
  <si>
    <t xml:space="preserve">TRANSMISSION RATE BASE </t>
  </si>
  <si>
    <t>(sum lines 28, 37, 39, &amp; 46)</t>
  </si>
  <si>
    <t>Updated Reference</t>
  </si>
  <si>
    <t>O&amp;M</t>
  </si>
  <si>
    <t xml:space="preserve">  Transmission </t>
  </si>
  <si>
    <t>321.112.b</t>
  </si>
  <si>
    <t xml:space="preserve">    Less: Account 565 and 561</t>
  </si>
  <si>
    <t xml:space="preserve">  A&amp;G</t>
  </si>
  <si>
    <t>323.194.b</t>
  </si>
  <si>
    <t xml:space="preserve">    Less FERC Annual Fees  (Note D)</t>
  </si>
  <si>
    <t>350.1.b</t>
  </si>
  <si>
    <t xml:space="preserve">    Plus:  Fixed PBOP expense</t>
  </si>
  <si>
    <t xml:space="preserve"> (Note I)</t>
  </si>
  <si>
    <t xml:space="preserve">    Less:  Actual PBOP expense</t>
  </si>
  <si>
    <t xml:space="preserve"> (Company Records)</t>
  </si>
  <si>
    <t>Supplemental Schedule, WP 1, line 22</t>
  </si>
  <si>
    <t xml:space="preserve">    Less: EPRI &amp; Reg. Comm. Exp. &amp; Non-safety  Ad. (Note E)</t>
  </si>
  <si>
    <t>Supplemental Schedule, WP 1, line 5</t>
  </si>
  <si>
    <t xml:space="preserve">    Plus Transmission Related Reg. Comm.  Exp. (Note E)</t>
  </si>
  <si>
    <t>Supplemental Schedule, WP 1, line 16</t>
  </si>
  <si>
    <t>TOTAL O&amp;M   (sum lines 49, 51, 53, 56, 57 less lines 50, 52, 54 , 55)</t>
  </si>
  <si>
    <t>DEPRECIATION EXPENSE  (Note I)</t>
  </si>
  <si>
    <t>336.7.b</t>
  </si>
  <si>
    <t xml:space="preserve">  General &amp; intangible</t>
  </si>
  <si>
    <t>336.10.b &amp; 336.1.d&amp;e</t>
  </si>
  <si>
    <t>336.11.b</t>
  </si>
  <si>
    <t>TOTAL DEPRECIATION (Sum lines 61 - 63)</t>
  </si>
  <si>
    <t>TAXES OTHER THAN INCOME TAXES  (Note F)</t>
  </si>
  <si>
    <t xml:space="preserve">  LABOR RELATED</t>
  </si>
  <si>
    <t xml:space="preserve">          Payroll</t>
  </si>
  <si>
    <t xml:space="preserve">          Highway and vehicle</t>
  </si>
  <si>
    <t>263.i</t>
  </si>
  <si>
    <t xml:space="preserve">  PLANT RELATED</t>
  </si>
  <si>
    <t xml:space="preserve">         Property</t>
  </si>
  <si>
    <t>263.23i</t>
  </si>
  <si>
    <t xml:space="preserve">         Gross Receipts</t>
  </si>
  <si>
    <t xml:space="preserve">         Other</t>
  </si>
  <si>
    <t>TOTAL OTHER TAXES  (sum lines 68 - 73)</t>
  </si>
  <si>
    <t xml:space="preserve">INCOME TAXES          </t>
  </si>
  <si>
    <t xml:space="preserve"> (Note G)</t>
  </si>
  <si>
    <t xml:space="preserve">     T=1 - {[(1 - SIT) * (1 - FIT)] / (1 - SIT * FIT * p)} =</t>
  </si>
  <si>
    <t xml:space="preserve">     CIT=(T/1-T) * (1-(WCLTD/R)) =</t>
  </si>
  <si>
    <t xml:space="preserve">       where WCLTD=(line 154) and R= (line 157)</t>
  </si>
  <si>
    <t xml:space="preserve">       and FIT, SIT &amp; p are as given in footnote G.</t>
  </si>
  <si>
    <t>Total Income Taxes</t>
  </si>
  <si>
    <t>(line 79 * line 86)</t>
  </si>
  <si>
    <t xml:space="preserve">RETURN </t>
  </si>
  <si>
    <t xml:space="preserve">  [ Rate Base (line 48) * R (line 157)]</t>
  </si>
  <si>
    <t>REVENUE REQUIREMENT  (sum lines 58, 64, 74, 83, 85)</t>
  </si>
  <si>
    <t>ESTIMATED REVENUE REQUIREMENT (pg. 3 line 95)</t>
  </si>
  <si>
    <t>TRUE-UP AMOUNT TO BE (REFUNDED)/PAID (line 88 - line 90)</t>
  </si>
  <si>
    <t>SUPPORTING CALCULATIONS AND NOTES</t>
  </si>
  <si>
    <t>TRANSMISSION PLANT INCLUDED IN JOINT TARIFF RATES</t>
  </si>
  <si>
    <t xml:space="preserve">Total transmission plant </t>
  </si>
  <si>
    <t>Column (3) line 2</t>
  </si>
  <si>
    <t xml:space="preserve">Less transmission plant excluded from Common Use Facilities </t>
  </si>
  <si>
    <t>Supplemental Schedule, WP 4, line 27(a)</t>
  </si>
  <si>
    <t xml:space="preserve">Less transmission plant included in Ancillary Services </t>
  </si>
  <si>
    <t>See note 1 below</t>
  </si>
  <si>
    <t>Transmission plant included in Common Use Facilities  (line 93 less lines 94 and 95)</t>
  </si>
  <si>
    <t>Plus Common Use AC Facilities (line 107)</t>
  </si>
  <si>
    <t>Total Gross Plant for the CUS System (line 96 plus line 97)</t>
  </si>
  <si>
    <t>Total CUS Plant (line 93 plus line 107)</t>
  </si>
  <si>
    <t>Percentage of transmission plant included in Common Use Facilities (line 98 divided by line 99)</t>
  </si>
  <si>
    <t>DISTRIBUTION PLANT INCLUDED IN JOINT TARIFF RATES</t>
  </si>
  <si>
    <t xml:space="preserve">Total distribution plant    </t>
  </si>
  <si>
    <t>Column (3) line 3</t>
  </si>
  <si>
    <t xml:space="preserve">Less distribution plant excluded from Common Use Facilities </t>
  </si>
  <si>
    <t>Supplemental Schedule, WP 4</t>
  </si>
  <si>
    <t xml:space="preserve">Less distribution plant included in Ancillary Services </t>
  </si>
  <si>
    <t>Common Use AC Facilities (line 104 less lines 105 &amp; 106)</t>
  </si>
  <si>
    <t>Supplemental Schedule, WP 4, line 32(a)</t>
  </si>
  <si>
    <t>Percentage of distribution plant included in Common Use Facilities (line 104 divided by line 107)</t>
  </si>
  <si>
    <t>Total Transmission Accumulated Depreciation</t>
  </si>
  <si>
    <t>Column (3) line 12</t>
  </si>
  <si>
    <t>Supplemental Schedule, WP 4, line 27(b)</t>
  </si>
  <si>
    <t>Total Transmission Accumulated Depreciation included in Common Use Facilities (line 112 - line 113)</t>
  </si>
  <si>
    <t>Plus Common Use AC Facilities Accumulated Depreciation (line 124)</t>
  </si>
  <si>
    <t>Total Accumulated Depreciation for the CUS System (line 114 plus line 115)</t>
  </si>
  <si>
    <t>Total CUS Accumulated Depreciation (line 112 plus line 115)</t>
  </si>
  <si>
    <t>Percentage of transmission plant accumulated depreciation included in Common Use Facilities (line 116 divided by line 117)</t>
  </si>
  <si>
    <t>Total Distribution Accumulated Depreciation</t>
  </si>
  <si>
    <t>Column (3) line 13</t>
  </si>
  <si>
    <t>Less distribution accumulated depreciation excluded from Common Use Facilities (Company Records)</t>
  </si>
  <si>
    <t>Common Use AC Facilities (line 122 less line 123)</t>
  </si>
  <si>
    <t>Supplemental Schedule, WP 4, line 32(b)</t>
  </si>
  <si>
    <t>Percentage of distribution plant accumulated depreciation included in Common Use Facilities (line 124 divided by line 122)</t>
  </si>
  <si>
    <t>WAGES &amp; SALARY ALLOCATOR   (W&amp;S)</t>
  </si>
  <si>
    <t>354.21.b</t>
  </si>
  <si>
    <t xml:space="preserve">  Total Wages Expense</t>
  </si>
  <si>
    <t>354.28.b</t>
  </si>
  <si>
    <t xml:space="preserve">  Less:  A&amp;G Wages</t>
  </si>
  <si>
    <t>354.27.b</t>
  </si>
  <si>
    <t xml:space="preserve">  Adjusted Total  (sum lines 131-132)</t>
  </si>
  <si>
    <t>TRANSMISSION &amp; DISTRIBUTION ALLOCATOR (T&amp;D)</t>
  </si>
  <si>
    <t>Transmission Net Plant</t>
  </si>
  <si>
    <t>line 22</t>
  </si>
  <si>
    <t>Distribution Net Plant</t>
  </si>
  <si>
    <t>line 23</t>
  </si>
  <si>
    <t xml:space="preserve">  Total  (sum lines 137 - 138)</t>
  </si>
  <si>
    <t>RETURN (R)</t>
  </si>
  <si>
    <t>Long Term Interest</t>
  </si>
  <si>
    <t>117, sum of 62.c through 66.c</t>
  </si>
  <si>
    <t>Preferred Dividends</t>
  </si>
  <si>
    <t>118.29.c (positive number)</t>
  </si>
  <si>
    <t>Development of Common Stock:</t>
  </si>
  <si>
    <t>Proprietary Capital</t>
  </si>
  <si>
    <t>112.16.c</t>
  </si>
  <si>
    <t>Less:  Preferred Stock</t>
  </si>
  <si>
    <t>112.3.c</t>
  </si>
  <si>
    <t>Less:  Undistributed Earnings</t>
  </si>
  <si>
    <t>112.12.c (enter negative)</t>
  </si>
  <si>
    <t>Less:  Accum Other Comp Inc</t>
  </si>
  <si>
    <t>112.15.c (enter negative)</t>
  </si>
  <si>
    <t xml:space="preserve">   Adjusted Common Stock</t>
  </si>
  <si>
    <t>(sum lines 147-150)</t>
  </si>
  <si>
    <t xml:space="preserve">  Long Term Debt</t>
  </si>
  <si>
    <t xml:space="preserve">112.24.c </t>
  </si>
  <si>
    <t xml:space="preserve">  Preferred Stock </t>
  </si>
  <si>
    <t xml:space="preserve">  Adjusted Common Stock</t>
  </si>
  <si>
    <t>(see above line 151)</t>
  </si>
  <si>
    <t>Total  (sum lines 154-156)</t>
  </si>
  <si>
    <t>NOTES:</t>
  </si>
  <si>
    <t>1 - There are no transmission and distribution plant included in the OATT ancillary services rates which needs to be removed from Common Use Facilities.</t>
  </si>
  <si>
    <t>2 - Line 52 column (4) allocator reference should be DA, as the FERC annual charges for the year are assessed directly under this tariff.</t>
  </si>
  <si>
    <t>3 - Items in the Updated Reference column highlighted in gray did not change from the Tariff and As Filed column.</t>
  </si>
  <si>
    <t>Cost of Service Formula Reference Changes</t>
  </si>
  <si>
    <t>The True-Up Adjustment component of the Formula Rate for each Rate Year beginning with rates effective January 1, 2010 shall be determined as follows:</t>
  </si>
  <si>
    <t>Beginning with 2009, no later than June 1 of each year, Black Hills Power shall recalculate an adjusted Annual</t>
  </si>
  <si>
    <t>Transmission Revenue Requirement (ATRR) for the previous calendar year based on its actual costs as reflected</t>
  </si>
  <si>
    <t>in its Form No. 1 and its books and records for that calendar year, consistent with FERC</t>
  </si>
  <si>
    <t>accounting policies.</t>
  </si>
  <si>
    <t>(ii)</t>
  </si>
  <si>
    <t>Black Hills Power shall determine the difference between the recalculated ATRR as determined in paragraph (i)</t>
  </si>
  <si>
    <t>above, and ATRR based on projected costs for the previous calendar year (True-Up Adj before Interest).</t>
  </si>
  <si>
    <t>(iii)</t>
  </si>
  <si>
    <t>The True-Up Adjustment shall be determined as follows:</t>
  </si>
  <si>
    <t>True-Up Adjustment equals the True-Up Adjustment before Interest multiplied by (1+i)^18 months.</t>
  </si>
  <si>
    <t>Where:</t>
  </si>
  <si>
    <t>i =</t>
  </si>
  <si>
    <t>Sum of (the monthly rates for the 4 months ending April 30 of the current year and</t>
  </si>
  <si>
    <t>the monthly rates for the 12 months ending December 31 of the preceding year)</t>
  </si>
  <si>
    <t>divided by 16 months.</t>
  </si>
  <si>
    <t>Summary of Formula Rate Process including True-Up Adjustment  (Using 2009 as an example)</t>
  </si>
  <si>
    <t>Month</t>
  </si>
  <si>
    <t>Year</t>
  </si>
  <si>
    <t>Action</t>
  </si>
  <si>
    <t>True-Up Calculation:</t>
  </si>
  <si>
    <t>Step 1</t>
  </si>
  <si>
    <t>May</t>
  </si>
  <si>
    <t>TO populates the formula with 2009 Actual data and calculates the 2009 True-up Adjustment before Interest</t>
  </si>
  <si>
    <t>Step 2</t>
  </si>
  <si>
    <t>TO compares the revenue received during 2009 to the True-Up calculation done above</t>
  </si>
  <si>
    <t>Step 3</t>
  </si>
  <si>
    <t>TO calculates the Interest to include in the 2009 True-Up Adjustment</t>
  </si>
  <si>
    <t>Step 4</t>
  </si>
  <si>
    <t xml:space="preserve">July </t>
  </si>
  <si>
    <t>TO either collects or pays the lump-sum adjustment calculated above</t>
  </si>
  <si>
    <t>Annual Rate Calculation:</t>
  </si>
  <si>
    <t>Step 5</t>
  </si>
  <si>
    <t>September</t>
  </si>
  <si>
    <t>TO populates the formula with 2009 Actual data plus known additions placed in service (over $1,000,000) for 2010 (See WP 2 for an example)</t>
  </si>
  <si>
    <t>Step 6</t>
  </si>
  <si>
    <t>TO estimates transmission Capital Additions (over $1,000,000) for 2011 expected to be in service in 2011 (See WP 3 for an example)</t>
  </si>
  <si>
    <t>Step 7</t>
  </si>
  <si>
    <t xml:space="preserve">TO adds weighted Capital Adds, Accumulated Depreciation and Depreciation Expense to plant in service in Formula </t>
  </si>
  <si>
    <t>Step 8</t>
  </si>
  <si>
    <t>Post results of Step 7 on web site</t>
  </si>
  <si>
    <t>Step 9</t>
  </si>
  <si>
    <t>October</t>
  </si>
  <si>
    <t>TO to hold an open meeting for it's customers and representatives to explain the formula rate projections and cost details</t>
  </si>
  <si>
    <t>Step 10</t>
  </si>
  <si>
    <t>January</t>
  </si>
  <si>
    <t>Results of Step 7 go into effect</t>
  </si>
  <si>
    <t>Note 1:</t>
  </si>
  <si>
    <t>To the extent possible each input into the Formula Rate used to calculate the actual ATRR included in the True-Up</t>
  </si>
  <si>
    <t>Adjustment either will be taken directly from the FERC Form No. 1 or will be reconcilable to the FERC Form No. 1</t>
  </si>
  <si>
    <t xml:space="preserve">by the application of clearly identified and supported information.  If the reconciliation is provided through a </t>
  </si>
  <si>
    <t>worksheet included in the filed Formula Rate template, the inputs to the worksheet must meet this transparency</t>
  </si>
  <si>
    <t>standard, and doing so will satisfy this transparency requirement for the amounts that are output from the</t>
  </si>
  <si>
    <t>worksheet and input to the main body of the Formula Rate.</t>
  </si>
  <si>
    <t>Complete for Each Calendar Year beginning in 2009</t>
  </si>
  <si>
    <t>A</t>
  </si>
  <si>
    <t>True-Up Amount (Transmission see pg 7 line 92 and Schedule 1 see pg 18 line 12)</t>
  </si>
  <si>
    <t>B</t>
  </si>
  <si>
    <t>Future Value Factor (1+i)^18</t>
  </si>
  <si>
    <t>C</t>
  </si>
  <si>
    <t>True-Up Amount to be (Refunded)/Paid based on 2009 Actual Load (A*B)</t>
  </si>
  <si>
    <t>i = average interest rate as calculated below</t>
  </si>
  <si>
    <t>Interest on Amount of Refunds or Surcharges Interest 35.19a for Current Year</t>
  </si>
  <si>
    <t>Interest 35.19a</t>
  </si>
  <si>
    <t>for Month</t>
  </si>
  <si>
    <t>Year 1</t>
  </si>
  <si>
    <t>February</t>
  </si>
  <si>
    <t>March</t>
  </si>
  <si>
    <t>April</t>
  </si>
  <si>
    <t>June</t>
  </si>
  <si>
    <t>July</t>
  </si>
  <si>
    <t>August</t>
  </si>
  <si>
    <t>November</t>
  </si>
  <si>
    <t>December</t>
  </si>
  <si>
    <t>Year 2</t>
  </si>
  <si>
    <t>Average Interest Rate</t>
  </si>
  <si>
    <t>(Notes A &amp; H)</t>
  </si>
  <si>
    <t>Transmission</t>
  </si>
  <si>
    <t>Schedule 1</t>
  </si>
  <si>
    <t>Per Tariff</t>
  </si>
  <si>
    <t>True-Up Amount (Transmission see pg 3 line 92 and Schedule 1 see pg 10 line 12)</t>
  </si>
  <si>
    <t>Updated References - As Filed</t>
  </si>
  <si>
    <t>Capital True Up</t>
  </si>
  <si>
    <t>Service Year</t>
  </si>
  <si>
    <t>BHP-Workpaper 6, line 11, (n)</t>
  </si>
  <si>
    <t>BHP-Workpaper 6, line 12, (n)</t>
  </si>
  <si>
    <t>BHP-Workpaper 6, line 13, (n)</t>
  </si>
  <si>
    <t>BHP-Workpaper 6, line 14, (n)</t>
  </si>
  <si>
    <t>BHP-Workpaper 6, line 15, (n)</t>
  </si>
  <si>
    <t>BHP-Workpaper 6, line 16, (n)</t>
  </si>
  <si>
    <t>BHP-Workpaper 6, line 17, (n)</t>
  </si>
  <si>
    <t>BHP-Workpaper 6, line 31, ( c)</t>
  </si>
  <si>
    <t>BHP-Workpaper 6, line 33, ( c)</t>
  </si>
  <si>
    <t>BHP-Workpaper 6, line 34, ( c)</t>
  </si>
  <si>
    <t>BHP-Workpaper 6, line 35, ( c)</t>
  </si>
  <si>
    <t>BHP-Workpaper 6, line 43, ( c)</t>
  </si>
  <si>
    <t>BHP-Workpaper 6, line 44, ( c)</t>
  </si>
  <si>
    <t>BHP-Workpaper 6, line 45, ( c)</t>
  </si>
  <si>
    <t>line 2 x BHP-Workpaper 5, line 11</t>
  </si>
  <si>
    <t>(line 4 + line 6) x BHP-Workpaper 5, line 25</t>
  </si>
  <si>
    <t>2 - Communication System - Plant Accounts 397</t>
  </si>
  <si>
    <t>1 - General Plant Electric - Plant Accounts 389,390,391,392,393,394</t>
  </si>
  <si>
    <t>13 month average</t>
  </si>
  <si>
    <t>Account No. 180</t>
  </si>
  <si>
    <t>Intangible Plant</t>
  </si>
  <si>
    <t>System</t>
  </si>
  <si>
    <t>Electric</t>
  </si>
  <si>
    <t>Date</t>
  </si>
  <si>
    <t xml:space="preserve">Total General and  </t>
  </si>
  <si>
    <t>Communication</t>
  </si>
  <si>
    <t xml:space="preserve">General Plant  </t>
  </si>
  <si>
    <t>(b) + (c)</t>
  </si>
  <si>
    <r>
      <t>(c)</t>
    </r>
    <r>
      <rPr>
        <sz val="12"/>
        <rFont val="Calibri"/>
        <family val="2"/>
      </rPr>
      <t>₂</t>
    </r>
  </si>
  <si>
    <r>
      <t>(b)</t>
    </r>
    <r>
      <rPr>
        <sz val="12"/>
        <rFont val="Calibri"/>
        <family val="2"/>
      </rPr>
      <t>₁</t>
    </r>
  </si>
  <si>
    <t>General Plant Accumulated Depreciation by Plant Account</t>
  </si>
  <si>
    <t>WORKPAPER 9</t>
  </si>
  <si>
    <t>321.84-92.b &amp; 96.b</t>
  </si>
  <si>
    <t>263.3i, 263.4i, 263.12i</t>
  </si>
  <si>
    <t>Horizon Point</t>
  </si>
  <si>
    <t>(d)</t>
  </si>
  <si>
    <r>
      <t>(d)</t>
    </r>
    <r>
      <rPr>
        <vertAlign val="subscript"/>
        <sz val="10"/>
        <rFont val="Arial"/>
        <family val="2"/>
      </rPr>
      <t>3</t>
    </r>
  </si>
  <si>
    <r>
      <t>(e)</t>
    </r>
    <r>
      <rPr>
        <vertAlign val="subscript"/>
        <sz val="10"/>
        <rFont val="Arial"/>
        <family val="2"/>
      </rPr>
      <t>4</t>
    </r>
  </si>
  <si>
    <t>3 - Horizon Point Building - From Company Records</t>
  </si>
  <si>
    <t>Reference</t>
  </si>
  <si>
    <t>Less: Horizon Point Op Unit 801117 (enter negative)</t>
  </si>
  <si>
    <t>Property Tax Adjustment for Horizon Point</t>
  </si>
  <si>
    <t>Property Tax Expense Total</t>
  </si>
  <si>
    <t>Property Tax Expense less Horizon Point</t>
  </si>
  <si>
    <t>Amount</t>
  </si>
  <si>
    <t>Sum Lines 1 to 5</t>
  </si>
  <si>
    <t>(e)</t>
  </si>
  <si>
    <t>Average Balance</t>
  </si>
  <si>
    <t>WORKPAPER 10</t>
  </si>
  <si>
    <t>WORKPAPER 11</t>
  </si>
  <si>
    <t>General Plant Plant In Service by Plant Account</t>
  </si>
  <si>
    <t>WORKPAPER 12</t>
  </si>
  <si>
    <t>ADIT Adjustment for Horizon Point</t>
  </si>
  <si>
    <t>( c)</t>
  </si>
  <si>
    <t xml:space="preserve">  Less:</t>
  </si>
  <si>
    <t>Account No. 282 (enter negative)</t>
  </si>
  <si>
    <t>Net Account No. 282</t>
  </si>
  <si>
    <t>Beginning Balance</t>
  </si>
  <si>
    <t>Ending Balance</t>
  </si>
  <si>
    <t>Tax Rate</t>
  </si>
  <si>
    <t>AFUDC FAS 109</t>
  </si>
  <si>
    <t>BHP-Workpaper 12, line 5, ( e)</t>
  </si>
  <si>
    <t>BHP-Workpaper 9, line 14, (e)</t>
  </si>
  <si>
    <t>Line 11 + Line 12 - Line 13</t>
  </si>
  <si>
    <t>278.2.b,f</t>
  </si>
  <si>
    <t>SC Calc</t>
  </si>
  <si>
    <t>323.189.b - 350.1.h</t>
  </si>
  <si>
    <t>Depr Rate (FERC)</t>
  </si>
  <si>
    <t>Depr Expense (FERC)</t>
  </si>
  <si>
    <t>Depr Rate (Book)</t>
  </si>
  <si>
    <t>Depr Expense (Book)</t>
  </si>
  <si>
    <t>Variance</t>
  </si>
  <si>
    <t>Accumulated Depreciation Variance</t>
  </si>
  <si>
    <t>Allocators</t>
  </si>
  <si>
    <t>FIT Rate</t>
  </si>
  <si>
    <t>ADIT Impact</t>
  </si>
  <si>
    <t>EDFIT Impact</t>
  </si>
  <si>
    <t>W/S</t>
  </si>
  <si>
    <t>T&amp;D</t>
  </si>
  <si>
    <t>TPA</t>
  </si>
  <si>
    <t>NP</t>
  </si>
  <si>
    <t>Total Rate Base Impact</t>
  </si>
  <si>
    <t>Return on Rate Base</t>
  </si>
  <si>
    <t>Weighted LT Debt</t>
  </si>
  <si>
    <t>Tax Factor</t>
  </si>
  <si>
    <t>Return</t>
  </si>
  <si>
    <t>Taxes</t>
  </si>
  <si>
    <t>Revenue Requirement</t>
  </si>
  <si>
    <t>Plant in Service Balance</t>
  </si>
  <si>
    <t>Depreciation</t>
  </si>
  <si>
    <t>Adjustment</t>
  </si>
  <si>
    <t>(f)5</t>
  </si>
  <si>
    <t>(b) + (c) + (d) - (e)</t>
  </si>
  <si>
    <t>Depreciation Expense Correction</t>
  </si>
  <si>
    <t>BHP WP 13</t>
  </si>
  <si>
    <t>BHP-Workpaper 12, line 15, ( e)</t>
  </si>
  <si>
    <t>True-Up Amount to be (Refunded)/Paid based on 2020 Actual Costs (A*B)</t>
  </si>
  <si>
    <t>4 - Leased Asset from company records</t>
  </si>
  <si>
    <t>(e)5</t>
  </si>
  <si>
    <t>(f)6</t>
  </si>
  <si>
    <t>6 - Total General Intangible Plant - FERC Form 1 219.28c</t>
  </si>
  <si>
    <t>5 - Depreciation adjustment from WP13</t>
  </si>
  <si>
    <t>Right of Use Asset</t>
  </si>
  <si>
    <t>Amortiztion</t>
  </si>
  <si>
    <t>5 - Total General Intangible Plant - FERC Form 1 207.99</t>
  </si>
  <si>
    <t>4 - Other Tangible Property - FERC Form 1 207.97.g</t>
  </si>
  <si>
    <t>Right of Use</t>
  </si>
  <si>
    <t>Asset</t>
  </si>
  <si>
    <t>Transmission Assets as of 12/31/2021</t>
  </si>
  <si>
    <t>262-263.1l, 262-263.2l, 262-263.5l</t>
  </si>
  <si>
    <t>262-263.l</t>
  </si>
  <si>
    <t>262-263.11l</t>
  </si>
  <si>
    <t>320-323.85-92.b &amp; 96.b</t>
  </si>
  <si>
    <t>320-323.194.b</t>
  </si>
  <si>
    <t>320-323.112.b</t>
  </si>
  <si>
    <t>350-351.1.b, see note 2 below</t>
  </si>
  <si>
    <t>336-337.11.b</t>
  </si>
  <si>
    <t>See BHP Workpaper 11, Line 5</t>
  </si>
  <si>
    <t>(Estimated Service Year ATRR 2021)</t>
  </si>
  <si>
    <t>354-355.21.b</t>
  </si>
  <si>
    <t>354-355.28.b</t>
  </si>
  <si>
    <t>354-355.27.b</t>
  </si>
  <si>
    <t>114-117, sum of 62.c through 66.c</t>
  </si>
  <si>
    <t>118-119.29.c (positive number)</t>
  </si>
  <si>
    <t>112-113.16.c</t>
  </si>
  <si>
    <t>112-113.3.c</t>
  </si>
  <si>
    <t>112-113.12.c (enter negative)</t>
  </si>
  <si>
    <t>112-113.15.c (enter negative)</t>
  </si>
  <si>
    <t>112-113.24.c</t>
  </si>
  <si>
    <t>204-207.58.g See Workpaper 6. line 2, (m)</t>
  </si>
  <si>
    <t>204-207.46.g See Workpaper 6. line 1, (m)</t>
  </si>
  <si>
    <t>204-207.75.g See Workpaper 6. line 3, (m)</t>
  </si>
  <si>
    <t>BHP-Workpaper 6, line 5, (m)</t>
  </si>
  <si>
    <t>BHP-Workpaper 6, line 6, (m)</t>
  </si>
  <si>
    <t>Workpaper 6, line 7, (m)</t>
  </si>
  <si>
    <t>232.1.b,f</t>
  </si>
  <si>
    <t>Line 1 - Line 3 - Line 4</t>
  </si>
  <si>
    <t>112-113.63.d,c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</si>
</sst>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* #,##0_);_(* \(#,##0\);_(* &quot;-&quot;??_);_(@_)"/>
    <numFmt numFmtId="166" formatCode="_(&quot;$&quot;* #,##0_);_(&quot;$&quot;* \(#,##0\);_(&quot;$&quot;* &quot;-&quot;??_);_(@_)"/>
    <numFmt numFmtId="167" formatCode="&quot;$&quot;#,##0.0;[Red]\-&quot;$&quot;#,##0.0"/>
    <numFmt numFmtId="168" formatCode="00000"/>
    <numFmt numFmtId="169" formatCode="#,##0\ ;\(#,##0\);\-\ \ \ \ \ "/>
    <numFmt numFmtId="170" formatCode="#,##0\ ;\(#,##0\);\–\ \ \ \ \ "/>
    <numFmt numFmtId="171" formatCode="#,##0;\(#,##0\)"/>
    <numFmt numFmtId="172" formatCode="yyyymmdd"/>
    <numFmt numFmtId="173" formatCode="_([$€-2]* #,##0.00_);_([$€-2]* \(#,##0.00\);_([$€-2]* &quot;-&quot;??_)"/>
    <numFmt numFmtId="174" formatCode="_-* #,##0.0_-;\-* #,##0.0_-;_-* &quot;-&quot;??_-;_-@_-"/>
    <numFmt numFmtId="175" formatCode="#,##0.00&quot; $&quot;;\-#,##0.00&quot; $&quot;"/>
    <numFmt numFmtId="176" formatCode="000000000"/>
    <numFmt numFmtId="177" formatCode="#,##0.0_);\(#,##0.0\)"/>
    <numFmt numFmtId="178" formatCode="_-&quot;£&quot;* #,##0_-;\-&quot;£&quot;* #,##0_-;_-&quot;£&quot;* &quot;-&quot;_-;_-@_-"/>
    <numFmt numFmtId="179" formatCode="_-&quot;£&quot;* #,##0.00_-;\-&quot;£&quot;* #,##0.00_-;_-&quot;£&quot;* &quot;-&quot;??_-;_-@_-"/>
    <numFmt numFmtId="180" formatCode="0.00_)"/>
    <numFmt numFmtId="181" formatCode="00"/>
    <numFmt numFmtId="182" formatCode="0_);\(0\)"/>
    <numFmt numFmtId="183" formatCode="000\-00\-0000"/>
    <numFmt numFmtId="184" formatCode="mmm\-yyyy"/>
    <numFmt numFmtId="185" formatCode="0.0000%"/>
    <numFmt numFmtId="186" formatCode="0.000%"/>
    <numFmt numFmtId="187" formatCode="#,##0.0000"/>
    <numFmt numFmtId="188" formatCode="[$-409]mmm\-yy;@"/>
    <numFmt numFmtId="189" formatCode="&quot;$&quot;#,##0"/>
    <numFmt numFmtId="190" formatCode="_(* #,##0.00000_);_(* \(#,##0.00000\);_(* &quot;-&quot;??_);_(@_)"/>
  </numFmts>
  <fonts count="85">
    <font>
      <sz val="12"/>
      <name val="Arial M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name val="Arial MT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8"/>
      <name val="Helv"/>
    </font>
    <font>
      <sz val="10"/>
      <name val="Times New Roman"/>
      <family val="1"/>
    </font>
    <font>
      <sz val="9"/>
      <name val="AGaramond"/>
    </font>
    <font>
      <sz val="11"/>
      <color indexed="20"/>
      <name val="Calibri"/>
      <family val="2"/>
    </font>
    <font>
      <sz val="12"/>
      <name val="Tms Rmn"/>
    </font>
    <font>
      <sz val="11"/>
      <name val="Times New Roman"/>
      <family val="1"/>
    </font>
    <font>
      <sz val="8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ahoma"/>
      <family val="2"/>
    </font>
    <font>
      <sz val="12"/>
      <name val="Helv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0"/>
      <name val="Helv"/>
    </font>
    <font>
      <sz val="9"/>
      <name val="GillSans"/>
    </font>
    <font>
      <sz val="9"/>
      <name val="GillSans Light"/>
    </font>
    <font>
      <sz val="11"/>
      <color indexed="17"/>
      <name val="Calibri"/>
      <family val="2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2"/>
      <color indexed="14"/>
      <name val="Arial"/>
      <family val="2"/>
    </font>
    <font>
      <u/>
      <sz val="8"/>
      <name val="Helv"/>
    </font>
    <font>
      <sz val="11"/>
      <color indexed="60"/>
      <name val="Calibri"/>
      <family val="2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b/>
      <sz val="10"/>
      <name val="MS Sans Serif"/>
      <family val="2"/>
    </font>
    <font>
      <b/>
      <i/>
      <sz val="16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8"/>
      <color indexed="12"/>
      <name val="Arial"/>
      <family val="2"/>
    </font>
    <font>
      <sz val="11"/>
      <color indexed="10"/>
      <name val="Calibri"/>
      <family val="2"/>
    </font>
    <font>
      <u/>
      <sz val="10"/>
      <name val="Arial"/>
      <family val="2"/>
    </font>
    <font>
      <sz val="10"/>
      <color indexed="57"/>
      <name val="Arial"/>
      <family val="2"/>
    </font>
    <font>
      <vertAlign val="superscript"/>
      <sz val="10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 MT"/>
    </font>
    <font>
      <sz val="12"/>
      <name val="Calibri"/>
      <family val="2"/>
    </font>
    <font>
      <sz val="10"/>
      <name val="MS Sans Serif"/>
    </font>
    <font>
      <b/>
      <sz val="10"/>
      <name val="MS Sans Serif"/>
    </font>
    <font>
      <vertAlign val="subscript"/>
      <sz val="10"/>
      <name val="Arial"/>
      <family val="2"/>
    </font>
    <font>
      <sz val="11"/>
      <color theme="1"/>
      <name val="Arial"/>
      <family val="2"/>
    </font>
    <font>
      <sz val="11"/>
      <name val="Arial MT"/>
    </font>
    <font>
      <sz val="10"/>
      <name val="Courier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9">
    <xf numFmtId="164" fontId="0" fillId="0" borderId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37" fontId="6" fillId="0" borderId="0" applyFont="0" applyFill="0" applyBorder="0" applyAlignment="0" applyProtection="0"/>
    <xf numFmtId="0" fontId="3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38" fontId="9" fillId="0" borderId="0" applyBorder="0" applyAlignment="0"/>
    <xf numFmtId="167" fontId="10" fillId="21" borderId="4">
      <alignment horizontal="center" vertical="center"/>
    </xf>
    <xf numFmtId="168" fontId="3" fillId="0" borderId="5">
      <alignment horizontal="left"/>
    </xf>
    <xf numFmtId="0" fontId="11" fillId="0" borderId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169" fontId="14" fillId="0" borderId="6" applyNumberFormat="0" applyFill="0" applyAlignment="0" applyProtection="0">
      <alignment horizontal="center"/>
    </xf>
    <xf numFmtId="170" fontId="14" fillId="0" borderId="1" applyFill="0" applyAlignment="0" applyProtection="0">
      <alignment horizontal="center"/>
    </xf>
    <xf numFmtId="38" fontId="3" fillId="0" borderId="0">
      <alignment horizontal="right"/>
    </xf>
    <xf numFmtId="37" fontId="15" fillId="0" borderId="0" applyFill="0">
      <alignment horizontal="right"/>
    </xf>
    <xf numFmtId="37" fontId="15" fillId="0" borderId="0">
      <alignment horizontal="right"/>
    </xf>
    <xf numFmtId="0" fontId="15" fillId="0" borderId="0" applyFill="0">
      <alignment horizontal="center"/>
    </xf>
    <xf numFmtId="37" fontId="15" fillId="0" borderId="7" applyFill="0">
      <alignment horizontal="right"/>
    </xf>
    <xf numFmtId="37" fontId="15" fillId="0" borderId="0">
      <alignment horizontal="right"/>
    </xf>
    <xf numFmtId="0" fontId="16" fillId="0" borderId="0" applyFill="0">
      <alignment vertical="top"/>
    </xf>
    <xf numFmtId="0" fontId="17" fillId="0" borderId="0" applyFill="0">
      <alignment horizontal="left" vertical="top"/>
    </xf>
    <xf numFmtId="37" fontId="15" fillId="0" borderId="3" applyFill="0">
      <alignment horizontal="right"/>
    </xf>
    <xf numFmtId="0" fontId="3" fillId="0" borderId="0" applyNumberFormat="0" applyFont="0" applyAlignment="0"/>
    <xf numFmtId="0" fontId="16" fillId="0" borderId="0" applyFill="0">
      <alignment wrapText="1"/>
    </xf>
    <xf numFmtId="0" fontId="17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19" fillId="0" borderId="0" applyFill="0">
      <alignment vertical="top" wrapText="1"/>
    </xf>
    <xf numFmtId="0" fontId="20" fillId="0" borderId="0" applyFill="0">
      <alignment horizontal="left" vertical="top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1" fillId="0" borderId="0" applyFill="0">
      <alignment vertical="center" wrapText="1"/>
    </xf>
    <xf numFmtId="0" fontId="22" fillId="0" borderId="0">
      <alignment horizontal="left" vertical="center" wrapText="1"/>
    </xf>
    <xf numFmtId="37" fontId="15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3" fillId="0" borderId="0" applyFill="0">
      <alignment horizontal="center" vertical="center" wrapText="1"/>
    </xf>
    <xf numFmtId="0" fontId="3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5" fillId="0" borderId="0" applyFill="0">
      <alignment horizontal="center" vertical="center" wrapText="1"/>
    </xf>
    <xf numFmtId="0" fontId="26" fillId="0" borderId="0" applyFill="0">
      <alignment horizontal="center" vertical="center" wrapText="1"/>
    </xf>
    <xf numFmtId="37" fontId="24" fillId="0" borderId="0" applyFill="0">
      <alignment horizontal="right"/>
    </xf>
    <xf numFmtId="0" fontId="18" fillId="0" borderId="0" applyNumberFormat="0" applyFont="0" applyAlignment="0">
      <alignment horizontal="center"/>
    </xf>
    <xf numFmtId="0" fontId="27" fillId="0" borderId="0">
      <alignment horizontal="center" wrapText="1"/>
    </xf>
    <xf numFmtId="0" fontId="28" fillId="0" borderId="0" applyFill="0">
      <alignment horizontal="center" wrapText="1"/>
    </xf>
    <xf numFmtId="0" fontId="29" fillId="22" borderId="8" applyNumberFormat="0" applyAlignment="0" applyProtection="0"/>
    <xf numFmtId="0" fontId="30" fillId="23" borderId="9" applyNumberFormat="0" applyAlignment="0" applyProtection="0"/>
    <xf numFmtId="171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5">
      <alignment horizontal="center"/>
    </xf>
    <xf numFmtId="173" fontId="3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174" fontId="3" fillId="0" borderId="0">
      <protection locked="0"/>
    </xf>
    <xf numFmtId="0" fontId="35" fillId="0" borderId="0"/>
    <xf numFmtId="0" fontId="36" fillId="0" borderId="0"/>
    <xf numFmtId="0" fontId="37" fillId="0" borderId="0"/>
    <xf numFmtId="0" fontId="38" fillId="5" borderId="0" applyNumberFormat="0" applyBorder="0" applyAlignment="0" applyProtection="0"/>
    <xf numFmtId="38" fontId="15" fillId="24" borderId="0" applyNumberFormat="0" applyBorder="0" applyAlignment="0" applyProtection="0"/>
    <xf numFmtId="0" fontId="39" fillId="0" borderId="0" applyNumberFormat="0" applyFill="0" applyBorder="0" applyAlignment="0" applyProtection="0"/>
    <xf numFmtId="0" fontId="20" fillId="0" borderId="10" applyNumberFormat="0" applyAlignment="0" applyProtection="0">
      <alignment horizontal="left" vertical="center"/>
    </xf>
    <xf numFmtId="0" fontId="20" fillId="0" borderId="11">
      <alignment horizontal="left" vertical="center"/>
    </xf>
    <xf numFmtId="0" fontId="40" fillId="0" borderId="0">
      <alignment horizontal="center"/>
    </xf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0" applyNumberFormat="0" applyFill="0" applyBorder="0" applyAlignment="0" applyProtection="0"/>
    <xf numFmtId="175" fontId="3" fillId="0" borderId="0">
      <protection locked="0"/>
    </xf>
    <xf numFmtId="175" fontId="3" fillId="0" borderId="0">
      <protection locked="0"/>
    </xf>
    <xf numFmtId="0" fontId="44" fillId="0" borderId="15" applyNumberFormat="0" applyFill="0" applyAlignment="0" applyProtection="0"/>
    <xf numFmtId="10" fontId="15" fillId="25" borderId="5" applyNumberFormat="0" applyBorder="0" applyAlignment="0" applyProtection="0"/>
    <xf numFmtId="0" fontId="45" fillId="8" borderId="8" applyNumberFormat="0" applyAlignment="0" applyProtection="0"/>
    <xf numFmtId="0" fontId="15" fillId="24" borderId="0"/>
    <xf numFmtId="0" fontId="46" fillId="0" borderId="16" applyNumberFormat="0" applyFill="0" applyAlignment="0" applyProtection="0"/>
    <xf numFmtId="176" fontId="3" fillId="0" borderId="5">
      <alignment horizontal="center"/>
    </xf>
    <xf numFmtId="177" fontId="47" fillId="0" borderId="0"/>
    <xf numFmtId="17" fontId="48" fillId="0" borderId="0">
      <alignment horizontal="center"/>
    </xf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0" fontId="49" fillId="26" borderId="0" applyNumberFormat="0" applyBorder="0" applyAlignment="0" applyProtection="0"/>
    <xf numFmtId="43" fontId="50" fillId="0" borderId="0" applyNumberFormat="0" applyFill="0" applyBorder="0" applyAlignment="0" applyProtection="0"/>
    <xf numFmtId="0" fontId="14" fillId="0" borderId="0" applyNumberFormat="0" applyFill="0" applyAlignment="0" applyProtection="0"/>
    <xf numFmtId="37" fontId="51" fillId="0" borderId="0"/>
    <xf numFmtId="180" fontId="52" fillId="0" borderId="0"/>
    <xf numFmtId="164" fontId="5" fillId="0" borderId="0" applyProtection="0"/>
    <xf numFmtId="0" fontId="3" fillId="0" borderId="0"/>
    <xf numFmtId="0" fontId="2" fillId="0" borderId="0"/>
    <xf numFmtId="0" fontId="31" fillId="0" borderId="0"/>
    <xf numFmtId="0" fontId="3" fillId="0" borderId="0"/>
    <xf numFmtId="0" fontId="3" fillId="0" borderId="5">
      <alignment horizontal="center" wrapText="1"/>
    </xf>
    <xf numFmtId="2" fontId="3" fillId="0" borderId="5">
      <alignment horizontal="center"/>
    </xf>
    <xf numFmtId="181" fontId="4" fillId="0" borderId="5" applyFont="0">
      <alignment horizontal="center"/>
    </xf>
    <xf numFmtId="0" fontId="3" fillId="0" borderId="0"/>
    <xf numFmtId="0" fontId="3" fillId="27" borderId="17" applyNumberFormat="0" applyFont="0" applyAlignment="0" applyProtection="0"/>
    <xf numFmtId="1" fontId="3" fillId="0" borderId="5">
      <alignment horizontal="center"/>
    </xf>
    <xf numFmtId="0" fontId="53" fillId="22" borderId="18" applyNumberFormat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 applyNumberFormat="0" applyFont="0" applyFill="0" applyBorder="0" applyAlignment="0" applyProtection="0">
      <alignment horizontal="left"/>
    </xf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54" fillId="0" borderId="6">
      <alignment horizontal="center"/>
    </xf>
    <xf numFmtId="3" fontId="6" fillId="0" borderId="0" applyFont="0" applyFill="0" applyBorder="0" applyAlignment="0" applyProtection="0"/>
    <xf numFmtId="0" fontId="6" fillId="28" borderId="0" applyNumberFormat="0" applyFont="0" applyBorder="0" applyAlignment="0" applyProtection="0"/>
    <xf numFmtId="37" fontId="15" fillId="24" borderId="0" applyFill="0">
      <alignment horizontal="right"/>
    </xf>
    <xf numFmtId="0" fontId="24" fillId="0" borderId="0">
      <alignment horizontal="left"/>
    </xf>
    <xf numFmtId="0" fontId="15" fillId="0" borderId="0" applyFill="0">
      <alignment horizontal="left"/>
    </xf>
    <xf numFmtId="37" fontId="15" fillId="0" borderId="1" applyFill="0">
      <alignment horizontal="right"/>
    </xf>
    <xf numFmtId="0" fontId="4" fillId="0" borderId="5" applyNumberFormat="0" applyFont="0" applyBorder="0">
      <alignment horizontal="right"/>
    </xf>
    <xf numFmtId="0" fontId="55" fillId="0" borderId="0" applyFill="0"/>
    <xf numFmtId="0" fontId="15" fillId="0" borderId="0" applyFill="0">
      <alignment horizontal="left"/>
    </xf>
    <xf numFmtId="182" fontId="15" fillId="0" borderId="1" applyFill="0">
      <alignment horizontal="right"/>
    </xf>
    <xf numFmtId="0" fontId="3" fillId="0" borderId="0" applyNumberFormat="0" applyFont="0" applyBorder="0" applyAlignment="0"/>
    <xf numFmtId="0" fontId="19" fillId="0" borderId="0" applyFill="0">
      <alignment horizontal="left" indent="1"/>
    </xf>
    <xf numFmtId="0" fontId="24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Fill="0" applyBorder="0" applyAlignment="0"/>
    <xf numFmtId="0" fontId="19" fillId="0" borderId="0" applyFill="0">
      <alignment horizontal="left" indent="2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56" fillId="0" borderId="0">
      <alignment horizontal="left" indent="3"/>
    </xf>
    <xf numFmtId="0" fontId="15" fillId="0" borderId="0" applyFill="0">
      <alignment horizontal="left"/>
    </xf>
    <xf numFmtId="37" fontId="15" fillId="0" borderId="0" applyFill="0">
      <alignment horizontal="right"/>
    </xf>
    <xf numFmtId="0" fontId="3" fillId="0" borderId="0" applyNumberFormat="0" applyFont="0" applyBorder="0" applyAlignment="0"/>
    <xf numFmtId="0" fontId="23" fillId="0" borderId="0">
      <alignment horizontal="left" indent="4"/>
    </xf>
    <xf numFmtId="0" fontId="15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Border="0" applyAlignment="0"/>
    <xf numFmtId="0" fontId="25" fillId="0" borderId="0">
      <alignment horizontal="left" indent="5"/>
    </xf>
    <xf numFmtId="0" fontId="24" fillId="0" borderId="0" applyFill="0">
      <alignment horizontal="left"/>
    </xf>
    <xf numFmtId="37" fontId="24" fillId="0" borderId="0" applyFill="0">
      <alignment horizontal="right"/>
    </xf>
    <xf numFmtId="0" fontId="3" fillId="0" borderId="0" applyNumberFormat="0" applyFont="0" applyFill="0" applyBorder="0" applyAlignment="0"/>
    <xf numFmtId="0" fontId="27" fillId="0" borderId="0" applyFill="0">
      <alignment horizontal="left" indent="6"/>
    </xf>
    <xf numFmtId="0" fontId="24" fillId="0" borderId="0" applyFill="0">
      <alignment horizontal="left"/>
    </xf>
    <xf numFmtId="38" fontId="57" fillId="29" borderId="1">
      <alignment horizontal="right"/>
    </xf>
    <xf numFmtId="38" fontId="3" fillId="30" borderId="0" applyNumberFormat="0" applyFont="0" applyBorder="0" applyAlignment="0" applyProtection="0"/>
    <xf numFmtId="0" fontId="58" fillId="0" borderId="0" applyNumberFormat="0" applyAlignment="0">
      <alignment horizontal="centerContinuous"/>
    </xf>
    <xf numFmtId="0" fontId="14" fillId="0" borderId="1" applyNumberFormat="0" applyFill="0" applyAlignment="0" applyProtection="0"/>
    <xf numFmtId="37" fontId="59" fillId="0" borderId="0" applyNumberFormat="0">
      <alignment horizontal="left"/>
    </xf>
    <xf numFmtId="183" fontId="3" fillId="0" borderId="5">
      <alignment horizontal="center" wrapText="1"/>
    </xf>
    <xf numFmtId="38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3" fillId="0" borderId="0" applyNumberFormat="0" applyFill="0" applyBorder="0" applyProtection="0">
      <alignment horizontal="right" wrapText="1"/>
    </xf>
    <xf numFmtId="184" fontId="3" fillId="0" borderId="0" applyFill="0" applyBorder="0" applyAlignment="0" applyProtection="0">
      <alignment wrapText="1"/>
    </xf>
    <xf numFmtId="37" fontId="60" fillId="0" borderId="0" applyNumberFormat="0">
      <alignment horizontal="left"/>
    </xf>
    <xf numFmtId="37" fontId="61" fillId="0" borderId="0" applyNumberFormat="0">
      <alignment horizontal="left"/>
    </xf>
    <xf numFmtId="37" fontId="62" fillId="0" borderId="0" applyNumberFormat="0">
      <alignment horizontal="left"/>
    </xf>
    <xf numFmtId="177" fontId="63" fillId="0" borderId="0"/>
    <xf numFmtId="40" fontId="64" fillId="0" borderId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37" fontId="15" fillId="29" borderId="0" applyNumberFormat="0" applyBorder="0" applyAlignment="0" applyProtection="0"/>
    <xf numFmtId="37" fontId="15" fillId="0" borderId="0"/>
    <xf numFmtId="3" fontId="67" fillId="0" borderId="15" applyProtection="0"/>
    <xf numFmtId="0" fontId="68" fillId="0" borderId="0" applyNumberFormat="0" applyFill="0" applyBorder="0" applyAlignment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164" fontId="5" fillId="0" borderId="0" applyProtection="0"/>
    <xf numFmtId="9" fontId="3" fillId="0" borderId="0" applyFont="0" applyFill="0" applyBorder="0" applyAlignment="0" applyProtection="0"/>
    <xf numFmtId="0" fontId="79" fillId="0" borderId="0"/>
    <xf numFmtId="38" fontId="79" fillId="0" borderId="0" applyFont="0" applyFill="0" applyBorder="0" applyAlignment="0" applyProtection="0"/>
    <xf numFmtId="6" fontId="79" fillId="0" borderId="0" applyFont="0" applyFill="0" applyBorder="0" applyAlignment="0" applyProtection="0"/>
    <xf numFmtId="0" fontId="79" fillId="0" borderId="0" applyNumberFormat="0" applyFont="0" applyFill="0" applyBorder="0" applyAlignment="0" applyProtection="0">
      <alignment horizontal="left"/>
    </xf>
    <xf numFmtId="15" fontId="79" fillId="0" borderId="0" applyFont="0" applyFill="0" applyBorder="0" applyAlignment="0" applyProtection="0"/>
    <xf numFmtId="4" fontId="79" fillId="0" borderId="0" applyFont="0" applyFill="0" applyBorder="0" applyAlignment="0" applyProtection="0"/>
    <xf numFmtId="0" fontId="80" fillId="0" borderId="6">
      <alignment horizontal="center"/>
    </xf>
    <xf numFmtId="3" fontId="79" fillId="0" borderId="0" applyFont="0" applyFill="0" applyBorder="0" applyAlignment="0" applyProtection="0"/>
    <xf numFmtId="0" fontId="79" fillId="28" borderId="0" applyNumberFormat="0" applyFont="0" applyBorder="0" applyAlignment="0" applyProtection="0"/>
    <xf numFmtId="0" fontId="79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5" fillId="8" borderId="8" applyNumberFormat="0" applyAlignment="0" applyProtection="0"/>
    <xf numFmtId="43" fontId="1" fillId="0" borderId="0" applyFont="0" applyFill="0" applyBorder="0" applyAlignment="0" applyProtection="0"/>
    <xf numFmtId="4" fontId="35" fillId="0" borderId="0" applyFont="0" applyFill="0" applyBorder="0" applyAlignment="0" applyProtection="0"/>
    <xf numFmtId="44" fontId="1" fillId="0" borderId="0" applyFont="0" applyFill="0" applyBorder="0" applyAlignment="0" applyProtection="0"/>
    <xf numFmtId="8" fontId="35" fillId="0" borderId="0" applyFont="0" applyFill="0" applyBorder="0" applyAlignment="0" applyProtection="0"/>
    <xf numFmtId="0" fontId="45" fillId="8" borderId="8" applyNumberFormat="0" applyAlignment="0" applyProtection="0"/>
    <xf numFmtId="0" fontId="1" fillId="0" borderId="0"/>
    <xf numFmtId="0" fontId="3" fillId="0" borderId="0"/>
    <xf numFmtId="0" fontId="84" fillId="0" borderId="0"/>
    <xf numFmtId="0" fontId="3" fillId="0" borderId="0"/>
    <xf numFmtId="9" fontId="3" fillId="0" borderId="0" applyFont="0" applyFill="0" applyBorder="0" applyAlignment="0" applyProtection="0"/>
  </cellStyleXfs>
  <cellXfs count="288">
    <xf numFmtId="164" fontId="0" fillId="0" borderId="0" xfId="0"/>
    <xf numFmtId="0" fontId="3" fillId="0" borderId="0" xfId="3"/>
    <xf numFmtId="44" fontId="3" fillId="0" borderId="0" xfId="3" applyNumberFormat="1"/>
    <xf numFmtId="49" fontId="4" fillId="0" borderId="0" xfId="3" applyNumberFormat="1" applyFont="1" applyAlignment="1">
      <alignment horizontal="right"/>
    </xf>
    <xf numFmtId="0" fontId="4" fillId="0" borderId="0" xfId="3" applyFont="1" applyAlignment="1">
      <alignment horizontal="right"/>
    </xf>
    <xf numFmtId="0" fontId="3" fillId="0" borderId="0" xfId="3" applyFont="1"/>
    <xf numFmtId="0" fontId="3" fillId="0" borderId="0" xfId="3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0" xfId="0" applyNumberFormat="1" applyFont="1" applyAlignment="1"/>
    <xf numFmtId="0" fontId="3" fillId="0" borderId="1" xfId="3" applyFont="1" applyBorder="1" applyAlignment="1">
      <alignment horizontal="center"/>
    </xf>
    <xf numFmtId="0" fontId="3" fillId="0" borderId="0" xfId="3" applyAlignment="1">
      <alignment horizontal="center"/>
    </xf>
    <xf numFmtId="0" fontId="3" fillId="0" borderId="0" xfId="3" applyFont="1" applyFill="1"/>
    <xf numFmtId="165" fontId="3" fillId="0" borderId="0" xfId="1" applyNumberFormat="1" applyFill="1"/>
    <xf numFmtId="166" fontId="3" fillId="0" borderId="2" xfId="2" applyNumberFormat="1" applyFont="1" applyFill="1" applyBorder="1"/>
    <xf numFmtId="0" fontId="3" fillId="0" borderId="0" xfId="3" applyFill="1"/>
    <xf numFmtId="165" fontId="3" fillId="0" borderId="3" xfId="1" applyNumberFormat="1" applyFill="1" applyBorder="1"/>
    <xf numFmtId="0" fontId="4" fillId="0" borderId="0" xfId="3" applyFont="1" applyFill="1"/>
    <xf numFmtId="165" fontId="4" fillId="0" borderId="0" xfId="1" applyNumberFormat="1" applyFont="1" applyFill="1"/>
    <xf numFmtId="49" fontId="4" fillId="0" borderId="0" xfId="3" applyNumberFormat="1" applyFont="1" applyAlignment="1">
      <alignment horizontal="center"/>
    </xf>
    <xf numFmtId="0" fontId="4" fillId="0" borderId="0" xfId="3" applyFont="1" applyAlignment="1">
      <alignment horizontal="center"/>
    </xf>
    <xf numFmtId="165" fontId="3" fillId="0" borderId="0" xfId="1" quotePrefix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3" fillId="0" borderId="3" xfId="3" applyFont="1" applyBorder="1"/>
    <xf numFmtId="0" fontId="3" fillId="0" borderId="0" xfId="127" applyFont="1"/>
    <xf numFmtId="0" fontId="3" fillId="0" borderId="0" xfId="127" applyFont="1" applyAlignment="1">
      <alignment horizontal="center"/>
    </xf>
    <xf numFmtId="0" fontId="69" fillId="0" borderId="0" xfId="127" applyFont="1" applyAlignment="1">
      <alignment horizontal="center"/>
    </xf>
    <xf numFmtId="0" fontId="3" fillId="0" borderId="0" xfId="127" quotePrefix="1" applyFont="1"/>
    <xf numFmtId="0" fontId="3" fillId="0" borderId="0" xfId="127" quotePrefix="1" applyFont="1" applyFill="1"/>
    <xf numFmtId="0" fontId="3" fillId="0" borderId="0" xfId="127" applyFont="1" applyFill="1"/>
    <xf numFmtId="0" fontId="3" fillId="0" borderId="0" xfId="127" applyFont="1" applyFill="1" applyAlignment="1">
      <alignment horizontal="center"/>
    </xf>
    <xf numFmtId="0" fontId="4" fillId="0" borderId="0" xfId="127" applyFont="1"/>
    <xf numFmtId="44" fontId="3" fillId="0" borderId="0" xfId="3" applyNumberFormat="1" applyFont="1"/>
    <xf numFmtId="166" fontId="3" fillId="0" borderId="0" xfId="2" applyNumberFormat="1" applyFont="1" applyFill="1" applyBorder="1"/>
    <xf numFmtId="0" fontId="3" fillId="2" borderId="0" xfId="0" applyNumberFormat="1" applyFont="1" applyFill="1" applyAlignment="1" applyProtection="1">
      <protection locked="0"/>
    </xf>
    <xf numFmtId="164" fontId="3" fillId="0" borderId="0" xfId="0" applyFont="1"/>
    <xf numFmtId="164" fontId="75" fillId="0" borderId="0" xfId="0" applyFont="1"/>
    <xf numFmtId="164" fontId="74" fillId="0" borderId="1" xfId="0" applyFont="1" applyBorder="1" applyAlignment="1">
      <alignment horizontal="center"/>
    </xf>
    <xf numFmtId="164" fontId="22" fillId="2" borderId="0" xfId="0" applyFont="1" applyFill="1" applyAlignment="1"/>
    <xf numFmtId="0" fontId="22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/>
    <xf numFmtId="3" fontId="20" fillId="2" borderId="0" xfId="0" applyNumberFormat="1" applyFont="1" applyFill="1" applyAlignment="1">
      <alignment horizontal="center"/>
    </xf>
    <xf numFmtId="0" fontId="22" fillId="2" borderId="0" xfId="0" applyNumberFormat="1" applyFont="1" applyFill="1" applyAlignment="1" applyProtection="1">
      <alignment horizontal="center"/>
      <protection locked="0"/>
    </xf>
    <xf numFmtId="164" fontId="20" fillId="2" borderId="0" xfId="0" applyFont="1" applyFill="1" applyAlignment="1">
      <alignment horizontal="center"/>
    </xf>
    <xf numFmtId="0" fontId="22" fillId="2" borderId="6" xfId="0" applyNumberFormat="1" applyFont="1" applyFill="1" applyBorder="1" applyAlignment="1" applyProtection="1">
      <alignment horizontal="center"/>
      <protection locked="0"/>
    </xf>
    <xf numFmtId="0" fontId="20" fillId="2" borderId="0" xfId="0" applyNumberFormat="1" applyFont="1" applyFill="1" applyAlignment="1"/>
    <xf numFmtId="3" fontId="22" fillId="2" borderId="0" xfId="0" applyNumberFormat="1" applyFont="1" applyFill="1" applyAlignment="1"/>
    <xf numFmtId="3" fontId="22" fillId="0" borderId="0" xfId="0" applyNumberFormat="1" applyFont="1" applyFill="1" applyAlignment="1"/>
    <xf numFmtId="3" fontId="22" fillId="0" borderId="0" xfId="123" applyNumberFormat="1" applyFont="1" applyFill="1" applyAlignment="1"/>
    <xf numFmtId="3" fontId="22" fillId="0" borderId="0" xfId="127" applyNumberFormat="1" applyFont="1" applyFill="1" applyAlignment="1"/>
    <xf numFmtId="164" fontId="22" fillId="2" borderId="0" xfId="0" applyFont="1" applyFill="1" applyAlignment="1" applyProtection="1">
      <protection locked="0"/>
    </xf>
    <xf numFmtId="3" fontId="22" fillId="31" borderId="0" xfId="0" applyNumberFormat="1" applyFont="1" applyFill="1" applyAlignment="1"/>
    <xf numFmtId="164" fontId="22" fillId="0" borderId="0" xfId="123" applyFont="1" applyFill="1" applyAlignment="1"/>
    <xf numFmtId="164" fontId="22" fillId="0" borderId="0" xfId="0" applyFont="1" applyFill="1" applyAlignment="1"/>
    <xf numFmtId="164" fontId="22" fillId="31" borderId="0" xfId="0" applyFont="1" applyFill="1" applyAlignment="1"/>
    <xf numFmtId="0" fontId="22" fillId="2" borderId="0" xfId="0" applyNumberFormat="1" applyFont="1" applyFill="1" applyProtection="1">
      <protection locked="0"/>
    </xf>
    <xf numFmtId="3" fontId="22" fillId="31" borderId="0" xfId="127" applyNumberFormat="1" applyFont="1" applyFill="1" applyAlignment="1"/>
    <xf numFmtId="186" fontId="22" fillId="2" borderId="0" xfId="0" applyNumberFormat="1" applyFont="1" applyFill="1" applyAlignment="1">
      <alignment horizontal="left"/>
    </xf>
    <xf numFmtId="186" fontId="22" fillId="2" borderId="0" xfId="0" applyNumberFormat="1" applyFont="1" applyFill="1" applyAlignment="1" applyProtection="1">
      <alignment horizontal="left"/>
      <protection locked="0"/>
    </xf>
    <xf numFmtId="164" fontId="22" fillId="2" borderId="0" xfId="0" quotePrefix="1" applyFont="1" applyFill="1" applyAlignment="1"/>
    <xf numFmtId="187" fontId="22" fillId="2" borderId="0" xfId="0" applyNumberFormat="1" applyFont="1" applyFill="1" applyAlignment="1"/>
    <xf numFmtId="186" fontId="22" fillId="2" borderId="0" xfId="0" applyNumberFormat="1" applyFont="1" applyFill="1" applyAlignment="1">
      <alignment horizontal="center"/>
    </xf>
    <xf numFmtId="0" fontId="20" fillId="2" borderId="0" xfId="195" applyNumberFormat="1" applyFont="1" applyFill="1" applyAlignment="1">
      <alignment horizontal="center"/>
    </xf>
    <xf numFmtId="0" fontId="22" fillId="2" borderId="0" xfId="196" applyNumberFormat="1" applyFont="1" applyFill="1" applyAlignment="1" applyProtection="1">
      <alignment horizontal="center"/>
      <protection locked="0"/>
    </xf>
    <xf numFmtId="164" fontId="22" fillId="2" borderId="0" xfId="196" applyFont="1" applyFill="1" applyAlignment="1"/>
    <xf numFmtId="0" fontId="20" fillId="2" borderId="0" xfId="196" applyNumberFormat="1" applyFont="1" applyFill="1" applyAlignment="1"/>
    <xf numFmtId="0" fontId="22" fillId="2" borderId="6" xfId="196" applyNumberFormat="1" applyFont="1" applyFill="1" applyBorder="1" applyAlignment="1" applyProtection="1">
      <alignment horizontal="center"/>
      <protection locked="0"/>
    </xf>
    <xf numFmtId="0" fontId="22" fillId="2" borderId="0" xfId="196" applyNumberFormat="1" applyFont="1" applyFill="1" applyAlignment="1" applyProtection="1">
      <protection locked="0"/>
    </xf>
    <xf numFmtId="0" fontId="22" fillId="2" borderId="0" xfId="196" applyNumberFormat="1" applyFont="1" applyFill="1"/>
    <xf numFmtId="3" fontId="22" fillId="2" borderId="6" xfId="196" applyNumberFormat="1" applyFont="1" applyFill="1" applyBorder="1" applyAlignment="1"/>
    <xf numFmtId="3" fontId="22" fillId="2" borderId="6" xfId="197" applyNumberFormat="1" applyFont="1" applyFill="1" applyBorder="1" applyAlignment="1"/>
    <xf numFmtId="0" fontId="22" fillId="2" borderId="0" xfId="196" applyNumberFormat="1" applyFont="1" applyFill="1" applyProtection="1">
      <protection locked="0"/>
    </xf>
    <xf numFmtId="3" fontId="22" fillId="0" borderId="0" xfId="196" applyNumberFormat="1" applyFont="1" applyFill="1" applyAlignment="1"/>
    <xf numFmtId="3" fontId="22" fillId="31" borderId="0" xfId="196" applyNumberFormat="1" applyFont="1" applyFill="1" applyAlignment="1"/>
    <xf numFmtId="164" fontId="22" fillId="0" borderId="0" xfId="196" applyFont="1" applyFill="1" applyAlignment="1"/>
    <xf numFmtId="164" fontId="22" fillId="2" borderId="0" xfId="198" applyFont="1" applyFill="1" applyAlignment="1"/>
    <xf numFmtId="0" fontId="22" fillId="2" borderId="6" xfId="196" applyNumberFormat="1" applyFont="1" applyFill="1" applyBorder="1" applyProtection="1">
      <protection locked="0"/>
    </xf>
    <xf numFmtId="3" fontId="22" fillId="0" borderId="6" xfId="196" applyNumberFormat="1" applyFont="1" applyFill="1" applyBorder="1" applyAlignment="1"/>
    <xf numFmtId="0" fontId="22" fillId="0" borderId="0" xfId="196" applyNumberFormat="1" applyFont="1" applyFill="1"/>
    <xf numFmtId="3" fontId="22" fillId="2" borderId="0" xfId="196" applyNumberFormat="1" applyFont="1" applyFill="1" applyAlignment="1"/>
    <xf numFmtId="49" fontId="22" fillId="0" borderId="0" xfId="196" applyNumberFormat="1" applyFont="1" applyFill="1"/>
    <xf numFmtId="49" fontId="22" fillId="2" borderId="0" xfId="196" applyNumberFormat="1" applyFont="1" applyFill="1" applyAlignment="1"/>
    <xf numFmtId="3" fontId="22" fillId="2" borderId="6" xfId="199" applyNumberFormat="1" applyFont="1" applyFill="1" applyBorder="1" applyAlignment="1"/>
    <xf numFmtId="3" fontId="22" fillId="2" borderId="6" xfId="200" applyNumberFormat="1" applyFont="1" applyFill="1" applyBorder="1" applyAlignment="1"/>
    <xf numFmtId="164" fontId="22" fillId="2" borderId="3" xfId="196" applyFont="1" applyFill="1" applyBorder="1" applyAlignment="1"/>
    <xf numFmtId="0" fontId="22" fillId="0" borderId="3" xfId="196" applyNumberFormat="1" applyFont="1" applyFill="1" applyBorder="1"/>
    <xf numFmtId="3" fontId="22" fillId="2" borderId="0" xfId="196" applyNumberFormat="1" applyFont="1" applyFill="1" applyBorder="1" applyAlignment="1"/>
    <xf numFmtId="0" fontId="22" fillId="0" borderId="0" xfId="196" applyNumberFormat="1" applyFont="1" applyFill="1" applyBorder="1"/>
    <xf numFmtId="3" fontId="22" fillId="2" borderId="6" xfId="201" applyNumberFormat="1" applyFont="1" applyFill="1" applyBorder="1" applyAlignment="1"/>
    <xf numFmtId="0" fontId="22" fillId="2" borderId="3" xfId="196" applyNumberFormat="1" applyFont="1" applyFill="1" applyBorder="1" applyProtection="1">
      <protection locked="0"/>
    </xf>
    <xf numFmtId="3" fontId="22" fillId="2" borderId="3" xfId="196" applyNumberFormat="1" applyFont="1" applyFill="1" applyBorder="1" applyAlignment="1"/>
    <xf numFmtId="0" fontId="22" fillId="2" borderId="0" xfId="196" applyNumberFormat="1" applyFont="1" applyFill="1" applyAlignment="1"/>
    <xf numFmtId="3" fontId="22" fillId="0" borderId="0" xfId="196" applyNumberFormat="1" applyFont="1" applyFill="1" applyAlignment="1">
      <alignment horizontal="left"/>
    </xf>
    <xf numFmtId="3" fontId="22" fillId="31" borderId="0" xfId="196" applyNumberFormat="1" applyFont="1" applyFill="1" applyAlignment="1">
      <alignment horizontal="left"/>
    </xf>
    <xf numFmtId="0" fontId="10" fillId="2" borderId="0" xfId="196" applyNumberFormat="1" applyFont="1" applyFill="1"/>
    <xf numFmtId="0" fontId="22" fillId="2" borderId="1" xfId="196" applyNumberFormat="1" applyFont="1" applyFill="1" applyBorder="1" applyAlignment="1"/>
    <xf numFmtId="3" fontId="22" fillId="0" borderId="1" xfId="196" applyNumberFormat="1" applyFont="1" applyFill="1" applyBorder="1" applyAlignment="1"/>
    <xf numFmtId="3" fontId="22" fillId="2" borderId="1" xfId="202" applyNumberFormat="1" applyFont="1" applyFill="1" applyBorder="1" applyAlignment="1"/>
    <xf numFmtId="164" fontId="10" fillId="2" borderId="0" xfId="196" applyFont="1" applyFill="1" applyAlignment="1"/>
    <xf numFmtId="3" fontId="22" fillId="2" borderId="0" xfId="202" applyNumberFormat="1" applyFont="1" applyFill="1" applyAlignment="1"/>
    <xf numFmtId="0" fontId="22" fillId="2" borderId="0" xfId="196" quotePrefix="1" applyNumberFormat="1" applyFont="1" applyFill="1"/>
    <xf numFmtId="0" fontId="22" fillId="31" borderId="0" xfId="196" applyNumberFormat="1" applyFont="1" applyFill="1"/>
    <xf numFmtId="3" fontId="22" fillId="0" borderId="6" xfId="202" applyNumberFormat="1" applyFont="1" applyFill="1" applyBorder="1" applyAlignment="1"/>
    <xf numFmtId="0" fontId="22" fillId="0" borderId="0" xfId="3" applyFont="1" applyFill="1" applyAlignment="1">
      <alignment horizontal="left"/>
    </xf>
    <xf numFmtId="164" fontId="22" fillId="0" borderId="0" xfId="196" applyFont="1" applyFill="1" applyAlignment="1">
      <alignment horizontal="left"/>
    </xf>
    <xf numFmtId="164" fontId="22" fillId="31" borderId="0" xfId="202" applyFont="1" applyFill="1" applyAlignment="1">
      <alignment horizontal="left"/>
    </xf>
    <xf numFmtId="164" fontId="75" fillId="0" borderId="0" xfId="0" applyFont="1" applyFill="1"/>
    <xf numFmtId="0" fontId="22" fillId="2" borderId="0" xfId="203" applyNumberFormat="1" applyFont="1" applyFill="1" applyAlignment="1" applyProtection="1">
      <protection locked="0"/>
    </xf>
    <xf numFmtId="164" fontId="75" fillId="31" borderId="0" xfId="0" applyFont="1" applyFill="1"/>
    <xf numFmtId="164" fontId="3" fillId="0" borderId="0" xfId="204" applyFont="1" applyAlignment="1">
      <alignment horizontal="center"/>
    </xf>
    <xf numFmtId="164" fontId="4" fillId="0" borderId="0" xfId="204" applyFont="1" applyAlignment="1"/>
    <xf numFmtId="164" fontId="4" fillId="0" borderId="1" xfId="204" applyFont="1" applyBorder="1" applyAlignment="1"/>
    <xf numFmtId="164" fontId="3" fillId="0" borderId="1" xfId="204" applyFont="1" applyBorder="1" applyAlignment="1">
      <alignment horizontal="center"/>
    </xf>
    <xf numFmtId="164" fontId="3" fillId="0" borderId="0" xfId="204" applyFont="1" applyAlignment="1"/>
    <xf numFmtId="0" fontId="3" fillId="0" borderId="0" xfId="204" applyNumberFormat="1" applyFont="1" applyFill="1" applyAlignment="1">
      <alignment horizontal="center"/>
    </xf>
    <xf numFmtId="164" fontId="3" fillId="0" borderId="0" xfId="204" applyFont="1" applyFill="1" applyAlignment="1"/>
    <xf numFmtId="164" fontId="3" fillId="0" borderId="0" xfId="204" applyFont="1" applyFill="1" applyAlignment="1">
      <alignment horizontal="right"/>
    </xf>
    <xf numFmtId="164" fontId="69" fillId="0" borderId="0" xfId="204" applyFont="1" applyFill="1" applyAlignment="1"/>
    <xf numFmtId="0" fontId="3" fillId="0" borderId="0" xfId="131" applyFont="1" applyFill="1" applyAlignment="1">
      <alignment horizontal="center"/>
    </xf>
    <xf numFmtId="0" fontId="3" fillId="0" borderId="0" xfId="131" applyFont="1" applyFill="1" applyAlignment="1">
      <alignment horizontal="left"/>
    </xf>
    <xf numFmtId="164" fontId="4" fillId="0" borderId="0" xfId="204" applyFont="1" applyFill="1" applyAlignment="1"/>
    <xf numFmtId="0" fontId="3" fillId="0" borderId="0" xfId="131" applyFont="1" applyFill="1"/>
    <xf numFmtId="16" fontId="3" fillId="0" borderId="0" xfId="131" applyNumberFormat="1" applyFont="1" applyFill="1" applyAlignment="1">
      <alignment horizontal="center"/>
    </xf>
    <xf numFmtId="0" fontId="3" fillId="0" borderId="0" xfId="204" applyNumberFormat="1" applyFont="1" applyAlignment="1">
      <alignment horizontal="center"/>
    </xf>
    <xf numFmtId="164" fontId="3" fillId="0" borderId="0" xfId="204" applyFont="1" applyBorder="1" applyAlignment="1"/>
    <xf numFmtId="164" fontId="73" fillId="0" borderId="0" xfId="204" applyFont="1" applyBorder="1" applyAlignment="1"/>
    <xf numFmtId="185" fontId="73" fillId="0" borderId="0" xfId="205" applyNumberFormat="1" applyFont="1" applyBorder="1" applyAlignment="1"/>
    <xf numFmtId="164" fontId="76" fillId="0" borderId="0" xfId="0" applyFont="1"/>
    <xf numFmtId="164" fontId="76" fillId="0" borderId="1" xfId="0" applyFont="1" applyBorder="1" applyAlignment="1">
      <alignment horizontal="left"/>
    </xf>
    <xf numFmtId="164" fontId="76" fillId="0" borderId="1" xfId="0" applyFont="1" applyBorder="1"/>
    <xf numFmtId="164" fontId="76" fillId="0" borderId="0" xfId="0" applyFont="1" applyFill="1"/>
    <xf numFmtId="164" fontId="4" fillId="31" borderId="0" xfId="204" applyFont="1" applyFill="1" applyAlignment="1"/>
    <xf numFmtId="164" fontId="72" fillId="0" borderId="1" xfId="0" applyFont="1" applyBorder="1" applyAlignment="1">
      <alignment horizontal="center"/>
    </xf>
    <xf numFmtId="164" fontId="72" fillId="0" borderId="1" xfId="0" applyFont="1" applyBorder="1" applyAlignment="1">
      <alignment horizontal="left"/>
    </xf>
    <xf numFmtId="185" fontId="3" fillId="31" borderId="0" xfId="205" applyNumberFormat="1" applyFont="1" applyFill="1" applyAlignment="1"/>
    <xf numFmtId="185" fontId="3" fillId="31" borderId="3" xfId="205" applyNumberFormat="1" applyFont="1" applyFill="1" applyBorder="1" applyAlignment="1"/>
    <xf numFmtId="164" fontId="4" fillId="0" borderId="0" xfId="0" applyFont="1" applyAlignment="1"/>
    <xf numFmtId="43" fontId="4" fillId="0" borderId="0" xfId="1" applyFont="1" applyFill="1" applyAlignment="1"/>
    <xf numFmtId="164" fontId="15" fillId="0" borderId="0" xfId="204" applyFont="1" applyFill="1" applyAlignment="1">
      <alignment horizontal="center"/>
    </xf>
    <xf numFmtId="164" fontId="15" fillId="0" borderId="1" xfId="204" applyFont="1" applyBorder="1" applyAlignment="1">
      <alignment horizontal="center"/>
    </xf>
    <xf numFmtId="164" fontId="15" fillId="0" borderId="0" xfId="204" applyFont="1" applyAlignment="1"/>
    <xf numFmtId="43" fontId="4" fillId="31" borderId="0" xfId="1" applyFont="1" applyFill="1" applyAlignment="1"/>
    <xf numFmtId="43" fontId="4" fillId="31" borderId="0" xfId="1" applyNumberFormat="1" applyFont="1" applyFill="1" applyAlignment="1"/>
    <xf numFmtId="7" fontId="4" fillId="31" borderId="3" xfId="0" applyNumberFormat="1" applyFont="1" applyFill="1" applyBorder="1" applyAlignment="1"/>
    <xf numFmtId="43" fontId="4" fillId="0" borderId="0" xfId="1" applyNumberFormat="1" applyFont="1" applyFill="1" applyAlignment="1"/>
    <xf numFmtId="7" fontId="4" fillId="0" borderId="3" xfId="0" applyNumberFormat="1" applyFont="1" applyFill="1" applyBorder="1" applyAlignment="1"/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Alignment="1">
      <alignment horizontal="center"/>
    </xf>
    <xf numFmtId="49" fontId="4" fillId="0" borderId="0" xfId="3" applyNumberFormat="1" applyFont="1" applyAlignment="1">
      <alignment horizontal="center"/>
    </xf>
    <xf numFmtId="0" fontId="3" fillId="0" borderId="0" xfId="3" applyAlignment="1">
      <alignment horizontal="right"/>
    </xf>
    <xf numFmtId="0" fontId="3" fillId="0" borderId="0" xfId="3" applyNumberFormat="1"/>
    <xf numFmtId="165" fontId="3" fillId="0" borderId="0" xfId="3" applyNumberFormat="1"/>
    <xf numFmtId="3" fontId="3" fillId="0" borderId="0" xfId="3" applyNumberFormat="1"/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164" fontId="0" fillId="0" borderId="0" xfId="0" applyBorder="1"/>
    <xf numFmtId="165" fontId="3" fillId="0" borderId="0" xfId="1" applyNumberFormat="1" applyFont="1" applyFill="1" applyBorder="1" applyAlignment="1"/>
    <xf numFmtId="164" fontId="3" fillId="0" borderId="0" xfId="0" applyFont="1" applyBorder="1"/>
    <xf numFmtId="0" fontId="3" fillId="0" borderId="0" xfId="3" applyFont="1" applyBorder="1" applyAlignment="1">
      <alignment horizontal="center"/>
    </xf>
    <xf numFmtId="0" fontId="3" fillId="0" borderId="0" xfId="0" applyNumberFormat="1" applyFont="1" applyBorder="1" applyAlignment="1"/>
    <xf numFmtId="43" fontId="3" fillId="0" borderId="0" xfId="1" applyFont="1" applyBorder="1" applyAlignment="1">
      <alignment wrapText="1"/>
    </xf>
    <xf numFmtId="0" fontId="3" fillId="0" borderId="0" xfId="0" applyNumberFormat="1" applyFont="1" applyBorder="1" applyAlignment="1">
      <alignment vertical="center"/>
    </xf>
    <xf numFmtId="0" fontId="3" fillId="0" borderId="0" xfId="3" applyFont="1" applyBorder="1" applyAlignment="1">
      <alignment horizontal="center" vertical="center"/>
    </xf>
    <xf numFmtId="164" fontId="77" fillId="0" borderId="0" xfId="0" applyFont="1" applyBorder="1"/>
    <xf numFmtId="188" fontId="3" fillId="0" borderId="0" xfId="0" applyNumberFormat="1" applyFont="1" applyBorder="1" applyAlignment="1">
      <alignment horizontal="center"/>
    </xf>
    <xf numFmtId="0" fontId="69" fillId="0" borderId="0" xfId="127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4" fillId="0" borderId="0" xfId="3" applyFont="1" applyBorder="1" applyAlignment="1">
      <alignment horizontal="center"/>
    </xf>
    <xf numFmtId="0" fontId="3" fillId="0" borderId="0" xfId="3" applyFont="1" applyAlignment="1">
      <alignment horizontal="left"/>
    </xf>
    <xf numFmtId="0" fontId="3" fillId="0" borderId="0" xfId="3" applyFont="1" applyAlignment="1">
      <alignment horizontal="center" vertical="center"/>
    </xf>
    <xf numFmtId="164" fontId="0" fillId="0" borderId="0" xfId="0" applyAlignment="1">
      <alignment horizontal="right"/>
    </xf>
    <xf numFmtId="164" fontId="77" fillId="0" borderId="0" xfId="0" applyFont="1"/>
    <xf numFmtId="188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 vertical="center"/>
    </xf>
    <xf numFmtId="164" fontId="4" fillId="0" borderId="0" xfId="0" applyFont="1" applyAlignment="1">
      <alignment horizontal="right"/>
    </xf>
    <xf numFmtId="164" fontId="4" fillId="0" borderId="0" xfId="0" applyFont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3" applyFont="1" applyAlignment="1"/>
    <xf numFmtId="3" fontId="3" fillId="0" borderId="0" xfId="3" applyNumberFormat="1" applyFill="1"/>
    <xf numFmtId="164" fontId="3" fillId="0" borderId="0" xfId="0" applyFont="1" applyFill="1"/>
    <xf numFmtId="165" fontId="22" fillId="0" borderId="0" xfId="1" applyNumberFormat="1" applyFont="1" applyFill="1" applyAlignment="1"/>
    <xf numFmtId="164" fontId="0" fillId="0" borderId="0" xfId="0" applyFill="1"/>
    <xf numFmtId="37" fontId="70" fillId="0" borderId="0" xfId="127" applyNumberFormat="1" applyFont="1" applyFill="1"/>
    <xf numFmtId="37" fontId="3" fillId="0" borderId="0" xfId="127" applyNumberFormat="1" applyFont="1" applyFill="1"/>
    <xf numFmtId="37" fontId="3" fillId="0" borderId="3" xfId="127" applyNumberFormat="1" applyFont="1" applyFill="1" applyBorder="1"/>
    <xf numFmtId="37" fontId="3" fillId="0" borderId="0" xfId="127" applyNumberFormat="1" applyFont="1" applyFill="1" applyBorder="1"/>
    <xf numFmtId="37" fontId="44" fillId="0" borderId="0" xfId="127" applyNumberFormat="1" applyFont="1" applyFill="1"/>
    <xf numFmtId="188" fontId="3" fillId="0" borderId="0" xfId="0" applyNumberFormat="1" applyFont="1" applyFill="1" applyAlignment="1">
      <alignment horizontal="right"/>
    </xf>
    <xf numFmtId="165" fontId="3" fillId="0" borderId="0" xfId="1" applyNumberFormat="1" applyFont="1" applyFill="1" applyAlignment="1"/>
    <xf numFmtId="3" fontId="3" fillId="0" borderId="0" xfId="0" applyNumberFormat="1" applyFont="1" applyFill="1" applyAlignment="1">
      <alignment horizontal="center"/>
    </xf>
    <xf numFmtId="165" fontId="3" fillId="0" borderId="0" xfId="1" applyNumberFormat="1" applyFont="1" applyFill="1" applyAlignment="1">
      <alignment horizontal="right" wrapText="1"/>
    </xf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NumberFormat="1" applyFont="1" applyAlignment="1">
      <alignment horizontal="center"/>
    </xf>
    <xf numFmtId="165" fontId="3" fillId="0" borderId="3" xfId="1" applyNumberFormat="1" applyFont="1" applyFill="1" applyBorder="1" applyAlignment="1"/>
    <xf numFmtId="188" fontId="3" fillId="0" borderId="0" xfId="0" applyNumberFormat="1" applyFont="1" applyFill="1" applyAlignment="1">
      <alignment horizontal="left"/>
    </xf>
    <xf numFmtId="165" fontId="22" fillId="0" borderId="0" xfId="1" applyNumberFormat="1" applyFont="1" applyFill="1"/>
    <xf numFmtId="164" fontId="3" fillId="0" borderId="0" xfId="0" applyFont="1" applyFill="1" applyAlignment="1">
      <alignment horizontal="center"/>
    </xf>
    <xf numFmtId="0" fontId="3" fillId="0" borderId="0" xfId="0" applyNumberFormat="1" applyFont="1" applyFill="1" applyAlignment="1" applyProtection="1">
      <alignment horizontal="center"/>
      <protection locked="0"/>
    </xf>
    <xf numFmtId="0" fontId="3" fillId="0" borderId="0" xfId="0" applyNumberFormat="1" applyFont="1" applyFill="1" applyAlignment="1"/>
    <xf numFmtId="44" fontId="3" fillId="0" borderId="0" xfId="3" applyNumberFormat="1" applyFill="1"/>
    <xf numFmtId="164" fontId="0" fillId="0" borderId="21" xfId="0" applyBorder="1"/>
    <xf numFmtId="164" fontId="0" fillId="0" borderId="21" xfId="0" applyBorder="1" applyAlignment="1">
      <alignment horizontal="center"/>
    </xf>
    <xf numFmtId="165" fontId="0" fillId="0" borderId="21" xfId="1" applyNumberFormat="1" applyFont="1" applyBorder="1" applyAlignment="1">
      <alignment horizontal="center"/>
    </xf>
    <xf numFmtId="164" fontId="0" fillId="0" borderId="23" xfId="0" applyBorder="1"/>
    <xf numFmtId="164" fontId="0" fillId="0" borderId="3" xfId="0" applyBorder="1"/>
    <xf numFmtId="164" fontId="0" fillId="0" borderId="24" xfId="0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3" fillId="0" borderId="26" xfId="0" applyNumberFormat="1" applyFont="1" applyBorder="1" applyAlignment="1">
      <alignment horizontal="center"/>
    </xf>
    <xf numFmtId="165" fontId="3" fillId="0" borderId="25" xfId="1" applyNumberFormat="1" applyBorder="1" applyAlignment="1">
      <alignment horizontal="center"/>
    </xf>
    <xf numFmtId="0" fontId="3" fillId="0" borderId="27" xfId="0" applyNumberFormat="1" applyFont="1" applyBorder="1" applyAlignment="1">
      <alignment horizontal="center"/>
    </xf>
    <xf numFmtId="164" fontId="0" fillId="0" borderId="25" xfId="0" applyBorder="1" applyAlignment="1">
      <alignment horizontal="center"/>
    </xf>
    <xf numFmtId="164" fontId="0" fillId="0" borderId="27" xfId="0" applyBorder="1" applyAlignment="1">
      <alignment horizontal="center"/>
    </xf>
    <xf numFmtId="0" fontId="3" fillId="0" borderId="24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28" xfId="0" applyNumberFormat="1" applyFont="1" applyBorder="1" applyAlignment="1">
      <alignment horizontal="center"/>
    </xf>
    <xf numFmtId="165" fontId="3" fillId="0" borderId="24" xfId="1" applyNumberFormat="1" applyBorder="1" applyAlignment="1">
      <alignment horizontal="center"/>
    </xf>
    <xf numFmtId="0" fontId="3" fillId="0" borderId="29" xfId="0" applyNumberFormat="1" applyFont="1" applyBorder="1" applyAlignment="1">
      <alignment horizontal="center"/>
    </xf>
    <xf numFmtId="164" fontId="0" fillId="0" borderId="29" xfId="0" applyBorder="1" applyAlignment="1">
      <alignment horizontal="center"/>
    </xf>
    <xf numFmtId="17" fontId="0" fillId="0" borderId="24" xfId="0" applyNumberFormat="1" applyBorder="1"/>
    <xf numFmtId="17" fontId="0" fillId="0" borderId="0" xfId="0" applyNumberFormat="1"/>
    <xf numFmtId="0" fontId="3" fillId="0" borderId="0" xfId="3" applyFont="1" applyFill="1" applyAlignment="1">
      <alignment horizontal="center"/>
    </xf>
    <xf numFmtId="0" fontId="3" fillId="0" borderId="0" xfId="3" applyNumberFormat="1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/>
    </xf>
    <xf numFmtId="164" fontId="3" fillId="0" borderId="1" xfId="0" applyFont="1" applyFill="1" applyBorder="1" applyAlignment="1">
      <alignment horizontal="center"/>
    </xf>
    <xf numFmtId="164" fontId="4" fillId="0" borderId="0" xfId="0" applyFont="1" applyFill="1" applyAlignment="1">
      <alignment horizontal="right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/>
    </xf>
    <xf numFmtId="164" fontId="3" fillId="0" borderId="0" xfId="0" applyFont="1" applyFill="1" applyBorder="1" applyAlignment="1">
      <alignment horizontal="center"/>
    </xf>
    <xf numFmtId="164" fontId="0" fillId="0" borderId="0" xfId="0" applyFill="1" applyAlignment="1">
      <alignment horizontal="right"/>
    </xf>
    <xf numFmtId="0" fontId="3" fillId="0" borderId="0" xfId="3" applyFont="1" applyFill="1" applyAlignment="1">
      <alignment horizontal="left"/>
    </xf>
    <xf numFmtId="165" fontId="3" fillId="0" borderId="0" xfId="1" applyNumberFormat="1" applyFont="1" applyFill="1"/>
    <xf numFmtId="9" fontId="3" fillId="0" borderId="0" xfId="216" applyFont="1" applyFill="1"/>
    <xf numFmtId="43" fontId="3" fillId="0" borderId="3" xfId="1" applyNumberFormat="1" applyFont="1" applyFill="1" applyBorder="1"/>
    <xf numFmtId="165" fontId="3" fillId="0" borderId="3" xfId="1" applyNumberFormat="1" applyFont="1" applyFill="1" applyBorder="1"/>
    <xf numFmtId="165" fontId="82" fillId="0" borderId="5" xfId="1" applyNumberFormat="1" applyFont="1" applyBorder="1"/>
    <xf numFmtId="165" fontId="83" fillId="0" borderId="5" xfId="1" applyNumberFormat="1" applyFont="1" applyBorder="1"/>
    <xf numFmtId="10" fontId="83" fillId="0" borderId="5" xfId="216" applyNumberFormat="1" applyFont="1" applyBorder="1"/>
    <xf numFmtId="9" fontId="83" fillId="0" borderId="5" xfId="0" applyNumberFormat="1" applyFont="1" applyBorder="1"/>
    <xf numFmtId="43" fontId="83" fillId="0" borderId="5" xfId="1" applyFont="1" applyBorder="1"/>
    <xf numFmtId="190" fontId="83" fillId="0" borderId="5" xfId="1" applyNumberFormat="1" applyFont="1" applyBorder="1"/>
    <xf numFmtId="43" fontId="83" fillId="0" borderId="5" xfId="0" applyNumberFormat="1" applyFont="1" applyBorder="1"/>
    <xf numFmtId="165" fontId="83" fillId="0" borderId="5" xfId="0" applyNumberFormat="1" applyFont="1" applyBorder="1"/>
    <xf numFmtId="165" fontId="3" fillId="32" borderId="0" xfId="1" applyNumberFormat="1" applyFill="1"/>
    <xf numFmtId="165" fontId="76" fillId="32" borderId="0" xfId="1" applyNumberFormat="1" applyFont="1" applyFill="1"/>
    <xf numFmtId="37" fontId="70" fillId="32" borderId="0" xfId="127" applyNumberFormat="1" applyFont="1" applyFill="1"/>
    <xf numFmtId="37" fontId="70" fillId="32" borderId="1" xfId="127" applyNumberFormat="1" applyFont="1" applyFill="1" applyBorder="1"/>
    <xf numFmtId="37" fontId="70" fillId="32" borderId="3" xfId="127" applyNumberFormat="1" applyFont="1" applyFill="1" applyBorder="1"/>
    <xf numFmtId="37" fontId="3" fillId="32" borderId="3" xfId="127" applyNumberFormat="1" applyFont="1" applyFill="1" applyBorder="1"/>
    <xf numFmtId="37" fontId="3" fillId="32" borderId="0" xfId="127" applyNumberFormat="1" applyFont="1" applyFill="1"/>
    <xf numFmtId="37" fontId="3" fillId="32" borderId="1" xfId="127" applyNumberFormat="1" applyFont="1" applyFill="1" applyBorder="1"/>
    <xf numFmtId="37" fontId="44" fillId="32" borderId="1" xfId="127" applyNumberFormat="1" applyFont="1" applyFill="1" applyBorder="1"/>
    <xf numFmtId="37" fontId="3" fillId="32" borderId="20" xfId="127" applyNumberFormat="1" applyFont="1" applyFill="1" applyBorder="1"/>
    <xf numFmtId="37" fontId="70" fillId="32" borderId="0" xfId="127" applyNumberFormat="1" applyFont="1" applyFill="1" applyBorder="1"/>
    <xf numFmtId="37" fontId="44" fillId="32" borderId="0" xfId="127" applyNumberFormat="1" applyFont="1" applyFill="1" applyBorder="1"/>
    <xf numFmtId="37" fontId="3" fillId="32" borderId="2" xfId="127" applyNumberFormat="1" applyFont="1" applyFill="1" applyBorder="1"/>
    <xf numFmtId="166" fontId="3" fillId="32" borderId="20" xfId="88" applyNumberFormat="1" applyFont="1" applyFill="1" applyBorder="1"/>
    <xf numFmtId="165" fontId="3" fillId="32" borderId="0" xfId="1" applyNumberFormat="1" applyFont="1" applyFill="1" applyAlignment="1"/>
    <xf numFmtId="3" fontId="3" fillId="32" borderId="0" xfId="0" applyNumberFormat="1" applyFont="1" applyFill="1" applyAlignment="1">
      <alignment horizontal="center"/>
    </xf>
    <xf numFmtId="165" fontId="83" fillId="32" borderId="5" xfId="1" applyNumberFormat="1" applyFont="1" applyFill="1" applyBorder="1"/>
    <xf numFmtId="165" fontId="22" fillId="0" borderId="0" xfId="1" applyNumberFormat="1" applyFont="1" applyFill="1" applyAlignment="1"/>
    <xf numFmtId="0" fontId="3" fillId="0" borderId="0" xfId="3" applyFont="1" applyFill="1" applyAlignment="1">
      <alignment horizontal="center"/>
    </xf>
    <xf numFmtId="0" fontId="3" fillId="0" borderId="1" xfId="3" applyFont="1" applyFill="1" applyBorder="1" applyAlignment="1">
      <alignment horizontal="center"/>
    </xf>
    <xf numFmtId="190" fontId="83" fillId="0" borderId="5" xfId="1" applyNumberFormat="1" applyFont="1" applyFill="1" applyBorder="1"/>
    <xf numFmtId="10" fontId="83" fillId="0" borderId="5" xfId="216" applyNumberFormat="1" applyFont="1" applyFill="1" applyBorder="1"/>
    <xf numFmtId="0" fontId="3" fillId="0" borderId="0" xfId="3" applyFont="1" applyAlignment="1">
      <alignment horizontal="center"/>
    </xf>
    <xf numFmtId="188" fontId="3" fillId="0" borderId="0" xfId="125" applyNumberFormat="1" applyFont="1" applyAlignment="1">
      <alignment horizontal="right"/>
    </xf>
    <xf numFmtId="37" fontId="3" fillId="0" borderId="0" xfId="3" applyNumberFormat="1" applyFont="1"/>
    <xf numFmtId="43" fontId="83" fillId="0" borderId="5" xfId="1" applyFont="1" applyFill="1" applyBorder="1"/>
    <xf numFmtId="165" fontId="83" fillId="0" borderId="5" xfId="1" applyNumberFormat="1" applyFont="1" applyFill="1" applyBorder="1"/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3" fontId="22" fillId="0" borderId="0" xfId="202" applyNumberFormat="1" applyFont="1" applyFill="1" applyAlignment="1"/>
    <xf numFmtId="164" fontId="22" fillId="0" borderId="0" xfId="202" applyFont="1" applyFill="1" applyAlignment="1">
      <alignment horizontal="left"/>
    </xf>
    <xf numFmtId="189" fontId="3" fillId="0" borderId="0" xfId="0" applyNumberFormat="1" applyFont="1" applyFill="1"/>
    <xf numFmtId="0" fontId="20" fillId="2" borderId="0" xfId="195" applyNumberFormat="1" applyFont="1" applyFill="1" applyAlignment="1">
      <alignment horizontal="center"/>
    </xf>
    <xf numFmtId="164" fontId="74" fillId="0" borderId="0" xfId="0" applyFont="1" applyAlignment="1">
      <alignment horizontal="center"/>
    </xf>
    <xf numFmtId="164" fontId="20" fillId="0" borderId="0" xfId="0" applyFont="1" applyAlignment="1">
      <alignment horizontal="center"/>
    </xf>
    <xf numFmtId="0" fontId="4" fillId="0" borderId="0" xfId="3" applyFont="1" applyAlignment="1">
      <alignment horizontal="center"/>
    </xf>
    <xf numFmtId="0" fontId="3" fillId="0" borderId="0" xfId="3" applyFont="1" applyAlignment="1">
      <alignment horizontal="center"/>
    </xf>
    <xf numFmtId="0" fontId="3" fillId="0" borderId="0" xfId="3" applyAlignment="1">
      <alignment horizontal="center"/>
    </xf>
    <xf numFmtId="49" fontId="4" fillId="0" borderId="0" xfId="3" applyNumberFormat="1" applyFont="1" applyAlignment="1">
      <alignment horizontal="center"/>
    </xf>
    <xf numFmtId="164" fontId="0" fillId="0" borderId="21" xfId="0" applyBorder="1" applyAlignment="1">
      <alignment horizontal="center"/>
    </xf>
    <xf numFmtId="164" fontId="0" fillId="0" borderId="3" xfId="0" applyBorder="1" applyAlignment="1">
      <alignment horizontal="center"/>
    </xf>
    <xf numFmtId="164" fontId="0" fillId="0" borderId="22" xfId="0" applyBorder="1" applyAlignment="1">
      <alignment horizontal="center"/>
    </xf>
  </cellXfs>
  <cellStyles count="229">
    <cellStyle name="%" xfId="4" xr:uid="{00000000-0005-0000-0000-000000000000}"/>
    <cellStyle name="_033103 13 week CF1" xfId="5" xr:uid="{00000000-0005-0000-0000-000001000000}"/>
    <cellStyle name="_181000-189000" xfId="6" xr:uid="{00000000-0005-0000-0000-000002000000}"/>
    <cellStyle name="_2002  What- No Cap X Morgan" xfId="7" xr:uid="{00000000-0005-0000-0000-000003000000}"/>
    <cellStyle name="_Baseline Rollforward Support 050817" xfId="8" xr:uid="{00000000-0005-0000-0000-000004000000}"/>
    <cellStyle name="_EGTG_2003_YTD_Cash_Flow" xfId="9" xr:uid="{00000000-0005-0000-0000-000005000000}"/>
    <cellStyle name="_Everest_Board_Book_2003_FINAL" xfId="10" xr:uid="{00000000-0005-0000-0000-000006000000}"/>
    <cellStyle name="_Oct03_Everest_Board_Financial_Operating_Report" xfId="11" xr:uid="{00000000-0005-0000-0000-000007000000}"/>
    <cellStyle name="_SpreadSM" xfId="12" xr:uid="{00000000-0005-0000-0000-000008000000}"/>
    <cellStyle name="_Vacation Hours 7-14-08 (2)" xfId="13" xr:uid="{00000000-0005-0000-0000-000009000000}"/>
    <cellStyle name="=C:\WINNT35\SYSTEM32\COMMAND.COM" xfId="14" xr:uid="{00000000-0005-0000-0000-00000A000000}"/>
    <cellStyle name="20% - Accent1 2" xfId="15" xr:uid="{00000000-0005-0000-0000-00000B000000}"/>
    <cellStyle name="20% - Accent2 2" xfId="16" xr:uid="{00000000-0005-0000-0000-00000C000000}"/>
    <cellStyle name="20% - Accent3 2" xfId="17" xr:uid="{00000000-0005-0000-0000-00000D000000}"/>
    <cellStyle name="20% - Accent4 2" xfId="18" xr:uid="{00000000-0005-0000-0000-00000E000000}"/>
    <cellStyle name="20% - Accent5 2" xfId="19" xr:uid="{00000000-0005-0000-0000-00000F000000}"/>
    <cellStyle name="20% - Accent6 2" xfId="20" xr:uid="{00000000-0005-0000-0000-000010000000}"/>
    <cellStyle name="40% - Accent1 2" xfId="21" xr:uid="{00000000-0005-0000-0000-000011000000}"/>
    <cellStyle name="40% - Accent2 2" xfId="22" xr:uid="{00000000-0005-0000-0000-000012000000}"/>
    <cellStyle name="40% - Accent3 2" xfId="23" xr:uid="{00000000-0005-0000-0000-000013000000}"/>
    <cellStyle name="40% - Accent4 2" xfId="24" xr:uid="{00000000-0005-0000-0000-000014000000}"/>
    <cellStyle name="40% - Accent5 2" xfId="25" xr:uid="{00000000-0005-0000-0000-000015000000}"/>
    <cellStyle name="40% - Accent6 2" xfId="26" xr:uid="{00000000-0005-0000-0000-000016000000}"/>
    <cellStyle name="60% - Accent1 2" xfId="27" xr:uid="{00000000-0005-0000-0000-000017000000}"/>
    <cellStyle name="60% - Accent2 2" xfId="28" xr:uid="{00000000-0005-0000-0000-000018000000}"/>
    <cellStyle name="60% - Accent3 2" xfId="29" xr:uid="{00000000-0005-0000-0000-000019000000}"/>
    <cellStyle name="60% - Accent4 2" xfId="30" xr:uid="{00000000-0005-0000-0000-00001A000000}"/>
    <cellStyle name="60% - Accent5 2" xfId="31" xr:uid="{00000000-0005-0000-0000-00001B000000}"/>
    <cellStyle name="60% - Accent6 2" xfId="32" xr:uid="{00000000-0005-0000-0000-00001C000000}"/>
    <cellStyle name="Accent1 2" xfId="33" xr:uid="{00000000-0005-0000-0000-00001D000000}"/>
    <cellStyle name="Accent2 2" xfId="34" xr:uid="{00000000-0005-0000-0000-00001E000000}"/>
    <cellStyle name="Accent3 2" xfId="35" xr:uid="{00000000-0005-0000-0000-00001F000000}"/>
    <cellStyle name="Accent4 2" xfId="36" xr:uid="{00000000-0005-0000-0000-000020000000}"/>
    <cellStyle name="Accent5 2" xfId="37" xr:uid="{00000000-0005-0000-0000-000021000000}"/>
    <cellStyle name="Accent6 2" xfId="38" xr:uid="{00000000-0005-0000-0000-000022000000}"/>
    <cellStyle name="Accounting" xfId="39" xr:uid="{00000000-0005-0000-0000-000023000000}"/>
    <cellStyle name="Actual Date" xfId="40" xr:uid="{00000000-0005-0000-0000-000024000000}"/>
    <cellStyle name="ADDR" xfId="41" xr:uid="{00000000-0005-0000-0000-000025000000}"/>
    <cellStyle name="Agara" xfId="42" xr:uid="{00000000-0005-0000-0000-000026000000}"/>
    <cellStyle name="Bad 2" xfId="43" xr:uid="{00000000-0005-0000-0000-000027000000}"/>
    <cellStyle name="Body" xfId="44" xr:uid="{00000000-0005-0000-0000-000028000000}"/>
    <cellStyle name="Bottom bold border" xfId="45" xr:uid="{00000000-0005-0000-0000-000029000000}"/>
    <cellStyle name="Bottom single border" xfId="46" xr:uid="{00000000-0005-0000-0000-00002A000000}"/>
    <cellStyle name="Business Unit" xfId="47" xr:uid="{00000000-0005-0000-0000-00002B000000}"/>
    <cellStyle name="C00A" xfId="48" xr:uid="{00000000-0005-0000-0000-00002C000000}"/>
    <cellStyle name="C00B" xfId="49" xr:uid="{00000000-0005-0000-0000-00002D000000}"/>
    <cellStyle name="C00L" xfId="50" xr:uid="{00000000-0005-0000-0000-00002E000000}"/>
    <cellStyle name="C01A" xfId="51" xr:uid="{00000000-0005-0000-0000-00002F000000}"/>
    <cellStyle name="C01B" xfId="52" xr:uid="{00000000-0005-0000-0000-000030000000}"/>
    <cellStyle name="C01H" xfId="53" xr:uid="{00000000-0005-0000-0000-000031000000}"/>
    <cellStyle name="C01L" xfId="54" xr:uid="{00000000-0005-0000-0000-000032000000}"/>
    <cellStyle name="C02A" xfId="55" xr:uid="{00000000-0005-0000-0000-000033000000}"/>
    <cellStyle name="C02B" xfId="56" xr:uid="{00000000-0005-0000-0000-000034000000}"/>
    <cellStyle name="C02H" xfId="57" xr:uid="{00000000-0005-0000-0000-000035000000}"/>
    <cellStyle name="C02L" xfId="58" xr:uid="{00000000-0005-0000-0000-000036000000}"/>
    <cellStyle name="C03A" xfId="59" xr:uid="{00000000-0005-0000-0000-000037000000}"/>
    <cellStyle name="C03B" xfId="60" xr:uid="{00000000-0005-0000-0000-000038000000}"/>
    <cellStyle name="C03H" xfId="61" xr:uid="{00000000-0005-0000-0000-000039000000}"/>
    <cellStyle name="C03L" xfId="62" xr:uid="{00000000-0005-0000-0000-00003A000000}"/>
    <cellStyle name="C04A" xfId="63" xr:uid="{00000000-0005-0000-0000-00003B000000}"/>
    <cellStyle name="C04B" xfId="64" xr:uid="{00000000-0005-0000-0000-00003C000000}"/>
    <cellStyle name="C04H" xfId="65" xr:uid="{00000000-0005-0000-0000-00003D000000}"/>
    <cellStyle name="C04L" xfId="66" xr:uid="{00000000-0005-0000-0000-00003E000000}"/>
    <cellStyle name="C05A" xfId="67" xr:uid="{00000000-0005-0000-0000-00003F000000}"/>
    <cellStyle name="C05B" xfId="68" xr:uid="{00000000-0005-0000-0000-000040000000}"/>
    <cellStyle name="C05H" xfId="69" xr:uid="{00000000-0005-0000-0000-000041000000}"/>
    <cellStyle name="C05L" xfId="70" xr:uid="{00000000-0005-0000-0000-000042000000}"/>
    <cellStyle name="C06A" xfId="71" xr:uid="{00000000-0005-0000-0000-000043000000}"/>
    <cellStyle name="C06B" xfId="72" xr:uid="{00000000-0005-0000-0000-000044000000}"/>
    <cellStyle name="C06H" xfId="73" xr:uid="{00000000-0005-0000-0000-000045000000}"/>
    <cellStyle name="C06L" xfId="74" xr:uid="{00000000-0005-0000-0000-000046000000}"/>
    <cellStyle name="C07A" xfId="75" xr:uid="{00000000-0005-0000-0000-000047000000}"/>
    <cellStyle name="C07B" xfId="76" xr:uid="{00000000-0005-0000-0000-000048000000}"/>
    <cellStyle name="C07H" xfId="77" xr:uid="{00000000-0005-0000-0000-000049000000}"/>
    <cellStyle name="C07L" xfId="78" xr:uid="{00000000-0005-0000-0000-00004A000000}"/>
    <cellStyle name="Calculation 2" xfId="79" xr:uid="{00000000-0005-0000-0000-00004B000000}"/>
    <cellStyle name="Check Cell 2" xfId="80" xr:uid="{00000000-0005-0000-0000-00004C000000}"/>
    <cellStyle name="Comma" xfId="1" builtinId="3"/>
    <cellStyle name="Comma [0] 2" xfId="207" xr:uid="{00000000-0005-0000-0000-00004E000000}"/>
    <cellStyle name="Comma 0" xfId="81" xr:uid="{00000000-0005-0000-0000-00004F000000}"/>
    <cellStyle name="Comma 2" xfId="82" xr:uid="{00000000-0005-0000-0000-000050000000}"/>
    <cellStyle name="Comma 3" xfId="83" xr:uid="{00000000-0005-0000-0000-000051000000}"/>
    <cellStyle name="Comma 3 2" xfId="219" xr:uid="{64686748-ED9F-4AA7-B077-41FAFDE50773}"/>
    <cellStyle name="Comma 4" xfId="84" xr:uid="{00000000-0005-0000-0000-000052000000}"/>
    <cellStyle name="Comma 5" xfId="85" xr:uid="{00000000-0005-0000-0000-000053000000}"/>
    <cellStyle name="Comma 5 2" xfId="220" xr:uid="{858FCCE1-E851-4569-BC9C-B060238F051F}"/>
    <cellStyle name="Comma0 - Style1" xfId="86" xr:uid="{00000000-0005-0000-0000-000054000000}"/>
    <cellStyle name="Currency" xfId="2" builtinId="4"/>
    <cellStyle name="Currency [0] 2" xfId="208" xr:uid="{00000000-0005-0000-0000-000056000000}"/>
    <cellStyle name="Currency 2" xfId="87" xr:uid="{00000000-0005-0000-0000-000057000000}"/>
    <cellStyle name="Currency 2 2" xfId="221" xr:uid="{DBCC1557-2ABE-4134-A716-C8433B2E5640}"/>
    <cellStyle name="Currency 3" xfId="88" xr:uid="{00000000-0005-0000-0000-000058000000}"/>
    <cellStyle name="Currency 3 2" xfId="222" xr:uid="{688D13CB-4E52-471A-B889-3916832DB2F8}"/>
    <cellStyle name="Date" xfId="89" xr:uid="{00000000-0005-0000-0000-000059000000}"/>
    <cellStyle name="Euro" xfId="90" xr:uid="{00000000-0005-0000-0000-00005A000000}"/>
    <cellStyle name="Explanatory Text 2" xfId="91" xr:uid="{00000000-0005-0000-0000-00005B000000}"/>
    <cellStyle name="Fixed" xfId="92" xr:uid="{00000000-0005-0000-0000-00005C000000}"/>
    <cellStyle name="Fixed1 - Style1" xfId="93" xr:uid="{00000000-0005-0000-0000-00005D000000}"/>
    <cellStyle name="Gilsans" xfId="94" xr:uid="{00000000-0005-0000-0000-00005E000000}"/>
    <cellStyle name="Gilsansl" xfId="95" xr:uid="{00000000-0005-0000-0000-00005F000000}"/>
    <cellStyle name="Good 2" xfId="96" xr:uid="{00000000-0005-0000-0000-000060000000}"/>
    <cellStyle name="Grey" xfId="97" xr:uid="{00000000-0005-0000-0000-000061000000}"/>
    <cellStyle name="HEADER" xfId="98" xr:uid="{00000000-0005-0000-0000-000062000000}"/>
    <cellStyle name="Header1" xfId="99" xr:uid="{00000000-0005-0000-0000-000063000000}"/>
    <cellStyle name="Header2" xfId="100" xr:uid="{00000000-0005-0000-0000-000064000000}"/>
    <cellStyle name="Heading" xfId="101" xr:uid="{00000000-0005-0000-0000-000065000000}"/>
    <cellStyle name="Heading 1 2" xfId="102" xr:uid="{00000000-0005-0000-0000-000066000000}"/>
    <cellStyle name="Heading 2 2" xfId="103" xr:uid="{00000000-0005-0000-0000-000067000000}"/>
    <cellStyle name="Heading 3 2" xfId="104" xr:uid="{00000000-0005-0000-0000-000068000000}"/>
    <cellStyle name="Heading 4 2" xfId="105" xr:uid="{00000000-0005-0000-0000-000069000000}"/>
    <cellStyle name="Heading1" xfId="106" xr:uid="{00000000-0005-0000-0000-00006A000000}"/>
    <cellStyle name="Heading2" xfId="107" xr:uid="{00000000-0005-0000-0000-00006B000000}"/>
    <cellStyle name="HIGHLIGHT" xfId="108" xr:uid="{00000000-0005-0000-0000-00006C000000}"/>
    <cellStyle name="Input [yellow]" xfId="109" xr:uid="{00000000-0005-0000-0000-00006D000000}"/>
    <cellStyle name="Input 2" xfId="110" xr:uid="{00000000-0005-0000-0000-00006E000000}"/>
    <cellStyle name="Input 3" xfId="223" xr:uid="{2D08226C-6823-4B87-A7D8-77AB7B68A040}"/>
    <cellStyle name="Input 4" xfId="218" xr:uid="{27788E5D-70DF-411F-8F06-E7A204248C50}"/>
    <cellStyle name="Lines" xfId="111" xr:uid="{00000000-0005-0000-0000-00006F000000}"/>
    <cellStyle name="Linked Cell 2" xfId="112" xr:uid="{00000000-0005-0000-0000-000070000000}"/>
    <cellStyle name="MEM SSN" xfId="113" xr:uid="{00000000-0005-0000-0000-000071000000}"/>
    <cellStyle name="Mine" xfId="114" xr:uid="{00000000-0005-0000-0000-000072000000}"/>
    <cellStyle name="mmm-yy" xfId="115" xr:uid="{00000000-0005-0000-0000-000073000000}"/>
    <cellStyle name="Monétaire [0]_pldt" xfId="116" xr:uid="{00000000-0005-0000-0000-000074000000}"/>
    <cellStyle name="Monétaire_pldt" xfId="117" xr:uid="{00000000-0005-0000-0000-000075000000}"/>
    <cellStyle name="Neutral 2" xfId="118" xr:uid="{00000000-0005-0000-0000-000076000000}"/>
    <cellStyle name="New" xfId="119" xr:uid="{00000000-0005-0000-0000-000077000000}"/>
    <cellStyle name="No Border" xfId="120" xr:uid="{00000000-0005-0000-0000-000078000000}"/>
    <cellStyle name="no dec" xfId="121" xr:uid="{00000000-0005-0000-0000-000079000000}"/>
    <cellStyle name="Normal" xfId="0" builtinId="0"/>
    <cellStyle name="Normal - Style1" xfId="122" xr:uid="{00000000-0005-0000-0000-00007B000000}"/>
    <cellStyle name="Normal 10" xfId="199" xr:uid="{00000000-0005-0000-0000-00007C000000}"/>
    <cellStyle name="Normal 11" xfId="200" xr:uid="{00000000-0005-0000-0000-00007D000000}"/>
    <cellStyle name="Normal 12" xfId="201" xr:uid="{00000000-0005-0000-0000-00007E000000}"/>
    <cellStyle name="Normal 14" xfId="202" xr:uid="{00000000-0005-0000-0000-00007F000000}"/>
    <cellStyle name="Normal 15" xfId="204" xr:uid="{00000000-0005-0000-0000-000080000000}"/>
    <cellStyle name="Normal 18" xfId="198" xr:uid="{00000000-0005-0000-0000-000081000000}"/>
    <cellStyle name="Normal 2" xfId="123" xr:uid="{00000000-0005-0000-0000-000082000000}"/>
    <cellStyle name="Normal 2 2" xfId="124" xr:uid="{00000000-0005-0000-0000-000083000000}"/>
    <cellStyle name="Normal 22" xfId="203" xr:uid="{00000000-0005-0000-0000-000084000000}"/>
    <cellStyle name="Normal 3" xfId="125" xr:uid="{00000000-0005-0000-0000-000085000000}"/>
    <cellStyle name="Normal 3 2" xfId="126" xr:uid="{00000000-0005-0000-0000-000086000000}"/>
    <cellStyle name="Normal 3 3" xfId="224" xr:uid="{CABB5BB5-42C3-4354-B83D-0E955C8E8890}"/>
    <cellStyle name="Normal 3 5" xfId="225" xr:uid="{BC5DBADC-F5DE-4B1B-B00A-54970C7FCE6A}"/>
    <cellStyle name="Normal 4" xfId="127" xr:uid="{00000000-0005-0000-0000-000087000000}"/>
    <cellStyle name="Normal 4 2" xfId="227" xr:uid="{FDD14FFF-6A14-40D0-8522-26641B5065BB}"/>
    <cellStyle name="Normal 4 3" xfId="226" xr:uid="{4D091815-5232-4BC5-BDA9-EABB4AC65E6B}"/>
    <cellStyle name="Normal 5" xfId="195" xr:uid="{00000000-0005-0000-0000-000088000000}"/>
    <cellStyle name="Normal 6" xfId="206" xr:uid="{00000000-0005-0000-0000-000089000000}"/>
    <cellStyle name="Normal 7" xfId="215" xr:uid="{00000000-0005-0000-0000-00008A000000}"/>
    <cellStyle name="Normal 8" xfId="196" xr:uid="{00000000-0005-0000-0000-00008B000000}"/>
    <cellStyle name="Normal 9" xfId="197" xr:uid="{00000000-0005-0000-0000-00008C000000}"/>
    <cellStyle name="Normal CEN" xfId="128" xr:uid="{00000000-0005-0000-0000-00008D000000}"/>
    <cellStyle name="Normal Centered" xfId="129" xr:uid="{00000000-0005-0000-0000-00008E000000}"/>
    <cellStyle name="NORMAL CTR" xfId="130" xr:uid="{00000000-0005-0000-0000-00008F000000}"/>
    <cellStyle name="Normal_Capital True-up" xfId="131" xr:uid="{00000000-0005-0000-0000-000090000000}"/>
    <cellStyle name="Normal_PRECorp2002HeintzResponse 8-21-03" xfId="3" xr:uid="{00000000-0005-0000-0000-000091000000}"/>
    <cellStyle name="Note 2" xfId="132" xr:uid="{00000000-0005-0000-0000-000092000000}"/>
    <cellStyle name="nUMBER" xfId="133" xr:uid="{00000000-0005-0000-0000-000093000000}"/>
    <cellStyle name="Output 2" xfId="134" xr:uid="{00000000-0005-0000-0000-000094000000}"/>
    <cellStyle name="Percent" xfId="216" builtinId="5"/>
    <cellStyle name="Percent [2]" xfId="135" xr:uid="{00000000-0005-0000-0000-000096000000}"/>
    <cellStyle name="Percent 14" xfId="205" xr:uid="{00000000-0005-0000-0000-000097000000}"/>
    <cellStyle name="Percent 2" xfId="136" xr:uid="{00000000-0005-0000-0000-000098000000}"/>
    <cellStyle name="Percent 3" xfId="228" xr:uid="{AFE6E487-0C1C-4B8A-95B3-F9614FDB845C}"/>
    <cellStyle name="Percent 4" xfId="217" xr:uid="{4B18D950-83F0-4C59-AFE5-E2913E6B1492}"/>
    <cellStyle name="PSChar" xfId="137" xr:uid="{00000000-0005-0000-0000-000099000000}"/>
    <cellStyle name="PSChar 2" xfId="209" xr:uid="{00000000-0005-0000-0000-00009A000000}"/>
    <cellStyle name="PSDate" xfId="138" xr:uid="{00000000-0005-0000-0000-00009B000000}"/>
    <cellStyle name="PSDate 2" xfId="210" xr:uid="{00000000-0005-0000-0000-00009C000000}"/>
    <cellStyle name="PSDec" xfId="139" xr:uid="{00000000-0005-0000-0000-00009D000000}"/>
    <cellStyle name="PSDec 2" xfId="211" xr:uid="{00000000-0005-0000-0000-00009E000000}"/>
    <cellStyle name="PSHeading" xfId="140" xr:uid="{00000000-0005-0000-0000-00009F000000}"/>
    <cellStyle name="PSHeading 2" xfId="212" xr:uid="{00000000-0005-0000-0000-0000A0000000}"/>
    <cellStyle name="PSInt" xfId="141" xr:uid="{00000000-0005-0000-0000-0000A1000000}"/>
    <cellStyle name="PSInt 2" xfId="213" xr:uid="{00000000-0005-0000-0000-0000A2000000}"/>
    <cellStyle name="PSSpacer" xfId="142" xr:uid="{00000000-0005-0000-0000-0000A3000000}"/>
    <cellStyle name="PSSpacer 2" xfId="214" xr:uid="{00000000-0005-0000-0000-0000A4000000}"/>
    <cellStyle name="R00A" xfId="143" xr:uid="{00000000-0005-0000-0000-0000A5000000}"/>
    <cellStyle name="R00B" xfId="144" xr:uid="{00000000-0005-0000-0000-0000A6000000}"/>
    <cellStyle name="R00L" xfId="145" xr:uid="{00000000-0005-0000-0000-0000A7000000}"/>
    <cellStyle name="R01A" xfId="146" xr:uid="{00000000-0005-0000-0000-0000A8000000}"/>
    <cellStyle name="R01B" xfId="147" xr:uid="{00000000-0005-0000-0000-0000A9000000}"/>
    <cellStyle name="R01H" xfId="148" xr:uid="{00000000-0005-0000-0000-0000AA000000}"/>
    <cellStyle name="R01L" xfId="149" xr:uid="{00000000-0005-0000-0000-0000AB000000}"/>
    <cellStyle name="R02A" xfId="150" xr:uid="{00000000-0005-0000-0000-0000AC000000}"/>
    <cellStyle name="R02B" xfId="151" xr:uid="{00000000-0005-0000-0000-0000AD000000}"/>
    <cellStyle name="R02H" xfId="152" xr:uid="{00000000-0005-0000-0000-0000AE000000}"/>
    <cellStyle name="R02L" xfId="153" xr:uid="{00000000-0005-0000-0000-0000AF000000}"/>
    <cellStyle name="R03A" xfId="154" xr:uid="{00000000-0005-0000-0000-0000B0000000}"/>
    <cellStyle name="R03B" xfId="155" xr:uid="{00000000-0005-0000-0000-0000B1000000}"/>
    <cellStyle name="R03H" xfId="156" xr:uid="{00000000-0005-0000-0000-0000B2000000}"/>
    <cellStyle name="R03L" xfId="157" xr:uid="{00000000-0005-0000-0000-0000B3000000}"/>
    <cellStyle name="R04A" xfId="158" xr:uid="{00000000-0005-0000-0000-0000B4000000}"/>
    <cellStyle name="R04B" xfId="159" xr:uid="{00000000-0005-0000-0000-0000B5000000}"/>
    <cellStyle name="R04H" xfId="160" xr:uid="{00000000-0005-0000-0000-0000B6000000}"/>
    <cellStyle name="R04L" xfId="161" xr:uid="{00000000-0005-0000-0000-0000B7000000}"/>
    <cellStyle name="R05A" xfId="162" xr:uid="{00000000-0005-0000-0000-0000B8000000}"/>
    <cellStyle name="R05B" xfId="163" xr:uid="{00000000-0005-0000-0000-0000B9000000}"/>
    <cellStyle name="R05H" xfId="164" xr:uid="{00000000-0005-0000-0000-0000BA000000}"/>
    <cellStyle name="R05L" xfId="165" xr:uid="{00000000-0005-0000-0000-0000BB000000}"/>
    <cellStyle name="R06A" xfId="166" xr:uid="{00000000-0005-0000-0000-0000BC000000}"/>
    <cellStyle name="R06B" xfId="167" xr:uid="{00000000-0005-0000-0000-0000BD000000}"/>
    <cellStyle name="R06H" xfId="168" xr:uid="{00000000-0005-0000-0000-0000BE000000}"/>
    <cellStyle name="R06L" xfId="169" xr:uid="{00000000-0005-0000-0000-0000BF000000}"/>
    <cellStyle name="R07A" xfId="170" xr:uid="{00000000-0005-0000-0000-0000C0000000}"/>
    <cellStyle name="R07B" xfId="171" xr:uid="{00000000-0005-0000-0000-0000C1000000}"/>
    <cellStyle name="R07H" xfId="172" xr:uid="{00000000-0005-0000-0000-0000C2000000}"/>
    <cellStyle name="R07L" xfId="173" xr:uid="{00000000-0005-0000-0000-0000C3000000}"/>
    <cellStyle name="Resource Detail" xfId="174" xr:uid="{00000000-0005-0000-0000-0000C4000000}"/>
    <cellStyle name="Shade" xfId="175" xr:uid="{00000000-0005-0000-0000-0000C5000000}"/>
    <cellStyle name="single acct" xfId="176" xr:uid="{00000000-0005-0000-0000-0000C6000000}"/>
    <cellStyle name="Single Border" xfId="177" xr:uid="{00000000-0005-0000-0000-0000C7000000}"/>
    <cellStyle name="Small Page Heading" xfId="178" xr:uid="{00000000-0005-0000-0000-0000C8000000}"/>
    <cellStyle name="ssn" xfId="179" xr:uid="{00000000-0005-0000-0000-0000C9000000}"/>
    <cellStyle name="Style 1" xfId="180" xr:uid="{00000000-0005-0000-0000-0000CA000000}"/>
    <cellStyle name="Style 2" xfId="181" xr:uid="{00000000-0005-0000-0000-0000CB000000}"/>
    <cellStyle name="Style 27" xfId="182" xr:uid="{00000000-0005-0000-0000-0000CC000000}"/>
    <cellStyle name="Style 28" xfId="183" xr:uid="{00000000-0005-0000-0000-0000CD000000}"/>
    <cellStyle name="Table Sub Heading" xfId="184" xr:uid="{00000000-0005-0000-0000-0000CE000000}"/>
    <cellStyle name="Table Title" xfId="185" xr:uid="{00000000-0005-0000-0000-0000CF000000}"/>
    <cellStyle name="Table Units" xfId="186" xr:uid="{00000000-0005-0000-0000-0000D0000000}"/>
    <cellStyle name="Theirs" xfId="187" xr:uid="{00000000-0005-0000-0000-0000D1000000}"/>
    <cellStyle name="Times New Roman" xfId="188" xr:uid="{00000000-0005-0000-0000-0000D2000000}"/>
    <cellStyle name="Title 2" xfId="189" xr:uid="{00000000-0005-0000-0000-0000D3000000}"/>
    <cellStyle name="Total 2" xfId="190" xr:uid="{00000000-0005-0000-0000-0000D4000000}"/>
    <cellStyle name="Unprot" xfId="191" xr:uid="{00000000-0005-0000-0000-0000D5000000}"/>
    <cellStyle name="Unprot$" xfId="192" xr:uid="{00000000-0005-0000-0000-0000D6000000}"/>
    <cellStyle name="Unprotect" xfId="193" xr:uid="{00000000-0005-0000-0000-0000D7000000}"/>
    <cellStyle name="Warning Text 2" xfId="194" xr:uid="{00000000-0005-0000-0000-0000D8000000}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3"/>
  <sheetViews>
    <sheetView topLeftCell="A10" zoomScaleNormal="100" workbookViewId="0">
      <selection activeCell="F179" sqref="F179"/>
    </sheetView>
  </sheetViews>
  <sheetFormatPr defaultRowHeight="15.5"/>
  <cols>
    <col min="1" max="1" width="5.23046875" customWidth="1"/>
    <col min="2" max="2" width="1.69140625" customWidth="1"/>
    <col min="3" max="3" width="45.69140625" customWidth="1"/>
    <col min="4" max="4" width="32.84375" customWidth="1"/>
    <col min="5" max="5" width="2.53515625" customWidth="1"/>
    <col min="6" max="6" width="40.53515625" customWidth="1"/>
  </cols>
  <sheetData>
    <row r="1" spans="1:6">
      <c r="A1" s="279" t="s">
        <v>2</v>
      </c>
      <c r="B1" s="279"/>
      <c r="C1" s="279"/>
      <c r="D1" s="279"/>
      <c r="E1" s="279"/>
      <c r="F1" s="279"/>
    </row>
    <row r="2" spans="1:6">
      <c r="A2" s="279" t="s">
        <v>260</v>
      </c>
      <c r="B2" s="279"/>
      <c r="C2" s="279"/>
      <c r="D2" s="279"/>
      <c r="E2" s="279"/>
      <c r="F2" s="279"/>
    </row>
    <row r="3" spans="1:6">
      <c r="A3" s="35"/>
      <c r="B3" s="35"/>
      <c r="C3" s="35"/>
      <c r="D3" s="35"/>
      <c r="E3" s="35"/>
      <c r="F3" s="35"/>
    </row>
    <row r="4" spans="1:6">
      <c r="A4" s="35"/>
      <c r="B4" s="35"/>
      <c r="C4" s="35"/>
      <c r="D4" s="35"/>
      <c r="E4" s="35"/>
      <c r="F4" s="35"/>
    </row>
    <row r="5" spans="1:6">
      <c r="A5" s="35"/>
      <c r="B5" s="35"/>
      <c r="C5" s="35"/>
      <c r="D5" s="36" t="s">
        <v>66</v>
      </c>
      <c r="E5" s="35"/>
      <c r="F5" s="36" t="s">
        <v>67</v>
      </c>
    </row>
    <row r="6" spans="1:6">
      <c r="A6" s="37"/>
      <c r="B6" s="37"/>
      <c r="C6" s="38" t="s">
        <v>68</v>
      </c>
      <c r="D6" s="38" t="s">
        <v>69</v>
      </c>
      <c r="E6" s="35"/>
      <c r="F6" s="38" t="s">
        <v>69</v>
      </c>
    </row>
    <row r="7" spans="1:6">
      <c r="A7" s="37"/>
      <c r="B7" s="37"/>
      <c r="C7" s="39"/>
      <c r="D7" s="40" t="s">
        <v>4</v>
      </c>
      <c r="E7" s="35"/>
      <c r="F7" s="40" t="s">
        <v>4</v>
      </c>
    </row>
    <row r="8" spans="1:6">
      <c r="A8" s="41" t="s">
        <v>3</v>
      </c>
      <c r="B8" s="37"/>
      <c r="C8" s="39"/>
      <c r="D8" s="42" t="s">
        <v>6</v>
      </c>
      <c r="E8" s="35"/>
      <c r="F8" s="42" t="s">
        <v>6</v>
      </c>
    </row>
    <row r="9" spans="1:6" ht="16" thickBot="1">
      <c r="A9" s="43" t="s">
        <v>5</v>
      </c>
      <c r="B9" s="37"/>
      <c r="C9" s="44" t="s">
        <v>70</v>
      </c>
      <c r="D9" s="45"/>
      <c r="E9" s="35"/>
      <c r="F9" s="45"/>
    </row>
    <row r="10" spans="1:6">
      <c r="A10" s="41"/>
      <c r="B10" s="37"/>
      <c r="C10" s="39"/>
      <c r="D10" s="46"/>
      <c r="E10" s="35"/>
      <c r="F10" s="45"/>
    </row>
    <row r="11" spans="1:6">
      <c r="A11" s="41"/>
      <c r="B11" s="37"/>
      <c r="C11" s="37" t="s">
        <v>71</v>
      </c>
      <c r="D11" s="47" t="s">
        <v>72</v>
      </c>
      <c r="E11" s="35"/>
      <c r="F11" s="50" t="s">
        <v>72</v>
      </c>
    </row>
    <row r="12" spans="1:6">
      <c r="A12" s="41">
        <v>1</v>
      </c>
      <c r="B12" s="37"/>
      <c r="C12" s="37" t="s">
        <v>73</v>
      </c>
      <c r="D12" s="48" t="s">
        <v>74</v>
      </c>
      <c r="E12" s="35"/>
      <c r="F12" s="45" t="s">
        <v>475</v>
      </c>
    </row>
    <row r="13" spans="1:6">
      <c r="A13" s="41">
        <f>+A12+1</f>
        <v>2</v>
      </c>
      <c r="B13" s="37"/>
      <c r="C13" s="37" t="s">
        <v>75</v>
      </c>
      <c r="D13" s="48" t="s">
        <v>76</v>
      </c>
      <c r="E13" s="35"/>
      <c r="F13" s="45" t="s">
        <v>474</v>
      </c>
    </row>
    <row r="14" spans="1:6">
      <c r="A14" s="41">
        <f t="shared" ref="A14:A59" si="0">+A13+1</f>
        <v>3</v>
      </c>
      <c r="B14" s="37"/>
      <c r="C14" s="37" t="s">
        <v>77</v>
      </c>
      <c r="D14" s="48" t="s">
        <v>78</v>
      </c>
      <c r="E14" s="35"/>
      <c r="F14" s="45" t="s">
        <v>476</v>
      </c>
    </row>
    <row r="15" spans="1:6">
      <c r="A15" s="41">
        <f t="shared" si="0"/>
        <v>4</v>
      </c>
      <c r="B15" s="37"/>
      <c r="C15" s="37" t="s">
        <v>79</v>
      </c>
      <c r="D15" s="48" t="s">
        <v>80</v>
      </c>
      <c r="E15" s="35"/>
      <c r="F15" s="46" t="s">
        <v>407</v>
      </c>
    </row>
    <row r="16" spans="1:6">
      <c r="A16" s="41">
        <f t="shared" si="0"/>
        <v>5</v>
      </c>
      <c r="B16" s="37"/>
      <c r="C16" s="37" t="s">
        <v>81</v>
      </c>
      <c r="D16" s="48" t="s">
        <v>82</v>
      </c>
      <c r="E16" s="35"/>
      <c r="F16" s="45" t="s">
        <v>477</v>
      </c>
    </row>
    <row r="17" spans="1:6">
      <c r="A17" s="41">
        <f t="shared" si="0"/>
        <v>6</v>
      </c>
      <c r="B17" s="37"/>
      <c r="C17" s="37" t="s">
        <v>83</v>
      </c>
      <c r="D17" s="48" t="s">
        <v>80</v>
      </c>
      <c r="E17" s="35"/>
      <c r="F17" s="45" t="s">
        <v>478</v>
      </c>
    </row>
    <row r="18" spans="1:6">
      <c r="A18" s="41">
        <f t="shared" si="0"/>
        <v>7</v>
      </c>
      <c r="B18" s="37"/>
      <c r="C18" s="37" t="s">
        <v>84</v>
      </c>
      <c r="D18" s="48" t="s">
        <v>85</v>
      </c>
      <c r="E18" s="35"/>
      <c r="F18" s="45" t="s">
        <v>479</v>
      </c>
    </row>
    <row r="19" spans="1:6">
      <c r="A19" s="41">
        <f t="shared" si="0"/>
        <v>8</v>
      </c>
      <c r="B19" s="37"/>
      <c r="C19" s="49" t="s">
        <v>86</v>
      </c>
      <c r="D19" s="46" t="s">
        <v>87</v>
      </c>
      <c r="E19" s="35"/>
      <c r="F19" s="50" t="s">
        <v>87</v>
      </c>
    </row>
    <row r="20" spans="1:6">
      <c r="A20" s="41">
        <f t="shared" si="0"/>
        <v>9</v>
      </c>
      <c r="B20" s="37"/>
      <c r="C20" s="39"/>
      <c r="D20" s="46"/>
      <c r="E20" s="35"/>
      <c r="F20" s="45"/>
    </row>
    <row r="21" spans="1:6">
      <c r="A21" s="41">
        <f t="shared" si="0"/>
        <v>10</v>
      </c>
      <c r="B21" s="37"/>
      <c r="C21" s="37" t="s">
        <v>88</v>
      </c>
      <c r="D21" s="47" t="s">
        <v>72</v>
      </c>
      <c r="E21" s="35"/>
      <c r="F21" s="50" t="s">
        <v>72</v>
      </c>
    </row>
    <row r="22" spans="1:6">
      <c r="A22" s="41">
        <f t="shared" si="0"/>
        <v>11</v>
      </c>
      <c r="B22" s="37"/>
      <c r="C22" s="39" t="s">
        <v>73</v>
      </c>
      <c r="D22" s="47" t="s">
        <v>89</v>
      </c>
      <c r="E22" s="35"/>
      <c r="F22" s="45" t="s">
        <v>345</v>
      </c>
    </row>
    <row r="23" spans="1:6">
      <c r="A23" s="41">
        <f t="shared" si="0"/>
        <v>12</v>
      </c>
      <c r="B23" s="37"/>
      <c r="C23" s="37" t="s">
        <v>75</v>
      </c>
      <c r="D23" s="47" t="s">
        <v>90</v>
      </c>
      <c r="E23" s="35"/>
      <c r="F23" s="45" t="s">
        <v>346</v>
      </c>
    </row>
    <row r="24" spans="1:6">
      <c r="A24" s="41">
        <f t="shared" si="0"/>
        <v>13</v>
      </c>
      <c r="B24" s="37"/>
      <c r="C24" s="37" t="s">
        <v>77</v>
      </c>
      <c r="D24" s="47" t="s">
        <v>91</v>
      </c>
      <c r="E24" s="35"/>
      <c r="F24" s="45" t="s">
        <v>347</v>
      </c>
    </row>
    <row r="25" spans="1:6">
      <c r="A25" s="41">
        <f t="shared" si="0"/>
        <v>14</v>
      </c>
      <c r="B25" s="37"/>
      <c r="C25" s="39" t="s">
        <v>79</v>
      </c>
      <c r="D25" s="47" t="s">
        <v>92</v>
      </c>
      <c r="E25" s="35"/>
      <c r="F25" s="45" t="s">
        <v>348</v>
      </c>
    </row>
    <row r="26" spans="1:6">
      <c r="A26" s="41">
        <f t="shared" si="0"/>
        <v>15</v>
      </c>
      <c r="B26" s="37"/>
      <c r="C26" s="37" t="s">
        <v>81</v>
      </c>
      <c r="D26" s="47" t="s">
        <v>82</v>
      </c>
      <c r="E26" s="35"/>
      <c r="F26" s="45" t="s">
        <v>349</v>
      </c>
    </row>
    <row r="27" spans="1:6">
      <c r="A27" s="41">
        <f t="shared" si="0"/>
        <v>16</v>
      </c>
      <c r="B27" s="37"/>
      <c r="C27" s="39" t="s">
        <v>83</v>
      </c>
      <c r="D27" s="47" t="s">
        <v>80</v>
      </c>
      <c r="E27" s="35"/>
      <c r="F27" s="45" t="s">
        <v>350</v>
      </c>
    </row>
    <row r="28" spans="1:6">
      <c r="A28" s="41">
        <f t="shared" si="0"/>
        <v>17</v>
      </c>
      <c r="B28" s="37"/>
      <c r="C28" s="39" t="s">
        <v>84</v>
      </c>
      <c r="D28" s="47" t="s">
        <v>85</v>
      </c>
      <c r="E28" s="35"/>
      <c r="F28" s="45" t="s">
        <v>351</v>
      </c>
    </row>
    <row r="29" spans="1:6">
      <c r="A29" s="41">
        <f t="shared" si="0"/>
        <v>18</v>
      </c>
      <c r="B29" s="37"/>
      <c r="C29" s="37" t="s">
        <v>93</v>
      </c>
      <c r="D29" s="46" t="s">
        <v>94</v>
      </c>
      <c r="E29" s="35"/>
      <c r="F29" s="50" t="s">
        <v>94</v>
      </c>
    </row>
    <row r="30" spans="1:6">
      <c r="A30" s="41">
        <f t="shared" si="0"/>
        <v>19</v>
      </c>
      <c r="B30" s="37"/>
      <c r="C30" s="37"/>
      <c r="D30" s="46" t="s">
        <v>95</v>
      </c>
      <c r="E30" s="35"/>
      <c r="F30" s="45" t="s">
        <v>95</v>
      </c>
    </row>
    <row r="31" spans="1:6">
      <c r="A31" s="41">
        <f t="shared" si="0"/>
        <v>20</v>
      </c>
      <c r="B31" s="37"/>
      <c r="C31" s="37" t="s">
        <v>96</v>
      </c>
      <c r="D31" s="47" t="s">
        <v>72</v>
      </c>
      <c r="E31" s="35"/>
      <c r="F31" s="50" t="s">
        <v>72</v>
      </c>
    </row>
    <row r="32" spans="1:6">
      <c r="A32" s="41">
        <f t="shared" si="0"/>
        <v>21</v>
      </c>
      <c r="B32" s="37"/>
      <c r="C32" s="39" t="s">
        <v>73</v>
      </c>
      <c r="D32" s="46" t="s">
        <v>97</v>
      </c>
      <c r="E32" s="35"/>
      <c r="F32" s="50" t="s">
        <v>97</v>
      </c>
    </row>
    <row r="33" spans="1:6">
      <c r="A33" s="41">
        <f t="shared" si="0"/>
        <v>22</v>
      </c>
      <c r="B33" s="37"/>
      <c r="C33" s="37" t="s">
        <v>75</v>
      </c>
      <c r="D33" s="46" t="s">
        <v>98</v>
      </c>
      <c r="E33" s="35"/>
      <c r="F33" s="50" t="s">
        <v>98</v>
      </c>
    </row>
    <row r="34" spans="1:6">
      <c r="A34" s="41">
        <f t="shared" si="0"/>
        <v>23</v>
      </c>
      <c r="B34" s="37"/>
      <c r="C34" s="37" t="s">
        <v>99</v>
      </c>
      <c r="D34" s="46" t="s">
        <v>100</v>
      </c>
      <c r="E34" s="35"/>
      <c r="F34" s="50" t="s">
        <v>100</v>
      </c>
    </row>
    <row r="35" spans="1:6">
      <c r="A35" s="41">
        <f t="shared" si="0"/>
        <v>24</v>
      </c>
      <c r="B35" s="37"/>
      <c r="C35" s="39" t="s">
        <v>79</v>
      </c>
      <c r="D35" s="46" t="s">
        <v>101</v>
      </c>
      <c r="E35" s="35"/>
      <c r="F35" s="50" t="s">
        <v>101</v>
      </c>
    </row>
    <row r="36" spans="1:6">
      <c r="A36" s="41">
        <f t="shared" si="0"/>
        <v>25</v>
      </c>
      <c r="B36" s="37"/>
      <c r="C36" s="37" t="s">
        <v>81</v>
      </c>
      <c r="D36" s="46" t="s">
        <v>102</v>
      </c>
      <c r="E36" s="35"/>
      <c r="F36" s="50" t="s">
        <v>102</v>
      </c>
    </row>
    <row r="37" spans="1:6">
      <c r="A37" s="41">
        <f t="shared" si="0"/>
        <v>26</v>
      </c>
      <c r="B37" s="37"/>
      <c r="C37" s="39" t="s">
        <v>83</v>
      </c>
      <c r="D37" s="46" t="s">
        <v>103</v>
      </c>
      <c r="E37" s="35"/>
      <c r="F37" s="50" t="s">
        <v>103</v>
      </c>
    </row>
    <row r="38" spans="1:6">
      <c r="A38" s="41">
        <f t="shared" si="0"/>
        <v>27</v>
      </c>
      <c r="B38" s="37"/>
      <c r="C38" s="39" t="s">
        <v>84</v>
      </c>
      <c r="D38" s="46" t="s">
        <v>104</v>
      </c>
      <c r="E38" s="35"/>
      <c r="F38" s="50" t="s">
        <v>104</v>
      </c>
    </row>
    <row r="39" spans="1:6">
      <c r="A39" s="41">
        <f t="shared" si="0"/>
        <v>28</v>
      </c>
      <c r="B39" s="37"/>
      <c r="C39" s="37" t="s">
        <v>105</v>
      </c>
      <c r="D39" s="46" t="s">
        <v>106</v>
      </c>
      <c r="E39" s="35"/>
      <c r="F39" s="50" t="s">
        <v>106</v>
      </c>
    </row>
    <row r="40" spans="1:6">
      <c r="A40" s="41">
        <f t="shared" si="0"/>
        <v>29</v>
      </c>
      <c r="B40" s="37"/>
      <c r="C40" s="37"/>
      <c r="D40" s="46"/>
      <c r="E40" s="35"/>
      <c r="F40" s="45"/>
    </row>
    <row r="41" spans="1:6">
      <c r="A41" s="41">
        <f t="shared" si="0"/>
        <v>30</v>
      </c>
      <c r="B41" s="37"/>
      <c r="C41" s="49" t="s">
        <v>107</v>
      </c>
      <c r="D41" s="47" t="s">
        <v>337</v>
      </c>
      <c r="E41" s="35"/>
      <c r="F41" s="50" t="s">
        <v>337</v>
      </c>
    </row>
    <row r="42" spans="1:6">
      <c r="A42" s="41">
        <f t="shared" si="0"/>
        <v>31</v>
      </c>
      <c r="B42" s="37"/>
      <c r="C42" s="37" t="s">
        <v>108</v>
      </c>
      <c r="D42" s="47" t="s">
        <v>109</v>
      </c>
      <c r="E42" s="35"/>
      <c r="F42" s="45" t="s">
        <v>352</v>
      </c>
    </row>
    <row r="43" spans="1:6">
      <c r="A43" s="41">
        <f t="shared" si="0"/>
        <v>32</v>
      </c>
      <c r="B43" s="37"/>
      <c r="C43" s="37" t="s">
        <v>110</v>
      </c>
      <c r="D43" s="47" t="s">
        <v>111</v>
      </c>
      <c r="E43" s="35"/>
      <c r="F43" s="46" t="s">
        <v>406</v>
      </c>
    </row>
    <row r="44" spans="1:6">
      <c r="A44" s="41">
        <f t="shared" si="0"/>
        <v>33</v>
      </c>
      <c r="B44" s="37"/>
      <c r="C44" s="37" t="s">
        <v>112</v>
      </c>
      <c r="D44" s="47" t="s">
        <v>113</v>
      </c>
      <c r="E44" s="35"/>
      <c r="F44" s="46" t="s">
        <v>353</v>
      </c>
    </row>
    <row r="45" spans="1:6">
      <c r="A45" s="41">
        <f t="shared" si="0"/>
        <v>34</v>
      </c>
      <c r="B45" s="37"/>
      <c r="C45" s="37" t="s">
        <v>114</v>
      </c>
      <c r="D45" s="47" t="s">
        <v>115</v>
      </c>
      <c r="E45" s="35"/>
      <c r="F45" s="46" t="s">
        <v>354</v>
      </c>
    </row>
    <row r="46" spans="1:6">
      <c r="A46" s="41">
        <f t="shared" si="0"/>
        <v>35</v>
      </c>
      <c r="B46" s="37"/>
      <c r="C46" s="37" t="s">
        <v>116</v>
      </c>
      <c r="D46" s="51" t="s">
        <v>117</v>
      </c>
      <c r="E46" s="35"/>
      <c r="F46" s="46" t="s">
        <v>355</v>
      </c>
    </row>
    <row r="47" spans="1:6">
      <c r="A47" s="41">
        <f t="shared" si="0"/>
        <v>36</v>
      </c>
      <c r="B47" s="37"/>
      <c r="C47" s="37" t="s">
        <v>118</v>
      </c>
      <c r="D47" s="51" t="s">
        <v>119</v>
      </c>
      <c r="E47" s="105"/>
      <c r="F47" s="46" t="s">
        <v>440</v>
      </c>
    </row>
    <row r="48" spans="1:6">
      <c r="A48" s="41">
        <f t="shared" si="0"/>
        <v>37</v>
      </c>
      <c r="B48" s="37"/>
      <c r="C48" s="37" t="s">
        <v>120</v>
      </c>
      <c r="D48" s="46" t="s">
        <v>121</v>
      </c>
      <c r="E48" s="35"/>
      <c r="F48" s="50" t="s">
        <v>121</v>
      </c>
    </row>
    <row r="49" spans="1:6">
      <c r="A49" s="41">
        <f t="shared" si="0"/>
        <v>38</v>
      </c>
      <c r="B49" s="37"/>
      <c r="C49" s="37"/>
      <c r="D49" s="46"/>
      <c r="E49" s="35"/>
      <c r="F49" s="45"/>
    </row>
    <row r="50" spans="1:6">
      <c r="A50" s="41">
        <f t="shared" si="0"/>
        <v>39</v>
      </c>
      <c r="B50" s="37"/>
      <c r="C50" s="49" t="s">
        <v>122</v>
      </c>
      <c r="D50" s="46" t="s">
        <v>123</v>
      </c>
      <c r="E50" s="35"/>
      <c r="F50" s="50" t="s">
        <v>123</v>
      </c>
    </row>
    <row r="51" spans="1:6">
      <c r="A51" s="41">
        <f t="shared" si="0"/>
        <v>40</v>
      </c>
      <c r="B51" s="37"/>
      <c r="C51" s="39"/>
      <c r="D51" s="46"/>
      <c r="E51" s="35"/>
      <c r="F51" s="45"/>
    </row>
    <row r="52" spans="1:6">
      <c r="A52" s="41">
        <f t="shared" si="0"/>
        <v>41</v>
      </c>
      <c r="B52" s="37"/>
      <c r="C52" s="37" t="s">
        <v>124</v>
      </c>
      <c r="D52" s="46" t="s">
        <v>95</v>
      </c>
      <c r="E52" s="35"/>
      <c r="F52" s="45" t="s">
        <v>95</v>
      </c>
    </row>
    <row r="53" spans="1:6">
      <c r="A53" s="41">
        <f t="shared" si="0"/>
        <v>42</v>
      </c>
      <c r="B53" s="37"/>
      <c r="C53" s="37" t="s">
        <v>125</v>
      </c>
      <c r="D53" s="52" t="s">
        <v>126</v>
      </c>
      <c r="E53" s="35"/>
      <c r="F53" s="53" t="s">
        <v>126</v>
      </c>
    </row>
    <row r="54" spans="1:6">
      <c r="A54" s="41">
        <f t="shared" si="0"/>
        <v>43</v>
      </c>
      <c r="B54" s="37"/>
      <c r="C54" s="37" t="s">
        <v>127</v>
      </c>
      <c r="D54" s="47" t="s">
        <v>128</v>
      </c>
      <c r="E54" s="35"/>
      <c r="F54" s="45" t="s">
        <v>356</v>
      </c>
    </row>
    <row r="55" spans="1:6">
      <c r="A55" s="41">
        <f t="shared" si="0"/>
        <v>44</v>
      </c>
      <c r="B55" s="37"/>
      <c r="C55" s="37" t="s">
        <v>127</v>
      </c>
      <c r="D55" s="47" t="s">
        <v>129</v>
      </c>
      <c r="E55" s="35"/>
      <c r="F55" s="45" t="s">
        <v>357</v>
      </c>
    </row>
    <row r="56" spans="1:6">
      <c r="A56" s="41">
        <f t="shared" si="0"/>
        <v>45</v>
      </c>
      <c r="B56" s="37"/>
      <c r="C56" s="37" t="s">
        <v>130</v>
      </c>
      <c r="D56" s="47" t="s">
        <v>131</v>
      </c>
      <c r="E56" s="35"/>
      <c r="F56" s="45" t="s">
        <v>358</v>
      </c>
    </row>
    <row r="57" spans="1:6">
      <c r="A57" s="41">
        <f t="shared" si="0"/>
        <v>46</v>
      </c>
      <c r="B57" s="37"/>
      <c r="C57" s="37" t="s">
        <v>132</v>
      </c>
      <c r="D57" s="46" t="s">
        <v>133</v>
      </c>
      <c r="E57" s="35"/>
      <c r="F57" s="50" t="s">
        <v>133</v>
      </c>
    </row>
    <row r="58" spans="1:6">
      <c r="A58" s="41">
        <f t="shared" si="0"/>
        <v>47</v>
      </c>
      <c r="B58" s="37"/>
      <c r="C58" s="37"/>
      <c r="D58" s="46"/>
      <c r="E58" s="35"/>
      <c r="F58" s="46"/>
    </row>
    <row r="59" spans="1:6">
      <c r="A59" s="41">
        <f t="shared" si="0"/>
        <v>48</v>
      </c>
      <c r="B59" s="37"/>
      <c r="C59" s="37" t="s">
        <v>134</v>
      </c>
      <c r="D59" s="46" t="s">
        <v>135</v>
      </c>
      <c r="E59" s="35"/>
      <c r="F59" s="50" t="s">
        <v>135</v>
      </c>
    </row>
    <row r="60" spans="1:6">
      <c r="A60" s="35"/>
      <c r="B60" s="35"/>
      <c r="C60" s="35"/>
      <c r="D60" s="35"/>
      <c r="E60" s="35"/>
      <c r="F60" s="35"/>
    </row>
    <row r="61" spans="1:6">
      <c r="A61" s="35"/>
      <c r="B61" s="35"/>
      <c r="C61" s="35"/>
      <c r="D61" s="35"/>
      <c r="E61" s="35"/>
      <c r="F61" s="35"/>
    </row>
    <row r="62" spans="1:6">
      <c r="A62" s="41"/>
      <c r="B62" s="37"/>
      <c r="C62" s="38"/>
      <c r="D62" s="54"/>
      <c r="E62" s="35"/>
      <c r="F62" s="35"/>
    </row>
    <row r="63" spans="1:6">
      <c r="A63" s="41"/>
      <c r="B63" s="37"/>
      <c r="C63" s="35"/>
      <c r="D63" s="36" t="s">
        <v>66</v>
      </c>
      <c r="E63" s="35"/>
      <c r="F63" s="36" t="s">
        <v>136</v>
      </c>
    </row>
    <row r="64" spans="1:6">
      <c r="A64" s="41"/>
      <c r="B64" s="37"/>
      <c r="C64" s="38" t="s">
        <v>68</v>
      </c>
      <c r="D64" s="38" t="s">
        <v>69</v>
      </c>
      <c r="E64" s="35"/>
      <c r="F64" s="38" t="s">
        <v>69</v>
      </c>
    </row>
    <row r="65" spans="1:6">
      <c r="A65" s="41" t="s">
        <v>3</v>
      </c>
      <c r="B65" s="37"/>
      <c r="C65" s="39"/>
      <c r="D65" s="40" t="s">
        <v>4</v>
      </c>
      <c r="E65" s="35"/>
      <c r="F65" s="40" t="s">
        <v>4</v>
      </c>
    </row>
    <row r="66" spans="1:6" ht="16" thickBot="1">
      <c r="A66" s="43" t="s">
        <v>5</v>
      </c>
      <c r="B66" s="37"/>
      <c r="C66" s="39"/>
      <c r="D66" s="42" t="s">
        <v>6</v>
      </c>
      <c r="E66" s="35"/>
      <c r="F66" s="42" t="s">
        <v>6</v>
      </c>
    </row>
    <row r="67" spans="1:6">
      <c r="A67" s="37"/>
      <c r="B67" s="37"/>
      <c r="C67" s="39"/>
      <c r="D67" s="45"/>
      <c r="E67" s="35"/>
      <c r="F67" s="45"/>
    </row>
    <row r="68" spans="1:6">
      <c r="A68" s="41"/>
      <c r="B68" s="37"/>
      <c r="C68" s="39" t="s">
        <v>137</v>
      </c>
      <c r="D68" s="45"/>
      <c r="E68" s="35"/>
      <c r="F68" s="45"/>
    </row>
    <row r="69" spans="1:6">
      <c r="A69" s="41">
        <f>+A59+1</f>
        <v>49</v>
      </c>
      <c r="B69" s="37"/>
      <c r="C69" s="39" t="s">
        <v>138</v>
      </c>
      <c r="D69" s="45" t="s">
        <v>139</v>
      </c>
      <c r="E69" s="35"/>
      <c r="F69" s="46" t="s">
        <v>459</v>
      </c>
    </row>
    <row r="70" spans="1:6">
      <c r="A70" s="41">
        <f>+A69+1</f>
        <v>50</v>
      </c>
      <c r="B70" s="37"/>
      <c r="C70" s="39" t="s">
        <v>140</v>
      </c>
      <c r="D70" s="45" t="s">
        <v>377</v>
      </c>
      <c r="E70" s="35"/>
      <c r="F70" s="45" t="s">
        <v>457</v>
      </c>
    </row>
    <row r="71" spans="1:6">
      <c r="A71" s="41">
        <f t="shared" ref="A71:A112" si="1">+A70+1</f>
        <v>51</v>
      </c>
      <c r="B71" s="37"/>
      <c r="C71" s="39" t="s">
        <v>141</v>
      </c>
      <c r="D71" s="46" t="s">
        <v>142</v>
      </c>
      <c r="E71" s="35"/>
      <c r="F71" s="46" t="s">
        <v>458</v>
      </c>
    </row>
    <row r="72" spans="1:6">
      <c r="A72" s="41">
        <f t="shared" si="1"/>
        <v>52</v>
      </c>
      <c r="B72" s="37"/>
      <c r="C72" s="39" t="s">
        <v>143</v>
      </c>
      <c r="D72" s="46" t="s">
        <v>144</v>
      </c>
      <c r="E72" s="35"/>
      <c r="F72" s="46" t="s">
        <v>460</v>
      </c>
    </row>
    <row r="73" spans="1:6">
      <c r="A73" s="41">
        <f t="shared" si="1"/>
        <v>53</v>
      </c>
      <c r="B73" s="37"/>
      <c r="C73" s="39" t="s">
        <v>145</v>
      </c>
      <c r="D73" s="46" t="s">
        <v>146</v>
      </c>
      <c r="E73" s="35"/>
      <c r="F73" s="50" t="s">
        <v>146</v>
      </c>
    </row>
    <row r="74" spans="1:6">
      <c r="A74" s="41">
        <f t="shared" si="1"/>
        <v>54</v>
      </c>
      <c r="B74" s="37"/>
      <c r="C74" s="39" t="s">
        <v>147</v>
      </c>
      <c r="D74" s="46" t="s">
        <v>148</v>
      </c>
      <c r="E74" s="35"/>
      <c r="F74" s="45" t="s">
        <v>149</v>
      </c>
    </row>
    <row r="75" spans="1:6">
      <c r="A75" s="41">
        <f t="shared" si="1"/>
        <v>55</v>
      </c>
      <c r="B75" s="37"/>
      <c r="C75" s="39" t="s">
        <v>150</v>
      </c>
      <c r="D75" s="46"/>
      <c r="E75" s="35"/>
      <c r="F75" s="45" t="s">
        <v>151</v>
      </c>
    </row>
    <row r="76" spans="1:6">
      <c r="A76" s="41">
        <f t="shared" si="1"/>
        <v>56</v>
      </c>
      <c r="B76" s="37"/>
      <c r="C76" s="39" t="s">
        <v>152</v>
      </c>
      <c r="D76" s="46"/>
      <c r="E76" s="35"/>
      <c r="F76" s="45" t="s">
        <v>153</v>
      </c>
    </row>
    <row r="77" spans="1:6">
      <c r="A77" s="41">
        <f t="shared" si="1"/>
        <v>57</v>
      </c>
      <c r="B77" s="37"/>
      <c r="C77" s="39" t="s">
        <v>84</v>
      </c>
      <c r="D77" s="48" t="s">
        <v>85</v>
      </c>
      <c r="E77" s="35"/>
      <c r="F77" s="55" t="s">
        <v>85</v>
      </c>
    </row>
    <row r="78" spans="1:6">
      <c r="A78" s="41">
        <f t="shared" si="1"/>
        <v>58</v>
      </c>
      <c r="B78" s="37"/>
      <c r="C78" s="39" t="s">
        <v>154</v>
      </c>
      <c r="D78" s="46"/>
      <c r="E78" s="35"/>
      <c r="F78" s="45"/>
    </row>
    <row r="79" spans="1:6">
      <c r="A79" s="41">
        <f t="shared" si="1"/>
        <v>59</v>
      </c>
      <c r="B79" s="37"/>
      <c r="C79" s="37"/>
      <c r="D79" s="46"/>
      <c r="E79" s="35"/>
      <c r="F79" s="45"/>
    </row>
    <row r="80" spans="1:6">
      <c r="A80" s="41">
        <f t="shared" si="1"/>
        <v>60</v>
      </c>
      <c r="B80" s="37"/>
      <c r="C80" s="39" t="s">
        <v>155</v>
      </c>
      <c r="D80" s="46"/>
      <c r="E80" s="35"/>
      <c r="F80" s="45"/>
    </row>
    <row r="81" spans="1:7">
      <c r="A81" s="41">
        <f t="shared" si="1"/>
        <v>61</v>
      </c>
      <c r="B81" s="37"/>
      <c r="C81" s="39" t="s">
        <v>70</v>
      </c>
      <c r="D81" s="46" t="s">
        <v>156</v>
      </c>
      <c r="E81" s="35"/>
      <c r="F81" s="45" t="s">
        <v>359</v>
      </c>
    </row>
    <row r="82" spans="1:7">
      <c r="A82" s="41">
        <f t="shared" si="1"/>
        <v>62</v>
      </c>
      <c r="B82" s="37"/>
      <c r="C82" s="39" t="s">
        <v>157</v>
      </c>
      <c r="D82" s="46" t="s">
        <v>158</v>
      </c>
      <c r="E82" s="35"/>
      <c r="F82" s="45" t="s">
        <v>360</v>
      </c>
    </row>
    <row r="83" spans="1:7">
      <c r="A83" s="41">
        <f t="shared" si="1"/>
        <v>63</v>
      </c>
      <c r="B83" s="37"/>
      <c r="C83" s="39" t="s">
        <v>84</v>
      </c>
      <c r="D83" s="46" t="s">
        <v>159</v>
      </c>
      <c r="E83" s="35"/>
      <c r="F83" s="46" t="s">
        <v>461</v>
      </c>
    </row>
    <row r="84" spans="1:7">
      <c r="A84" s="41">
        <f t="shared" si="1"/>
        <v>64</v>
      </c>
      <c r="B84" s="37"/>
      <c r="C84" s="39" t="s">
        <v>160</v>
      </c>
      <c r="D84" s="46"/>
      <c r="E84" s="35"/>
      <c r="F84" s="45"/>
    </row>
    <row r="85" spans="1:7">
      <c r="A85" s="41">
        <f t="shared" si="1"/>
        <v>65</v>
      </c>
      <c r="B85" s="37"/>
      <c r="C85" s="39"/>
      <c r="D85" s="46"/>
      <c r="E85" s="35"/>
      <c r="F85" s="45"/>
    </row>
    <row r="86" spans="1:7">
      <c r="A86" s="41">
        <f t="shared" si="1"/>
        <v>66</v>
      </c>
      <c r="B86" s="37"/>
      <c r="C86" s="39" t="s">
        <v>161</v>
      </c>
      <c r="D86" s="52"/>
      <c r="E86" s="35"/>
      <c r="F86" s="37"/>
    </row>
    <row r="87" spans="1:7">
      <c r="A87" s="41">
        <f t="shared" si="1"/>
        <v>67</v>
      </c>
      <c r="B87" s="37"/>
      <c r="C87" s="39" t="s">
        <v>162</v>
      </c>
      <c r="D87" s="52"/>
      <c r="E87" s="35"/>
      <c r="F87" s="37"/>
    </row>
    <row r="88" spans="1:7">
      <c r="A88" s="41">
        <f t="shared" si="1"/>
        <v>68</v>
      </c>
      <c r="B88" s="37"/>
      <c r="C88" s="39" t="s">
        <v>163</v>
      </c>
      <c r="D88" s="45" t="s">
        <v>378</v>
      </c>
      <c r="E88" s="35"/>
      <c r="F88" s="46" t="s">
        <v>454</v>
      </c>
      <c r="G88" s="46"/>
    </row>
    <row r="89" spans="1:7">
      <c r="A89" s="41">
        <f t="shared" si="1"/>
        <v>69</v>
      </c>
      <c r="B89" s="37"/>
      <c r="C89" s="39" t="s">
        <v>164</v>
      </c>
      <c r="D89" s="46" t="s">
        <v>165</v>
      </c>
      <c r="E89" s="35"/>
      <c r="F89" s="46" t="s">
        <v>455</v>
      </c>
    </row>
    <row r="90" spans="1:7">
      <c r="A90" s="41">
        <f t="shared" si="1"/>
        <v>70</v>
      </c>
      <c r="B90" s="37"/>
      <c r="C90" s="39" t="s">
        <v>166</v>
      </c>
      <c r="D90" s="46" t="s">
        <v>95</v>
      </c>
      <c r="E90" s="35"/>
      <c r="F90" s="45" t="s">
        <v>95</v>
      </c>
    </row>
    <row r="91" spans="1:7">
      <c r="A91" s="41">
        <f t="shared" si="1"/>
        <v>71</v>
      </c>
      <c r="B91" s="37"/>
      <c r="C91" s="39" t="s">
        <v>167</v>
      </c>
      <c r="D91" s="46" t="s">
        <v>168</v>
      </c>
      <c r="E91" s="35"/>
      <c r="F91" s="46" t="s">
        <v>462</v>
      </c>
    </row>
    <row r="92" spans="1:7">
      <c r="A92" s="41">
        <f t="shared" si="1"/>
        <v>72</v>
      </c>
      <c r="B92" s="37"/>
      <c r="C92" s="39" t="s">
        <v>169</v>
      </c>
      <c r="D92" s="46" t="s">
        <v>165</v>
      </c>
      <c r="E92" s="35"/>
      <c r="F92" s="46" t="s">
        <v>455</v>
      </c>
    </row>
    <row r="93" spans="1:7">
      <c r="A93" s="41">
        <f t="shared" si="1"/>
        <v>73</v>
      </c>
      <c r="B93" s="37"/>
      <c r="C93" s="39" t="s">
        <v>170</v>
      </c>
      <c r="D93" s="46" t="s">
        <v>165</v>
      </c>
      <c r="E93" s="35"/>
      <c r="F93" s="46" t="s">
        <v>455</v>
      </c>
    </row>
    <row r="94" spans="1:7">
      <c r="A94" s="41">
        <f t="shared" si="1"/>
        <v>74</v>
      </c>
      <c r="B94" s="37"/>
      <c r="C94" s="39" t="s">
        <v>171</v>
      </c>
      <c r="D94" s="46"/>
      <c r="E94" s="35"/>
      <c r="F94" s="45"/>
    </row>
    <row r="95" spans="1:7">
      <c r="A95" s="41">
        <f t="shared" si="1"/>
        <v>75</v>
      </c>
      <c r="B95" s="37"/>
      <c r="C95" s="39"/>
      <c r="D95" s="46"/>
      <c r="E95" s="35"/>
      <c r="F95" s="45"/>
    </row>
    <row r="96" spans="1:7">
      <c r="A96" s="41">
        <f t="shared" si="1"/>
        <v>76</v>
      </c>
      <c r="B96" s="37"/>
      <c r="C96" s="39"/>
      <c r="D96" s="45"/>
      <c r="E96" s="35"/>
      <c r="F96" s="45"/>
    </row>
    <row r="97" spans="1:6">
      <c r="A97" s="41">
        <f t="shared" si="1"/>
        <v>77</v>
      </c>
      <c r="B97" s="37"/>
      <c r="C97" s="39" t="s">
        <v>172</v>
      </c>
      <c r="D97" s="45" t="s">
        <v>173</v>
      </c>
      <c r="E97" s="35"/>
      <c r="F97" s="50" t="s">
        <v>173</v>
      </c>
    </row>
    <row r="98" spans="1:6">
      <c r="A98" s="41">
        <f t="shared" si="1"/>
        <v>78</v>
      </c>
      <c r="B98" s="37"/>
      <c r="C98" s="56" t="s">
        <v>174</v>
      </c>
      <c r="D98" s="45"/>
      <c r="E98" s="35"/>
      <c r="F98" s="45"/>
    </row>
    <row r="99" spans="1:6">
      <c r="A99" s="41">
        <f t="shared" si="1"/>
        <v>79</v>
      </c>
      <c r="B99" s="37"/>
      <c r="C99" s="37" t="s">
        <v>175</v>
      </c>
      <c r="D99" s="45"/>
      <c r="E99" s="35"/>
      <c r="F99" s="45"/>
    </row>
    <row r="100" spans="1:6">
      <c r="A100" s="41">
        <f t="shared" si="1"/>
        <v>80</v>
      </c>
      <c r="B100" s="37"/>
      <c r="C100" s="39" t="s">
        <v>176</v>
      </c>
      <c r="D100" s="45"/>
      <c r="E100" s="35"/>
      <c r="F100" s="45"/>
    </row>
    <row r="101" spans="1:6">
      <c r="A101" s="41">
        <f t="shared" si="1"/>
        <v>81</v>
      </c>
      <c r="B101" s="37"/>
      <c r="C101" s="39" t="s">
        <v>177</v>
      </c>
      <c r="D101" s="45"/>
      <c r="E101" s="35"/>
      <c r="F101" s="45"/>
    </row>
    <row r="102" spans="1:6">
      <c r="A102" s="41">
        <f t="shared" si="1"/>
        <v>82</v>
      </c>
      <c r="B102" s="37"/>
      <c r="C102" s="56"/>
      <c r="D102" s="45"/>
      <c r="E102" s="35"/>
      <c r="F102" s="45"/>
    </row>
    <row r="103" spans="1:6">
      <c r="A103" s="41">
        <f t="shared" si="1"/>
        <v>83</v>
      </c>
      <c r="B103" s="37"/>
      <c r="C103" s="57" t="s">
        <v>178</v>
      </c>
      <c r="D103" s="37" t="s">
        <v>179</v>
      </c>
      <c r="E103" s="35"/>
      <c r="F103" s="53" t="s">
        <v>179</v>
      </c>
    </row>
    <row r="104" spans="1:6">
      <c r="A104" s="41">
        <f t="shared" si="1"/>
        <v>84</v>
      </c>
      <c r="B104" s="37"/>
      <c r="C104" s="58"/>
      <c r="D104" s="59"/>
      <c r="E104" s="35"/>
      <c r="F104" s="35"/>
    </row>
    <row r="105" spans="1:6">
      <c r="A105" s="41">
        <f t="shared" si="1"/>
        <v>85</v>
      </c>
      <c r="B105" s="37"/>
      <c r="C105" s="39" t="s">
        <v>180</v>
      </c>
      <c r="D105" s="60"/>
      <c r="E105" s="35"/>
      <c r="F105" s="35"/>
    </row>
    <row r="106" spans="1:6">
      <c r="A106" s="41">
        <f t="shared" si="1"/>
        <v>86</v>
      </c>
      <c r="B106" s="37"/>
      <c r="C106" s="57" t="s">
        <v>181</v>
      </c>
      <c r="D106" s="37"/>
      <c r="E106" s="35"/>
      <c r="F106" s="35"/>
    </row>
    <row r="107" spans="1:6">
      <c r="A107" s="41">
        <f t="shared" si="1"/>
        <v>87</v>
      </c>
      <c r="B107" s="37"/>
      <c r="C107" s="39"/>
      <c r="D107" s="37"/>
      <c r="E107" s="35"/>
      <c r="F107" s="35"/>
    </row>
    <row r="108" spans="1:6">
      <c r="A108" s="41">
        <f t="shared" si="1"/>
        <v>88</v>
      </c>
      <c r="B108" s="37"/>
      <c r="C108" s="39" t="s">
        <v>182</v>
      </c>
      <c r="D108" s="45"/>
      <c r="E108" s="35"/>
      <c r="F108" s="35"/>
    </row>
    <row r="109" spans="1:6">
      <c r="A109" s="41">
        <f t="shared" si="1"/>
        <v>89</v>
      </c>
      <c r="B109" s="37"/>
      <c r="C109" s="37"/>
      <c r="D109" s="37"/>
      <c r="E109" s="35"/>
      <c r="F109" s="35"/>
    </row>
    <row r="110" spans="1:6">
      <c r="A110" s="41">
        <f t="shared" si="1"/>
        <v>90</v>
      </c>
      <c r="B110" s="37"/>
      <c r="C110" s="39" t="s">
        <v>183</v>
      </c>
      <c r="D110" s="37"/>
      <c r="E110" s="35"/>
      <c r="F110" s="39" t="s">
        <v>463</v>
      </c>
    </row>
    <row r="111" spans="1:6">
      <c r="A111" s="41">
        <f t="shared" si="1"/>
        <v>91</v>
      </c>
      <c r="B111" s="37"/>
      <c r="C111" s="37"/>
      <c r="D111" s="37"/>
      <c r="E111" s="35"/>
      <c r="F111" s="35"/>
    </row>
    <row r="112" spans="1:6">
      <c r="A112" s="41">
        <f t="shared" si="1"/>
        <v>92</v>
      </c>
      <c r="B112" s="37"/>
      <c r="C112" s="37" t="s">
        <v>184</v>
      </c>
      <c r="D112" s="37"/>
      <c r="E112" s="35"/>
      <c r="F112" s="35"/>
    </row>
    <row r="113" spans="1:6">
      <c r="A113" s="35"/>
      <c r="B113" s="35"/>
      <c r="C113" s="35"/>
      <c r="D113" s="35"/>
      <c r="E113" s="35"/>
      <c r="F113" s="35"/>
    </row>
    <row r="114" spans="1:6">
      <c r="A114" s="35"/>
      <c r="B114" s="35"/>
      <c r="C114" s="35"/>
      <c r="D114" s="35"/>
      <c r="E114" s="35"/>
      <c r="F114" s="35"/>
    </row>
    <row r="115" spans="1:6">
      <c r="A115" s="35"/>
      <c r="B115" s="35"/>
      <c r="C115" s="35"/>
      <c r="D115" s="35"/>
      <c r="E115" s="35"/>
      <c r="F115" s="35"/>
    </row>
    <row r="116" spans="1:6">
      <c r="A116" s="278" t="s">
        <v>185</v>
      </c>
      <c r="B116" s="278"/>
      <c r="C116" s="278"/>
      <c r="D116" s="278"/>
      <c r="E116" s="278"/>
      <c r="F116" s="278"/>
    </row>
    <row r="117" spans="1:6">
      <c r="A117" s="61"/>
      <c r="B117" s="61"/>
      <c r="C117" s="61"/>
      <c r="D117" s="61"/>
      <c r="E117" s="61"/>
      <c r="F117" s="61"/>
    </row>
    <row r="118" spans="1:6">
      <c r="A118" s="35"/>
      <c r="B118" s="35"/>
      <c r="C118" s="35"/>
      <c r="D118" s="35"/>
      <c r="E118" s="35"/>
      <c r="F118" s="35"/>
    </row>
    <row r="119" spans="1:6">
      <c r="A119" s="62" t="s">
        <v>3</v>
      </c>
      <c r="B119" s="63"/>
      <c r="C119" s="64"/>
      <c r="D119" s="36" t="s">
        <v>66</v>
      </c>
      <c r="E119" s="35"/>
      <c r="F119" s="36" t="s">
        <v>136</v>
      </c>
    </row>
    <row r="120" spans="1:6" ht="16" thickBot="1">
      <c r="A120" s="65" t="s">
        <v>5</v>
      </c>
      <c r="B120" s="63"/>
      <c r="C120" s="66" t="s">
        <v>186</v>
      </c>
      <c r="D120" s="67"/>
      <c r="E120" s="67"/>
      <c r="F120" s="35"/>
    </row>
    <row r="121" spans="1:6" ht="16" thickBot="1">
      <c r="A121" s="62"/>
      <c r="B121" s="63"/>
      <c r="C121" s="66"/>
      <c r="D121" s="68" t="s">
        <v>64</v>
      </c>
      <c r="E121" s="35"/>
      <c r="F121" s="69" t="s">
        <v>64</v>
      </c>
    </row>
    <row r="122" spans="1:6">
      <c r="A122" s="62">
        <v>93</v>
      </c>
      <c r="B122" s="63"/>
      <c r="C122" s="70" t="s">
        <v>187</v>
      </c>
      <c r="D122" s="71" t="s">
        <v>188</v>
      </c>
      <c r="E122" s="71"/>
      <c r="F122" s="72" t="s">
        <v>188</v>
      </c>
    </row>
    <row r="123" spans="1:6">
      <c r="A123" s="62">
        <v>94</v>
      </c>
      <c r="B123" s="63"/>
      <c r="C123" s="70" t="s">
        <v>189</v>
      </c>
      <c r="D123" s="73" t="s">
        <v>51</v>
      </c>
      <c r="E123" s="73"/>
      <c r="F123" s="74" t="s">
        <v>190</v>
      </c>
    </row>
    <row r="124" spans="1:6" ht="16" thickBot="1">
      <c r="A124" s="62">
        <v>95</v>
      </c>
      <c r="B124" s="63"/>
      <c r="C124" s="75" t="s">
        <v>191</v>
      </c>
      <c r="D124" s="76" t="s">
        <v>51</v>
      </c>
      <c r="E124" s="67"/>
      <c r="F124" s="74" t="s">
        <v>192</v>
      </c>
    </row>
    <row r="125" spans="1:6">
      <c r="A125" s="62">
        <v>96</v>
      </c>
      <c r="B125" s="63"/>
      <c r="C125" s="70" t="s">
        <v>193</v>
      </c>
      <c r="D125" s="77"/>
      <c r="E125" s="78"/>
      <c r="F125" s="35"/>
    </row>
    <row r="126" spans="1:6">
      <c r="A126" s="62">
        <v>97</v>
      </c>
      <c r="B126" s="63"/>
      <c r="C126" s="70" t="s">
        <v>194</v>
      </c>
      <c r="D126" s="77"/>
      <c r="E126" s="78"/>
      <c r="F126" s="35"/>
    </row>
    <row r="127" spans="1:6">
      <c r="A127" s="62">
        <v>98</v>
      </c>
      <c r="B127" s="63"/>
      <c r="C127" s="70" t="s">
        <v>195</v>
      </c>
      <c r="D127" s="77"/>
      <c r="E127" s="78"/>
      <c r="F127" s="35"/>
    </row>
    <row r="128" spans="1:6">
      <c r="A128" s="62">
        <v>99</v>
      </c>
      <c r="B128" s="63"/>
      <c r="C128" s="70" t="s">
        <v>196</v>
      </c>
      <c r="D128" s="77"/>
      <c r="E128" s="78"/>
      <c r="F128" s="35"/>
    </row>
    <row r="129" spans="1:6">
      <c r="A129" s="62">
        <v>100</v>
      </c>
      <c r="B129" s="63"/>
      <c r="C129" s="63"/>
      <c r="D129" s="77"/>
      <c r="E129" s="78"/>
      <c r="F129" s="35"/>
    </row>
    <row r="130" spans="1:6">
      <c r="A130" s="62">
        <v>101</v>
      </c>
      <c r="B130" s="63"/>
      <c r="C130" s="70" t="s">
        <v>197</v>
      </c>
      <c r="D130" s="79"/>
      <c r="E130" s="80"/>
      <c r="F130" s="35"/>
    </row>
    <row r="131" spans="1:6">
      <c r="A131" s="62">
        <v>102</v>
      </c>
      <c r="B131" s="63"/>
      <c r="C131" s="63"/>
      <c r="D131" s="73"/>
      <c r="E131" s="63"/>
      <c r="F131" s="35"/>
    </row>
    <row r="132" spans="1:6" ht="16" thickBot="1">
      <c r="A132" s="62">
        <v>103</v>
      </c>
      <c r="B132" s="63"/>
      <c r="C132" s="66" t="s">
        <v>198</v>
      </c>
      <c r="D132" s="76" t="s">
        <v>64</v>
      </c>
      <c r="E132" s="35"/>
      <c r="F132" s="81" t="s">
        <v>64</v>
      </c>
    </row>
    <row r="133" spans="1:6">
      <c r="A133" s="62">
        <v>104</v>
      </c>
      <c r="B133" s="63"/>
      <c r="C133" s="70" t="s">
        <v>199</v>
      </c>
      <c r="D133" s="71" t="s">
        <v>200</v>
      </c>
      <c r="E133" s="35"/>
      <c r="F133" s="72" t="s">
        <v>200</v>
      </c>
    </row>
    <row r="134" spans="1:6">
      <c r="A134" s="62">
        <v>105</v>
      </c>
      <c r="B134" s="63"/>
      <c r="C134" s="70" t="s">
        <v>201</v>
      </c>
      <c r="D134" s="73" t="s">
        <v>51</v>
      </c>
      <c r="E134" s="35"/>
      <c r="F134" s="74" t="s">
        <v>202</v>
      </c>
    </row>
    <row r="135" spans="1:6" ht="16" thickBot="1">
      <c r="A135" s="62">
        <v>106</v>
      </c>
      <c r="B135" s="63"/>
      <c r="C135" s="75" t="s">
        <v>203</v>
      </c>
      <c r="D135" s="76" t="s">
        <v>51</v>
      </c>
      <c r="E135" s="35"/>
      <c r="F135" s="74" t="s">
        <v>192</v>
      </c>
    </row>
    <row r="136" spans="1:6">
      <c r="A136" s="62">
        <v>107</v>
      </c>
      <c r="B136" s="63"/>
      <c r="C136" s="70" t="s">
        <v>204</v>
      </c>
      <c r="D136" s="77"/>
      <c r="E136" s="78"/>
      <c r="F136" s="74" t="s">
        <v>205</v>
      </c>
    </row>
    <row r="137" spans="1:6">
      <c r="A137" s="62">
        <v>108</v>
      </c>
      <c r="B137" s="63"/>
      <c r="C137" s="63"/>
      <c r="D137" s="77"/>
      <c r="E137" s="78"/>
      <c r="F137" s="35"/>
    </row>
    <row r="138" spans="1:6">
      <c r="A138" s="62">
        <v>109</v>
      </c>
      <c r="B138" s="63"/>
      <c r="C138" s="70" t="s">
        <v>206</v>
      </c>
      <c r="D138" s="79"/>
      <c r="E138" s="80"/>
      <c r="F138" s="35"/>
    </row>
    <row r="139" spans="1:6">
      <c r="A139" s="62">
        <v>110</v>
      </c>
      <c r="B139" s="63"/>
      <c r="C139" s="63"/>
      <c r="D139" s="77"/>
      <c r="E139" s="78"/>
      <c r="F139" s="35"/>
    </row>
    <row r="140" spans="1:6" ht="16" thickBot="1">
      <c r="A140" s="62">
        <v>111</v>
      </c>
      <c r="B140" s="63"/>
      <c r="C140" s="66" t="s">
        <v>88</v>
      </c>
      <c r="D140" s="76" t="s">
        <v>64</v>
      </c>
      <c r="E140" s="35"/>
      <c r="F140" s="82" t="s">
        <v>64</v>
      </c>
    </row>
    <row r="141" spans="1:6">
      <c r="A141" s="62">
        <v>112</v>
      </c>
      <c r="B141" s="63"/>
      <c r="C141" s="63" t="s">
        <v>207</v>
      </c>
      <c r="D141" s="71" t="s">
        <v>208</v>
      </c>
      <c r="E141" s="35"/>
      <c r="F141" s="72" t="s">
        <v>208</v>
      </c>
    </row>
    <row r="142" spans="1:6">
      <c r="A142" s="62">
        <v>113</v>
      </c>
      <c r="B142" s="63"/>
      <c r="C142" s="70" t="s">
        <v>189</v>
      </c>
      <c r="D142" s="71" t="s">
        <v>51</v>
      </c>
      <c r="E142" s="80"/>
      <c r="F142" s="74" t="s">
        <v>209</v>
      </c>
    </row>
    <row r="143" spans="1:6">
      <c r="A143" s="62">
        <v>114</v>
      </c>
      <c r="B143" s="63"/>
      <c r="C143" s="83" t="s">
        <v>210</v>
      </c>
      <c r="D143" s="84"/>
      <c r="E143" s="85"/>
      <c r="F143" s="35"/>
    </row>
    <row r="144" spans="1:6">
      <c r="A144" s="62">
        <v>115</v>
      </c>
      <c r="B144" s="63"/>
      <c r="C144" s="70" t="s">
        <v>211</v>
      </c>
      <c r="D144" s="86"/>
      <c r="E144" s="85"/>
      <c r="F144" s="35"/>
    </row>
    <row r="145" spans="1:6">
      <c r="A145" s="62">
        <v>116</v>
      </c>
      <c r="B145" s="63"/>
      <c r="C145" s="70" t="s">
        <v>212</v>
      </c>
      <c r="D145" s="86"/>
      <c r="E145" s="85"/>
      <c r="F145" s="35"/>
    </row>
    <row r="146" spans="1:6">
      <c r="A146" s="62">
        <v>117</v>
      </c>
      <c r="B146" s="63"/>
      <c r="C146" s="70" t="s">
        <v>213</v>
      </c>
      <c r="D146" s="86"/>
      <c r="E146" s="85"/>
      <c r="F146" s="35"/>
    </row>
    <row r="147" spans="1:6">
      <c r="A147" s="62">
        <v>118</v>
      </c>
      <c r="B147" s="63"/>
      <c r="C147" s="63"/>
      <c r="D147" s="77"/>
      <c r="E147" s="78"/>
      <c r="F147" s="35"/>
    </row>
    <row r="148" spans="1:6">
      <c r="A148" s="62">
        <v>119</v>
      </c>
      <c r="B148" s="63"/>
      <c r="C148" s="70" t="s">
        <v>214</v>
      </c>
      <c r="D148" s="77"/>
      <c r="E148" s="78"/>
      <c r="F148" s="35"/>
    </row>
    <row r="149" spans="1:6">
      <c r="A149" s="62">
        <v>120</v>
      </c>
      <c r="B149" s="63"/>
      <c r="C149" s="63"/>
      <c r="D149" s="77"/>
      <c r="E149" s="35"/>
      <c r="F149" s="35"/>
    </row>
    <row r="150" spans="1:6" ht="16" thickBot="1">
      <c r="A150" s="62">
        <v>121</v>
      </c>
      <c r="B150" s="63"/>
      <c r="C150" s="63"/>
      <c r="D150" s="76" t="s">
        <v>64</v>
      </c>
      <c r="E150" s="35"/>
      <c r="F150" s="87" t="s">
        <v>64</v>
      </c>
    </row>
    <row r="151" spans="1:6">
      <c r="A151" s="62">
        <v>122</v>
      </c>
      <c r="B151" s="63"/>
      <c r="C151" s="63" t="s">
        <v>215</v>
      </c>
      <c r="D151" s="71" t="s">
        <v>216</v>
      </c>
      <c r="E151" s="35"/>
      <c r="F151" s="72" t="s">
        <v>216</v>
      </c>
    </row>
    <row r="152" spans="1:6">
      <c r="A152" s="62">
        <v>123</v>
      </c>
      <c r="B152" s="63"/>
      <c r="C152" s="63" t="s">
        <v>217</v>
      </c>
      <c r="D152" s="77"/>
      <c r="E152" s="35"/>
      <c r="F152" s="74" t="s">
        <v>202</v>
      </c>
    </row>
    <row r="153" spans="1:6">
      <c r="A153" s="62">
        <v>124</v>
      </c>
      <c r="B153" s="63"/>
      <c r="C153" s="88" t="s">
        <v>218</v>
      </c>
      <c r="D153" s="84"/>
      <c r="E153" s="89"/>
      <c r="F153" s="74" t="s">
        <v>219</v>
      </c>
    </row>
    <row r="154" spans="1:6">
      <c r="A154" s="62">
        <v>125</v>
      </c>
      <c r="B154" s="63"/>
      <c r="C154" s="63"/>
      <c r="D154" s="77"/>
      <c r="E154" s="78"/>
      <c r="F154" s="35"/>
    </row>
    <row r="155" spans="1:6">
      <c r="A155" s="62">
        <v>126</v>
      </c>
      <c r="B155" s="63"/>
      <c r="C155" s="70" t="s">
        <v>220</v>
      </c>
      <c r="D155" s="77"/>
      <c r="E155" s="78"/>
      <c r="F155" s="35"/>
    </row>
    <row r="156" spans="1:6">
      <c r="A156" s="62">
        <v>127</v>
      </c>
      <c r="B156" s="63"/>
      <c r="C156" s="63"/>
      <c r="D156" s="77"/>
      <c r="E156" s="78"/>
      <c r="F156" s="35"/>
    </row>
    <row r="157" spans="1:6">
      <c r="A157" s="62">
        <v>128</v>
      </c>
      <c r="B157" s="63"/>
      <c r="C157" s="90" t="s">
        <v>221</v>
      </c>
      <c r="D157" s="71"/>
      <c r="E157" s="78"/>
      <c r="F157" s="35"/>
    </row>
    <row r="158" spans="1:6" ht="16" thickBot="1">
      <c r="A158" s="62">
        <v>129</v>
      </c>
      <c r="B158" s="63"/>
      <c r="C158" s="90"/>
      <c r="D158" s="76" t="s">
        <v>64</v>
      </c>
      <c r="E158" s="35"/>
      <c r="F158" s="68" t="s">
        <v>64</v>
      </c>
    </row>
    <row r="159" spans="1:6">
      <c r="A159" s="62">
        <v>130</v>
      </c>
      <c r="B159" s="63"/>
      <c r="C159" s="90" t="s">
        <v>75</v>
      </c>
      <c r="D159" s="71" t="s">
        <v>222</v>
      </c>
      <c r="E159" s="35"/>
      <c r="F159" s="71" t="s">
        <v>464</v>
      </c>
    </row>
    <row r="160" spans="1:6">
      <c r="A160" s="62">
        <v>131</v>
      </c>
      <c r="B160" s="63"/>
      <c r="C160" s="90" t="s">
        <v>223</v>
      </c>
      <c r="D160" s="71" t="s">
        <v>224</v>
      </c>
      <c r="E160" s="35"/>
      <c r="F160" s="71" t="s">
        <v>465</v>
      </c>
    </row>
    <row r="161" spans="1:6">
      <c r="A161" s="62">
        <v>132</v>
      </c>
      <c r="B161" s="63"/>
      <c r="C161" s="90" t="s">
        <v>225</v>
      </c>
      <c r="D161" s="71" t="s">
        <v>226</v>
      </c>
      <c r="E161" s="35"/>
      <c r="F161" s="71" t="s">
        <v>466</v>
      </c>
    </row>
    <row r="162" spans="1:6">
      <c r="A162" s="62">
        <v>133</v>
      </c>
      <c r="B162" s="63"/>
      <c r="C162" s="90" t="s">
        <v>227</v>
      </c>
      <c r="D162" s="71"/>
      <c r="E162" s="78"/>
      <c r="F162" s="35"/>
    </row>
    <row r="163" spans="1:6">
      <c r="A163" s="62">
        <v>134</v>
      </c>
      <c r="B163" s="63"/>
      <c r="C163" s="90"/>
      <c r="D163" s="71"/>
      <c r="E163" s="78"/>
      <c r="F163" s="35"/>
    </row>
    <row r="164" spans="1:6">
      <c r="A164" s="62">
        <v>135</v>
      </c>
      <c r="B164" s="63"/>
      <c r="C164" s="90" t="s">
        <v>228</v>
      </c>
      <c r="D164" s="71"/>
      <c r="E164" s="35"/>
      <c r="F164" s="35"/>
    </row>
    <row r="165" spans="1:6">
      <c r="A165" s="62">
        <v>136</v>
      </c>
      <c r="B165" s="63"/>
      <c r="C165" s="90"/>
      <c r="D165" s="71"/>
      <c r="E165" s="35"/>
      <c r="F165" s="35"/>
    </row>
    <row r="166" spans="1:6">
      <c r="A166" s="62">
        <v>137</v>
      </c>
      <c r="B166" s="63"/>
      <c r="C166" s="90" t="s">
        <v>229</v>
      </c>
      <c r="D166" s="91" t="s">
        <v>230</v>
      </c>
      <c r="E166" s="35"/>
      <c r="F166" s="92" t="s">
        <v>230</v>
      </c>
    </row>
    <row r="167" spans="1:6">
      <c r="A167" s="62">
        <v>138</v>
      </c>
      <c r="B167" s="63"/>
      <c r="C167" s="90" t="s">
        <v>231</v>
      </c>
      <c r="D167" s="91" t="s">
        <v>232</v>
      </c>
      <c r="E167" s="35"/>
      <c r="F167" s="92" t="s">
        <v>232</v>
      </c>
    </row>
    <row r="168" spans="1:6">
      <c r="A168" s="62">
        <v>139</v>
      </c>
      <c r="B168" s="63"/>
      <c r="C168" s="90" t="s">
        <v>233</v>
      </c>
      <c r="D168" s="71"/>
      <c r="E168" s="35"/>
      <c r="F168" s="35"/>
    </row>
    <row r="169" spans="1:6">
      <c r="A169" s="62">
        <v>140</v>
      </c>
      <c r="B169" s="63"/>
      <c r="C169" s="90"/>
      <c r="D169" s="71"/>
      <c r="E169" s="63"/>
      <c r="F169" s="35"/>
    </row>
    <row r="170" spans="1:6">
      <c r="A170" s="62">
        <v>141</v>
      </c>
      <c r="B170" s="93"/>
      <c r="C170" s="94" t="s">
        <v>234</v>
      </c>
      <c r="D170" s="95" t="s">
        <v>64</v>
      </c>
      <c r="E170" s="78"/>
      <c r="F170" s="96" t="s">
        <v>64</v>
      </c>
    </row>
    <row r="171" spans="1:6">
      <c r="A171" s="62">
        <v>142</v>
      </c>
      <c r="B171" s="93"/>
      <c r="C171" s="67" t="s">
        <v>235</v>
      </c>
      <c r="D171" s="71" t="s">
        <v>236</v>
      </c>
      <c r="E171" s="78"/>
      <c r="F171" s="275" t="s">
        <v>467</v>
      </c>
    </row>
    <row r="172" spans="1:6">
      <c r="A172" s="62">
        <v>143</v>
      </c>
      <c r="B172" s="97"/>
      <c r="C172" s="90"/>
      <c r="D172" s="71"/>
      <c r="E172" s="78"/>
      <c r="F172" s="98"/>
    </row>
    <row r="173" spans="1:6">
      <c r="A173" s="62">
        <v>144</v>
      </c>
      <c r="B173" s="93"/>
      <c r="C173" s="90" t="s">
        <v>237</v>
      </c>
      <c r="D173" s="71" t="s">
        <v>238</v>
      </c>
      <c r="E173" s="78"/>
      <c r="F173" s="275" t="s">
        <v>468</v>
      </c>
    </row>
    <row r="174" spans="1:6">
      <c r="A174" s="62">
        <v>145</v>
      </c>
      <c r="B174" s="93"/>
      <c r="C174" s="90"/>
      <c r="D174" s="71"/>
      <c r="E174" s="78"/>
      <c r="F174" s="98"/>
    </row>
    <row r="175" spans="1:6">
      <c r="A175" s="62">
        <v>146</v>
      </c>
      <c r="B175" s="93"/>
      <c r="C175" s="94" t="s">
        <v>239</v>
      </c>
      <c r="D175" s="95" t="s">
        <v>64</v>
      </c>
      <c r="E175" s="78"/>
      <c r="F175" s="96" t="s">
        <v>64</v>
      </c>
    </row>
    <row r="176" spans="1:6">
      <c r="A176" s="62">
        <v>147</v>
      </c>
      <c r="B176" s="93"/>
      <c r="C176" s="90" t="s">
        <v>240</v>
      </c>
      <c r="D176" s="71" t="s">
        <v>241</v>
      </c>
      <c r="E176" s="67"/>
      <c r="F176" s="275" t="s">
        <v>469</v>
      </c>
    </row>
    <row r="177" spans="1:6">
      <c r="A177" s="62">
        <v>148</v>
      </c>
      <c r="B177" s="93"/>
      <c r="C177" s="90" t="s">
        <v>242</v>
      </c>
      <c r="D177" s="71" t="s">
        <v>243</v>
      </c>
      <c r="E177" s="78"/>
      <c r="F177" s="275" t="s">
        <v>470</v>
      </c>
    </row>
    <row r="178" spans="1:6">
      <c r="A178" s="62">
        <v>149</v>
      </c>
      <c r="B178" s="93"/>
      <c r="C178" s="90" t="s">
        <v>244</v>
      </c>
      <c r="D178" s="71" t="s">
        <v>245</v>
      </c>
      <c r="E178" s="78"/>
      <c r="F178" s="275" t="s">
        <v>471</v>
      </c>
    </row>
    <row r="179" spans="1:6">
      <c r="A179" s="62">
        <v>150</v>
      </c>
      <c r="B179" s="93"/>
      <c r="C179" s="90" t="s">
        <v>246</v>
      </c>
      <c r="D179" s="71" t="s">
        <v>247</v>
      </c>
      <c r="E179" s="78"/>
      <c r="F179" s="275" t="s">
        <v>472</v>
      </c>
    </row>
    <row r="180" spans="1:6">
      <c r="A180" s="62">
        <v>151</v>
      </c>
      <c r="B180" s="93"/>
      <c r="C180" s="99" t="s">
        <v>248</v>
      </c>
      <c r="D180" s="77" t="s">
        <v>249</v>
      </c>
      <c r="E180" s="67"/>
      <c r="F180" s="100" t="s">
        <v>249</v>
      </c>
    </row>
    <row r="181" spans="1:6">
      <c r="A181" s="62">
        <v>152</v>
      </c>
      <c r="B181" s="63"/>
      <c r="C181" s="90"/>
      <c r="D181" s="71"/>
      <c r="E181" s="78"/>
      <c r="F181" s="98"/>
    </row>
    <row r="182" spans="1:6" ht="16" thickBot="1">
      <c r="A182" s="62">
        <v>153</v>
      </c>
      <c r="B182" s="63"/>
      <c r="C182" s="90"/>
      <c r="D182" s="76" t="s">
        <v>64</v>
      </c>
      <c r="E182" s="35"/>
      <c r="F182" s="101" t="s">
        <v>64</v>
      </c>
    </row>
    <row r="183" spans="1:6">
      <c r="A183" s="62">
        <v>154</v>
      </c>
      <c r="B183" s="63"/>
      <c r="C183" s="66" t="s">
        <v>250</v>
      </c>
      <c r="D183" s="102" t="s">
        <v>251</v>
      </c>
      <c r="E183" s="35"/>
      <c r="F183" s="102" t="s">
        <v>473</v>
      </c>
    </row>
    <row r="184" spans="1:6">
      <c r="A184" s="62">
        <v>155</v>
      </c>
      <c r="B184" s="63"/>
      <c r="C184" s="66" t="s">
        <v>252</v>
      </c>
      <c r="D184" s="103" t="s">
        <v>243</v>
      </c>
      <c r="E184" s="35"/>
      <c r="F184" s="276" t="s">
        <v>470</v>
      </c>
    </row>
    <row r="185" spans="1:6">
      <c r="A185" s="62">
        <v>156</v>
      </c>
      <c r="B185" s="63"/>
      <c r="C185" s="99" t="s">
        <v>253</v>
      </c>
      <c r="D185" s="103" t="s">
        <v>254</v>
      </c>
      <c r="E185" s="35"/>
      <c r="F185" s="104" t="s">
        <v>254</v>
      </c>
    </row>
    <row r="186" spans="1:6">
      <c r="A186" s="62">
        <v>157</v>
      </c>
      <c r="B186" s="63"/>
      <c r="C186" s="90" t="s">
        <v>255</v>
      </c>
      <c r="D186" s="73"/>
      <c r="E186" s="35"/>
      <c r="F186" s="35"/>
    </row>
    <row r="187" spans="1:6">
      <c r="A187" s="35"/>
      <c r="B187" s="35"/>
      <c r="C187" s="35"/>
      <c r="D187" s="105"/>
      <c r="E187" s="35"/>
      <c r="F187" s="35"/>
    </row>
    <row r="188" spans="1:6">
      <c r="A188" s="35"/>
      <c r="B188" s="35" t="s">
        <v>256</v>
      </c>
      <c r="C188" s="35"/>
      <c r="D188" s="105"/>
      <c r="E188" s="35"/>
      <c r="F188" s="35"/>
    </row>
    <row r="189" spans="1:6">
      <c r="A189" s="35"/>
      <c r="B189" s="35"/>
      <c r="C189" s="106" t="s">
        <v>257</v>
      </c>
      <c r="D189" s="105"/>
      <c r="E189" s="35"/>
      <c r="F189" s="35"/>
    </row>
    <row r="190" spans="1:6">
      <c r="A190" s="35"/>
      <c r="B190" s="35"/>
      <c r="C190" s="106"/>
      <c r="D190" s="105"/>
      <c r="E190" s="35"/>
      <c r="F190" s="35"/>
    </row>
    <row r="191" spans="1:6">
      <c r="A191" s="35"/>
      <c r="B191" s="35"/>
      <c r="C191" s="35" t="s">
        <v>258</v>
      </c>
      <c r="D191" s="105"/>
      <c r="E191" s="35"/>
      <c r="F191" s="35"/>
    </row>
    <row r="192" spans="1:6">
      <c r="A192" s="35"/>
      <c r="B192" s="35"/>
      <c r="C192" s="35"/>
      <c r="D192" s="105"/>
      <c r="E192" s="35"/>
      <c r="F192" s="35"/>
    </row>
    <row r="193" spans="1:6">
      <c r="A193" s="35"/>
      <c r="B193" s="35"/>
      <c r="C193" s="107" t="s">
        <v>259</v>
      </c>
      <c r="D193" s="107"/>
      <c r="E193" s="107"/>
      <c r="F193" s="107"/>
    </row>
  </sheetData>
  <mergeCells count="3">
    <mergeCell ref="A116:F116"/>
    <mergeCell ref="A1:F1"/>
    <mergeCell ref="A2:F2"/>
  </mergeCells>
  <pageMargins left="0.7" right="0.7" top="0.75" bottom="0.75" header="0.3" footer="0.3"/>
  <pageSetup scale="55" fitToHeight="3" orientation="portrait" verticalDpi="1200" r:id="rId1"/>
  <headerFooter>
    <oddHeader>&amp;L&amp;8 2016 BHP Attachment H Supplemental Supporting Schedules&amp;C&amp;"Arial MT,Bold"&amp;10ACTUAL SERVICE YEAR ATRR
BLACK HILLS POWER, INC.
SUPPORTING SCHEDULES&amp;R&amp;P of &amp;N</oddHeader>
  </headerFooter>
  <rowBreaks count="2" manualBreakCount="2">
    <brk id="60" max="16383" man="1"/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O104"/>
  <sheetViews>
    <sheetView tabSelected="1" topLeftCell="A76" zoomScaleNormal="100" workbookViewId="0">
      <selection activeCell="M83" sqref="M83"/>
    </sheetView>
  </sheetViews>
  <sheetFormatPr defaultColWidth="8.84375" defaultRowHeight="12.5"/>
  <cols>
    <col min="1" max="1" width="4.23046875" style="34" customWidth="1"/>
    <col min="2" max="2" width="2.69140625" style="34" customWidth="1"/>
    <col min="3" max="3" width="3.07421875" style="34" customWidth="1"/>
    <col min="4" max="4" width="2.4609375" style="34" customWidth="1"/>
    <col min="5" max="6" width="8.84375" style="34"/>
    <col min="7" max="7" width="2.23046875" style="34" customWidth="1"/>
    <col min="8" max="11" width="8.84375" style="34"/>
    <col min="12" max="12" width="15.23046875" style="34" customWidth="1"/>
    <col min="13" max="13" width="11.69140625" style="34" customWidth="1"/>
    <col min="14" max="14" width="11" style="34" customWidth="1"/>
    <col min="15" max="15" width="10.23046875" style="34" customWidth="1"/>
    <col min="16" max="16384" width="8.84375" style="34"/>
  </cols>
  <sheetData>
    <row r="2" spans="1:15" ht="15.5">
      <c r="A2" s="280" t="s">
        <v>343</v>
      </c>
      <c r="B2" s="280"/>
      <c r="C2" s="280"/>
      <c r="D2" s="280"/>
      <c r="E2" s="280"/>
      <c r="F2" s="280"/>
      <c r="G2" s="280"/>
      <c r="H2" s="280"/>
      <c r="I2" s="280"/>
      <c r="J2" s="280"/>
      <c r="K2" s="280"/>
      <c r="L2" s="280"/>
      <c r="M2" s="280"/>
      <c r="N2" s="280"/>
      <c r="O2" s="280"/>
    </row>
    <row r="3" spans="1:15" ht="13">
      <c r="A3" s="108" t="s">
        <v>3</v>
      </c>
      <c r="B3" s="109"/>
      <c r="C3" s="110"/>
      <c r="D3" s="110"/>
      <c r="E3" s="131" t="s">
        <v>340</v>
      </c>
      <c r="F3" s="110"/>
      <c r="G3" s="109"/>
      <c r="H3" s="109"/>
      <c r="I3" s="109"/>
      <c r="J3" s="109"/>
      <c r="K3" s="109"/>
      <c r="L3" s="109"/>
      <c r="M3" s="109"/>
      <c r="N3" s="109"/>
    </row>
    <row r="4" spans="1:15">
      <c r="A4" s="111" t="s">
        <v>5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</row>
    <row r="5" spans="1:15">
      <c r="A5" s="113">
        <v>1</v>
      </c>
      <c r="B5" s="114" t="s">
        <v>261</v>
      </c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</row>
    <row r="6" spans="1:15">
      <c r="A6" s="113">
        <v>2</v>
      </c>
      <c r="B6" s="114"/>
      <c r="C6" s="114"/>
      <c r="D6" s="114"/>
      <c r="E6" s="114"/>
      <c r="F6" s="114"/>
      <c r="G6" s="114"/>
      <c r="H6" s="114"/>
      <c r="I6" s="114"/>
      <c r="J6" s="114"/>
      <c r="K6" s="114"/>
      <c r="L6" s="114"/>
      <c r="M6" s="114"/>
      <c r="N6" s="114"/>
    </row>
    <row r="7" spans="1:15">
      <c r="A7" s="113">
        <v>3</v>
      </c>
      <c r="B7" s="114" t="s">
        <v>65</v>
      </c>
      <c r="C7" s="114"/>
      <c r="D7" s="114" t="s">
        <v>262</v>
      </c>
      <c r="E7" s="114"/>
      <c r="F7" s="114"/>
      <c r="G7" s="114"/>
      <c r="H7" s="114"/>
      <c r="I7" s="114"/>
      <c r="J7" s="114"/>
      <c r="K7" s="114"/>
      <c r="L7" s="114"/>
      <c r="M7" s="114"/>
      <c r="N7" s="114"/>
    </row>
    <row r="8" spans="1:15">
      <c r="A8" s="113">
        <v>4</v>
      </c>
      <c r="B8" s="114"/>
      <c r="C8" s="114"/>
      <c r="D8" s="114"/>
      <c r="E8" s="114" t="s">
        <v>263</v>
      </c>
      <c r="F8" s="114"/>
      <c r="G8" s="114"/>
      <c r="H8" s="114"/>
      <c r="I8" s="114"/>
      <c r="J8" s="114"/>
      <c r="K8" s="114"/>
      <c r="L8" s="114"/>
      <c r="M8" s="114"/>
      <c r="N8" s="114"/>
    </row>
    <row r="9" spans="1:15">
      <c r="A9" s="113">
        <v>5</v>
      </c>
      <c r="B9" s="114"/>
      <c r="C9" s="114"/>
      <c r="D9" s="114"/>
      <c r="E9" s="114" t="s">
        <v>264</v>
      </c>
      <c r="F9" s="114"/>
      <c r="G9" s="114"/>
      <c r="H9" s="114"/>
      <c r="I9" s="114"/>
      <c r="J9" s="114"/>
      <c r="K9" s="114"/>
      <c r="L9" s="114"/>
      <c r="M9" s="114"/>
      <c r="N9" s="114"/>
    </row>
    <row r="10" spans="1:15">
      <c r="A10" s="113">
        <v>6</v>
      </c>
      <c r="B10" s="114"/>
      <c r="C10" s="114"/>
      <c r="D10" s="114"/>
      <c r="E10" s="114" t="s">
        <v>265</v>
      </c>
      <c r="F10" s="114"/>
      <c r="G10" s="114"/>
      <c r="H10" s="114"/>
      <c r="I10" s="114"/>
      <c r="J10" s="114"/>
      <c r="K10" s="114"/>
      <c r="L10" s="114"/>
      <c r="M10" s="114"/>
      <c r="N10" s="114"/>
    </row>
    <row r="11" spans="1:15">
      <c r="A11" s="113">
        <v>7</v>
      </c>
      <c r="B11" s="114"/>
      <c r="C11" s="114"/>
      <c r="D11" s="114"/>
      <c r="E11" s="114"/>
      <c r="F11" s="114"/>
      <c r="G11" s="114"/>
      <c r="H11" s="114"/>
      <c r="I11" s="114"/>
      <c r="J11" s="114"/>
      <c r="K11" s="114"/>
      <c r="L11" s="114"/>
      <c r="M11" s="114"/>
      <c r="N11" s="114"/>
    </row>
    <row r="12" spans="1:15">
      <c r="A12" s="113">
        <v>8</v>
      </c>
      <c r="B12" s="114" t="s">
        <v>266</v>
      </c>
      <c r="C12" s="114"/>
      <c r="D12" s="114" t="s">
        <v>267</v>
      </c>
      <c r="E12" s="114"/>
      <c r="F12" s="114"/>
      <c r="G12" s="114"/>
      <c r="H12" s="114"/>
      <c r="I12" s="114"/>
      <c r="J12" s="114"/>
      <c r="K12" s="114"/>
      <c r="L12" s="114"/>
      <c r="M12" s="114"/>
      <c r="N12" s="114"/>
    </row>
    <row r="13" spans="1:15">
      <c r="A13" s="113">
        <v>9</v>
      </c>
      <c r="B13" s="114"/>
      <c r="C13" s="114"/>
      <c r="D13" s="114"/>
      <c r="E13" s="114" t="s">
        <v>268</v>
      </c>
      <c r="F13" s="114"/>
      <c r="G13" s="114"/>
      <c r="H13" s="114"/>
      <c r="I13" s="114"/>
      <c r="J13" s="114"/>
      <c r="K13" s="114"/>
      <c r="L13" s="114"/>
      <c r="M13" s="114"/>
      <c r="N13" s="114"/>
    </row>
    <row r="14" spans="1:15">
      <c r="A14" s="113">
        <v>10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</row>
    <row r="15" spans="1:15">
      <c r="A15" s="113">
        <v>11</v>
      </c>
      <c r="B15" s="114" t="s">
        <v>269</v>
      </c>
      <c r="C15" s="114"/>
      <c r="D15" s="114" t="s">
        <v>270</v>
      </c>
      <c r="E15" s="114"/>
      <c r="F15" s="114"/>
      <c r="G15" s="114"/>
      <c r="H15" s="114"/>
      <c r="I15" s="114"/>
      <c r="J15" s="114"/>
      <c r="K15" s="114"/>
      <c r="L15" s="114"/>
      <c r="M15" s="114"/>
      <c r="N15" s="114"/>
    </row>
    <row r="16" spans="1:15">
      <c r="A16" s="113">
        <v>12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</row>
    <row r="17" spans="1:14">
      <c r="A17" s="113">
        <v>13</v>
      </c>
      <c r="B17" s="114"/>
      <c r="C17" s="114"/>
      <c r="D17" s="114" t="s">
        <v>271</v>
      </c>
      <c r="E17" s="114"/>
      <c r="F17" s="114"/>
      <c r="G17" s="114"/>
      <c r="H17" s="114"/>
      <c r="I17" s="114"/>
      <c r="J17" s="114"/>
      <c r="K17" s="114"/>
      <c r="L17" s="114"/>
      <c r="M17" s="114"/>
      <c r="N17" s="114"/>
    </row>
    <row r="18" spans="1:14">
      <c r="A18" s="113">
        <v>14</v>
      </c>
      <c r="B18" s="114"/>
      <c r="C18" s="114"/>
      <c r="D18" s="114"/>
      <c r="E18" s="114"/>
      <c r="F18" s="114"/>
      <c r="G18" s="114"/>
      <c r="H18" s="114"/>
      <c r="I18" s="114"/>
      <c r="J18" s="114"/>
      <c r="K18" s="114"/>
      <c r="L18" s="114"/>
      <c r="M18" s="114"/>
      <c r="N18" s="114"/>
    </row>
    <row r="19" spans="1:14">
      <c r="A19" s="113">
        <v>15</v>
      </c>
      <c r="B19" s="114"/>
      <c r="C19" s="114"/>
      <c r="D19" s="114" t="s">
        <v>272</v>
      </c>
      <c r="E19" s="114"/>
      <c r="F19" s="115" t="s">
        <v>273</v>
      </c>
      <c r="G19" s="114" t="s">
        <v>274</v>
      </c>
      <c r="H19" s="114"/>
      <c r="I19" s="114"/>
      <c r="J19" s="114"/>
      <c r="K19" s="114"/>
      <c r="L19" s="114"/>
      <c r="M19" s="114"/>
      <c r="N19" s="114"/>
    </row>
    <row r="20" spans="1:14">
      <c r="A20" s="113">
        <v>16</v>
      </c>
      <c r="B20" s="114"/>
      <c r="C20" s="114"/>
      <c r="D20" s="114"/>
      <c r="E20" s="114"/>
      <c r="F20" s="114"/>
      <c r="G20" s="114"/>
      <c r="H20" s="114" t="s">
        <v>275</v>
      </c>
      <c r="I20" s="114"/>
      <c r="J20" s="114"/>
      <c r="K20" s="114"/>
      <c r="L20" s="114"/>
      <c r="M20" s="114"/>
      <c r="N20" s="114"/>
    </row>
    <row r="21" spans="1:14">
      <c r="A21" s="113">
        <v>17</v>
      </c>
      <c r="B21" s="114"/>
      <c r="C21" s="114"/>
      <c r="D21" s="114"/>
      <c r="E21" s="114"/>
      <c r="F21" s="114"/>
      <c r="G21" s="114"/>
      <c r="H21" s="114" t="s">
        <v>276</v>
      </c>
      <c r="I21" s="114"/>
      <c r="J21" s="114"/>
      <c r="K21" s="114"/>
      <c r="L21" s="114"/>
      <c r="M21" s="114"/>
      <c r="N21" s="114"/>
    </row>
    <row r="22" spans="1:14">
      <c r="A22" s="113">
        <v>18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</row>
    <row r="23" spans="1:14">
      <c r="A23" s="113">
        <v>19</v>
      </c>
      <c r="B23" s="116" t="s">
        <v>277</v>
      </c>
      <c r="C23" s="114"/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</row>
    <row r="24" spans="1:14">
      <c r="A24" s="113">
        <v>20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</row>
    <row r="25" spans="1:14">
      <c r="A25" s="113">
        <v>21</v>
      </c>
      <c r="B25" s="114"/>
      <c r="C25" s="114"/>
      <c r="D25" s="114"/>
      <c r="E25" s="117" t="s">
        <v>278</v>
      </c>
      <c r="F25" s="117" t="s">
        <v>279</v>
      </c>
      <c r="G25" s="118" t="s">
        <v>280</v>
      </c>
      <c r="H25" s="114"/>
      <c r="I25" s="114"/>
      <c r="J25" s="114"/>
      <c r="K25" s="114"/>
      <c r="L25" s="114"/>
      <c r="M25" s="114"/>
      <c r="N25" s="114"/>
    </row>
    <row r="26" spans="1:14" ht="13">
      <c r="A26" s="113">
        <v>22</v>
      </c>
      <c r="B26" s="119" t="s">
        <v>281</v>
      </c>
      <c r="C26" s="114"/>
      <c r="D26" s="114"/>
      <c r="E26" s="117"/>
      <c r="F26" s="117"/>
      <c r="G26" s="120"/>
      <c r="H26" s="114"/>
      <c r="I26" s="114"/>
      <c r="J26" s="114"/>
      <c r="K26" s="114"/>
      <c r="L26" s="114"/>
      <c r="M26" s="114"/>
      <c r="N26" s="114"/>
    </row>
    <row r="27" spans="1:14">
      <c r="A27" s="113">
        <v>23</v>
      </c>
      <c r="B27" s="114"/>
      <c r="C27" s="114" t="s">
        <v>282</v>
      </c>
      <c r="D27" s="114"/>
      <c r="E27" s="117" t="s">
        <v>283</v>
      </c>
      <c r="F27" s="117">
        <v>2010</v>
      </c>
      <c r="G27" s="118" t="s">
        <v>284</v>
      </c>
      <c r="H27" s="114"/>
      <c r="I27" s="114"/>
      <c r="J27" s="114"/>
      <c r="K27" s="114"/>
      <c r="L27" s="114"/>
      <c r="M27" s="114"/>
      <c r="N27" s="114"/>
    </row>
    <row r="28" spans="1:14">
      <c r="A28" s="113">
        <v>24</v>
      </c>
      <c r="B28" s="114"/>
      <c r="C28" s="114" t="s">
        <v>285</v>
      </c>
      <c r="D28" s="114"/>
      <c r="E28" s="117" t="s">
        <v>283</v>
      </c>
      <c r="F28" s="117">
        <v>2010</v>
      </c>
      <c r="G28" s="118" t="s">
        <v>286</v>
      </c>
      <c r="H28" s="114"/>
      <c r="I28" s="114"/>
      <c r="J28" s="114"/>
      <c r="K28" s="114"/>
      <c r="L28" s="114"/>
      <c r="M28" s="114"/>
      <c r="N28" s="114"/>
    </row>
    <row r="29" spans="1:14">
      <c r="A29" s="113">
        <v>25</v>
      </c>
      <c r="B29" s="114"/>
      <c r="C29" s="114" t="s">
        <v>287</v>
      </c>
      <c r="D29" s="114"/>
      <c r="E29" s="117" t="s">
        <v>283</v>
      </c>
      <c r="F29" s="117">
        <v>2010</v>
      </c>
      <c r="G29" s="118" t="s">
        <v>288</v>
      </c>
      <c r="H29" s="114"/>
      <c r="I29" s="114"/>
      <c r="J29" s="114"/>
      <c r="K29" s="114"/>
      <c r="L29" s="114"/>
      <c r="M29" s="114"/>
      <c r="N29" s="114"/>
    </row>
    <row r="30" spans="1:14">
      <c r="A30" s="113">
        <v>26</v>
      </c>
      <c r="B30" s="114"/>
      <c r="C30" s="114" t="s">
        <v>289</v>
      </c>
      <c r="D30" s="114"/>
      <c r="E30" s="117" t="s">
        <v>290</v>
      </c>
      <c r="F30" s="117">
        <v>2010</v>
      </c>
      <c r="G30" s="118" t="s">
        <v>291</v>
      </c>
      <c r="H30" s="114"/>
      <c r="I30" s="114"/>
      <c r="J30" s="114"/>
      <c r="K30" s="114"/>
      <c r="L30" s="114"/>
      <c r="M30" s="114"/>
      <c r="N30" s="114"/>
    </row>
    <row r="31" spans="1:14">
      <c r="A31" s="113">
        <v>27</v>
      </c>
      <c r="B31" s="114"/>
      <c r="C31" s="114"/>
      <c r="D31" s="114"/>
      <c r="E31" s="117"/>
      <c r="F31" s="117"/>
      <c r="G31" s="118"/>
      <c r="H31" s="114"/>
      <c r="I31" s="114"/>
      <c r="J31" s="114"/>
      <c r="K31" s="114"/>
      <c r="L31" s="114"/>
      <c r="M31" s="114"/>
      <c r="N31" s="114"/>
    </row>
    <row r="32" spans="1:14" ht="13">
      <c r="A32" s="113">
        <v>28</v>
      </c>
      <c r="B32" s="119" t="s">
        <v>292</v>
      </c>
      <c r="C32" s="114"/>
      <c r="D32" s="114"/>
      <c r="E32" s="121"/>
      <c r="F32" s="117"/>
      <c r="G32" s="118"/>
      <c r="H32" s="114"/>
      <c r="I32" s="114"/>
      <c r="J32" s="114"/>
      <c r="K32" s="114"/>
      <c r="L32" s="114"/>
      <c r="M32" s="114"/>
      <c r="N32" s="114"/>
    </row>
    <row r="33" spans="1:14">
      <c r="A33" s="113">
        <v>29</v>
      </c>
      <c r="B33" s="114"/>
      <c r="C33" s="114" t="s">
        <v>293</v>
      </c>
      <c r="D33" s="114"/>
      <c r="E33" s="117" t="s">
        <v>294</v>
      </c>
      <c r="F33" s="117">
        <v>2010</v>
      </c>
      <c r="G33" s="118" t="s">
        <v>295</v>
      </c>
      <c r="H33" s="114"/>
      <c r="I33" s="114"/>
      <c r="J33" s="114"/>
      <c r="K33" s="114"/>
      <c r="L33" s="114"/>
      <c r="M33" s="114"/>
      <c r="N33" s="114"/>
    </row>
    <row r="34" spans="1:14">
      <c r="A34" s="113">
        <v>30</v>
      </c>
      <c r="B34" s="114"/>
      <c r="C34" s="114" t="s">
        <v>296</v>
      </c>
      <c r="D34" s="114"/>
      <c r="E34" s="117" t="s">
        <v>294</v>
      </c>
      <c r="F34" s="117">
        <v>2010</v>
      </c>
      <c r="G34" s="118" t="s">
        <v>297</v>
      </c>
      <c r="H34" s="114"/>
      <c r="I34" s="114"/>
      <c r="J34" s="114"/>
      <c r="K34" s="114"/>
      <c r="L34" s="114"/>
      <c r="M34" s="114"/>
      <c r="N34" s="114"/>
    </row>
    <row r="35" spans="1:14">
      <c r="A35" s="113">
        <v>31</v>
      </c>
      <c r="B35" s="114"/>
      <c r="C35" s="114" t="s">
        <v>298</v>
      </c>
      <c r="D35" s="114"/>
      <c r="E35" s="117" t="s">
        <v>294</v>
      </c>
      <c r="F35" s="117">
        <v>2010</v>
      </c>
      <c r="G35" s="118" t="s">
        <v>299</v>
      </c>
      <c r="H35" s="114"/>
      <c r="I35" s="114"/>
      <c r="J35" s="114"/>
      <c r="K35" s="114"/>
      <c r="L35" s="114"/>
      <c r="M35" s="114"/>
      <c r="N35" s="114"/>
    </row>
    <row r="36" spans="1:14">
      <c r="A36" s="113">
        <v>32</v>
      </c>
      <c r="B36" s="114"/>
      <c r="C36" s="114" t="s">
        <v>300</v>
      </c>
      <c r="D36" s="114"/>
      <c r="E36" s="117" t="s">
        <v>294</v>
      </c>
      <c r="F36" s="117">
        <v>2010</v>
      </c>
      <c r="G36" s="118" t="s">
        <v>301</v>
      </c>
      <c r="H36" s="114"/>
      <c r="I36" s="114"/>
      <c r="J36" s="114"/>
      <c r="K36" s="114"/>
      <c r="L36" s="114"/>
      <c r="M36" s="114"/>
      <c r="N36" s="114"/>
    </row>
    <row r="37" spans="1:14">
      <c r="A37" s="113">
        <v>33</v>
      </c>
      <c r="B37" s="114"/>
      <c r="C37" s="114" t="s">
        <v>302</v>
      </c>
      <c r="D37" s="114"/>
      <c r="E37" s="117" t="s">
        <v>303</v>
      </c>
      <c r="F37" s="117">
        <v>2010</v>
      </c>
      <c r="G37" s="118" t="s">
        <v>304</v>
      </c>
      <c r="H37" s="114"/>
      <c r="I37" s="114"/>
      <c r="J37" s="114"/>
      <c r="K37" s="114"/>
      <c r="L37" s="114"/>
      <c r="M37" s="114"/>
      <c r="N37" s="114"/>
    </row>
    <row r="38" spans="1:14">
      <c r="A38" s="113">
        <v>34</v>
      </c>
      <c r="B38" s="114"/>
      <c r="C38" s="114" t="s">
        <v>305</v>
      </c>
      <c r="D38" s="114"/>
      <c r="E38" s="121" t="s">
        <v>306</v>
      </c>
      <c r="F38" s="117">
        <v>2011</v>
      </c>
      <c r="G38" s="118" t="s">
        <v>307</v>
      </c>
      <c r="H38" s="114"/>
      <c r="I38" s="114"/>
      <c r="J38" s="114"/>
      <c r="K38" s="114"/>
      <c r="L38" s="114"/>
      <c r="M38" s="114"/>
      <c r="N38" s="114"/>
    </row>
    <row r="39" spans="1:14">
      <c r="A39" s="113">
        <v>35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</row>
    <row r="40" spans="1:14">
      <c r="A40" s="113">
        <v>36</v>
      </c>
      <c r="B40" s="114"/>
      <c r="C40" s="114"/>
      <c r="D40" s="114"/>
      <c r="E40" s="114" t="s">
        <v>308</v>
      </c>
      <c r="F40" s="114" t="s">
        <v>309</v>
      </c>
      <c r="G40" s="114"/>
      <c r="H40" s="114"/>
      <c r="I40" s="114"/>
      <c r="J40" s="114"/>
      <c r="K40" s="114"/>
      <c r="L40" s="114"/>
      <c r="M40" s="114"/>
      <c r="N40" s="114"/>
    </row>
    <row r="41" spans="1:14">
      <c r="A41" s="113">
        <v>37</v>
      </c>
      <c r="B41" s="114"/>
      <c r="C41" s="114"/>
      <c r="D41" s="114"/>
      <c r="E41" s="114"/>
      <c r="F41" s="114" t="s">
        <v>310</v>
      </c>
      <c r="G41" s="114"/>
      <c r="H41" s="114"/>
      <c r="I41" s="114"/>
      <c r="J41" s="114"/>
      <c r="K41" s="114"/>
      <c r="L41" s="114"/>
      <c r="M41" s="114"/>
      <c r="N41" s="114"/>
    </row>
    <row r="42" spans="1:14">
      <c r="A42" s="113">
        <v>38</v>
      </c>
      <c r="B42" s="114"/>
      <c r="C42" s="114"/>
      <c r="D42" s="114"/>
      <c r="E42" s="114"/>
      <c r="F42" s="114" t="s">
        <v>311</v>
      </c>
      <c r="G42" s="114"/>
      <c r="H42" s="114"/>
      <c r="I42" s="114"/>
      <c r="J42" s="114"/>
      <c r="K42" s="114"/>
      <c r="L42" s="114"/>
      <c r="M42" s="114"/>
      <c r="N42" s="114"/>
    </row>
    <row r="43" spans="1:14">
      <c r="A43" s="113">
        <v>39</v>
      </c>
      <c r="B43" s="114"/>
      <c r="C43" s="114"/>
      <c r="D43" s="114"/>
      <c r="E43" s="114"/>
      <c r="F43" s="114" t="s">
        <v>312</v>
      </c>
      <c r="G43" s="114"/>
      <c r="H43" s="114"/>
      <c r="I43" s="114"/>
      <c r="J43" s="114"/>
      <c r="K43" s="114"/>
      <c r="L43" s="114"/>
      <c r="M43" s="114"/>
      <c r="N43" s="114"/>
    </row>
    <row r="44" spans="1:14">
      <c r="A44" s="113">
        <v>40</v>
      </c>
      <c r="B44" s="114"/>
      <c r="C44" s="114"/>
      <c r="D44" s="114"/>
      <c r="E44" s="114"/>
      <c r="F44" s="114" t="s">
        <v>313</v>
      </c>
      <c r="G44" s="114"/>
      <c r="H44" s="114"/>
      <c r="I44" s="114"/>
      <c r="J44" s="114"/>
      <c r="K44" s="114"/>
      <c r="L44" s="114"/>
      <c r="M44" s="114"/>
      <c r="N44" s="114"/>
    </row>
    <row r="45" spans="1:14">
      <c r="A45" s="113">
        <v>41</v>
      </c>
      <c r="B45" s="114"/>
      <c r="C45" s="114"/>
      <c r="D45" s="114"/>
      <c r="E45" s="114"/>
      <c r="F45" s="114" t="s">
        <v>314</v>
      </c>
      <c r="G45" s="114"/>
      <c r="H45" s="114"/>
      <c r="I45" s="114"/>
      <c r="J45" s="114"/>
      <c r="K45" s="114"/>
      <c r="L45" s="114"/>
      <c r="M45" s="114"/>
      <c r="N45" s="114"/>
    </row>
    <row r="46" spans="1:14">
      <c r="A46" s="113">
        <v>42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</row>
    <row r="47" spans="1:14">
      <c r="A47" s="113">
        <v>43</v>
      </c>
      <c r="B47" s="114"/>
      <c r="C47" s="114"/>
      <c r="D47" s="114"/>
      <c r="E47" s="114"/>
      <c r="F47" s="114" t="s">
        <v>315</v>
      </c>
      <c r="G47" s="114"/>
      <c r="H47" s="114"/>
      <c r="I47" s="114"/>
      <c r="J47" s="114"/>
      <c r="K47" s="114"/>
      <c r="L47" s="114"/>
      <c r="M47" s="114"/>
      <c r="N47" s="114"/>
    </row>
    <row r="48" spans="1:14" ht="13">
      <c r="A48" s="122">
        <v>44</v>
      </c>
      <c r="B48" s="112"/>
      <c r="C48" s="112"/>
      <c r="D48" s="109"/>
      <c r="E48" s="109"/>
      <c r="F48" s="109"/>
      <c r="G48" s="109"/>
      <c r="H48" s="109"/>
      <c r="I48" s="109"/>
      <c r="J48" s="114"/>
      <c r="K48" s="114"/>
      <c r="L48" s="114"/>
      <c r="M48" s="135" t="s">
        <v>338</v>
      </c>
      <c r="N48" s="135" t="s">
        <v>339</v>
      </c>
    </row>
    <row r="49" spans="1:14" ht="13">
      <c r="A49" s="122">
        <v>45</v>
      </c>
      <c r="B49" s="112"/>
      <c r="C49" s="112" t="s">
        <v>316</v>
      </c>
      <c r="D49" s="119" t="s">
        <v>317</v>
      </c>
      <c r="E49" s="119"/>
      <c r="F49" s="119"/>
      <c r="G49" s="119"/>
      <c r="H49" s="119"/>
      <c r="I49" s="119"/>
      <c r="J49" s="119"/>
      <c r="K49" s="119"/>
      <c r="L49" s="119"/>
      <c r="M49" s="140"/>
      <c r="N49" s="140"/>
    </row>
    <row r="50" spans="1:14" ht="13">
      <c r="A50" s="122">
        <v>46</v>
      </c>
      <c r="B50" s="112"/>
      <c r="C50" s="112" t="s">
        <v>318</v>
      </c>
      <c r="D50" s="119" t="s">
        <v>319</v>
      </c>
      <c r="E50" s="119"/>
      <c r="F50" s="119"/>
      <c r="G50" s="119"/>
      <c r="H50" s="119"/>
      <c r="I50" s="119"/>
      <c r="J50" s="119"/>
      <c r="K50" s="119"/>
      <c r="L50" s="119"/>
      <c r="M50" s="141">
        <f>ROUND((1+$K$74)^18,2)</f>
        <v>1.05</v>
      </c>
      <c r="N50" s="141">
        <f>ROUND((1+$K$74)^18,2)</f>
        <v>1.05</v>
      </c>
    </row>
    <row r="51" spans="1:14" ht="13">
      <c r="A51" s="122">
        <v>47</v>
      </c>
      <c r="B51" s="112"/>
      <c r="C51" s="112" t="s">
        <v>320</v>
      </c>
      <c r="D51" s="130" t="s">
        <v>321</v>
      </c>
      <c r="E51" s="130"/>
      <c r="F51" s="130"/>
      <c r="G51" s="130"/>
      <c r="H51" s="130"/>
      <c r="I51" s="130"/>
      <c r="J51" s="130"/>
      <c r="K51" s="130"/>
      <c r="L51" s="119"/>
      <c r="M51" s="142">
        <f>+M49*M50</f>
        <v>0</v>
      </c>
      <c r="N51" s="142">
        <f>+N49*N50</f>
        <v>0</v>
      </c>
    </row>
    <row r="52" spans="1:14">
      <c r="A52" s="122">
        <v>48</v>
      </c>
      <c r="B52" s="112"/>
      <c r="C52" s="112"/>
      <c r="D52" s="114"/>
      <c r="E52" s="114"/>
      <c r="F52" s="114"/>
      <c r="G52" s="114"/>
      <c r="H52" s="114"/>
      <c r="I52" s="114"/>
      <c r="J52" s="114"/>
      <c r="K52" s="114"/>
      <c r="L52" s="114"/>
      <c r="M52" s="112"/>
      <c r="N52" s="112"/>
    </row>
    <row r="53" spans="1:14">
      <c r="A53" s="122">
        <v>49</v>
      </c>
      <c r="B53" s="112"/>
      <c r="C53" s="112"/>
      <c r="D53" s="112"/>
      <c r="E53" s="112" t="s">
        <v>272</v>
      </c>
      <c r="F53" s="112" t="s">
        <v>322</v>
      </c>
      <c r="G53" s="112"/>
      <c r="H53" s="112"/>
      <c r="I53" s="112"/>
      <c r="J53" s="112"/>
      <c r="K53" s="112"/>
      <c r="L53" s="112"/>
      <c r="M53" s="112"/>
      <c r="N53" s="112"/>
    </row>
    <row r="54" spans="1:14">
      <c r="A54" s="122">
        <v>50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</row>
    <row r="55" spans="1:14">
      <c r="A55" s="122">
        <v>51</v>
      </c>
      <c r="B55" s="112"/>
      <c r="C55" s="112"/>
      <c r="D55" s="139" t="s">
        <v>323</v>
      </c>
      <c r="E55" s="112"/>
      <c r="F55" s="112"/>
      <c r="G55" s="112"/>
      <c r="H55" s="112"/>
      <c r="I55" s="112"/>
      <c r="J55" s="112"/>
      <c r="K55" s="112"/>
      <c r="L55" s="112"/>
      <c r="M55" s="112"/>
      <c r="N55" s="112"/>
    </row>
    <row r="56" spans="1:14">
      <c r="A56" s="122">
        <v>52</v>
      </c>
      <c r="B56" s="112"/>
      <c r="C56" s="112"/>
      <c r="D56" s="112"/>
      <c r="E56" s="112"/>
      <c r="F56" s="112"/>
      <c r="G56" s="112"/>
      <c r="H56" s="112"/>
      <c r="I56" s="112"/>
      <c r="J56" s="112"/>
      <c r="K56" s="137" t="s">
        <v>324</v>
      </c>
      <c r="L56" s="112"/>
      <c r="M56" s="112"/>
      <c r="N56" s="112"/>
    </row>
    <row r="57" spans="1:14">
      <c r="A57" s="122">
        <v>53</v>
      </c>
      <c r="B57" s="112"/>
      <c r="C57" s="112"/>
      <c r="D57" s="112"/>
      <c r="E57" s="138" t="s">
        <v>278</v>
      </c>
      <c r="F57" s="108"/>
      <c r="G57" s="108"/>
      <c r="H57" s="138" t="s">
        <v>279</v>
      </c>
      <c r="I57" s="123"/>
      <c r="J57" s="112"/>
      <c r="K57" s="138" t="s">
        <v>325</v>
      </c>
      <c r="L57" s="112"/>
      <c r="M57" s="112"/>
      <c r="N57" s="124"/>
    </row>
    <row r="58" spans="1:14">
      <c r="A58" s="122">
        <v>54</v>
      </c>
      <c r="B58" s="112"/>
      <c r="C58" s="112"/>
      <c r="D58" s="112"/>
      <c r="E58" s="112" t="s">
        <v>306</v>
      </c>
      <c r="F58" s="112"/>
      <c r="G58" s="112"/>
      <c r="H58" s="112" t="s">
        <v>326</v>
      </c>
      <c r="I58" s="112"/>
      <c r="J58" s="112"/>
      <c r="K58" s="133">
        <v>2.8E-3</v>
      </c>
      <c r="L58" s="112"/>
      <c r="M58" s="125"/>
      <c r="N58" s="125"/>
    </row>
    <row r="59" spans="1:14">
      <c r="A59" s="122">
        <v>55</v>
      </c>
      <c r="B59" s="112"/>
      <c r="C59" s="112"/>
      <c r="D59" s="112"/>
      <c r="E59" s="112" t="s">
        <v>327</v>
      </c>
      <c r="F59" s="112"/>
      <c r="G59" s="112"/>
      <c r="H59" s="112" t="s">
        <v>326</v>
      </c>
      <c r="I59" s="112"/>
      <c r="J59" s="112"/>
      <c r="K59" s="133">
        <v>2.5000000000000001E-3</v>
      </c>
      <c r="L59" s="112"/>
      <c r="M59" s="125"/>
      <c r="N59" s="125"/>
    </row>
    <row r="60" spans="1:14">
      <c r="A60" s="122">
        <v>56</v>
      </c>
      <c r="B60" s="112"/>
      <c r="C60" s="112"/>
      <c r="D60" s="112"/>
      <c r="E60" s="112" t="s">
        <v>328</v>
      </c>
      <c r="F60" s="112"/>
      <c r="G60" s="112"/>
      <c r="H60" s="112" t="s">
        <v>326</v>
      </c>
      <c r="I60" s="112"/>
      <c r="J60" s="112"/>
      <c r="K60" s="133">
        <v>2.8E-3</v>
      </c>
      <c r="L60" s="112"/>
      <c r="M60" s="125"/>
      <c r="N60" s="125"/>
    </row>
    <row r="61" spans="1:14">
      <c r="A61" s="122">
        <v>57</v>
      </c>
      <c r="B61" s="112"/>
      <c r="C61" s="112"/>
      <c r="D61" s="112"/>
      <c r="E61" s="112" t="s">
        <v>329</v>
      </c>
      <c r="F61" s="112"/>
      <c r="G61" s="112"/>
      <c r="H61" s="112" t="s">
        <v>326</v>
      </c>
      <c r="I61" s="112"/>
      <c r="J61" s="112"/>
      <c r="K61" s="133">
        <v>2.7000000000000001E-3</v>
      </c>
      <c r="L61" s="112"/>
      <c r="M61" s="125"/>
      <c r="N61" s="125"/>
    </row>
    <row r="62" spans="1:14">
      <c r="A62" s="122">
        <v>58</v>
      </c>
      <c r="B62" s="112"/>
      <c r="C62" s="112"/>
      <c r="D62" s="112"/>
      <c r="E62" s="112" t="s">
        <v>283</v>
      </c>
      <c r="F62" s="112"/>
      <c r="G62" s="112"/>
      <c r="H62" s="112" t="s">
        <v>326</v>
      </c>
      <c r="I62" s="112"/>
      <c r="J62" s="112"/>
      <c r="K62" s="133">
        <v>2.8E-3</v>
      </c>
      <c r="L62" s="112"/>
      <c r="M62" s="125"/>
      <c r="N62" s="125"/>
    </row>
    <row r="63" spans="1:14">
      <c r="A63" s="122">
        <v>59</v>
      </c>
      <c r="B63" s="112"/>
      <c r="C63" s="112"/>
      <c r="D63" s="112"/>
      <c r="E63" s="112" t="s">
        <v>330</v>
      </c>
      <c r="F63" s="112"/>
      <c r="G63" s="112"/>
      <c r="H63" s="112" t="s">
        <v>326</v>
      </c>
      <c r="I63" s="112"/>
      <c r="J63" s="112"/>
      <c r="K63" s="133">
        <v>2.7000000000000001E-3</v>
      </c>
      <c r="L63" s="112"/>
      <c r="M63" s="125"/>
      <c r="N63" s="125"/>
    </row>
    <row r="64" spans="1:14">
      <c r="A64" s="122">
        <v>60</v>
      </c>
      <c r="B64" s="112"/>
      <c r="C64" s="112"/>
      <c r="D64" s="112"/>
      <c r="E64" s="112" t="s">
        <v>331</v>
      </c>
      <c r="F64" s="112"/>
      <c r="G64" s="112"/>
      <c r="H64" s="112" t="s">
        <v>326</v>
      </c>
      <c r="I64" s="112"/>
      <c r="J64" s="112"/>
      <c r="K64" s="133">
        <v>2.8E-3</v>
      </c>
      <c r="L64" s="112"/>
      <c r="M64" s="125"/>
      <c r="N64" s="125"/>
    </row>
    <row r="65" spans="1:14">
      <c r="A65" s="122">
        <v>61</v>
      </c>
      <c r="B65" s="112"/>
      <c r="C65" s="112"/>
      <c r="D65" s="112"/>
      <c r="E65" s="112" t="s">
        <v>332</v>
      </c>
      <c r="F65" s="112"/>
      <c r="G65" s="112"/>
      <c r="H65" s="112" t="s">
        <v>326</v>
      </c>
      <c r="I65" s="112"/>
      <c r="J65" s="112"/>
      <c r="K65" s="133">
        <v>2.8E-3</v>
      </c>
      <c r="L65" s="112"/>
      <c r="M65" s="125"/>
      <c r="N65" s="125"/>
    </row>
    <row r="66" spans="1:14">
      <c r="A66" s="122">
        <v>62</v>
      </c>
      <c r="B66" s="112"/>
      <c r="C66" s="112"/>
      <c r="D66" s="112"/>
      <c r="E66" s="112" t="s">
        <v>294</v>
      </c>
      <c r="F66" s="112"/>
      <c r="G66" s="112"/>
      <c r="H66" s="112" t="s">
        <v>326</v>
      </c>
      <c r="I66" s="112"/>
      <c r="J66" s="112"/>
      <c r="K66" s="133">
        <v>2.7000000000000001E-3</v>
      </c>
      <c r="L66" s="112"/>
      <c r="M66" s="125"/>
      <c r="N66" s="125"/>
    </row>
    <row r="67" spans="1:14">
      <c r="A67" s="122">
        <v>63</v>
      </c>
      <c r="B67" s="112"/>
      <c r="C67" s="112"/>
      <c r="D67" s="112"/>
      <c r="E67" s="112" t="s">
        <v>303</v>
      </c>
      <c r="F67" s="112"/>
      <c r="G67" s="112"/>
      <c r="H67" s="112" t="s">
        <v>326</v>
      </c>
      <c r="I67" s="112"/>
      <c r="J67" s="112"/>
      <c r="K67" s="133">
        <v>2.8E-3</v>
      </c>
      <c r="L67" s="112"/>
      <c r="M67" s="125"/>
      <c r="N67" s="125"/>
    </row>
    <row r="68" spans="1:14">
      <c r="A68" s="122">
        <v>64</v>
      </c>
      <c r="B68" s="112"/>
      <c r="C68" s="112"/>
      <c r="D68" s="112"/>
      <c r="E68" s="112" t="s">
        <v>333</v>
      </c>
      <c r="F68" s="112"/>
      <c r="G68" s="112"/>
      <c r="H68" s="112" t="s">
        <v>326</v>
      </c>
      <c r="I68" s="112"/>
      <c r="J68" s="112"/>
      <c r="K68" s="133">
        <v>2.7000000000000001E-3</v>
      </c>
      <c r="L68" s="112"/>
      <c r="M68" s="125"/>
      <c r="N68" s="125"/>
    </row>
    <row r="69" spans="1:14">
      <c r="A69" s="122">
        <v>65</v>
      </c>
      <c r="B69" s="112"/>
      <c r="C69" s="112"/>
      <c r="D69" s="112"/>
      <c r="E69" s="112" t="s">
        <v>334</v>
      </c>
      <c r="F69" s="112"/>
      <c r="G69" s="112"/>
      <c r="H69" s="112" t="s">
        <v>326</v>
      </c>
      <c r="I69" s="112"/>
      <c r="J69" s="112"/>
      <c r="K69" s="133">
        <v>2.8E-3</v>
      </c>
      <c r="L69" s="112"/>
      <c r="M69" s="125"/>
      <c r="N69" s="125"/>
    </row>
    <row r="70" spans="1:14">
      <c r="A70" s="122">
        <v>66</v>
      </c>
      <c r="B70" s="112"/>
      <c r="C70" s="112"/>
      <c r="D70" s="112"/>
      <c r="E70" s="112" t="s">
        <v>306</v>
      </c>
      <c r="F70" s="112"/>
      <c r="G70" s="112"/>
      <c r="H70" s="112" t="s">
        <v>335</v>
      </c>
      <c r="I70" s="112"/>
      <c r="J70" s="112"/>
      <c r="K70" s="133">
        <v>2.8E-3</v>
      </c>
      <c r="L70" s="112"/>
      <c r="M70" s="125"/>
      <c r="N70" s="125"/>
    </row>
    <row r="71" spans="1:14">
      <c r="A71" s="122">
        <v>67</v>
      </c>
      <c r="B71" s="112"/>
      <c r="C71" s="112"/>
      <c r="D71" s="112"/>
      <c r="E71" s="112" t="s">
        <v>327</v>
      </c>
      <c r="F71" s="112"/>
      <c r="G71" s="112"/>
      <c r="H71" s="112" t="s">
        <v>335</v>
      </c>
      <c r="I71" s="112"/>
      <c r="J71" s="112"/>
      <c r="K71" s="133">
        <v>2.5000000000000001E-3</v>
      </c>
      <c r="L71" s="112"/>
      <c r="M71" s="125"/>
      <c r="N71" s="125"/>
    </row>
    <row r="72" spans="1:14">
      <c r="A72" s="122">
        <v>68</v>
      </c>
      <c r="B72" s="112"/>
      <c r="C72" s="112"/>
      <c r="D72" s="112"/>
      <c r="E72" s="112" t="s">
        <v>328</v>
      </c>
      <c r="F72" s="112"/>
      <c r="G72" s="112"/>
      <c r="H72" s="112" t="s">
        <v>335</v>
      </c>
      <c r="I72" s="112"/>
      <c r="J72" s="112"/>
      <c r="K72" s="133">
        <v>2.8E-3</v>
      </c>
      <c r="L72" s="112"/>
      <c r="M72" s="125"/>
      <c r="N72" s="125"/>
    </row>
    <row r="73" spans="1:14">
      <c r="A73" s="122">
        <v>69</v>
      </c>
      <c r="B73" s="112"/>
      <c r="C73" s="112"/>
      <c r="D73" s="112"/>
      <c r="E73" s="112" t="s">
        <v>329</v>
      </c>
      <c r="F73" s="112"/>
      <c r="G73" s="112"/>
      <c r="H73" s="112" t="s">
        <v>335</v>
      </c>
      <c r="I73" s="112"/>
      <c r="J73" s="112"/>
      <c r="K73" s="133">
        <v>2.7000000000000001E-3</v>
      </c>
      <c r="L73" s="112"/>
      <c r="M73" s="125"/>
      <c r="N73" s="125"/>
    </row>
    <row r="74" spans="1:14">
      <c r="A74" s="122">
        <v>70</v>
      </c>
      <c r="B74" s="112"/>
      <c r="C74" s="112"/>
      <c r="D74" s="112"/>
      <c r="E74" s="112"/>
      <c r="F74" s="112" t="s">
        <v>336</v>
      </c>
      <c r="G74" s="112"/>
      <c r="H74" s="112"/>
      <c r="I74" s="112"/>
      <c r="J74" s="112"/>
      <c r="K74" s="134">
        <f>ROUND(AVERAGE(K58:K73),6)</f>
        <v>2.7309999999999999E-3</v>
      </c>
      <c r="L74" s="112"/>
      <c r="M74" s="125"/>
      <c r="N74" s="125"/>
    </row>
    <row r="75" spans="1:14">
      <c r="A75" s="126"/>
      <c r="B75" s="126"/>
      <c r="C75" s="126"/>
      <c r="D75" s="126"/>
      <c r="E75" s="126"/>
      <c r="F75" s="126"/>
      <c r="G75" s="126"/>
      <c r="H75" s="126"/>
      <c r="I75" s="126"/>
      <c r="J75" s="126"/>
      <c r="K75" s="126"/>
      <c r="L75" s="126"/>
      <c r="M75" s="126"/>
      <c r="N75" s="126"/>
    </row>
    <row r="76" spans="1:14">
      <c r="A76" s="126"/>
      <c r="B76" s="126"/>
      <c r="C76" s="126"/>
      <c r="D76" s="126"/>
      <c r="E76" s="126"/>
      <c r="F76" s="126"/>
      <c r="G76" s="126"/>
      <c r="H76" s="126"/>
      <c r="I76" s="126"/>
      <c r="J76" s="126"/>
      <c r="K76" s="126"/>
      <c r="L76" s="126"/>
      <c r="M76" s="126"/>
      <c r="N76" s="126"/>
    </row>
    <row r="77" spans="1:14" ht="13">
      <c r="A77" s="128"/>
      <c r="B77" s="128"/>
      <c r="C77" s="132" t="s">
        <v>342</v>
      </c>
      <c r="D77" s="127"/>
      <c r="E77" s="127"/>
      <c r="F77" s="128"/>
      <c r="G77" s="128"/>
      <c r="H77" s="128"/>
      <c r="I77" s="128"/>
      <c r="J77" s="128"/>
      <c r="K77" s="128"/>
      <c r="L77" s="128"/>
      <c r="M77" s="128"/>
      <c r="N77" s="128"/>
    </row>
    <row r="78" spans="1:14" ht="13">
      <c r="A78" s="126"/>
      <c r="B78" s="126"/>
      <c r="C78" s="126"/>
      <c r="D78" s="126"/>
      <c r="E78" s="126"/>
      <c r="F78" s="126"/>
      <c r="G78" s="126"/>
      <c r="H78" s="126"/>
      <c r="I78" s="126"/>
      <c r="J78" s="126"/>
      <c r="K78" s="126"/>
      <c r="L78" s="126"/>
      <c r="M78" s="135" t="s">
        <v>338</v>
      </c>
      <c r="N78" s="135" t="s">
        <v>339</v>
      </c>
    </row>
    <row r="79" spans="1:14" ht="13">
      <c r="A79" s="122">
        <v>45</v>
      </c>
      <c r="B79" s="112"/>
      <c r="C79" s="112" t="s">
        <v>316</v>
      </c>
      <c r="D79" s="119" t="s">
        <v>341</v>
      </c>
      <c r="E79" s="119"/>
      <c r="F79" s="129"/>
      <c r="G79" s="126"/>
      <c r="H79" s="126"/>
      <c r="I79" s="126"/>
      <c r="J79" s="126"/>
      <c r="K79" s="126"/>
      <c r="L79" s="126"/>
      <c r="M79" s="136">
        <v>293735.89521542564</v>
      </c>
      <c r="N79" s="136">
        <v>-59891.040000000037</v>
      </c>
    </row>
    <row r="80" spans="1:14" ht="13">
      <c r="A80" s="122">
        <v>46</v>
      </c>
      <c r="B80" s="112"/>
      <c r="C80" s="112" t="s">
        <v>318</v>
      </c>
      <c r="D80" s="119" t="s">
        <v>319</v>
      </c>
      <c r="E80" s="119"/>
      <c r="F80" s="129"/>
      <c r="G80" s="126"/>
      <c r="H80" s="126"/>
      <c r="I80" s="126"/>
      <c r="J80" s="126"/>
      <c r="K80" s="126"/>
      <c r="L80" s="126"/>
      <c r="M80" s="143">
        <f>ROUND((1+$K$104)^18,2)</f>
        <v>1.05</v>
      </c>
      <c r="N80" s="143">
        <f>ROUND((1+$K$104)^18,2)</f>
        <v>1.05</v>
      </c>
    </row>
    <row r="81" spans="1:14" ht="13">
      <c r="A81" s="122">
        <v>47</v>
      </c>
      <c r="B81" s="112"/>
      <c r="C81" s="112" t="s">
        <v>320</v>
      </c>
      <c r="D81" s="119" t="s">
        <v>441</v>
      </c>
      <c r="E81" s="119"/>
      <c r="F81" s="129"/>
      <c r="G81" s="126"/>
      <c r="H81" s="126"/>
      <c r="I81" s="126"/>
      <c r="J81" s="126"/>
      <c r="K81" s="126"/>
      <c r="L81" s="126"/>
      <c r="M81" s="144">
        <f>+M79*M80</f>
        <v>308422.68997619691</v>
      </c>
      <c r="N81" s="144">
        <f>+N79*N80</f>
        <v>-62885.592000000041</v>
      </c>
    </row>
    <row r="82" spans="1:14">
      <c r="A82" s="122">
        <v>48</v>
      </c>
      <c r="B82" s="112"/>
      <c r="C82" s="112"/>
      <c r="D82" s="114"/>
      <c r="E82" s="114"/>
      <c r="F82" s="114"/>
      <c r="G82" s="114"/>
      <c r="H82" s="114"/>
      <c r="I82" s="114"/>
      <c r="J82" s="114"/>
      <c r="K82" s="114"/>
      <c r="L82" s="126"/>
      <c r="M82" s="126"/>
      <c r="N82" s="126"/>
    </row>
    <row r="83" spans="1:14">
      <c r="A83" s="122">
        <v>49</v>
      </c>
      <c r="B83" s="112"/>
      <c r="C83" s="112"/>
      <c r="D83" s="112"/>
      <c r="E83" s="112" t="s">
        <v>272</v>
      </c>
      <c r="F83" s="112" t="s">
        <v>322</v>
      </c>
      <c r="G83" s="112"/>
      <c r="H83" s="112"/>
      <c r="I83" s="112"/>
      <c r="J83" s="112"/>
      <c r="K83" s="112"/>
      <c r="L83" s="126"/>
      <c r="M83" s="126"/>
      <c r="N83" s="126"/>
    </row>
    <row r="84" spans="1:14">
      <c r="A84" s="122">
        <v>50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26"/>
      <c r="M84" s="126"/>
      <c r="N84" s="126"/>
    </row>
    <row r="85" spans="1:14">
      <c r="A85" s="122">
        <v>51</v>
      </c>
      <c r="B85" s="112"/>
      <c r="C85" s="112"/>
      <c r="D85" s="139" t="s">
        <v>323</v>
      </c>
      <c r="E85" s="112"/>
      <c r="F85" s="112"/>
      <c r="G85" s="112"/>
      <c r="H85" s="112"/>
      <c r="I85" s="112"/>
      <c r="J85" s="112"/>
      <c r="K85" s="112"/>
      <c r="L85" s="126"/>
      <c r="M85" s="126"/>
      <c r="N85" s="126"/>
    </row>
    <row r="86" spans="1:14">
      <c r="A86" s="122">
        <v>52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37" t="s">
        <v>324</v>
      </c>
    </row>
    <row r="87" spans="1:14">
      <c r="A87" s="122">
        <v>53</v>
      </c>
      <c r="B87" s="112"/>
      <c r="C87" s="112"/>
      <c r="D87" s="112"/>
      <c r="E87" s="138" t="s">
        <v>278</v>
      </c>
      <c r="F87" s="108"/>
      <c r="G87" s="108"/>
      <c r="H87" s="138" t="s">
        <v>279</v>
      </c>
      <c r="I87" s="123"/>
      <c r="J87" s="112"/>
      <c r="K87" s="138" t="s">
        <v>325</v>
      </c>
    </row>
    <row r="88" spans="1:14">
      <c r="A88" s="122">
        <v>54</v>
      </c>
      <c r="B88" s="112"/>
      <c r="C88" s="112"/>
      <c r="D88" s="112"/>
      <c r="E88" s="112" t="s">
        <v>306</v>
      </c>
      <c r="F88" s="112"/>
      <c r="G88" s="112"/>
      <c r="H88" s="112" t="s">
        <v>326</v>
      </c>
      <c r="I88" s="112"/>
      <c r="J88" s="112"/>
      <c r="K88" s="133">
        <v>2.8E-3</v>
      </c>
    </row>
    <row r="89" spans="1:14">
      <c r="A89" s="122">
        <v>55</v>
      </c>
      <c r="B89" s="112"/>
      <c r="C89" s="112"/>
      <c r="D89" s="112"/>
      <c r="E89" s="112" t="s">
        <v>327</v>
      </c>
      <c r="F89" s="112"/>
      <c r="G89" s="112"/>
      <c r="H89" s="112" t="s">
        <v>326</v>
      </c>
      <c r="I89" s="112"/>
      <c r="J89" s="112"/>
      <c r="K89" s="133">
        <v>2.5000000000000001E-3</v>
      </c>
    </row>
    <row r="90" spans="1:14">
      <c r="A90" s="122">
        <v>56</v>
      </c>
      <c r="B90" s="112"/>
      <c r="C90" s="112"/>
      <c r="D90" s="112"/>
      <c r="E90" s="112" t="s">
        <v>328</v>
      </c>
      <c r="F90" s="112"/>
      <c r="G90" s="112"/>
      <c r="H90" s="112" t="s">
        <v>326</v>
      </c>
      <c r="I90" s="112"/>
      <c r="J90" s="112"/>
      <c r="K90" s="133">
        <v>2.8E-3</v>
      </c>
    </row>
    <row r="91" spans="1:14">
      <c r="A91" s="122">
        <v>57</v>
      </c>
      <c r="B91" s="112"/>
      <c r="C91" s="112"/>
      <c r="D91" s="112"/>
      <c r="E91" s="112" t="s">
        <v>329</v>
      </c>
      <c r="F91" s="112"/>
      <c r="G91" s="112"/>
      <c r="H91" s="112" t="s">
        <v>326</v>
      </c>
      <c r="I91" s="112"/>
      <c r="J91" s="112"/>
      <c r="K91" s="133">
        <v>2.7000000000000001E-3</v>
      </c>
    </row>
    <row r="92" spans="1:14">
      <c r="A92" s="122">
        <v>58</v>
      </c>
      <c r="B92" s="112"/>
      <c r="C92" s="112"/>
      <c r="D92" s="112"/>
      <c r="E92" s="112" t="s">
        <v>283</v>
      </c>
      <c r="F92" s="112"/>
      <c r="G92" s="112"/>
      <c r="H92" s="112" t="s">
        <v>326</v>
      </c>
      <c r="I92" s="112"/>
      <c r="J92" s="112"/>
      <c r="K92" s="133">
        <v>2.8E-3</v>
      </c>
    </row>
    <row r="93" spans="1:14">
      <c r="A93" s="122">
        <v>59</v>
      </c>
      <c r="B93" s="112"/>
      <c r="C93" s="112"/>
      <c r="D93" s="112"/>
      <c r="E93" s="112" t="s">
        <v>330</v>
      </c>
      <c r="F93" s="112"/>
      <c r="G93" s="112"/>
      <c r="H93" s="112" t="s">
        <v>326</v>
      </c>
      <c r="I93" s="112"/>
      <c r="J93" s="112"/>
      <c r="K93" s="133">
        <v>2.7000000000000001E-3</v>
      </c>
    </row>
    <row r="94" spans="1:14">
      <c r="A94" s="122">
        <v>60</v>
      </c>
      <c r="B94" s="112"/>
      <c r="C94" s="112"/>
      <c r="D94" s="112"/>
      <c r="E94" s="112" t="s">
        <v>331</v>
      </c>
      <c r="F94" s="112"/>
      <c r="G94" s="112"/>
      <c r="H94" s="112" t="s">
        <v>326</v>
      </c>
      <c r="I94" s="112"/>
      <c r="J94" s="112"/>
      <c r="K94" s="133">
        <v>2.8E-3</v>
      </c>
    </row>
    <row r="95" spans="1:14">
      <c r="A95" s="122">
        <v>61</v>
      </c>
      <c r="B95" s="112"/>
      <c r="C95" s="112"/>
      <c r="D95" s="112"/>
      <c r="E95" s="112" t="s">
        <v>332</v>
      </c>
      <c r="F95" s="112"/>
      <c r="G95" s="112"/>
      <c r="H95" s="112" t="s">
        <v>326</v>
      </c>
      <c r="I95" s="112"/>
      <c r="J95" s="112"/>
      <c r="K95" s="133">
        <v>2.8E-3</v>
      </c>
    </row>
    <row r="96" spans="1:14">
      <c r="A96" s="122">
        <v>62</v>
      </c>
      <c r="B96" s="112"/>
      <c r="C96" s="112"/>
      <c r="D96" s="112"/>
      <c r="E96" s="112" t="s">
        <v>294</v>
      </c>
      <c r="F96" s="112"/>
      <c r="G96" s="112"/>
      <c r="H96" s="112" t="s">
        <v>326</v>
      </c>
      <c r="I96" s="112"/>
      <c r="J96" s="112"/>
      <c r="K96" s="133">
        <v>2.7000000000000001E-3</v>
      </c>
    </row>
    <row r="97" spans="1:11">
      <c r="A97" s="122">
        <v>63</v>
      </c>
      <c r="B97" s="112"/>
      <c r="C97" s="112"/>
      <c r="D97" s="112"/>
      <c r="E97" s="112" t="s">
        <v>303</v>
      </c>
      <c r="F97" s="112"/>
      <c r="G97" s="112"/>
      <c r="H97" s="112" t="s">
        <v>326</v>
      </c>
      <c r="I97" s="112"/>
      <c r="J97" s="112"/>
      <c r="K97" s="133">
        <v>2.8E-3</v>
      </c>
    </row>
    <row r="98" spans="1:11">
      <c r="A98" s="122">
        <v>64</v>
      </c>
      <c r="B98" s="112"/>
      <c r="C98" s="112"/>
      <c r="D98" s="112"/>
      <c r="E98" s="112" t="s">
        <v>333</v>
      </c>
      <c r="F98" s="112"/>
      <c r="G98" s="112"/>
      <c r="H98" s="112" t="s">
        <v>326</v>
      </c>
      <c r="I98" s="112"/>
      <c r="J98" s="112"/>
      <c r="K98" s="133">
        <v>2.7000000000000001E-3</v>
      </c>
    </row>
    <row r="99" spans="1:11">
      <c r="A99" s="122">
        <v>65</v>
      </c>
      <c r="B99" s="112"/>
      <c r="C99" s="112"/>
      <c r="D99" s="112"/>
      <c r="E99" s="112" t="s">
        <v>334</v>
      </c>
      <c r="F99" s="112"/>
      <c r="G99" s="112"/>
      <c r="H99" s="112" t="s">
        <v>326</v>
      </c>
      <c r="I99" s="112"/>
      <c r="J99" s="112"/>
      <c r="K99" s="133">
        <v>2.8E-3</v>
      </c>
    </row>
    <row r="100" spans="1:11">
      <c r="A100" s="122">
        <v>66</v>
      </c>
      <c r="B100" s="112"/>
      <c r="C100" s="112"/>
      <c r="D100" s="112"/>
      <c r="E100" s="112" t="s">
        <v>306</v>
      </c>
      <c r="F100" s="112"/>
      <c r="G100" s="112"/>
      <c r="H100" s="112" t="s">
        <v>335</v>
      </c>
      <c r="I100" s="112"/>
      <c r="J100" s="112"/>
      <c r="K100" s="133">
        <v>2.8E-3</v>
      </c>
    </row>
    <row r="101" spans="1:11">
      <c r="A101" s="122">
        <v>67</v>
      </c>
      <c r="B101" s="112"/>
      <c r="C101" s="112"/>
      <c r="D101" s="112"/>
      <c r="E101" s="112" t="s">
        <v>327</v>
      </c>
      <c r="F101" s="112"/>
      <c r="G101" s="112"/>
      <c r="H101" s="112" t="s">
        <v>335</v>
      </c>
      <c r="I101" s="112"/>
      <c r="J101" s="112"/>
      <c r="K101" s="133">
        <v>2.5000000000000001E-3</v>
      </c>
    </row>
    <row r="102" spans="1:11">
      <c r="A102" s="122">
        <v>68</v>
      </c>
      <c r="B102" s="112"/>
      <c r="C102" s="112"/>
      <c r="D102" s="112"/>
      <c r="E102" s="112" t="s">
        <v>328</v>
      </c>
      <c r="F102" s="112"/>
      <c r="G102" s="112"/>
      <c r="H102" s="112" t="s">
        <v>335</v>
      </c>
      <c r="I102" s="112"/>
      <c r="J102" s="112"/>
      <c r="K102" s="133">
        <v>2.8E-3</v>
      </c>
    </row>
    <row r="103" spans="1:11">
      <c r="A103" s="122">
        <v>69</v>
      </c>
      <c r="B103" s="112"/>
      <c r="C103" s="112"/>
      <c r="D103" s="112"/>
      <c r="E103" s="112" t="s">
        <v>329</v>
      </c>
      <c r="F103" s="112"/>
      <c r="G103" s="112"/>
      <c r="H103" s="112" t="s">
        <v>335</v>
      </c>
      <c r="I103" s="112"/>
      <c r="J103" s="112"/>
      <c r="K103" s="133">
        <v>2.7000000000000001E-3</v>
      </c>
    </row>
    <row r="104" spans="1:11">
      <c r="A104" s="122">
        <v>70</v>
      </c>
      <c r="B104" s="112"/>
      <c r="C104" s="112"/>
      <c r="D104" s="112"/>
      <c r="E104" s="112"/>
      <c r="F104" s="112" t="s">
        <v>336</v>
      </c>
      <c r="G104" s="112"/>
      <c r="H104" s="112"/>
      <c r="I104" s="112"/>
      <c r="J104" s="112"/>
      <c r="K104" s="134">
        <f>ROUND(AVERAGE(K88:K103),6)</f>
        <v>2.7309999999999999E-3</v>
      </c>
    </row>
  </sheetData>
  <mergeCells count="1">
    <mergeCell ref="A2:O2"/>
  </mergeCells>
  <pageMargins left="0.7" right="0.7" top="0.75" bottom="0.75" header="0.3" footer="0.3"/>
  <pageSetup scale="60" fitToHeight="2" orientation="portrait" verticalDpi="1200" r:id="rId1"/>
  <headerFooter>
    <oddHeader>&amp;L&amp;8 2016 BHP Attachment H Supplemental Supporting Schedules&amp;C&amp;"Arial MT,Bold"&amp;10
ACTUAL SERVICE YEAR ATRR
BLACK HILLS POWER, INC.
SUPPORTING SCHEDULES&amp;R&amp;10Page &amp;P of &amp;N</oddHeader>
  </headerFooter>
  <rowBreaks count="1" manualBreakCount="1">
    <brk id="7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7" tint="0.59999389629810485"/>
    <pageSetUpPr fitToPage="1"/>
  </sheetPr>
  <dimension ref="A3:H119"/>
  <sheetViews>
    <sheetView zoomScaleNormal="100" workbookViewId="0">
      <selection activeCell="E13" sqref="E13"/>
    </sheetView>
  </sheetViews>
  <sheetFormatPr defaultColWidth="7.07421875" defaultRowHeight="12.5"/>
  <cols>
    <col min="1" max="1" width="5.53515625" style="1" customWidth="1"/>
    <col min="2" max="2" width="35.53515625" style="1" customWidth="1"/>
    <col min="3" max="3" width="14.69140625" style="1" customWidth="1"/>
    <col min="4" max="4" width="11.07421875" style="2" customWidth="1"/>
    <col min="5" max="5" width="7.07421875" style="1"/>
    <col min="6" max="6" width="9.4609375" style="1" bestFit="1" customWidth="1"/>
    <col min="7" max="7" width="18.69140625" style="1" customWidth="1"/>
    <col min="8" max="16384" width="7.07421875" style="1"/>
  </cols>
  <sheetData>
    <row r="3" spans="1:8" ht="13">
      <c r="C3" s="149" t="s">
        <v>344</v>
      </c>
      <c r="D3" s="150">
        <v>2021</v>
      </c>
      <c r="F3" s="3"/>
    </row>
    <row r="4" spans="1:8" ht="13">
      <c r="A4" s="281" t="s">
        <v>0</v>
      </c>
      <c r="B4" s="281"/>
      <c r="C4" s="281"/>
      <c r="D4" s="281"/>
      <c r="F4" s="4"/>
    </row>
    <row r="5" spans="1:8" ht="13">
      <c r="A5" s="281" t="s">
        <v>1</v>
      </c>
      <c r="B5" s="281"/>
      <c r="C5" s="281"/>
      <c r="D5" s="281"/>
    </row>
    <row r="6" spans="1:8" s="5" customFormat="1" ht="13">
      <c r="A6" s="281" t="s">
        <v>2</v>
      </c>
      <c r="B6" s="281"/>
      <c r="C6" s="281"/>
      <c r="D6" s="281"/>
    </row>
    <row r="7" spans="1:8">
      <c r="B7" s="282"/>
      <c r="C7" s="283"/>
      <c r="D7" s="283"/>
    </row>
    <row r="8" spans="1:8">
      <c r="A8" s="6" t="s">
        <v>3</v>
      </c>
      <c r="C8" s="7" t="s">
        <v>4</v>
      </c>
      <c r="D8" s="8"/>
    </row>
    <row r="9" spans="1:8">
      <c r="A9" s="9" t="s">
        <v>5</v>
      </c>
      <c r="B9" s="14"/>
      <c r="C9" s="198" t="s">
        <v>6</v>
      </c>
      <c r="D9" s="199" t="s">
        <v>7</v>
      </c>
    </row>
    <row r="10" spans="1:8">
      <c r="A10" s="10">
        <v>1</v>
      </c>
      <c r="B10" s="11" t="s">
        <v>8</v>
      </c>
      <c r="C10" s="14" t="s">
        <v>9</v>
      </c>
      <c r="D10" s="246">
        <v>131779</v>
      </c>
      <c r="E10" s="14"/>
      <c r="F10" s="14"/>
      <c r="G10" s="14"/>
      <c r="H10" s="179"/>
    </row>
    <row r="11" spans="1:8" ht="15.5">
      <c r="A11" s="10">
        <v>2</v>
      </c>
      <c r="B11" s="14" t="s">
        <v>10</v>
      </c>
      <c r="C11" s="14" t="s">
        <v>411</v>
      </c>
      <c r="D11" s="246">
        <v>902300</v>
      </c>
      <c r="E11" s="14"/>
      <c r="F11"/>
      <c r="G11" s="14"/>
      <c r="H11" s="179"/>
    </row>
    <row r="12" spans="1:8" ht="15.5">
      <c r="A12" s="10">
        <v>3</v>
      </c>
      <c r="B12" s="14" t="s">
        <v>11</v>
      </c>
      <c r="C12" s="14" t="s">
        <v>12</v>
      </c>
      <c r="D12" s="247">
        <v>566916</v>
      </c>
      <c r="F12"/>
      <c r="G12" s="14"/>
      <c r="H12" s="179"/>
    </row>
    <row r="13" spans="1:8" ht="14.5">
      <c r="A13" s="10">
        <v>4</v>
      </c>
      <c r="B13" s="14" t="s">
        <v>13</v>
      </c>
      <c r="C13" s="11" t="s">
        <v>55</v>
      </c>
      <c r="D13" s="246">
        <v>-445.86</v>
      </c>
      <c r="H13" s="179"/>
    </row>
    <row r="14" spans="1:8" ht="13" thickBot="1">
      <c r="A14" s="10">
        <v>5</v>
      </c>
      <c r="B14" s="200" t="s">
        <v>14</v>
      </c>
      <c r="C14" s="14"/>
      <c r="D14" s="13">
        <f>SUM(D10:D13)</f>
        <v>1600549.14</v>
      </c>
      <c r="F14" s="151"/>
      <c r="G14" s="151"/>
    </row>
    <row r="15" spans="1:8" ht="13" thickTop="1">
      <c r="A15" s="10">
        <v>6</v>
      </c>
      <c r="B15" s="14"/>
      <c r="C15" s="14"/>
      <c r="D15" s="201"/>
    </row>
    <row r="16" spans="1:8">
      <c r="A16" s="10">
        <v>7</v>
      </c>
      <c r="B16" s="14"/>
      <c r="C16" s="14"/>
      <c r="D16" s="201"/>
    </row>
    <row r="17" spans="1:8" ht="13">
      <c r="A17" s="10">
        <v>8</v>
      </c>
      <c r="B17" s="16" t="s">
        <v>15</v>
      </c>
      <c r="C17" s="14"/>
      <c r="D17" s="12"/>
      <c r="F17" s="152"/>
      <c r="G17" s="152"/>
    </row>
    <row r="18" spans="1:8">
      <c r="A18" s="10">
        <v>9</v>
      </c>
      <c r="B18" s="14"/>
      <c r="C18" s="14"/>
      <c r="D18" s="12"/>
      <c r="H18" s="152"/>
    </row>
    <row r="19" spans="1:8">
      <c r="A19" s="10">
        <v>10</v>
      </c>
      <c r="B19" s="14" t="s">
        <v>16</v>
      </c>
      <c r="C19" s="11"/>
      <c r="D19" s="12"/>
    </row>
    <row r="20" spans="1:8" ht="12.75" customHeight="1">
      <c r="A20" s="10">
        <v>11</v>
      </c>
      <c r="B20" s="14"/>
      <c r="C20" s="11"/>
      <c r="D20" s="12"/>
      <c r="H20" s="152"/>
    </row>
    <row r="21" spans="1:8">
      <c r="A21" s="10">
        <v>12</v>
      </c>
      <c r="B21" s="14"/>
      <c r="C21" s="11"/>
      <c r="D21" s="12"/>
    </row>
    <row r="22" spans="1:8">
      <c r="A22" s="10">
        <v>13</v>
      </c>
      <c r="B22" s="14"/>
      <c r="C22" s="14"/>
      <c r="D22" s="15"/>
    </row>
    <row r="23" spans="1:8" ht="16.5" customHeight="1">
      <c r="A23" s="10">
        <v>14</v>
      </c>
      <c r="B23" s="14" t="s">
        <v>17</v>
      </c>
      <c r="C23" s="16"/>
      <c r="D23" s="17">
        <f>SUM(D19:D22)</f>
        <v>0</v>
      </c>
    </row>
    <row r="24" spans="1:8">
      <c r="A24" s="10">
        <v>15</v>
      </c>
      <c r="B24" s="14"/>
      <c r="C24" s="14"/>
      <c r="D24" s="12"/>
      <c r="E24" s="14"/>
      <c r="F24" s="14"/>
      <c r="G24" s="14"/>
    </row>
    <row r="25" spans="1:8" ht="13" thickBot="1">
      <c r="A25" s="10">
        <v>16</v>
      </c>
      <c r="B25" s="11" t="s">
        <v>18</v>
      </c>
      <c r="C25" s="14"/>
      <c r="D25" s="13">
        <f>+D23/3</f>
        <v>0</v>
      </c>
      <c r="E25" s="14"/>
      <c r="F25" s="14"/>
      <c r="G25" s="14"/>
    </row>
    <row r="26" spans="1:8" ht="13" thickTop="1">
      <c r="A26" s="10">
        <v>17</v>
      </c>
      <c r="B26" s="11"/>
      <c r="C26" s="14"/>
      <c r="D26" s="32"/>
      <c r="E26" s="14"/>
      <c r="F26" s="14"/>
      <c r="G26" s="14"/>
    </row>
    <row r="27" spans="1:8">
      <c r="A27" s="10">
        <v>18</v>
      </c>
      <c r="B27" s="11"/>
      <c r="C27" s="14"/>
      <c r="D27" s="32"/>
      <c r="E27" s="14"/>
      <c r="F27" s="14"/>
      <c r="G27" s="14"/>
    </row>
    <row r="28" spans="1:8" ht="13">
      <c r="A28" s="10">
        <v>19</v>
      </c>
      <c r="B28" s="16" t="s">
        <v>50</v>
      </c>
      <c r="C28" s="14"/>
      <c r="D28" s="32"/>
      <c r="E28" s="14"/>
      <c r="F28" s="14"/>
      <c r="G28" s="14"/>
    </row>
    <row r="29" spans="1:8" ht="14.5">
      <c r="A29" s="10">
        <v>20</v>
      </c>
      <c r="B29" s="14" t="s">
        <v>53</v>
      </c>
      <c r="C29" s="11" t="s">
        <v>56</v>
      </c>
      <c r="D29" s="246">
        <v>0</v>
      </c>
      <c r="E29" s="14"/>
      <c r="F29" s="14"/>
      <c r="G29" s="14"/>
    </row>
    <row r="30" spans="1:8" ht="14.5">
      <c r="A30" s="10">
        <v>21</v>
      </c>
      <c r="B30" s="14" t="s">
        <v>54</v>
      </c>
      <c r="C30" s="11" t="s">
        <v>56</v>
      </c>
      <c r="D30" s="246">
        <v>214266.83999999982</v>
      </c>
      <c r="E30" s="14"/>
      <c r="F30" s="14"/>
      <c r="G30" s="14"/>
      <c r="H30" s="179"/>
    </row>
    <row r="31" spans="1:8" ht="13" thickBot="1">
      <c r="A31" s="10">
        <v>22</v>
      </c>
      <c r="B31" s="11" t="s">
        <v>50</v>
      </c>
      <c r="C31" s="14"/>
      <c r="D31" s="13">
        <f>SUM(D29:D30)</f>
        <v>214266.83999999982</v>
      </c>
      <c r="E31" s="14"/>
      <c r="F31" s="14"/>
      <c r="G31" s="14"/>
    </row>
    <row r="32" spans="1:8" ht="13" thickTop="1">
      <c r="A32" s="147">
        <v>23</v>
      </c>
      <c r="B32" s="11"/>
      <c r="C32" s="14"/>
      <c r="D32" s="32"/>
      <c r="E32" s="14"/>
      <c r="F32" s="14"/>
      <c r="G32" s="14"/>
    </row>
    <row r="33" spans="1:7">
      <c r="A33" s="147">
        <v>24</v>
      </c>
      <c r="B33" s="5" t="s">
        <v>52</v>
      </c>
      <c r="D33" s="32"/>
      <c r="E33" s="14"/>
      <c r="F33" s="14"/>
      <c r="G33" s="14"/>
    </row>
    <row r="34" spans="1:7">
      <c r="A34" s="147">
        <v>25</v>
      </c>
      <c r="B34" s="1" t="s">
        <v>57</v>
      </c>
    </row>
    <row r="35" spans="1:7">
      <c r="A35" s="147">
        <v>26</v>
      </c>
      <c r="B35" s="5" t="s">
        <v>19</v>
      </c>
      <c r="D35" s="1"/>
    </row>
    <row r="36" spans="1:7">
      <c r="A36" s="147">
        <v>27</v>
      </c>
      <c r="B36" s="1" t="s">
        <v>58</v>
      </c>
    </row>
    <row r="37" spans="1:7">
      <c r="A37" s="147">
        <v>28</v>
      </c>
      <c r="B37" s="5" t="s">
        <v>59</v>
      </c>
    </row>
    <row r="118" spans="7:8">
      <c r="G118" s="1" t="s">
        <v>20</v>
      </c>
      <c r="H118" s="1">
        <f>+J187</f>
        <v>0</v>
      </c>
    </row>
    <row r="119" spans="7:8">
      <c r="H119" s="1">
        <f>+H118</f>
        <v>0</v>
      </c>
    </row>
  </sheetData>
  <mergeCells count="4">
    <mergeCell ref="A4:D4"/>
    <mergeCell ref="A5:D5"/>
    <mergeCell ref="A6:D6"/>
    <mergeCell ref="B7:D7"/>
  </mergeCells>
  <printOptions horizontalCentered="1"/>
  <pageMargins left="0.75" right="0.75" top="1" bottom="1" header="0.5" footer="0.5"/>
  <pageSetup orientation="portrait" r:id="rId1"/>
  <headerFooter alignWithMargins="0">
    <oddHeader>&amp;L&amp;8 2017 BHP-Workpaper 1 Supplemental Supporting Schedules&amp;C&amp;"Arial MT,Bold"&amp;10
ACTUAL SERVICE YEAR ATRR&amp;"Arial MT,Regular"&amp;12
&amp;"Arial MT,Bold"&amp;10BLACK HILLS POWER, INC.
SUPPORTING SCHEDULES&amp;R&amp;10Page &amp;P of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39997558519241921"/>
    <pageSetUpPr fitToPage="1"/>
  </sheetPr>
  <dimension ref="A2:O115"/>
  <sheetViews>
    <sheetView topLeftCell="A28" zoomScaleNormal="100" workbookViewId="0">
      <selection activeCell="E42" sqref="E42"/>
    </sheetView>
  </sheetViews>
  <sheetFormatPr defaultColWidth="7.07421875" defaultRowHeight="12.5"/>
  <cols>
    <col min="1" max="1" width="4.23046875" style="5" customWidth="1"/>
    <col min="2" max="2" width="8.23046875" style="5" customWidth="1"/>
    <col min="3" max="3" width="35.69140625" style="5" customWidth="1"/>
    <col min="4" max="4" width="1.69140625" style="31" customWidth="1"/>
    <col min="5" max="5" width="11.69140625" style="5" bestFit="1" customWidth="1"/>
    <col min="6" max="6" width="1.84375" style="5" customWidth="1"/>
    <col min="7" max="7" width="10.69140625" style="5" bestFit="1" customWidth="1"/>
    <col min="8" max="10" width="7.07421875" style="5"/>
    <col min="11" max="11" width="7.53515625" style="5" bestFit="1" customWidth="1"/>
    <col min="12" max="16384" width="7.07421875" style="5"/>
  </cols>
  <sheetData>
    <row r="2" spans="1:15" ht="13">
      <c r="B2" s="284"/>
      <c r="C2" s="281"/>
      <c r="D2" s="281"/>
    </row>
    <row r="3" spans="1:15" ht="13">
      <c r="B3" s="148"/>
      <c r="C3" s="145"/>
      <c r="D3" s="145"/>
      <c r="F3" s="149" t="s">
        <v>344</v>
      </c>
      <c r="G3" s="150">
        <f>+'BHP WP1 A&amp;G'!D3</f>
        <v>2021</v>
      </c>
    </row>
    <row r="4" spans="1:15" ht="13">
      <c r="A4" s="281" t="s">
        <v>21</v>
      </c>
      <c r="B4" s="281"/>
      <c r="C4" s="281"/>
      <c r="D4" s="281"/>
      <c r="E4" s="281"/>
      <c r="F4" s="281"/>
      <c r="G4" s="281"/>
    </row>
    <row r="5" spans="1:15" ht="13">
      <c r="A5" s="281" t="s">
        <v>453</v>
      </c>
      <c r="B5" s="281"/>
      <c r="C5" s="281"/>
      <c r="D5" s="281"/>
      <c r="E5" s="281"/>
      <c r="F5" s="281"/>
      <c r="G5" s="281"/>
    </row>
    <row r="6" spans="1:15" ht="13">
      <c r="A6" s="281" t="s">
        <v>2</v>
      </c>
      <c r="B6" s="281"/>
      <c r="C6" s="281"/>
      <c r="D6" s="281"/>
      <c r="E6" s="281"/>
      <c r="F6" s="281"/>
      <c r="G6" s="281"/>
    </row>
    <row r="7" spans="1:15" ht="13">
      <c r="B7" s="18"/>
      <c r="C7" s="19"/>
      <c r="D7" s="19"/>
    </row>
    <row r="8" spans="1:15">
      <c r="A8" s="6" t="s">
        <v>3</v>
      </c>
      <c r="D8" s="20"/>
      <c r="E8" s="20"/>
    </row>
    <row r="9" spans="1:15" ht="13">
      <c r="A9" s="6" t="s">
        <v>5</v>
      </c>
      <c r="D9" s="21"/>
      <c r="E9" s="7" t="s">
        <v>22</v>
      </c>
      <c r="F9" s="7"/>
      <c r="G9" s="7" t="s">
        <v>23</v>
      </c>
    </row>
    <row r="10" spans="1:15">
      <c r="A10" s="22"/>
      <c r="B10" s="23"/>
      <c r="C10" s="23"/>
      <c r="D10" s="23"/>
      <c r="E10" s="23"/>
      <c r="F10" s="23"/>
      <c r="G10" s="24" t="s">
        <v>24</v>
      </c>
    </row>
    <row r="11" spans="1:15">
      <c r="B11" s="25" t="s">
        <v>25</v>
      </c>
      <c r="C11" s="25" t="s">
        <v>26</v>
      </c>
      <c r="D11" s="23"/>
      <c r="E11" s="25" t="s">
        <v>27</v>
      </c>
      <c r="F11" s="23"/>
      <c r="G11" s="25" t="s">
        <v>28</v>
      </c>
    </row>
    <row r="12" spans="1:15">
      <c r="A12" s="6">
        <v>1</v>
      </c>
      <c r="B12" s="24">
        <v>354</v>
      </c>
      <c r="C12" s="23" t="s">
        <v>29</v>
      </c>
      <c r="D12" s="23"/>
      <c r="E12" s="248">
        <v>485220.63</v>
      </c>
      <c r="F12" s="184"/>
      <c r="G12" s="184"/>
      <c r="N12" s="270"/>
      <c r="O12" s="270"/>
    </row>
    <row r="13" spans="1:15" ht="12.75" customHeight="1">
      <c r="A13" s="6">
        <v>2</v>
      </c>
      <c r="B13" s="24">
        <v>355</v>
      </c>
      <c r="C13" s="23" t="s">
        <v>30</v>
      </c>
      <c r="D13" s="23"/>
      <c r="E13" s="248">
        <v>90200232.220000029</v>
      </c>
      <c r="F13" s="184"/>
      <c r="G13" s="184"/>
      <c r="N13" s="270"/>
      <c r="O13" s="270"/>
    </row>
    <row r="14" spans="1:15">
      <c r="A14" s="6">
        <v>3</v>
      </c>
      <c r="B14" s="24">
        <v>356</v>
      </c>
      <c r="C14" s="23" t="s">
        <v>31</v>
      </c>
      <c r="D14" s="23"/>
      <c r="E14" s="248">
        <v>72814351.640000015</v>
      </c>
      <c r="F14" s="184"/>
      <c r="G14" s="184"/>
      <c r="N14" s="270"/>
      <c r="O14" s="270"/>
    </row>
    <row r="15" spans="1:15">
      <c r="A15" s="6">
        <v>4</v>
      </c>
      <c r="B15" s="24">
        <v>359</v>
      </c>
      <c r="C15" s="23" t="s">
        <v>32</v>
      </c>
      <c r="D15" s="23"/>
      <c r="E15" s="248">
        <v>6920.2800000000007</v>
      </c>
      <c r="F15" s="184"/>
      <c r="G15" s="184"/>
      <c r="N15" s="270"/>
      <c r="O15" s="270"/>
    </row>
    <row r="16" spans="1:15">
      <c r="A16" s="6">
        <v>5</v>
      </c>
      <c r="B16" s="23"/>
      <c r="C16" s="26" t="s">
        <v>33</v>
      </c>
      <c r="D16" s="23"/>
      <c r="E16" s="185">
        <f>SUM(E12:E15)</f>
        <v>163506724.77000004</v>
      </c>
      <c r="F16" s="184"/>
      <c r="G16" s="250">
        <v>24447424.086642928</v>
      </c>
      <c r="N16" s="270"/>
      <c r="O16" s="270"/>
    </row>
    <row r="17" spans="1:15">
      <c r="A17" s="6">
        <v>6</v>
      </c>
      <c r="B17" s="23"/>
      <c r="C17" s="26"/>
      <c r="D17" s="23"/>
      <c r="E17" s="186"/>
      <c r="F17" s="184"/>
      <c r="G17" s="186"/>
      <c r="N17" s="270"/>
      <c r="O17" s="270"/>
    </row>
    <row r="18" spans="1:15">
      <c r="A18" s="6">
        <v>7</v>
      </c>
      <c r="B18" s="24">
        <v>353</v>
      </c>
      <c r="C18" s="27" t="s">
        <v>34</v>
      </c>
      <c r="D18" s="28"/>
      <c r="E18" s="248">
        <v>36442602.829861</v>
      </c>
      <c r="F18" s="183"/>
      <c r="G18" s="248">
        <v>11822916.80797739</v>
      </c>
      <c r="K18" s="270"/>
      <c r="N18" s="270"/>
      <c r="O18" s="270"/>
    </row>
    <row r="19" spans="1:15">
      <c r="A19" s="6">
        <v>9</v>
      </c>
      <c r="B19" s="24">
        <v>352</v>
      </c>
      <c r="C19" s="27" t="s">
        <v>35</v>
      </c>
      <c r="D19" s="28"/>
      <c r="E19" s="248">
        <v>820463.1422479999</v>
      </c>
      <c r="F19" s="183"/>
      <c r="G19" s="248">
        <v>488004.94023662823</v>
      </c>
      <c r="N19" s="270"/>
      <c r="O19" s="270"/>
    </row>
    <row r="20" spans="1:15">
      <c r="A20" s="6">
        <v>10</v>
      </c>
      <c r="B20" s="23"/>
      <c r="C20" s="23" t="s">
        <v>36</v>
      </c>
      <c r="D20" s="23"/>
      <c r="E20" s="251">
        <f>SUM(E16:E19)</f>
        <v>200769790.74210903</v>
      </c>
      <c r="F20" s="184"/>
      <c r="G20" s="251">
        <f>SUM(G16:G19)</f>
        <v>36758345.834856942</v>
      </c>
      <c r="N20" s="270"/>
      <c r="O20" s="270"/>
    </row>
    <row r="21" spans="1:15">
      <c r="A21" s="6">
        <v>11</v>
      </c>
      <c r="B21" s="23"/>
      <c r="C21" s="23"/>
      <c r="D21" s="23"/>
      <c r="E21" s="184"/>
      <c r="F21" s="184"/>
      <c r="G21" s="184"/>
      <c r="N21" s="270"/>
      <c r="O21" s="270"/>
    </row>
    <row r="22" spans="1:15">
      <c r="A22" s="6">
        <v>12</v>
      </c>
      <c r="B22" s="29">
        <v>350</v>
      </c>
      <c r="C22" s="26" t="s">
        <v>37</v>
      </c>
      <c r="D22" s="23"/>
      <c r="E22" s="248">
        <v>9443523.2199999988</v>
      </c>
      <c r="F22" s="184"/>
      <c r="G22" s="184"/>
      <c r="N22" s="270"/>
      <c r="O22" s="270"/>
    </row>
    <row r="23" spans="1:15">
      <c r="A23" s="6">
        <v>13</v>
      </c>
      <c r="B23" s="24">
        <v>350</v>
      </c>
      <c r="C23" s="27" t="s">
        <v>38</v>
      </c>
      <c r="D23" s="28"/>
      <c r="E23" s="249">
        <v>294903.67999999999</v>
      </c>
      <c r="F23" s="28"/>
      <c r="G23" s="28"/>
      <c r="N23" s="270"/>
      <c r="O23" s="270"/>
    </row>
    <row r="24" spans="1:15">
      <c r="A24" s="6">
        <v>14</v>
      </c>
      <c r="B24" s="23"/>
      <c r="C24" s="23"/>
      <c r="D24" s="23"/>
      <c r="E24" s="28"/>
      <c r="F24" s="28"/>
      <c r="G24" s="28"/>
      <c r="N24" s="270"/>
      <c r="O24" s="270"/>
    </row>
    <row r="25" spans="1:15" ht="13">
      <c r="A25" s="6">
        <v>15</v>
      </c>
      <c r="B25" s="23"/>
      <c r="C25" s="23" t="s">
        <v>39</v>
      </c>
      <c r="D25" s="30"/>
      <c r="E25" s="252">
        <f>E20+E22+E23</f>
        <v>210508217.64210904</v>
      </c>
      <c r="F25" s="28"/>
      <c r="G25" s="252">
        <f>G20+G22+G23</f>
        <v>36758345.834856942</v>
      </c>
      <c r="N25" s="270"/>
      <c r="O25" s="270"/>
    </row>
    <row r="26" spans="1:15">
      <c r="A26" s="6">
        <v>16</v>
      </c>
      <c r="B26" s="23"/>
      <c r="C26" s="23"/>
      <c r="D26" s="23"/>
      <c r="E26" s="184"/>
      <c r="F26" s="184"/>
      <c r="G26" s="184"/>
      <c r="N26" s="270"/>
      <c r="O26" s="270"/>
    </row>
    <row r="27" spans="1:15">
      <c r="A27" s="6">
        <v>17</v>
      </c>
      <c r="B27" s="24">
        <v>352</v>
      </c>
      <c r="C27" s="23" t="s">
        <v>40</v>
      </c>
      <c r="D27" s="23"/>
      <c r="E27" s="248">
        <v>85524.481413000001</v>
      </c>
      <c r="F27" s="184"/>
      <c r="G27" s="184"/>
      <c r="N27" s="270"/>
      <c r="O27" s="270"/>
    </row>
    <row r="28" spans="1:15">
      <c r="A28" s="6">
        <v>18</v>
      </c>
      <c r="B28" s="24">
        <v>353</v>
      </c>
      <c r="C28" s="23" t="s">
        <v>40</v>
      </c>
      <c r="D28" s="23"/>
      <c r="E28" s="248">
        <v>1007121.5645570002</v>
      </c>
      <c r="F28" s="184"/>
      <c r="G28" s="184"/>
      <c r="N28" s="270"/>
      <c r="O28" s="270"/>
    </row>
    <row r="29" spans="1:15">
      <c r="A29" s="6">
        <v>19</v>
      </c>
      <c r="B29" s="24">
        <v>355</v>
      </c>
      <c r="C29" s="23" t="s">
        <v>40</v>
      </c>
      <c r="D29" s="23"/>
      <c r="E29" s="248">
        <v>257365.58000000002</v>
      </c>
      <c r="F29" s="184"/>
      <c r="G29" s="184"/>
      <c r="N29" s="270"/>
      <c r="O29" s="270"/>
    </row>
    <row r="30" spans="1:15">
      <c r="A30" s="6">
        <v>20</v>
      </c>
      <c r="B30" s="24">
        <v>356</v>
      </c>
      <c r="C30" s="23" t="s">
        <v>40</v>
      </c>
      <c r="D30" s="23"/>
      <c r="E30" s="248">
        <v>207251.595</v>
      </c>
      <c r="F30" s="184"/>
      <c r="G30" s="184"/>
      <c r="N30" s="270"/>
      <c r="O30" s="270"/>
    </row>
    <row r="31" spans="1:15">
      <c r="A31" s="6">
        <v>21</v>
      </c>
      <c r="B31" s="23"/>
      <c r="C31" s="26" t="s">
        <v>41</v>
      </c>
      <c r="D31" s="23"/>
      <c r="E31" s="251">
        <f>SUM(E27:E30)</f>
        <v>1557263.2209700001</v>
      </c>
      <c r="F31" s="184"/>
      <c r="G31" s="250">
        <v>532142.6932175078</v>
      </c>
      <c r="N31" s="270"/>
      <c r="O31" s="270"/>
    </row>
    <row r="32" spans="1:15">
      <c r="A32" s="6">
        <v>22</v>
      </c>
      <c r="B32" s="23"/>
      <c r="C32" s="26"/>
      <c r="D32" s="23"/>
      <c r="E32" s="186"/>
      <c r="F32" s="184"/>
      <c r="G32" s="186"/>
      <c r="N32" s="270"/>
      <c r="O32" s="270"/>
    </row>
    <row r="33" spans="1:15" ht="13">
      <c r="A33" s="6">
        <v>23</v>
      </c>
      <c r="B33" s="30" t="s">
        <v>42</v>
      </c>
      <c r="C33" s="26"/>
      <c r="D33" s="23"/>
      <c r="E33" s="253">
        <f>+E31+E25</f>
        <v>212065480.86307904</v>
      </c>
      <c r="F33" s="184"/>
      <c r="G33" s="253">
        <f>+G31+G25</f>
        <v>37290488.528074451</v>
      </c>
      <c r="N33" s="270"/>
      <c r="O33" s="270"/>
    </row>
    <row r="34" spans="1:15" ht="13">
      <c r="A34" s="6">
        <v>24</v>
      </c>
      <c r="B34" s="30"/>
      <c r="C34" s="26"/>
      <c r="D34" s="23"/>
      <c r="E34" s="185"/>
      <c r="F34" s="184"/>
      <c r="G34" s="186"/>
      <c r="N34" s="270"/>
      <c r="O34" s="270"/>
    </row>
    <row r="35" spans="1:15">
      <c r="A35" s="6">
        <v>25</v>
      </c>
      <c r="B35" s="23" t="s">
        <v>43</v>
      </c>
      <c r="C35" s="26"/>
      <c r="D35" s="23"/>
      <c r="E35" s="254">
        <v>254872600.62000006</v>
      </c>
      <c r="F35" s="187"/>
      <c r="G35" s="254">
        <v>46518661</v>
      </c>
      <c r="N35" s="270"/>
      <c r="O35" s="270"/>
    </row>
    <row r="36" spans="1:15">
      <c r="A36" s="6">
        <v>26</v>
      </c>
      <c r="B36" s="23"/>
      <c r="C36" s="26"/>
      <c r="D36" s="23"/>
      <c r="E36" s="186"/>
      <c r="F36" s="184"/>
      <c r="G36" s="185"/>
      <c r="N36" s="270"/>
      <c r="O36" s="270"/>
    </row>
    <row r="37" spans="1:15" ht="13" thickBot="1">
      <c r="A37" s="6">
        <v>27</v>
      </c>
      <c r="B37" s="23"/>
      <c r="C37" s="23" t="s">
        <v>44</v>
      </c>
      <c r="D37" s="23"/>
      <c r="E37" s="255">
        <v>42807119.756921023</v>
      </c>
      <c r="F37" s="184"/>
      <c r="G37" s="255">
        <v>9228172.4719255492</v>
      </c>
      <c r="N37" s="270"/>
      <c r="O37" s="270"/>
    </row>
    <row r="38" spans="1:15" ht="13" thickTop="1">
      <c r="A38" s="6">
        <v>28</v>
      </c>
      <c r="B38" s="23"/>
      <c r="C38" s="26"/>
      <c r="D38" s="23"/>
      <c r="E38" s="186"/>
      <c r="F38" s="184"/>
      <c r="G38" s="186"/>
      <c r="N38" s="270"/>
      <c r="O38" s="270"/>
    </row>
    <row r="39" spans="1:15">
      <c r="A39" s="6">
        <v>29</v>
      </c>
      <c r="B39" s="24">
        <v>362</v>
      </c>
      <c r="C39" s="23" t="s">
        <v>40</v>
      </c>
      <c r="D39" s="23"/>
      <c r="E39" s="256">
        <v>6579555.044999999</v>
      </c>
      <c r="F39" s="183"/>
      <c r="G39" s="256">
        <v>2888018.7549999999</v>
      </c>
      <c r="N39" s="270"/>
      <c r="O39" s="270"/>
    </row>
    <row r="40" spans="1:15">
      <c r="A40" s="6">
        <v>30</v>
      </c>
      <c r="B40" s="24">
        <v>362</v>
      </c>
      <c r="C40" s="23" t="s">
        <v>45</v>
      </c>
      <c r="D40" s="23"/>
      <c r="E40" s="248">
        <v>4496782.24</v>
      </c>
      <c r="F40" s="183"/>
      <c r="G40" s="248">
        <v>1377133.165</v>
      </c>
      <c r="N40" s="270"/>
      <c r="O40" s="270"/>
    </row>
    <row r="41" spans="1:15">
      <c r="A41" s="6">
        <v>31</v>
      </c>
      <c r="B41" s="23"/>
      <c r="C41" s="23"/>
      <c r="D41" s="23"/>
      <c r="E41" s="185"/>
      <c r="F41" s="184"/>
      <c r="G41" s="185"/>
      <c r="N41" s="270"/>
      <c r="O41" s="270"/>
    </row>
    <row r="42" spans="1:15" ht="13">
      <c r="A42" s="6">
        <v>32</v>
      </c>
      <c r="B42" s="30" t="s">
        <v>46</v>
      </c>
      <c r="C42" s="26"/>
      <c r="D42" s="23"/>
      <c r="E42" s="253">
        <f>SUM(E39:E41)</f>
        <v>11076337.285</v>
      </c>
      <c r="F42" s="184"/>
      <c r="G42" s="253">
        <v>4265151.92</v>
      </c>
      <c r="N42" s="270"/>
      <c r="O42" s="270"/>
    </row>
    <row r="43" spans="1:15" ht="13">
      <c r="A43" s="6">
        <v>33</v>
      </c>
      <c r="B43" s="30"/>
      <c r="C43" s="26"/>
      <c r="D43" s="23"/>
      <c r="E43" s="186"/>
      <c r="F43" s="184"/>
      <c r="G43" s="186"/>
      <c r="N43" s="270"/>
      <c r="O43" s="270"/>
    </row>
    <row r="44" spans="1:15">
      <c r="A44" s="6">
        <v>34</v>
      </c>
      <c r="B44" s="23" t="s">
        <v>47</v>
      </c>
      <c r="C44" s="26"/>
      <c r="D44" s="23"/>
      <c r="E44" s="257">
        <v>487693448</v>
      </c>
      <c r="F44" s="187"/>
      <c r="G44" s="257">
        <v>159225441</v>
      </c>
      <c r="N44" s="270"/>
      <c r="O44" s="270"/>
    </row>
    <row r="45" spans="1:15" ht="13" thickBot="1">
      <c r="A45" s="6">
        <v>35</v>
      </c>
      <c r="B45" s="23"/>
      <c r="C45" s="23" t="s">
        <v>48</v>
      </c>
      <c r="D45" s="23"/>
      <c r="E45" s="258">
        <f>+E44-E42</f>
        <v>476617110.71499997</v>
      </c>
      <c r="F45" s="184"/>
      <c r="G45" s="258">
        <f>+G44-G42</f>
        <v>154960289.08000001</v>
      </c>
      <c r="N45" s="270"/>
      <c r="O45" s="270"/>
    </row>
    <row r="46" spans="1:15" ht="13" thickTop="1">
      <c r="A46" s="6">
        <v>36</v>
      </c>
      <c r="B46" s="23"/>
      <c r="C46" s="26"/>
      <c r="D46" s="23"/>
      <c r="E46" s="186"/>
      <c r="F46" s="184"/>
      <c r="G46" s="186"/>
      <c r="N46" s="270"/>
      <c r="O46" s="270"/>
    </row>
    <row r="47" spans="1:15" ht="13.5" thickBot="1">
      <c r="A47" s="6">
        <v>37</v>
      </c>
      <c r="B47" s="23"/>
      <c r="C47" s="30" t="s">
        <v>49</v>
      </c>
      <c r="D47" s="23"/>
      <c r="E47" s="259">
        <f>+E42+E33</f>
        <v>223141818.14807904</v>
      </c>
      <c r="F47" s="184"/>
      <c r="G47" s="259">
        <f>+G42+G33</f>
        <v>41555640.448074453</v>
      </c>
      <c r="N47" s="270"/>
      <c r="O47" s="270"/>
    </row>
    <row r="48" spans="1:15" ht="13" thickTop="1">
      <c r="A48" s="146">
        <v>38</v>
      </c>
    </row>
    <row r="49" spans="1:2">
      <c r="A49" s="146">
        <v>39</v>
      </c>
      <c r="B49" s="5" t="s">
        <v>60</v>
      </c>
    </row>
    <row r="50" spans="1:2">
      <c r="A50" s="146">
        <v>40</v>
      </c>
      <c r="B50" s="33" t="s">
        <v>61</v>
      </c>
    </row>
    <row r="51" spans="1:2">
      <c r="A51" s="146">
        <v>41</v>
      </c>
      <c r="B51" s="33" t="s">
        <v>63</v>
      </c>
    </row>
    <row r="52" spans="1:2">
      <c r="A52" s="146">
        <v>42</v>
      </c>
      <c r="B52" s="33" t="s">
        <v>62</v>
      </c>
    </row>
    <row r="114" spans="6:6">
      <c r="F114" s="5">
        <f>+H183</f>
        <v>0</v>
      </c>
    </row>
    <row r="115" spans="6:6">
      <c r="F115" s="5">
        <f>+F114</f>
        <v>0</v>
      </c>
    </row>
  </sheetData>
  <mergeCells count="4">
    <mergeCell ref="B2:D2"/>
    <mergeCell ref="A4:G4"/>
    <mergeCell ref="A5:G5"/>
    <mergeCell ref="A6:G6"/>
  </mergeCells>
  <printOptions horizontalCentered="1"/>
  <pageMargins left="0.5" right="0.25" top="1" bottom="1" header="0.5" footer="0.5"/>
  <pageSetup scale="98" orientation="portrait" r:id="rId1"/>
  <headerFooter alignWithMargins="0">
    <oddHeader>&amp;L&amp;8 2016 BHP-Workpaper 4 Supplemental Supporting Schedules&amp;C&amp;"Arial MT,Bold"&amp;10
ACTUAL SERVICE YEAR ATRR
BLACK HILLS POWER, INC.
SUPPORTING SCHEDULES&amp;R&amp;10Page &amp;P of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 tint="0.39997558519241921"/>
  </sheetPr>
  <dimension ref="A3:U46"/>
  <sheetViews>
    <sheetView topLeftCell="A7" zoomScaleNormal="100" workbookViewId="0">
      <selection activeCell="I4" sqref="I4"/>
    </sheetView>
  </sheetViews>
  <sheetFormatPr defaultRowHeight="15.5"/>
  <cols>
    <col min="1" max="1" width="3.4609375" bestFit="1" customWidth="1"/>
    <col min="2" max="2" width="3.4609375" customWidth="1"/>
    <col min="3" max="3" width="13.23046875" customWidth="1"/>
    <col min="4" max="4" width="2.69140625" customWidth="1"/>
    <col min="5" max="5" width="15.2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" customWidth="1"/>
    <col min="11" max="11" width="11.84375" bestFit="1" customWidth="1"/>
    <col min="12" max="12" width="3.07421875" customWidth="1"/>
    <col min="13" max="13" width="11.84375" bestFit="1" customWidth="1"/>
    <col min="14" max="14" width="3.07421875" customWidth="1"/>
    <col min="15" max="15" width="13.53515625" bestFit="1" customWidth="1"/>
    <col min="16" max="17" width="9.23046875" customWidth="1"/>
    <col min="19" max="19" width="14.07421875" bestFit="1" customWidth="1"/>
    <col min="20" max="20" width="10.84375" bestFit="1" customWidth="1"/>
    <col min="263" max="263" width="3.4609375" bestFit="1" customWidth="1"/>
    <col min="264" max="264" width="3.4609375" customWidth="1"/>
    <col min="265" max="265" width="13.23046875" customWidth="1"/>
    <col min="266" max="266" width="2.69140625" customWidth="1"/>
    <col min="267" max="267" width="15.23046875" customWidth="1"/>
    <col min="268" max="268" width="3" customWidth="1"/>
    <col min="269" max="269" width="11.84375" bestFit="1" customWidth="1"/>
    <col min="270" max="270" width="3.07421875" customWidth="1"/>
    <col min="271" max="271" width="13.53515625" bestFit="1" customWidth="1"/>
    <col min="272" max="273" width="9.23046875" customWidth="1"/>
    <col min="519" max="519" width="3.4609375" bestFit="1" customWidth="1"/>
    <col min="520" max="520" width="3.4609375" customWidth="1"/>
    <col min="521" max="521" width="13.23046875" customWidth="1"/>
    <col min="522" max="522" width="2.69140625" customWidth="1"/>
    <col min="523" max="523" width="15.23046875" customWidth="1"/>
    <col min="524" max="524" width="3" customWidth="1"/>
    <col min="525" max="525" width="11.84375" bestFit="1" customWidth="1"/>
    <col min="526" max="526" width="3.07421875" customWidth="1"/>
    <col min="527" max="527" width="13.53515625" bestFit="1" customWidth="1"/>
    <col min="528" max="529" width="9.23046875" customWidth="1"/>
    <col min="775" max="775" width="3.4609375" bestFit="1" customWidth="1"/>
    <col min="776" max="776" width="3.4609375" customWidth="1"/>
    <col min="777" max="777" width="13.23046875" customWidth="1"/>
    <col min="778" max="778" width="2.69140625" customWidth="1"/>
    <col min="779" max="779" width="15.23046875" customWidth="1"/>
    <col min="780" max="780" width="3" customWidth="1"/>
    <col min="781" max="781" width="11.84375" bestFit="1" customWidth="1"/>
    <col min="782" max="782" width="3.07421875" customWidth="1"/>
    <col min="783" max="783" width="13.53515625" bestFit="1" customWidth="1"/>
    <col min="784" max="785" width="9.23046875" customWidth="1"/>
    <col min="1031" max="1031" width="3.4609375" bestFit="1" customWidth="1"/>
    <col min="1032" max="1032" width="3.4609375" customWidth="1"/>
    <col min="1033" max="1033" width="13.23046875" customWidth="1"/>
    <col min="1034" max="1034" width="2.69140625" customWidth="1"/>
    <col min="1035" max="1035" width="15.23046875" customWidth="1"/>
    <col min="1036" max="1036" width="3" customWidth="1"/>
    <col min="1037" max="1037" width="11.84375" bestFit="1" customWidth="1"/>
    <col min="1038" max="1038" width="3.07421875" customWidth="1"/>
    <col min="1039" max="1039" width="13.53515625" bestFit="1" customWidth="1"/>
    <col min="1040" max="1041" width="9.23046875" customWidth="1"/>
    <col min="1287" max="1287" width="3.4609375" bestFit="1" customWidth="1"/>
    <col min="1288" max="1288" width="3.4609375" customWidth="1"/>
    <col min="1289" max="1289" width="13.23046875" customWidth="1"/>
    <col min="1290" max="1290" width="2.69140625" customWidth="1"/>
    <col min="1291" max="1291" width="15.23046875" customWidth="1"/>
    <col min="1292" max="1292" width="3" customWidth="1"/>
    <col min="1293" max="1293" width="11.84375" bestFit="1" customWidth="1"/>
    <col min="1294" max="1294" width="3.07421875" customWidth="1"/>
    <col min="1295" max="1295" width="13.53515625" bestFit="1" customWidth="1"/>
    <col min="1296" max="1297" width="9.23046875" customWidth="1"/>
    <col min="1543" max="1543" width="3.4609375" bestFit="1" customWidth="1"/>
    <col min="1544" max="1544" width="3.4609375" customWidth="1"/>
    <col min="1545" max="1545" width="13.23046875" customWidth="1"/>
    <col min="1546" max="1546" width="2.69140625" customWidth="1"/>
    <col min="1547" max="1547" width="15.23046875" customWidth="1"/>
    <col min="1548" max="1548" width="3" customWidth="1"/>
    <col min="1549" max="1549" width="11.84375" bestFit="1" customWidth="1"/>
    <col min="1550" max="1550" width="3.07421875" customWidth="1"/>
    <col min="1551" max="1551" width="13.53515625" bestFit="1" customWidth="1"/>
    <col min="1552" max="1553" width="9.23046875" customWidth="1"/>
    <col min="1799" max="1799" width="3.4609375" bestFit="1" customWidth="1"/>
    <col min="1800" max="1800" width="3.4609375" customWidth="1"/>
    <col min="1801" max="1801" width="13.23046875" customWidth="1"/>
    <col min="1802" max="1802" width="2.69140625" customWidth="1"/>
    <col min="1803" max="1803" width="15.23046875" customWidth="1"/>
    <col min="1804" max="1804" width="3" customWidth="1"/>
    <col min="1805" max="1805" width="11.84375" bestFit="1" customWidth="1"/>
    <col min="1806" max="1806" width="3.07421875" customWidth="1"/>
    <col min="1807" max="1807" width="13.53515625" bestFit="1" customWidth="1"/>
    <col min="1808" max="1809" width="9.23046875" customWidth="1"/>
    <col min="2055" max="2055" width="3.4609375" bestFit="1" customWidth="1"/>
    <col min="2056" max="2056" width="3.4609375" customWidth="1"/>
    <col min="2057" max="2057" width="13.23046875" customWidth="1"/>
    <col min="2058" max="2058" width="2.69140625" customWidth="1"/>
    <col min="2059" max="2059" width="15.23046875" customWidth="1"/>
    <col min="2060" max="2060" width="3" customWidth="1"/>
    <col min="2061" max="2061" width="11.84375" bestFit="1" customWidth="1"/>
    <col min="2062" max="2062" width="3.07421875" customWidth="1"/>
    <col min="2063" max="2063" width="13.53515625" bestFit="1" customWidth="1"/>
    <col min="2064" max="2065" width="9.23046875" customWidth="1"/>
    <col min="2311" max="2311" width="3.4609375" bestFit="1" customWidth="1"/>
    <col min="2312" max="2312" width="3.4609375" customWidth="1"/>
    <col min="2313" max="2313" width="13.23046875" customWidth="1"/>
    <col min="2314" max="2314" width="2.69140625" customWidth="1"/>
    <col min="2315" max="2315" width="15.23046875" customWidth="1"/>
    <col min="2316" max="2316" width="3" customWidth="1"/>
    <col min="2317" max="2317" width="11.84375" bestFit="1" customWidth="1"/>
    <col min="2318" max="2318" width="3.07421875" customWidth="1"/>
    <col min="2319" max="2319" width="13.53515625" bestFit="1" customWidth="1"/>
    <col min="2320" max="2321" width="9.23046875" customWidth="1"/>
    <col min="2567" max="2567" width="3.4609375" bestFit="1" customWidth="1"/>
    <col min="2568" max="2568" width="3.4609375" customWidth="1"/>
    <col min="2569" max="2569" width="13.23046875" customWidth="1"/>
    <col min="2570" max="2570" width="2.69140625" customWidth="1"/>
    <col min="2571" max="2571" width="15.23046875" customWidth="1"/>
    <col min="2572" max="2572" width="3" customWidth="1"/>
    <col min="2573" max="2573" width="11.84375" bestFit="1" customWidth="1"/>
    <col min="2574" max="2574" width="3.07421875" customWidth="1"/>
    <col min="2575" max="2575" width="13.53515625" bestFit="1" customWidth="1"/>
    <col min="2576" max="2577" width="9.23046875" customWidth="1"/>
    <col min="2823" max="2823" width="3.4609375" bestFit="1" customWidth="1"/>
    <col min="2824" max="2824" width="3.4609375" customWidth="1"/>
    <col min="2825" max="2825" width="13.23046875" customWidth="1"/>
    <col min="2826" max="2826" width="2.69140625" customWidth="1"/>
    <col min="2827" max="2827" width="15.23046875" customWidth="1"/>
    <col min="2828" max="2828" width="3" customWidth="1"/>
    <col min="2829" max="2829" width="11.84375" bestFit="1" customWidth="1"/>
    <col min="2830" max="2830" width="3.07421875" customWidth="1"/>
    <col min="2831" max="2831" width="13.53515625" bestFit="1" customWidth="1"/>
    <col min="2832" max="2833" width="9.23046875" customWidth="1"/>
    <col min="3079" max="3079" width="3.4609375" bestFit="1" customWidth="1"/>
    <col min="3080" max="3080" width="3.4609375" customWidth="1"/>
    <col min="3081" max="3081" width="13.23046875" customWidth="1"/>
    <col min="3082" max="3082" width="2.69140625" customWidth="1"/>
    <col min="3083" max="3083" width="15.23046875" customWidth="1"/>
    <col min="3084" max="3084" width="3" customWidth="1"/>
    <col min="3085" max="3085" width="11.84375" bestFit="1" customWidth="1"/>
    <col min="3086" max="3086" width="3.07421875" customWidth="1"/>
    <col min="3087" max="3087" width="13.53515625" bestFit="1" customWidth="1"/>
    <col min="3088" max="3089" width="9.23046875" customWidth="1"/>
    <col min="3335" max="3335" width="3.4609375" bestFit="1" customWidth="1"/>
    <col min="3336" max="3336" width="3.4609375" customWidth="1"/>
    <col min="3337" max="3337" width="13.23046875" customWidth="1"/>
    <col min="3338" max="3338" width="2.69140625" customWidth="1"/>
    <col min="3339" max="3339" width="15.23046875" customWidth="1"/>
    <col min="3340" max="3340" width="3" customWidth="1"/>
    <col min="3341" max="3341" width="11.84375" bestFit="1" customWidth="1"/>
    <col min="3342" max="3342" width="3.07421875" customWidth="1"/>
    <col min="3343" max="3343" width="13.53515625" bestFit="1" customWidth="1"/>
    <col min="3344" max="3345" width="9.23046875" customWidth="1"/>
    <col min="3591" max="3591" width="3.4609375" bestFit="1" customWidth="1"/>
    <col min="3592" max="3592" width="3.4609375" customWidth="1"/>
    <col min="3593" max="3593" width="13.23046875" customWidth="1"/>
    <col min="3594" max="3594" width="2.69140625" customWidth="1"/>
    <col min="3595" max="3595" width="15.23046875" customWidth="1"/>
    <col min="3596" max="3596" width="3" customWidth="1"/>
    <col min="3597" max="3597" width="11.84375" bestFit="1" customWidth="1"/>
    <col min="3598" max="3598" width="3.07421875" customWidth="1"/>
    <col min="3599" max="3599" width="13.53515625" bestFit="1" customWidth="1"/>
    <col min="3600" max="3601" width="9.23046875" customWidth="1"/>
    <col min="3847" max="3847" width="3.4609375" bestFit="1" customWidth="1"/>
    <col min="3848" max="3848" width="3.4609375" customWidth="1"/>
    <col min="3849" max="3849" width="13.23046875" customWidth="1"/>
    <col min="3850" max="3850" width="2.69140625" customWidth="1"/>
    <col min="3851" max="3851" width="15.23046875" customWidth="1"/>
    <col min="3852" max="3852" width="3" customWidth="1"/>
    <col min="3853" max="3853" width="11.84375" bestFit="1" customWidth="1"/>
    <col min="3854" max="3854" width="3.07421875" customWidth="1"/>
    <col min="3855" max="3855" width="13.53515625" bestFit="1" customWidth="1"/>
    <col min="3856" max="3857" width="9.23046875" customWidth="1"/>
    <col min="4103" max="4103" width="3.4609375" bestFit="1" customWidth="1"/>
    <col min="4104" max="4104" width="3.4609375" customWidth="1"/>
    <col min="4105" max="4105" width="13.23046875" customWidth="1"/>
    <col min="4106" max="4106" width="2.69140625" customWidth="1"/>
    <col min="4107" max="4107" width="15.23046875" customWidth="1"/>
    <col min="4108" max="4108" width="3" customWidth="1"/>
    <col min="4109" max="4109" width="11.84375" bestFit="1" customWidth="1"/>
    <col min="4110" max="4110" width="3.07421875" customWidth="1"/>
    <col min="4111" max="4111" width="13.53515625" bestFit="1" customWidth="1"/>
    <col min="4112" max="4113" width="9.23046875" customWidth="1"/>
    <col min="4359" max="4359" width="3.4609375" bestFit="1" customWidth="1"/>
    <col min="4360" max="4360" width="3.4609375" customWidth="1"/>
    <col min="4361" max="4361" width="13.23046875" customWidth="1"/>
    <col min="4362" max="4362" width="2.69140625" customWidth="1"/>
    <col min="4363" max="4363" width="15.23046875" customWidth="1"/>
    <col min="4364" max="4364" width="3" customWidth="1"/>
    <col min="4365" max="4365" width="11.84375" bestFit="1" customWidth="1"/>
    <col min="4366" max="4366" width="3.07421875" customWidth="1"/>
    <col min="4367" max="4367" width="13.53515625" bestFit="1" customWidth="1"/>
    <col min="4368" max="4369" width="9.23046875" customWidth="1"/>
    <col min="4615" max="4615" width="3.4609375" bestFit="1" customWidth="1"/>
    <col min="4616" max="4616" width="3.4609375" customWidth="1"/>
    <col min="4617" max="4617" width="13.23046875" customWidth="1"/>
    <col min="4618" max="4618" width="2.69140625" customWidth="1"/>
    <col min="4619" max="4619" width="15.23046875" customWidth="1"/>
    <col min="4620" max="4620" width="3" customWidth="1"/>
    <col min="4621" max="4621" width="11.84375" bestFit="1" customWidth="1"/>
    <col min="4622" max="4622" width="3.07421875" customWidth="1"/>
    <col min="4623" max="4623" width="13.53515625" bestFit="1" customWidth="1"/>
    <col min="4624" max="4625" width="9.23046875" customWidth="1"/>
    <col min="4871" max="4871" width="3.4609375" bestFit="1" customWidth="1"/>
    <col min="4872" max="4872" width="3.4609375" customWidth="1"/>
    <col min="4873" max="4873" width="13.23046875" customWidth="1"/>
    <col min="4874" max="4874" width="2.69140625" customWidth="1"/>
    <col min="4875" max="4875" width="15.23046875" customWidth="1"/>
    <col min="4876" max="4876" width="3" customWidth="1"/>
    <col min="4877" max="4877" width="11.84375" bestFit="1" customWidth="1"/>
    <col min="4878" max="4878" width="3.07421875" customWidth="1"/>
    <col min="4879" max="4879" width="13.53515625" bestFit="1" customWidth="1"/>
    <col min="4880" max="4881" width="9.23046875" customWidth="1"/>
    <col min="5127" max="5127" width="3.4609375" bestFit="1" customWidth="1"/>
    <col min="5128" max="5128" width="3.4609375" customWidth="1"/>
    <col min="5129" max="5129" width="13.23046875" customWidth="1"/>
    <col min="5130" max="5130" width="2.69140625" customWidth="1"/>
    <col min="5131" max="5131" width="15.23046875" customWidth="1"/>
    <col min="5132" max="5132" width="3" customWidth="1"/>
    <col min="5133" max="5133" width="11.84375" bestFit="1" customWidth="1"/>
    <col min="5134" max="5134" width="3.07421875" customWidth="1"/>
    <col min="5135" max="5135" width="13.53515625" bestFit="1" customWidth="1"/>
    <col min="5136" max="5137" width="9.23046875" customWidth="1"/>
    <col min="5383" max="5383" width="3.4609375" bestFit="1" customWidth="1"/>
    <col min="5384" max="5384" width="3.4609375" customWidth="1"/>
    <col min="5385" max="5385" width="13.23046875" customWidth="1"/>
    <col min="5386" max="5386" width="2.69140625" customWidth="1"/>
    <col min="5387" max="5387" width="15.23046875" customWidth="1"/>
    <col min="5388" max="5388" width="3" customWidth="1"/>
    <col min="5389" max="5389" width="11.84375" bestFit="1" customWidth="1"/>
    <col min="5390" max="5390" width="3.07421875" customWidth="1"/>
    <col min="5391" max="5391" width="13.53515625" bestFit="1" customWidth="1"/>
    <col min="5392" max="5393" width="9.23046875" customWidth="1"/>
    <col min="5639" max="5639" width="3.4609375" bestFit="1" customWidth="1"/>
    <col min="5640" max="5640" width="3.4609375" customWidth="1"/>
    <col min="5641" max="5641" width="13.23046875" customWidth="1"/>
    <col min="5642" max="5642" width="2.69140625" customWidth="1"/>
    <col min="5643" max="5643" width="15.23046875" customWidth="1"/>
    <col min="5644" max="5644" width="3" customWidth="1"/>
    <col min="5645" max="5645" width="11.84375" bestFit="1" customWidth="1"/>
    <col min="5646" max="5646" width="3.07421875" customWidth="1"/>
    <col min="5647" max="5647" width="13.53515625" bestFit="1" customWidth="1"/>
    <col min="5648" max="5649" width="9.23046875" customWidth="1"/>
    <col min="5895" max="5895" width="3.4609375" bestFit="1" customWidth="1"/>
    <col min="5896" max="5896" width="3.4609375" customWidth="1"/>
    <col min="5897" max="5897" width="13.23046875" customWidth="1"/>
    <col min="5898" max="5898" width="2.69140625" customWidth="1"/>
    <col min="5899" max="5899" width="15.23046875" customWidth="1"/>
    <col min="5900" max="5900" width="3" customWidth="1"/>
    <col min="5901" max="5901" width="11.84375" bestFit="1" customWidth="1"/>
    <col min="5902" max="5902" width="3.07421875" customWidth="1"/>
    <col min="5903" max="5903" width="13.53515625" bestFit="1" customWidth="1"/>
    <col min="5904" max="5905" width="9.23046875" customWidth="1"/>
    <col min="6151" max="6151" width="3.4609375" bestFit="1" customWidth="1"/>
    <col min="6152" max="6152" width="3.4609375" customWidth="1"/>
    <col min="6153" max="6153" width="13.23046875" customWidth="1"/>
    <col min="6154" max="6154" width="2.69140625" customWidth="1"/>
    <col min="6155" max="6155" width="15.23046875" customWidth="1"/>
    <col min="6156" max="6156" width="3" customWidth="1"/>
    <col min="6157" max="6157" width="11.84375" bestFit="1" customWidth="1"/>
    <col min="6158" max="6158" width="3.07421875" customWidth="1"/>
    <col min="6159" max="6159" width="13.53515625" bestFit="1" customWidth="1"/>
    <col min="6160" max="6161" width="9.23046875" customWidth="1"/>
    <col min="6407" max="6407" width="3.4609375" bestFit="1" customWidth="1"/>
    <col min="6408" max="6408" width="3.4609375" customWidth="1"/>
    <col min="6409" max="6409" width="13.23046875" customWidth="1"/>
    <col min="6410" max="6410" width="2.69140625" customWidth="1"/>
    <col min="6411" max="6411" width="15.23046875" customWidth="1"/>
    <col min="6412" max="6412" width="3" customWidth="1"/>
    <col min="6413" max="6413" width="11.84375" bestFit="1" customWidth="1"/>
    <col min="6414" max="6414" width="3.07421875" customWidth="1"/>
    <col min="6415" max="6415" width="13.53515625" bestFit="1" customWidth="1"/>
    <col min="6416" max="6417" width="9.23046875" customWidth="1"/>
    <col min="6663" max="6663" width="3.4609375" bestFit="1" customWidth="1"/>
    <col min="6664" max="6664" width="3.4609375" customWidth="1"/>
    <col min="6665" max="6665" width="13.23046875" customWidth="1"/>
    <col min="6666" max="6666" width="2.69140625" customWidth="1"/>
    <col min="6667" max="6667" width="15.23046875" customWidth="1"/>
    <col min="6668" max="6668" width="3" customWidth="1"/>
    <col min="6669" max="6669" width="11.84375" bestFit="1" customWidth="1"/>
    <col min="6670" max="6670" width="3.07421875" customWidth="1"/>
    <col min="6671" max="6671" width="13.53515625" bestFit="1" customWidth="1"/>
    <col min="6672" max="6673" width="9.23046875" customWidth="1"/>
    <col min="6919" max="6919" width="3.4609375" bestFit="1" customWidth="1"/>
    <col min="6920" max="6920" width="3.4609375" customWidth="1"/>
    <col min="6921" max="6921" width="13.23046875" customWidth="1"/>
    <col min="6922" max="6922" width="2.69140625" customWidth="1"/>
    <col min="6923" max="6923" width="15.23046875" customWidth="1"/>
    <col min="6924" max="6924" width="3" customWidth="1"/>
    <col min="6925" max="6925" width="11.84375" bestFit="1" customWidth="1"/>
    <col min="6926" max="6926" width="3.07421875" customWidth="1"/>
    <col min="6927" max="6927" width="13.53515625" bestFit="1" customWidth="1"/>
    <col min="6928" max="6929" width="9.23046875" customWidth="1"/>
    <col min="7175" max="7175" width="3.4609375" bestFit="1" customWidth="1"/>
    <col min="7176" max="7176" width="3.4609375" customWidth="1"/>
    <col min="7177" max="7177" width="13.23046875" customWidth="1"/>
    <col min="7178" max="7178" width="2.69140625" customWidth="1"/>
    <col min="7179" max="7179" width="15.23046875" customWidth="1"/>
    <col min="7180" max="7180" width="3" customWidth="1"/>
    <col min="7181" max="7181" width="11.84375" bestFit="1" customWidth="1"/>
    <col min="7182" max="7182" width="3.07421875" customWidth="1"/>
    <col min="7183" max="7183" width="13.53515625" bestFit="1" customWidth="1"/>
    <col min="7184" max="7185" width="9.23046875" customWidth="1"/>
    <col min="7431" max="7431" width="3.4609375" bestFit="1" customWidth="1"/>
    <col min="7432" max="7432" width="3.4609375" customWidth="1"/>
    <col min="7433" max="7433" width="13.23046875" customWidth="1"/>
    <col min="7434" max="7434" width="2.69140625" customWidth="1"/>
    <col min="7435" max="7435" width="15.23046875" customWidth="1"/>
    <col min="7436" max="7436" width="3" customWidth="1"/>
    <col min="7437" max="7437" width="11.84375" bestFit="1" customWidth="1"/>
    <col min="7438" max="7438" width="3.07421875" customWidth="1"/>
    <col min="7439" max="7439" width="13.53515625" bestFit="1" customWidth="1"/>
    <col min="7440" max="7441" width="9.23046875" customWidth="1"/>
    <col min="7687" max="7687" width="3.4609375" bestFit="1" customWidth="1"/>
    <col min="7688" max="7688" width="3.4609375" customWidth="1"/>
    <col min="7689" max="7689" width="13.23046875" customWidth="1"/>
    <col min="7690" max="7690" width="2.69140625" customWidth="1"/>
    <col min="7691" max="7691" width="15.23046875" customWidth="1"/>
    <col min="7692" max="7692" width="3" customWidth="1"/>
    <col min="7693" max="7693" width="11.84375" bestFit="1" customWidth="1"/>
    <col min="7694" max="7694" width="3.07421875" customWidth="1"/>
    <col min="7695" max="7695" width="13.53515625" bestFit="1" customWidth="1"/>
    <col min="7696" max="7697" width="9.23046875" customWidth="1"/>
    <col min="7943" max="7943" width="3.4609375" bestFit="1" customWidth="1"/>
    <col min="7944" max="7944" width="3.4609375" customWidth="1"/>
    <col min="7945" max="7945" width="13.23046875" customWidth="1"/>
    <col min="7946" max="7946" width="2.69140625" customWidth="1"/>
    <col min="7947" max="7947" width="15.23046875" customWidth="1"/>
    <col min="7948" max="7948" width="3" customWidth="1"/>
    <col min="7949" max="7949" width="11.84375" bestFit="1" customWidth="1"/>
    <col min="7950" max="7950" width="3.07421875" customWidth="1"/>
    <col min="7951" max="7951" width="13.53515625" bestFit="1" customWidth="1"/>
    <col min="7952" max="7953" width="9.23046875" customWidth="1"/>
    <col min="8199" max="8199" width="3.4609375" bestFit="1" customWidth="1"/>
    <col min="8200" max="8200" width="3.4609375" customWidth="1"/>
    <col min="8201" max="8201" width="13.23046875" customWidth="1"/>
    <col min="8202" max="8202" width="2.69140625" customWidth="1"/>
    <col min="8203" max="8203" width="15.23046875" customWidth="1"/>
    <col min="8204" max="8204" width="3" customWidth="1"/>
    <col min="8205" max="8205" width="11.84375" bestFit="1" customWidth="1"/>
    <col min="8206" max="8206" width="3.07421875" customWidth="1"/>
    <col min="8207" max="8207" width="13.53515625" bestFit="1" customWidth="1"/>
    <col min="8208" max="8209" width="9.23046875" customWidth="1"/>
    <col min="8455" max="8455" width="3.4609375" bestFit="1" customWidth="1"/>
    <col min="8456" max="8456" width="3.4609375" customWidth="1"/>
    <col min="8457" max="8457" width="13.23046875" customWidth="1"/>
    <col min="8458" max="8458" width="2.69140625" customWidth="1"/>
    <col min="8459" max="8459" width="15.23046875" customWidth="1"/>
    <col min="8460" max="8460" width="3" customWidth="1"/>
    <col min="8461" max="8461" width="11.84375" bestFit="1" customWidth="1"/>
    <col min="8462" max="8462" width="3.07421875" customWidth="1"/>
    <col min="8463" max="8463" width="13.53515625" bestFit="1" customWidth="1"/>
    <col min="8464" max="8465" width="9.23046875" customWidth="1"/>
    <col min="8711" max="8711" width="3.4609375" bestFit="1" customWidth="1"/>
    <col min="8712" max="8712" width="3.4609375" customWidth="1"/>
    <col min="8713" max="8713" width="13.23046875" customWidth="1"/>
    <col min="8714" max="8714" width="2.69140625" customWidth="1"/>
    <col min="8715" max="8715" width="15.23046875" customWidth="1"/>
    <col min="8716" max="8716" width="3" customWidth="1"/>
    <col min="8717" max="8717" width="11.84375" bestFit="1" customWidth="1"/>
    <col min="8718" max="8718" width="3.07421875" customWidth="1"/>
    <col min="8719" max="8719" width="13.53515625" bestFit="1" customWidth="1"/>
    <col min="8720" max="8721" width="9.23046875" customWidth="1"/>
    <col min="8967" max="8967" width="3.4609375" bestFit="1" customWidth="1"/>
    <col min="8968" max="8968" width="3.4609375" customWidth="1"/>
    <col min="8969" max="8969" width="13.23046875" customWidth="1"/>
    <col min="8970" max="8970" width="2.69140625" customWidth="1"/>
    <col min="8971" max="8971" width="15.23046875" customWidth="1"/>
    <col min="8972" max="8972" width="3" customWidth="1"/>
    <col min="8973" max="8973" width="11.84375" bestFit="1" customWidth="1"/>
    <col min="8974" max="8974" width="3.07421875" customWidth="1"/>
    <col min="8975" max="8975" width="13.53515625" bestFit="1" customWidth="1"/>
    <col min="8976" max="8977" width="9.23046875" customWidth="1"/>
    <col min="9223" max="9223" width="3.4609375" bestFit="1" customWidth="1"/>
    <col min="9224" max="9224" width="3.4609375" customWidth="1"/>
    <col min="9225" max="9225" width="13.23046875" customWidth="1"/>
    <col min="9226" max="9226" width="2.69140625" customWidth="1"/>
    <col min="9227" max="9227" width="15.23046875" customWidth="1"/>
    <col min="9228" max="9228" width="3" customWidth="1"/>
    <col min="9229" max="9229" width="11.84375" bestFit="1" customWidth="1"/>
    <col min="9230" max="9230" width="3.07421875" customWidth="1"/>
    <col min="9231" max="9231" width="13.53515625" bestFit="1" customWidth="1"/>
    <col min="9232" max="9233" width="9.23046875" customWidth="1"/>
    <col min="9479" max="9479" width="3.4609375" bestFit="1" customWidth="1"/>
    <col min="9480" max="9480" width="3.4609375" customWidth="1"/>
    <col min="9481" max="9481" width="13.23046875" customWidth="1"/>
    <col min="9482" max="9482" width="2.69140625" customWidth="1"/>
    <col min="9483" max="9483" width="15.23046875" customWidth="1"/>
    <col min="9484" max="9484" width="3" customWidth="1"/>
    <col min="9485" max="9485" width="11.84375" bestFit="1" customWidth="1"/>
    <col min="9486" max="9486" width="3.07421875" customWidth="1"/>
    <col min="9487" max="9487" width="13.53515625" bestFit="1" customWidth="1"/>
    <col min="9488" max="9489" width="9.23046875" customWidth="1"/>
    <col min="9735" max="9735" width="3.4609375" bestFit="1" customWidth="1"/>
    <col min="9736" max="9736" width="3.4609375" customWidth="1"/>
    <col min="9737" max="9737" width="13.23046875" customWidth="1"/>
    <col min="9738" max="9738" width="2.69140625" customWidth="1"/>
    <col min="9739" max="9739" width="15.23046875" customWidth="1"/>
    <col min="9740" max="9740" width="3" customWidth="1"/>
    <col min="9741" max="9741" width="11.84375" bestFit="1" customWidth="1"/>
    <col min="9742" max="9742" width="3.07421875" customWidth="1"/>
    <col min="9743" max="9743" width="13.53515625" bestFit="1" customWidth="1"/>
    <col min="9744" max="9745" width="9.23046875" customWidth="1"/>
    <col min="9991" max="9991" width="3.4609375" bestFit="1" customWidth="1"/>
    <col min="9992" max="9992" width="3.4609375" customWidth="1"/>
    <col min="9993" max="9993" width="13.23046875" customWidth="1"/>
    <col min="9994" max="9994" width="2.69140625" customWidth="1"/>
    <col min="9995" max="9995" width="15.23046875" customWidth="1"/>
    <col min="9996" max="9996" width="3" customWidth="1"/>
    <col min="9997" max="9997" width="11.84375" bestFit="1" customWidth="1"/>
    <col min="9998" max="9998" width="3.07421875" customWidth="1"/>
    <col min="9999" max="9999" width="13.53515625" bestFit="1" customWidth="1"/>
    <col min="10000" max="10001" width="9.23046875" customWidth="1"/>
    <col min="10247" max="10247" width="3.4609375" bestFit="1" customWidth="1"/>
    <col min="10248" max="10248" width="3.4609375" customWidth="1"/>
    <col min="10249" max="10249" width="13.23046875" customWidth="1"/>
    <col min="10250" max="10250" width="2.69140625" customWidth="1"/>
    <col min="10251" max="10251" width="15.23046875" customWidth="1"/>
    <col min="10252" max="10252" width="3" customWidth="1"/>
    <col min="10253" max="10253" width="11.84375" bestFit="1" customWidth="1"/>
    <col min="10254" max="10254" width="3.07421875" customWidth="1"/>
    <col min="10255" max="10255" width="13.53515625" bestFit="1" customWidth="1"/>
    <col min="10256" max="10257" width="9.23046875" customWidth="1"/>
    <col min="10503" max="10503" width="3.4609375" bestFit="1" customWidth="1"/>
    <col min="10504" max="10504" width="3.4609375" customWidth="1"/>
    <col min="10505" max="10505" width="13.23046875" customWidth="1"/>
    <col min="10506" max="10506" width="2.69140625" customWidth="1"/>
    <col min="10507" max="10507" width="15.23046875" customWidth="1"/>
    <col min="10508" max="10508" width="3" customWidth="1"/>
    <col min="10509" max="10509" width="11.84375" bestFit="1" customWidth="1"/>
    <col min="10510" max="10510" width="3.07421875" customWidth="1"/>
    <col min="10511" max="10511" width="13.53515625" bestFit="1" customWidth="1"/>
    <col min="10512" max="10513" width="9.23046875" customWidth="1"/>
    <col min="10759" max="10759" width="3.4609375" bestFit="1" customWidth="1"/>
    <col min="10760" max="10760" width="3.4609375" customWidth="1"/>
    <col min="10761" max="10761" width="13.23046875" customWidth="1"/>
    <col min="10762" max="10762" width="2.69140625" customWidth="1"/>
    <col min="10763" max="10763" width="15.23046875" customWidth="1"/>
    <col min="10764" max="10764" width="3" customWidth="1"/>
    <col min="10765" max="10765" width="11.84375" bestFit="1" customWidth="1"/>
    <col min="10766" max="10766" width="3.07421875" customWidth="1"/>
    <col min="10767" max="10767" width="13.53515625" bestFit="1" customWidth="1"/>
    <col min="10768" max="10769" width="9.23046875" customWidth="1"/>
    <col min="11015" max="11015" width="3.4609375" bestFit="1" customWidth="1"/>
    <col min="11016" max="11016" width="3.4609375" customWidth="1"/>
    <col min="11017" max="11017" width="13.23046875" customWidth="1"/>
    <col min="11018" max="11018" width="2.69140625" customWidth="1"/>
    <col min="11019" max="11019" width="15.23046875" customWidth="1"/>
    <col min="11020" max="11020" width="3" customWidth="1"/>
    <col min="11021" max="11021" width="11.84375" bestFit="1" customWidth="1"/>
    <col min="11022" max="11022" width="3.07421875" customWidth="1"/>
    <col min="11023" max="11023" width="13.53515625" bestFit="1" customWidth="1"/>
    <col min="11024" max="11025" width="9.23046875" customWidth="1"/>
    <col min="11271" max="11271" width="3.4609375" bestFit="1" customWidth="1"/>
    <col min="11272" max="11272" width="3.4609375" customWidth="1"/>
    <col min="11273" max="11273" width="13.23046875" customWidth="1"/>
    <col min="11274" max="11274" width="2.69140625" customWidth="1"/>
    <col min="11275" max="11275" width="15.23046875" customWidth="1"/>
    <col min="11276" max="11276" width="3" customWidth="1"/>
    <col min="11277" max="11277" width="11.84375" bestFit="1" customWidth="1"/>
    <col min="11278" max="11278" width="3.07421875" customWidth="1"/>
    <col min="11279" max="11279" width="13.53515625" bestFit="1" customWidth="1"/>
    <col min="11280" max="11281" width="9.23046875" customWidth="1"/>
    <col min="11527" max="11527" width="3.4609375" bestFit="1" customWidth="1"/>
    <col min="11528" max="11528" width="3.4609375" customWidth="1"/>
    <col min="11529" max="11529" width="13.23046875" customWidth="1"/>
    <col min="11530" max="11530" width="2.69140625" customWidth="1"/>
    <col min="11531" max="11531" width="15.23046875" customWidth="1"/>
    <col min="11532" max="11532" width="3" customWidth="1"/>
    <col min="11533" max="11533" width="11.84375" bestFit="1" customWidth="1"/>
    <col min="11534" max="11534" width="3.07421875" customWidth="1"/>
    <col min="11535" max="11535" width="13.53515625" bestFit="1" customWidth="1"/>
    <col min="11536" max="11537" width="9.23046875" customWidth="1"/>
    <col min="11783" max="11783" width="3.4609375" bestFit="1" customWidth="1"/>
    <col min="11784" max="11784" width="3.4609375" customWidth="1"/>
    <col min="11785" max="11785" width="13.23046875" customWidth="1"/>
    <col min="11786" max="11786" width="2.69140625" customWidth="1"/>
    <col min="11787" max="11787" width="15.23046875" customWidth="1"/>
    <col min="11788" max="11788" width="3" customWidth="1"/>
    <col min="11789" max="11789" width="11.84375" bestFit="1" customWidth="1"/>
    <col min="11790" max="11790" width="3.07421875" customWidth="1"/>
    <col min="11791" max="11791" width="13.53515625" bestFit="1" customWidth="1"/>
    <col min="11792" max="11793" width="9.23046875" customWidth="1"/>
    <col min="12039" max="12039" width="3.4609375" bestFit="1" customWidth="1"/>
    <col min="12040" max="12040" width="3.4609375" customWidth="1"/>
    <col min="12041" max="12041" width="13.23046875" customWidth="1"/>
    <col min="12042" max="12042" width="2.69140625" customWidth="1"/>
    <col min="12043" max="12043" width="15.23046875" customWidth="1"/>
    <col min="12044" max="12044" width="3" customWidth="1"/>
    <col min="12045" max="12045" width="11.84375" bestFit="1" customWidth="1"/>
    <col min="12046" max="12046" width="3.07421875" customWidth="1"/>
    <col min="12047" max="12047" width="13.53515625" bestFit="1" customWidth="1"/>
    <col min="12048" max="12049" width="9.23046875" customWidth="1"/>
    <col min="12295" max="12295" width="3.4609375" bestFit="1" customWidth="1"/>
    <col min="12296" max="12296" width="3.4609375" customWidth="1"/>
    <col min="12297" max="12297" width="13.23046875" customWidth="1"/>
    <col min="12298" max="12298" width="2.69140625" customWidth="1"/>
    <col min="12299" max="12299" width="15.23046875" customWidth="1"/>
    <col min="12300" max="12300" width="3" customWidth="1"/>
    <col min="12301" max="12301" width="11.84375" bestFit="1" customWidth="1"/>
    <col min="12302" max="12302" width="3.07421875" customWidth="1"/>
    <col min="12303" max="12303" width="13.53515625" bestFit="1" customWidth="1"/>
    <col min="12304" max="12305" width="9.23046875" customWidth="1"/>
    <col min="12551" max="12551" width="3.4609375" bestFit="1" customWidth="1"/>
    <col min="12552" max="12552" width="3.4609375" customWidth="1"/>
    <col min="12553" max="12553" width="13.23046875" customWidth="1"/>
    <col min="12554" max="12554" width="2.69140625" customWidth="1"/>
    <col min="12555" max="12555" width="15.23046875" customWidth="1"/>
    <col min="12556" max="12556" width="3" customWidth="1"/>
    <col min="12557" max="12557" width="11.84375" bestFit="1" customWidth="1"/>
    <col min="12558" max="12558" width="3.07421875" customWidth="1"/>
    <col min="12559" max="12559" width="13.53515625" bestFit="1" customWidth="1"/>
    <col min="12560" max="12561" width="9.23046875" customWidth="1"/>
    <col min="12807" max="12807" width="3.4609375" bestFit="1" customWidth="1"/>
    <col min="12808" max="12808" width="3.4609375" customWidth="1"/>
    <col min="12809" max="12809" width="13.23046875" customWidth="1"/>
    <col min="12810" max="12810" width="2.69140625" customWidth="1"/>
    <col min="12811" max="12811" width="15.23046875" customWidth="1"/>
    <col min="12812" max="12812" width="3" customWidth="1"/>
    <col min="12813" max="12813" width="11.84375" bestFit="1" customWidth="1"/>
    <col min="12814" max="12814" width="3.07421875" customWidth="1"/>
    <col min="12815" max="12815" width="13.53515625" bestFit="1" customWidth="1"/>
    <col min="12816" max="12817" width="9.23046875" customWidth="1"/>
    <col min="13063" max="13063" width="3.4609375" bestFit="1" customWidth="1"/>
    <col min="13064" max="13064" width="3.4609375" customWidth="1"/>
    <col min="13065" max="13065" width="13.23046875" customWidth="1"/>
    <col min="13066" max="13066" width="2.69140625" customWidth="1"/>
    <col min="13067" max="13067" width="15.23046875" customWidth="1"/>
    <col min="13068" max="13068" width="3" customWidth="1"/>
    <col min="13069" max="13069" width="11.84375" bestFit="1" customWidth="1"/>
    <col min="13070" max="13070" width="3.07421875" customWidth="1"/>
    <col min="13071" max="13071" width="13.53515625" bestFit="1" customWidth="1"/>
    <col min="13072" max="13073" width="9.23046875" customWidth="1"/>
    <col min="13319" max="13319" width="3.4609375" bestFit="1" customWidth="1"/>
    <col min="13320" max="13320" width="3.4609375" customWidth="1"/>
    <col min="13321" max="13321" width="13.23046875" customWidth="1"/>
    <col min="13322" max="13322" width="2.69140625" customWidth="1"/>
    <col min="13323" max="13323" width="15.23046875" customWidth="1"/>
    <col min="13324" max="13324" width="3" customWidth="1"/>
    <col min="13325" max="13325" width="11.84375" bestFit="1" customWidth="1"/>
    <col min="13326" max="13326" width="3.07421875" customWidth="1"/>
    <col min="13327" max="13327" width="13.53515625" bestFit="1" customWidth="1"/>
    <col min="13328" max="13329" width="9.23046875" customWidth="1"/>
    <col min="13575" max="13575" width="3.4609375" bestFit="1" customWidth="1"/>
    <col min="13576" max="13576" width="3.4609375" customWidth="1"/>
    <col min="13577" max="13577" width="13.23046875" customWidth="1"/>
    <col min="13578" max="13578" width="2.69140625" customWidth="1"/>
    <col min="13579" max="13579" width="15.23046875" customWidth="1"/>
    <col min="13580" max="13580" width="3" customWidth="1"/>
    <col min="13581" max="13581" width="11.84375" bestFit="1" customWidth="1"/>
    <col min="13582" max="13582" width="3.07421875" customWidth="1"/>
    <col min="13583" max="13583" width="13.53515625" bestFit="1" customWidth="1"/>
    <col min="13584" max="13585" width="9.23046875" customWidth="1"/>
    <col min="13831" max="13831" width="3.4609375" bestFit="1" customWidth="1"/>
    <col min="13832" max="13832" width="3.4609375" customWidth="1"/>
    <col min="13833" max="13833" width="13.23046875" customWidth="1"/>
    <col min="13834" max="13834" width="2.69140625" customWidth="1"/>
    <col min="13835" max="13835" width="15.23046875" customWidth="1"/>
    <col min="13836" max="13836" width="3" customWidth="1"/>
    <col min="13837" max="13837" width="11.84375" bestFit="1" customWidth="1"/>
    <col min="13838" max="13838" width="3.07421875" customWidth="1"/>
    <col min="13839" max="13839" width="13.53515625" bestFit="1" customWidth="1"/>
    <col min="13840" max="13841" width="9.23046875" customWidth="1"/>
    <col min="14087" max="14087" width="3.4609375" bestFit="1" customWidth="1"/>
    <col min="14088" max="14088" width="3.4609375" customWidth="1"/>
    <col min="14089" max="14089" width="13.23046875" customWidth="1"/>
    <col min="14090" max="14090" width="2.69140625" customWidth="1"/>
    <col min="14091" max="14091" width="15.23046875" customWidth="1"/>
    <col min="14092" max="14092" width="3" customWidth="1"/>
    <col min="14093" max="14093" width="11.84375" bestFit="1" customWidth="1"/>
    <col min="14094" max="14094" width="3.07421875" customWidth="1"/>
    <col min="14095" max="14095" width="13.53515625" bestFit="1" customWidth="1"/>
    <col min="14096" max="14097" width="9.23046875" customWidth="1"/>
    <col min="14343" max="14343" width="3.4609375" bestFit="1" customWidth="1"/>
    <col min="14344" max="14344" width="3.4609375" customWidth="1"/>
    <col min="14345" max="14345" width="13.23046875" customWidth="1"/>
    <col min="14346" max="14346" width="2.69140625" customWidth="1"/>
    <col min="14347" max="14347" width="15.23046875" customWidth="1"/>
    <col min="14348" max="14348" width="3" customWidth="1"/>
    <col min="14349" max="14349" width="11.84375" bestFit="1" customWidth="1"/>
    <col min="14350" max="14350" width="3.07421875" customWidth="1"/>
    <col min="14351" max="14351" width="13.53515625" bestFit="1" customWidth="1"/>
    <col min="14352" max="14353" width="9.23046875" customWidth="1"/>
    <col min="14599" max="14599" width="3.4609375" bestFit="1" customWidth="1"/>
    <col min="14600" max="14600" width="3.4609375" customWidth="1"/>
    <col min="14601" max="14601" width="13.23046875" customWidth="1"/>
    <col min="14602" max="14602" width="2.69140625" customWidth="1"/>
    <col min="14603" max="14603" width="15.23046875" customWidth="1"/>
    <col min="14604" max="14604" width="3" customWidth="1"/>
    <col min="14605" max="14605" width="11.84375" bestFit="1" customWidth="1"/>
    <col min="14606" max="14606" width="3.07421875" customWidth="1"/>
    <col min="14607" max="14607" width="13.53515625" bestFit="1" customWidth="1"/>
    <col min="14608" max="14609" width="9.23046875" customWidth="1"/>
    <col min="14855" max="14855" width="3.4609375" bestFit="1" customWidth="1"/>
    <col min="14856" max="14856" width="3.4609375" customWidth="1"/>
    <col min="14857" max="14857" width="13.23046875" customWidth="1"/>
    <col min="14858" max="14858" width="2.69140625" customWidth="1"/>
    <col min="14859" max="14859" width="15.23046875" customWidth="1"/>
    <col min="14860" max="14860" width="3" customWidth="1"/>
    <col min="14861" max="14861" width="11.84375" bestFit="1" customWidth="1"/>
    <col min="14862" max="14862" width="3.07421875" customWidth="1"/>
    <col min="14863" max="14863" width="13.53515625" bestFit="1" customWidth="1"/>
    <col min="14864" max="14865" width="9.23046875" customWidth="1"/>
    <col min="15111" max="15111" width="3.4609375" bestFit="1" customWidth="1"/>
    <col min="15112" max="15112" width="3.4609375" customWidth="1"/>
    <col min="15113" max="15113" width="13.23046875" customWidth="1"/>
    <col min="15114" max="15114" width="2.69140625" customWidth="1"/>
    <col min="15115" max="15115" width="15.23046875" customWidth="1"/>
    <col min="15116" max="15116" width="3" customWidth="1"/>
    <col min="15117" max="15117" width="11.84375" bestFit="1" customWidth="1"/>
    <col min="15118" max="15118" width="3.07421875" customWidth="1"/>
    <col min="15119" max="15119" width="13.53515625" bestFit="1" customWidth="1"/>
    <col min="15120" max="15121" width="9.23046875" customWidth="1"/>
    <col min="15367" max="15367" width="3.4609375" bestFit="1" customWidth="1"/>
    <col min="15368" max="15368" width="3.4609375" customWidth="1"/>
    <col min="15369" max="15369" width="13.23046875" customWidth="1"/>
    <col min="15370" max="15370" width="2.69140625" customWidth="1"/>
    <col min="15371" max="15371" width="15.23046875" customWidth="1"/>
    <col min="15372" max="15372" width="3" customWidth="1"/>
    <col min="15373" max="15373" width="11.84375" bestFit="1" customWidth="1"/>
    <col min="15374" max="15374" width="3.07421875" customWidth="1"/>
    <col min="15375" max="15375" width="13.53515625" bestFit="1" customWidth="1"/>
    <col min="15376" max="15377" width="9.23046875" customWidth="1"/>
    <col min="15623" max="15623" width="3.4609375" bestFit="1" customWidth="1"/>
    <col min="15624" max="15624" width="3.4609375" customWidth="1"/>
    <col min="15625" max="15625" width="13.23046875" customWidth="1"/>
    <col min="15626" max="15626" width="2.69140625" customWidth="1"/>
    <col min="15627" max="15627" width="15.23046875" customWidth="1"/>
    <col min="15628" max="15628" width="3" customWidth="1"/>
    <col min="15629" max="15629" width="11.84375" bestFit="1" customWidth="1"/>
    <col min="15630" max="15630" width="3.07421875" customWidth="1"/>
    <col min="15631" max="15631" width="13.53515625" bestFit="1" customWidth="1"/>
    <col min="15632" max="15633" width="9.23046875" customWidth="1"/>
    <col min="15879" max="15879" width="3.4609375" bestFit="1" customWidth="1"/>
    <col min="15880" max="15880" width="3.4609375" customWidth="1"/>
    <col min="15881" max="15881" width="13.23046875" customWidth="1"/>
    <col min="15882" max="15882" width="2.69140625" customWidth="1"/>
    <col min="15883" max="15883" width="15.23046875" customWidth="1"/>
    <col min="15884" max="15884" width="3" customWidth="1"/>
    <col min="15885" max="15885" width="11.84375" bestFit="1" customWidth="1"/>
    <col min="15886" max="15886" width="3.07421875" customWidth="1"/>
    <col min="15887" max="15887" width="13.53515625" bestFit="1" customWidth="1"/>
    <col min="15888" max="15889" width="9.23046875" customWidth="1"/>
    <col min="16135" max="16135" width="3.4609375" bestFit="1" customWidth="1"/>
    <col min="16136" max="16136" width="3.4609375" customWidth="1"/>
    <col min="16137" max="16137" width="13.23046875" customWidth="1"/>
    <col min="16138" max="16138" width="2.69140625" customWidth="1"/>
    <col min="16139" max="16139" width="15.23046875" customWidth="1"/>
    <col min="16140" max="16140" width="3" customWidth="1"/>
    <col min="16141" max="16141" width="11.84375" bestFit="1" customWidth="1"/>
    <col min="16142" max="16142" width="3.07421875" customWidth="1"/>
    <col min="16143" max="16143" width="13.53515625" bestFit="1" customWidth="1"/>
    <col min="16144" max="16145" width="9.23046875" customWidth="1"/>
  </cols>
  <sheetData>
    <row r="3" spans="1:21" s="34" customFormat="1" ht="15" customHeight="1">
      <c r="A3" s="178" t="s">
        <v>376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</row>
    <row r="4" spans="1:21" s="34" customFormat="1" ht="15" customHeight="1">
      <c r="A4" s="178" t="s">
        <v>375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</row>
    <row r="5" spans="1:21" s="34" customFormat="1" ht="15" customHeight="1">
      <c r="A5" s="178" t="s">
        <v>2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</row>
    <row r="6" spans="1:21" s="34" customFormat="1" ht="13">
      <c r="A6" s="153"/>
      <c r="B6" s="153"/>
      <c r="C6" s="222"/>
      <c r="D6" s="222"/>
      <c r="E6" s="222"/>
      <c r="F6" s="222"/>
      <c r="G6" s="222"/>
      <c r="H6" s="222"/>
      <c r="I6" s="222"/>
      <c r="J6" s="264"/>
      <c r="K6" s="264"/>
      <c r="L6" s="264"/>
      <c r="M6" s="264"/>
      <c r="N6" s="222"/>
      <c r="O6" s="223" t="s">
        <v>444</v>
      </c>
      <c r="P6" s="153"/>
      <c r="Q6" s="178"/>
    </row>
    <row r="7" spans="1:21" s="34" customFormat="1" ht="16">
      <c r="C7" s="222" t="s">
        <v>22</v>
      </c>
      <c r="D7" s="222"/>
      <c r="E7" s="222" t="s">
        <v>374</v>
      </c>
      <c r="F7" s="222"/>
      <c r="G7" s="190" t="s">
        <v>373</v>
      </c>
      <c r="H7" s="222"/>
      <c r="I7" s="190" t="s">
        <v>381</v>
      </c>
      <c r="J7" s="264"/>
      <c r="K7" s="223" t="s">
        <v>382</v>
      </c>
      <c r="L7" s="190"/>
      <c r="M7" s="223" t="s">
        <v>443</v>
      </c>
      <c r="N7" s="190"/>
      <c r="O7" s="190" t="s">
        <v>437</v>
      </c>
    </row>
    <row r="8" spans="1:21" s="34" customFormat="1" ht="12.5">
      <c r="A8" s="154" t="s">
        <v>3</v>
      </c>
      <c r="B8" s="154"/>
      <c r="C8" s="222"/>
      <c r="D8" s="222"/>
      <c r="E8" s="222" t="s">
        <v>371</v>
      </c>
      <c r="F8" s="222"/>
      <c r="G8" s="222" t="s">
        <v>370</v>
      </c>
      <c r="H8" s="222"/>
      <c r="I8" s="222"/>
      <c r="J8" s="264"/>
      <c r="K8" s="264" t="s">
        <v>447</v>
      </c>
      <c r="L8" s="264"/>
      <c r="M8" s="264" t="s">
        <v>434</v>
      </c>
      <c r="N8" s="222"/>
      <c r="O8" s="222" t="s">
        <v>369</v>
      </c>
    </row>
    <row r="9" spans="1:21" s="34" customFormat="1" ht="12.5">
      <c r="A9" s="9" t="s">
        <v>5</v>
      </c>
      <c r="B9" s="9"/>
      <c r="C9" s="224" t="s">
        <v>368</v>
      </c>
      <c r="D9" s="224"/>
      <c r="E9" s="225" t="s">
        <v>367</v>
      </c>
      <c r="F9" s="225"/>
      <c r="G9" s="226" t="s">
        <v>366</v>
      </c>
      <c r="H9" s="225"/>
      <c r="I9" s="224" t="s">
        <v>379</v>
      </c>
      <c r="J9" s="225"/>
      <c r="K9" s="265" t="s">
        <v>448</v>
      </c>
      <c r="L9" s="226"/>
      <c r="M9" s="265" t="s">
        <v>435</v>
      </c>
      <c r="N9" s="226"/>
      <c r="O9" s="227" t="s">
        <v>365</v>
      </c>
      <c r="T9" s="180"/>
      <c r="U9" s="180"/>
    </row>
    <row r="10" spans="1:21" s="34" customFormat="1" ht="13">
      <c r="A10" s="158"/>
      <c r="B10" s="175" t="s">
        <v>364</v>
      </c>
      <c r="C10" s="180"/>
      <c r="D10" s="228"/>
      <c r="E10" s="229"/>
      <c r="F10" s="229"/>
      <c r="G10" s="230"/>
      <c r="H10" s="229"/>
      <c r="I10" s="230"/>
      <c r="J10" s="229"/>
      <c r="K10" s="230"/>
      <c r="L10" s="230"/>
      <c r="M10" s="230"/>
      <c r="N10" s="230"/>
      <c r="O10" s="231"/>
      <c r="T10" s="180"/>
      <c r="U10" s="180"/>
    </row>
    <row r="11" spans="1:21" s="34" customFormat="1">
      <c r="A11" s="154">
        <v>1</v>
      </c>
      <c r="B11" s="154"/>
      <c r="C11" s="188">
        <v>44166</v>
      </c>
      <c r="D11" s="188"/>
      <c r="E11" s="260">
        <v>29306963.765748475</v>
      </c>
      <c r="F11" s="190"/>
      <c r="G11" s="260">
        <v>4900885.1692780014</v>
      </c>
      <c r="H11" s="190"/>
      <c r="I11" s="260">
        <v>7812925.4287499785</v>
      </c>
      <c r="J11" s="190"/>
      <c r="K11" s="260">
        <v>2471920</v>
      </c>
      <c r="L11" s="190"/>
      <c r="M11" s="260">
        <f>'BHP WP13 Accumulated Reserve '!T29+'BHP WP13 Accumulated Reserve '!U29</f>
        <v>10902119.482812831</v>
      </c>
      <c r="N11" s="190"/>
      <c r="O11" s="261">
        <f>E11+G11+I11-M11+K11</f>
        <v>33590574.880963624</v>
      </c>
      <c r="P11" s="7"/>
      <c r="Q11" s="7"/>
      <c r="S11"/>
      <c r="T11" s="181"/>
      <c r="U11" s="181"/>
    </row>
    <row r="12" spans="1:21" s="34" customFormat="1">
      <c r="A12" s="169">
        <f t="shared" ref="A12:A30" si="0">A11+1</f>
        <v>2</v>
      </c>
      <c r="B12" s="169"/>
      <c r="C12" s="188">
        <v>44197</v>
      </c>
      <c r="D12" s="188"/>
      <c r="E12" s="260">
        <v>27100232.295123566</v>
      </c>
      <c r="F12" s="190"/>
      <c r="G12" s="260">
        <v>4946114.3040096676</v>
      </c>
      <c r="H12" s="190"/>
      <c r="I12" s="260">
        <v>8043570.7247401373</v>
      </c>
      <c r="J12" s="190"/>
      <c r="K12" s="260">
        <v>2494895</v>
      </c>
      <c r="L12" s="190"/>
      <c r="M12" s="260">
        <f>'BHP WP13 Accumulated Reserve '!T30+'BHP WP13 Accumulated Reserve '!U30</f>
        <v>11011066.496081997</v>
      </c>
      <c r="N12" s="190"/>
      <c r="O12" s="261">
        <f t="shared" ref="O12:O23" si="1">E12+G12+I12-M12+K12</f>
        <v>31573745.827791374</v>
      </c>
      <c r="P12" s="172"/>
      <c r="Q12" s="7"/>
      <c r="S12"/>
      <c r="T12" s="263"/>
      <c r="U12" s="181"/>
    </row>
    <row r="13" spans="1:21">
      <c r="A13" s="169">
        <f t="shared" si="0"/>
        <v>3</v>
      </c>
      <c r="B13" s="169"/>
      <c r="C13" s="188">
        <v>44228</v>
      </c>
      <c r="D13" s="188"/>
      <c r="E13" s="260">
        <v>27359640.172993399</v>
      </c>
      <c r="F13" s="190"/>
      <c r="G13" s="260">
        <v>4991343.468741335</v>
      </c>
      <c r="H13" s="190"/>
      <c r="I13" s="260">
        <v>8287866.5529368054</v>
      </c>
      <c r="J13" s="190"/>
      <c r="K13" s="260">
        <v>2521912</v>
      </c>
      <c r="L13" s="190"/>
      <c r="M13" s="260">
        <f>'BHP WP13 Accumulated Reserve '!T31+'BHP WP13 Accumulated Reserve '!U31</f>
        <v>11120288.609165996</v>
      </c>
      <c r="N13" s="190"/>
      <c r="O13" s="261">
        <f t="shared" si="1"/>
        <v>32040473.585505545</v>
      </c>
      <c r="P13" s="171"/>
      <c r="Q13" s="7"/>
      <c r="T13" s="263"/>
      <c r="U13" s="181"/>
    </row>
    <row r="14" spans="1:21">
      <c r="A14" s="169">
        <f t="shared" si="0"/>
        <v>4</v>
      </c>
      <c r="B14" s="169"/>
      <c r="C14" s="188">
        <v>44256</v>
      </c>
      <c r="D14" s="188"/>
      <c r="E14" s="260">
        <v>27228715.573811911</v>
      </c>
      <c r="F14" s="190"/>
      <c r="G14" s="260">
        <v>5036580.4653970851</v>
      </c>
      <c r="H14" s="190"/>
      <c r="I14" s="260">
        <v>8517844.1683962364</v>
      </c>
      <c r="J14" s="190"/>
      <c r="K14" s="260">
        <v>2548769</v>
      </c>
      <c r="L14" s="190"/>
      <c r="M14" s="260">
        <f>'BHP WP13 Accumulated Reserve '!T32+'BHP WP13 Accumulated Reserve '!U32</f>
        <v>11230664.038059331</v>
      </c>
      <c r="N14" s="190"/>
      <c r="O14" s="261">
        <f t="shared" si="1"/>
        <v>32101245.169545904</v>
      </c>
      <c r="P14" s="156"/>
      <c r="Q14" s="7"/>
      <c r="R14" s="155"/>
      <c r="T14" s="263"/>
      <c r="U14" s="181"/>
    </row>
    <row r="15" spans="1:21">
      <c r="A15" s="169">
        <f t="shared" si="0"/>
        <v>5</v>
      </c>
      <c r="B15" s="169"/>
      <c r="C15" s="188">
        <v>44287</v>
      </c>
      <c r="D15" s="188"/>
      <c r="E15" s="260">
        <v>27443160.103710398</v>
      </c>
      <c r="F15" s="190"/>
      <c r="G15" s="260">
        <v>5039008.6967249187</v>
      </c>
      <c r="H15" s="190"/>
      <c r="I15" s="260">
        <v>8752018.7642095815</v>
      </c>
      <c r="J15" s="190"/>
      <c r="K15" s="260">
        <v>2575949</v>
      </c>
      <c r="L15" s="190"/>
      <c r="M15" s="260">
        <f>'BHP WP13 Accumulated Reserve '!T33+'BHP WP13 Accumulated Reserve '!U33</f>
        <v>11341388.825561997</v>
      </c>
      <c r="N15" s="190"/>
      <c r="O15" s="261">
        <f t="shared" si="1"/>
        <v>32468747.739082899</v>
      </c>
      <c r="P15" s="156"/>
      <c r="Q15" s="7"/>
      <c r="R15" s="155"/>
      <c r="T15" s="263"/>
      <c r="U15" s="181"/>
    </row>
    <row r="16" spans="1:21">
      <c r="A16" s="169">
        <f t="shared" si="0"/>
        <v>6</v>
      </c>
      <c r="B16" s="169"/>
      <c r="C16" s="188">
        <v>44317</v>
      </c>
      <c r="D16" s="188"/>
      <c r="E16" s="260">
        <v>27099819.583070587</v>
      </c>
      <c r="F16" s="190"/>
      <c r="G16" s="260">
        <v>5084024.8584579183</v>
      </c>
      <c r="H16" s="190"/>
      <c r="I16" s="260">
        <v>9052799.0794167351</v>
      </c>
      <c r="J16" s="190"/>
      <c r="K16" s="260">
        <v>2601778</v>
      </c>
      <c r="L16" s="190"/>
      <c r="M16" s="260">
        <f>'BHP WP13 Accumulated Reserve '!T34+'BHP WP13 Accumulated Reserve '!U34</f>
        <v>11451432.954307079</v>
      </c>
      <c r="N16" s="190"/>
      <c r="O16" s="261">
        <f t="shared" si="1"/>
        <v>32386988.566638164</v>
      </c>
      <c r="P16" s="156"/>
      <c r="Q16" s="7"/>
      <c r="R16" s="155"/>
      <c r="T16" s="263"/>
      <c r="U16" s="181"/>
    </row>
    <row r="17" spans="1:21">
      <c r="A17" s="169">
        <f t="shared" si="0"/>
        <v>7</v>
      </c>
      <c r="B17" s="169"/>
      <c r="C17" s="188">
        <v>44348</v>
      </c>
      <c r="D17" s="188"/>
      <c r="E17" s="260">
        <v>27147615.095976587</v>
      </c>
      <c r="F17" s="190"/>
      <c r="G17" s="260">
        <v>5126862.482875335</v>
      </c>
      <c r="H17" s="190"/>
      <c r="I17" s="260">
        <v>9283029.1392260455</v>
      </c>
      <c r="J17" s="190"/>
      <c r="K17" s="260">
        <v>2629122</v>
      </c>
      <c r="L17" s="190"/>
      <c r="M17" s="260">
        <f>'BHP WP13 Accumulated Reserve '!T35+'BHP WP13 Accumulated Reserve '!U35</f>
        <v>11561843.561644079</v>
      </c>
      <c r="N17" s="190"/>
      <c r="O17" s="261">
        <f t="shared" si="1"/>
        <v>32624785.156433895</v>
      </c>
      <c r="Q17" s="7"/>
      <c r="T17" s="263"/>
      <c r="U17" s="181"/>
    </row>
    <row r="18" spans="1:21">
      <c r="A18" s="169">
        <f t="shared" si="0"/>
        <v>8</v>
      </c>
      <c r="B18" s="169"/>
      <c r="C18" s="188">
        <v>44378</v>
      </c>
      <c r="D18" s="188"/>
      <c r="E18" s="260">
        <v>27410511.089798685</v>
      </c>
      <c r="F18" s="190"/>
      <c r="G18" s="260">
        <v>5170066.8937685853</v>
      </c>
      <c r="H18" s="190"/>
      <c r="I18" s="260">
        <v>9513047.1596242525</v>
      </c>
      <c r="J18" s="190"/>
      <c r="K18" s="260">
        <v>2655048</v>
      </c>
      <c r="L18" s="190"/>
      <c r="M18" s="260">
        <f>'BHP WP13 Accumulated Reserve '!T36+'BHP WP13 Accumulated Reserve '!U36</f>
        <v>11672048.22003183</v>
      </c>
      <c r="N18" s="190"/>
      <c r="O18" s="261">
        <f t="shared" si="1"/>
        <v>33076624.923159696</v>
      </c>
      <c r="Q18" s="7"/>
      <c r="T18" s="263"/>
      <c r="U18" s="181"/>
    </row>
    <row r="19" spans="1:21">
      <c r="A19" s="169">
        <f t="shared" si="0"/>
        <v>9</v>
      </c>
      <c r="B19" s="169"/>
      <c r="C19" s="188">
        <v>44409</v>
      </c>
      <c r="D19" s="188"/>
      <c r="E19" s="260">
        <v>27652172.651538745</v>
      </c>
      <c r="F19" s="190"/>
      <c r="G19" s="260">
        <v>5215021.5010300856</v>
      </c>
      <c r="H19" s="190"/>
      <c r="I19" s="260">
        <v>9742486.9081237856</v>
      </c>
      <c r="J19" s="190"/>
      <c r="K19" s="260">
        <v>2681056</v>
      </c>
      <c r="L19" s="190"/>
      <c r="M19" s="260">
        <f>'BHP WP13 Accumulated Reserve '!T37+'BHP WP13 Accumulated Reserve '!U37</f>
        <v>11782342.450607246</v>
      </c>
      <c r="N19" s="190"/>
      <c r="O19" s="261">
        <f t="shared" si="1"/>
        <v>33508394.610085368</v>
      </c>
      <c r="Q19" s="7"/>
      <c r="T19" s="263"/>
      <c r="U19" s="181"/>
    </row>
    <row r="20" spans="1:21">
      <c r="A20" s="169">
        <f t="shared" si="0"/>
        <v>10</v>
      </c>
      <c r="B20" s="169"/>
      <c r="C20" s="188">
        <v>44440</v>
      </c>
      <c r="D20" s="188"/>
      <c r="E20" s="260">
        <v>26610588.211966995</v>
      </c>
      <c r="F20" s="190"/>
      <c r="G20" s="260">
        <v>4289804.8820650019</v>
      </c>
      <c r="H20" s="190"/>
      <c r="I20" s="260">
        <v>9971761.0289225802</v>
      </c>
      <c r="J20" s="190"/>
      <c r="K20" s="260">
        <v>2706475</v>
      </c>
      <c r="L20" s="190"/>
      <c r="M20" s="260">
        <f>'BHP WP13 Accumulated Reserve '!T38+'BHP WP13 Accumulated Reserve '!U38</f>
        <v>11889983.903733831</v>
      </c>
      <c r="N20" s="190"/>
      <c r="O20" s="261">
        <f t="shared" si="1"/>
        <v>31688645.219220746</v>
      </c>
      <c r="Q20" s="7"/>
      <c r="T20" s="263"/>
      <c r="U20" s="181"/>
    </row>
    <row r="21" spans="1:21">
      <c r="A21" s="169">
        <f t="shared" si="0"/>
        <v>11</v>
      </c>
      <c r="B21" s="169"/>
      <c r="C21" s="188">
        <v>44470</v>
      </c>
      <c r="D21" s="188"/>
      <c r="E21" s="260">
        <v>26839721.543089282</v>
      </c>
      <c r="F21" s="190"/>
      <c r="G21" s="260">
        <v>4333834.632378418</v>
      </c>
      <c r="H21" s="190"/>
      <c r="I21" s="260">
        <v>10185177.336356733</v>
      </c>
      <c r="J21" s="190"/>
      <c r="K21" s="260">
        <v>2708922</v>
      </c>
      <c r="L21" s="190"/>
      <c r="M21" s="260">
        <f>'BHP WP13 Accumulated Reserve '!T39+'BHP WP13 Accumulated Reserve '!U39</f>
        <v>12000254.49135833</v>
      </c>
      <c r="N21" s="190"/>
      <c r="O21" s="261">
        <f t="shared" si="1"/>
        <v>32067401.020466097</v>
      </c>
      <c r="Q21" s="7"/>
      <c r="T21" s="263"/>
      <c r="U21" s="181"/>
    </row>
    <row r="22" spans="1:21">
      <c r="A22" s="169">
        <f t="shared" si="0"/>
        <v>12</v>
      </c>
      <c r="B22" s="169"/>
      <c r="C22" s="188">
        <v>44501</v>
      </c>
      <c r="D22" s="188"/>
      <c r="E22" s="260">
        <v>27026272.780877385</v>
      </c>
      <c r="F22" s="190"/>
      <c r="G22" s="260">
        <v>4376819.9751260858</v>
      </c>
      <c r="H22" s="190"/>
      <c r="I22" s="260">
        <v>10413237.698641879</v>
      </c>
      <c r="J22" s="190"/>
      <c r="K22" s="260">
        <v>2735179</v>
      </c>
      <c r="L22" s="190"/>
      <c r="M22" s="260">
        <f>'BHP WP13 Accumulated Reserve '!T40+'BHP WP13 Accumulated Reserve '!U40</f>
        <v>12109463.09572858</v>
      </c>
      <c r="N22" s="190"/>
      <c r="O22" s="261">
        <f t="shared" si="1"/>
        <v>32442046.358916771</v>
      </c>
      <c r="Q22" s="7"/>
      <c r="T22" s="263"/>
      <c r="U22" s="181"/>
    </row>
    <row r="23" spans="1:21">
      <c r="A23" s="169">
        <f t="shared" si="0"/>
        <v>13</v>
      </c>
      <c r="B23" s="169"/>
      <c r="C23" s="188">
        <v>44531</v>
      </c>
      <c r="D23" s="188"/>
      <c r="E23" s="260">
        <v>27243496.280582614</v>
      </c>
      <c r="F23" s="190"/>
      <c r="G23" s="260">
        <v>4419430.1150747519</v>
      </c>
      <c r="H23" s="190"/>
      <c r="I23" s="260">
        <v>10644024.921569485</v>
      </c>
      <c r="J23" s="190"/>
      <c r="K23" s="260">
        <v>2761520</v>
      </c>
      <c r="L23" s="190"/>
      <c r="M23" s="260">
        <f>'BHP WP13 Accumulated Reserve '!T41+'BHP WP13 Accumulated Reserve '!U41</f>
        <v>12218199.116375163</v>
      </c>
      <c r="N23" s="190"/>
      <c r="O23" s="261">
        <f t="shared" si="1"/>
        <v>32850272.200851694</v>
      </c>
      <c r="P23" s="190"/>
      <c r="Q23" s="7"/>
      <c r="T23" s="263"/>
      <c r="U23" s="181"/>
    </row>
    <row r="24" spans="1:21" ht="26">
      <c r="A24" s="169">
        <f t="shared" si="0"/>
        <v>14</v>
      </c>
      <c r="B24" s="169"/>
      <c r="C24" s="191" t="s">
        <v>363</v>
      </c>
      <c r="D24" s="191"/>
      <c r="E24" s="190">
        <f>AVERAGE(E11:E23)</f>
        <v>27343762.242176048</v>
      </c>
      <c r="F24" s="190"/>
      <c r="G24" s="190">
        <f>AVERAGE(G11:G23)</f>
        <v>4840753.6496097837</v>
      </c>
      <c r="H24" s="190"/>
      <c r="I24" s="190">
        <f>AVERAGE(I11:I23)</f>
        <v>9247676.0700703263</v>
      </c>
      <c r="J24" s="190"/>
      <c r="K24" s="190"/>
      <c r="L24" s="190"/>
      <c r="M24" s="190"/>
      <c r="N24" s="190"/>
      <c r="O24" s="190">
        <f>AVERAGE(O11:O23)</f>
        <v>32493841.942973979</v>
      </c>
      <c r="T24" s="182"/>
      <c r="U24" s="182"/>
    </row>
    <row r="25" spans="1:21">
      <c r="A25" s="169">
        <f t="shared" si="0"/>
        <v>15</v>
      </c>
      <c r="B25" s="169"/>
      <c r="C25" s="232"/>
      <c r="D25" s="232"/>
      <c r="E25" s="182"/>
      <c r="F25" s="182"/>
      <c r="G25" s="182"/>
      <c r="H25" s="182"/>
      <c r="I25" s="182"/>
      <c r="J25" s="182"/>
      <c r="K25" s="182"/>
      <c r="L25" s="182"/>
      <c r="M25" s="182"/>
      <c r="N25" s="182"/>
      <c r="O25" s="182"/>
    </row>
    <row r="26" spans="1:21">
      <c r="A26" s="169">
        <f t="shared" si="0"/>
        <v>16</v>
      </c>
      <c r="B26" s="168" t="s">
        <v>362</v>
      </c>
      <c r="C26" s="182"/>
      <c r="D26" s="233"/>
      <c r="L26" s="182"/>
      <c r="N26" s="182"/>
      <c r="O26" s="182"/>
    </row>
    <row r="27" spans="1:21">
      <c r="A27" s="169">
        <f t="shared" si="0"/>
        <v>17</v>
      </c>
      <c r="B27" s="168" t="s">
        <v>361</v>
      </c>
      <c r="D27" s="168"/>
    </row>
    <row r="28" spans="1:21">
      <c r="A28" s="169">
        <f t="shared" si="0"/>
        <v>18</v>
      </c>
      <c r="B28" s="168" t="s">
        <v>383</v>
      </c>
      <c r="D28" s="168"/>
    </row>
    <row r="29" spans="1:21">
      <c r="A29" s="169">
        <f t="shared" si="0"/>
        <v>19</v>
      </c>
      <c r="B29" s="168" t="s">
        <v>442</v>
      </c>
      <c r="D29" s="168"/>
    </row>
    <row r="30" spans="1:21">
      <c r="A30" s="169">
        <f t="shared" si="0"/>
        <v>20</v>
      </c>
      <c r="B30" s="168" t="s">
        <v>446</v>
      </c>
      <c r="D30" s="168"/>
    </row>
    <row r="31" spans="1:21">
      <c r="A31" s="169">
        <f>A29+1</f>
        <v>20</v>
      </c>
      <c r="B31" s="168" t="s">
        <v>445</v>
      </c>
    </row>
    <row r="33" spans="1:19">
      <c r="A33" s="155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</row>
    <row r="34" spans="1:19">
      <c r="A34" s="155"/>
      <c r="B34" s="155"/>
      <c r="C34" s="155"/>
      <c r="D34" s="155"/>
      <c r="E34" s="155"/>
      <c r="F34" s="155"/>
      <c r="G34" s="155"/>
      <c r="H34" s="155"/>
      <c r="I34" s="155"/>
      <c r="J34" s="155"/>
      <c r="K34" s="155"/>
      <c r="L34" s="155"/>
      <c r="M34" s="155"/>
      <c r="N34" s="155"/>
      <c r="O34" s="155"/>
      <c r="P34" s="155"/>
      <c r="Q34" s="155"/>
      <c r="R34" s="155"/>
      <c r="S34" s="155"/>
    </row>
    <row r="35" spans="1:19">
      <c r="A35" s="155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</row>
    <row r="36" spans="1:19">
      <c r="A36" s="158"/>
      <c r="B36" s="158"/>
      <c r="C36" s="167"/>
      <c r="D36" s="167"/>
      <c r="E36" s="167"/>
      <c r="F36" s="167"/>
      <c r="G36" s="166"/>
      <c r="H36" s="167"/>
      <c r="I36" s="166"/>
      <c r="J36" s="167"/>
      <c r="K36" s="166"/>
      <c r="L36" s="166"/>
      <c r="M36" s="166"/>
      <c r="N36" s="166"/>
      <c r="O36" s="166"/>
      <c r="P36" s="155"/>
      <c r="Q36" s="155"/>
      <c r="R36" s="155"/>
      <c r="S36" s="155"/>
    </row>
    <row r="37" spans="1:19">
      <c r="A37" s="158"/>
      <c r="B37" s="158"/>
      <c r="C37" s="165"/>
      <c r="D37" s="165"/>
      <c r="E37" s="165"/>
      <c r="F37" s="165"/>
      <c r="G37" s="164"/>
      <c r="H37" s="165"/>
      <c r="I37" s="164"/>
      <c r="J37" s="165"/>
      <c r="K37" s="164"/>
      <c r="L37" s="164"/>
      <c r="M37" s="164"/>
      <c r="N37" s="164"/>
      <c r="O37" s="164"/>
      <c r="P37" s="155"/>
      <c r="Q37" s="155"/>
      <c r="R37" s="155"/>
      <c r="S37" s="155"/>
    </row>
    <row r="38" spans="1:19">
      <c r="A38" s="158"/>
      <c r="B38" s="158"/>
      <c r="C38" s="159"/>
      <c r="D38" s="159"/>
      <c r="E38" s="155"/>
      <c r="F38" s="155"/>
      <c r="G38" s="163"/>
      <c r="H38" s="155"/>
      <c r="I38" s="163"/>
      <c r="J38" s="155"/>
      <c r="K38" s="163"/>
      <c r="L38" s="163"/>
      <c r="M38" s="163"/>
      <c r="N38" s="163"/>
      <c r="O38" s="163"/>
      <c r="P38" s="155"/>
      <c r="Q38" s="155"/>
      <c r="R38" s="155"/>
      <c r="S38" s="155"/>
    </row>
    <row r="39" spans="1:19">
      <c r="A39" s="162"/>
      <c r="B39" s="162"/>
      <c r="C39" s="161"/>
      <c r="D39" s="161"/>
      <c r="E39" s="160"/>
      <c r="F39" s="160"/>
      <c r="G39" s="156"/>
      <c r="H39" s="160"/>
      <c r="I39" s="156"/>
      <c r="J39" s="160"/>
      <c r="K39" s="156"/>
      <c r="L39" s="156"/>
      <c r="M39" s="156"/>
      <c r="N39" s="156"/>
      <c r="O39" s="156"/>
      <c r="P39" s="155"/>
      <c r="Q39" s="155"/>
      <c r="R39" s="155"/>
      <c r="S39" s="155"/>
    </row>
    <row r="40" spans="1:19">
      <c r="A40" s="158"/>
      <c r="B40" s="158"/>
      <c r="C40" s="159"/>
      <c r="D40" s="159"/>
      <c r="E40" s="157"/>
      <c r="F40" s="157"/>
      <c r="G40" s="156"/>
      <c r="H40" s="157"/>
      <c r="I40" s="156"/>
      <c r="J40" s="157"/>
      <c r="K40" s="156"/>
      <c r="L40" s="156"/>
      <c r="M40" s="156"/>
      <c r="N40" s="156"/>
      <c r="O40" s="156"/>
      <c r="P40" s="155"/>
      <c r="Q40" s="155"/>
      <c r="R40" s="155"/>
      <c r="S40" s="155"/>
    </row>
    <row r="41" spans="1:19">
      <c r="A41" s="158"/>
      <c r="B41" s="158"/>
      <c r="C41" s="157"/>
      <c r="D41" s="157"/>
      <c r="E41" s="157"/>
      <c r="F41" s="157"/>
      <c r="G41" s="156"/>
      <c r="H41" s="157"/>
      <c r="I41" s="156"/>
      <c r="J41" s="157"/>
      <c r="K41" s="156"/>
      <c r="L41" s="156"/>
      <c r="M41" s="156"/>
      <c r="N41" s="156"/>
      <c r="O41" s="156"/>
      <c r="P41" s="155"/>
      <c r="Q41" s="155"/>
      <c r="R41" s="155"/>
      <c r="S41" s="155"/>
    </row>
    <row r="42" spans="1:19">
      <c r="A42" s="155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  <c r="R42" s="155"/>
      <c r="S42" s="155"/>
    </row>
    <row r="43" spans="1:19">
      <c r="A43" s="155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  <c r="R43" s="155"/>
      <c r="S43" s="155"/>
    </row>
    <row r="44" spans="1:19">
      <c r="A44" s="155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  <c r="R44" s="155"/>
      <c r="S44" s="155"/>
    </row>
    <row r="45" spans="1:19">
      <c r="A45" s="155"/>
      <c r="B45" s="155"/>
      <c r="C45" s="155"/>
      <c r="D45" s="155"/>
      <c r="E45" s="155"/>
      <c r="F45" s="155"/>
      <c r="G45" s="155"/>
      <c r="H45" s="155"/>
      <c r="I45" s="155"/>
      <c r="J45" s="155"/>
      <c r="K45" s="155"/>
      <c r="L45" s="155"/>
      <c r="M45" s="155"/>
      <c r="N45" s="155"/>
      <c r="O45" s="155"/>
      <c r="P45" s="155"/>
      <c r="Q45" s="155"/>
      <c r="R45" s="155"/>
      <c r="S45" s="155"/>
    </row>
    <row r="46" spans="1:19">
      <c r="A46" s="155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</row>
  </sheetData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 tint="0.39997558519241921"/>
  </sheetPr>
  <dimension ref="A3:AD44"/>
  <sheetViews>
    <sheetView topLeftCell="A7" zoomScaleNormal="100" workbookViewId="0">
      <selection activeCell="C21" sqref="C21"/>
    </sheetView>
  </sheetViews>
  <sheetFormatPr defaultRowHeight="15.5"/>
  <cols>
    <col min="1" max="1" width="3.4609375" bestFit="1" customWidth="1"/>
    <col min="2" max="2" width="3.4609375" customWidth="1"/>
    <col min="3" max="3" width="13.23046875" customWidth="1"/>
    <col min="4" max="4" width="2.69140625" customWidth="1"/>
    <col min="5" max="5" width="15.23046875" customWidth="1"/>
    <col min="6" max="6" width="3" customWidth="1"/>
    <col min="7" max="7" width="11.84375" bestFit="1" customWidth="1"/>
    <col min="8" max="8" width="3" customWidth="1"/>
    <col min="9" max="9" width="11.84375" bestFit="1" customWidth="1"/>
    <col min="10" max="10" width="3.07421875" customWidth="1"/>
    <col min="11" max="11" width="11.84375" bestFit="1" customWidth="1"/>
    <col min="12" max="12" width="3.07421875" customWidth="1"/>
    <col min="13" max="13" width="13.53515625" bestFit="1" customWidth="1"/>
    <col min="14" max="14" width="15.84375" bestFit="1" customWidth="1"/>
    <col min="15" max="15" width="9.23046875" customWidth="1"/>
    <col min="261" max="261" width="3.4609375" bestFit="1" customWidth="1"/>
    <col min="262" max="262" width="3.4609375" customWidth="1"/>
    <col min="263" max="263" width="13.23046875" customWidth="1"/>
    <col min="264" max="264" width="2.69140625" customWidth="1"/>
    <col min="265" max="265" width="15.23046875" customWidth="1"/>
    <col min="266" max="266" width="3" customWidth="1"/>
    <col min="267" max="267" width="11.84375" bestFit="1" customWidth="1"/>
    <col min="268" max="268" width="3.07421875" customWidth="1"/>
    <col min="269" max="269" width="13.53515625" bestFit="1" customWidth="1"/>
    <col min="270" max="271" width="9.23046875" customWidth="1"/>
    <col min="517" max="517" width="3.4609375" bestFit="1" customWidth="1"/>
    <col min="518" max="518" width="3.4609375" customWidth="1"/>
    <col min="519" max="519" width="13.23046875" customWidth="1"/>
    <col min="520" max="520" width="2.69140625" customWidth="1"/>
    <col min="521" max="521" width="15.23046875" customWidth="1"/>
    <col min="522" max="522" width="3" customWidth="1"/>
    <col min="523" max="523" width="11.84375" bestFit="1" customWidth="1"/>
    <col min="524" max="524" width="3.07421875" customWidth="1"/>
    <col min="525" max="525" width="13.53515625" bestFit="1" customWidth="1"/>
    <col min="526" max="527" width="9.23046875" customWidth="1"/>
    <col min="773" max="773" width="3.4609375" bestFit="1" customWidth="1"/>
    <col min="774" max="774" width="3.4609375" customWidth="1"/>
    <col min="775" max="775" width="13.23046875" customWidth="1"/>
    <col min="776" max="776" width="2.69140625" customWidth="1"/>
    <col min="777" max="777" width="15.23046875" customWidth="1"/>
    <col min="778" max="778" width="3" customWidth="1"/>
    <col min="779" max="779" width="11.84375" bestFit="1" customWidth="1"/>
    <col min="780" max="780" width="3.07421875" customWidth="1"/>
    <col min="781" max="781" width="13.53515625" bestFit="1" customWidth="1"/>
    <col min="782" max="783" width="9.23046875" customWidth="1"/>
    <col min="1029" max="1029" width="3.4609375" bestFit="1" customWidth="1"/>
    <col min="1030" max="1030" width="3.4609375" customWidth="1"/>
    <col min="1031" max="1031" width="13.23046875" customWidth="1"/>
    <col min="1032" max="1032" width="2.69140625" customWidth="1"/>
    <col min="1033" max="1033" width="15.23046875" customWidth="1"/>
    <col min="1034" max="1034" width="3" customWidth="1"/>
    <col min="1035" max="1035" width="11.84375" bestFit="1" customWidth="1"/>
    <col min="1036" max="1036" width="3.07421875" customWidth="1"/>
    <col min="1037" max="1037" width="13.53515625" bestFit="1" customWidth="1"/>
    <col min="1038" max="1039" width="9.23046875" customWidth="1"/>
    <col min="1285" max="1285" width="3.4609375" bestFit="1" customWidth="1"/>
    <col min="1286" max="1286" width="3.4609375" customWidth="1"/>
    <col min="1287" max="1287" width="13.23046875" customWidth="1"/>
    <col min="1288" max="1288" width="2.69140625" customWidth="1"/>
    <col min="1289" max="1289" width="15.23046875" customWidth="1"/>
    <col min="1290" max="1290" width="3" customWidth="1"/>
    <col min="1291" max="1291" width="11.84375" bestFit="1" customWidth="1"/>
    <col min="1292" max="1292" width="3.07421875" customWidth="1"/>
    <col min="1293" max="1293" width="13.53515625" bestFit="1" customWidth="1"/>
    <col min="1294" max="1295" width="9.23046875" customWidth="1"/>
    <col min="1541" max="1541" width="3.4609375" bestFit="1" customWidth="1"/>
    <col min="1542" max="1542" width="3.4609375" customWidth="1"/>
    <col min="1543" max="1543" width="13.23046875" customWidth="1"/>
    <col min="1544" max="1544" width="2.69140625" customWidth="1"/>
    <col min="1545" max="1545" width="15.23046875" customWidth="1"/>
    <col min="1546" max="1546" width="3" customWidth="1"/>
    <col min="1547" max="1547" width="11.84375" bestFit="1" customWidth="1"/>
    <col min="1548" max="1548" width="3.07421875" customWidth="1"/>
    <col min="1549" max="1549" width="13.53515625" bestFit="1" customWidth="1"/>
    <col min="1550" max="1551" width="9.23046875" customWidth="1"/>
    <col min="1797" max="1797" width="3.4609375" bestFit="1" customWidth="1"/>
    <col min="1798" max="1798" width="3.4609375" customWidth="1"/>
    <col min="1799" max="1799" width="13.23046875" customWidth="1"/>
    <col min="1800" max="1800" width="2.69140625" customWidth="1"/>
    <col min="1801" max="1801" width="15.23046875" customWidth="1"/>
    <col min="1802" max="1802" width="3" customWidth="1"/>
    <col min="1803" max="1803" width="11.84375" bestFit="1" customWidth="1"/>
    <col min="1804" max="1804" width="3.07421875" customWidth="1"/>
    <col min="1805" max="1805" width="13.53515625" bestFit="1" customWidth="1"/>
    <col min="1806" max="1807" width="9.23046875" customWidth="1"/>
    <col min="2053" max="2053" width="3.4609375" bestFit="1" customWidth="1"/>
    <col min="2054" max="2054" width="3.4609375" customWidth="1"/>
    <col min="2055" max="2055" width="13.23046875" customWidth="1"/>
    <col min="2056" max="2056" width="2.69140625" customWidth="1"/>
    <col min="2057" max="2057" width="15.23046875" customWidth="1"/>
    <col min="2058" max="2058" width="3" customWidth="1"/>
    <col min="2059" max="2059" width="11.84375" bestFit="1" customWidth="1"/>
    <col min="2060" max="2060" width="3.07421875" customWidth="1"/>
    <col min="2061" max="2061" width="13.53515625" bestFit="1" customWidth="1"/>
    <col min="2062" max="2063" width="9.23046875" customWidth="1"/>
    <col min="2309" max="2309" width="3.4609375" bestFit="1" customWidth="1"/>
    <col min="2310" max="2310" width="3.4609375" customWidth="1"/>
    <col min="2311" max="2311" width="13.23046875" customWidth="1"/>
    <col min="2312" max="2312" width="2.69140625" customWidth="1"/>
    <col min="2313" max="2313" width="15.23046875" customWidth="1"/>
    <col min="2314" max="2314" width="3" customWidth="1"/>
    <col min="2315" max="2315" width="11.84375" bestFit="1" customWidth="1"/>
    <col min="2316" max="2316" width="3.07421875" customWidth="1"/>
    <col min="2317" max="2317" width="13.53515625" bestFit="1" customWidth="1"/>
    <col min="2318" max="2319" width="9.23046875" customWidth="1"/>
    <col min="2565" max="2565" width="3.4609375" bestFit="1" customWidth="1"/>
    <col min="2566" max="2566" width="3.4609375" customWidth="1"/>
    <col min="2567" max="2567" width="13.23046875" customWidth="1"/>
    <col min="2568" max="2568" width="2.69140625" customWidth="1"/>
    <col min="2569" max="2569" width="15.23046875" customWidth="1"/>
    <col min="2570" max="2570" width="3" customWidth="1"/>
    <col min="2571" max="2571" width="11.84375" bestFit="1" customWidth="1"/>
    <col min="2572" max="2572" width="3.07421875" customWidth="1"/>
    <col min="2573" max="2573" width="13.53515625" bestFit="1" customWidth="1"/>
    <col min="2574" max="2575" width="9.23046875" customWidth="1"/>
    <col min="2821" max="2821" width="3.4609375" bestFit="1" customWidth="1"/>
    <col min="2822" max="2822" width="3.4609375" customWidth="1"/>
    <col min="2823" max="2823" width="13.23046875" customWidth="1"/>
    <col min="2824" max="2824" width="2.69140625" customWidth="1"/>
    <col min="2825" max="2825" width="15.23046875" customWidth="1"/>
    <col min="2826" max="2826" width="3" customWidth="1"/>
    <col min="2827" max="2827" width="11.84375" bestFit="1" customWidth="1"/>
    <col min="2828" max="2828" width="3.07421875" customWidth="1"/>
    <col min="2829" max="2829" width="13.53515625" bestFit="1" customWidth="1"/>
    <col min="2830" max="2831" width="9.23046875" customWidth="1"/>
    <col min="3077" max="3077" width="3.4609375" bestFit="1" customWidth="1"/>
    <col min="3078" max="3078" width="3.4609375" customWidth="1"/>
    <col min="3079" max="3079" width="13.23046875" customWidth="1"/>
    <col min="3080" max="3080" width="2.69140625" customWidth="1"/>
    <col min="3081" max="3081" width="15.23046875" customWidth="1"/>
    <col min="3082" max="3082" width="3" customWidth="1"/>
    <col min="3083" max="3083" width="11.84375" bestFit="1" customWidth="1"/>
    <col min="3084" max="3084" width="3.07421875" customWidth="1"/>
    <col min="3085" max="3085" width="13.53515625" bestFit="1" customWidth="1"/>
    <col min="3086" max="3087" width="9.23046875" customWidth="1"/>
    <col min="3333" max="3333" width="3.4609375" bestFit="1" customWidth="1"/>
    <col min="3334" max="3334" width="3.4609375" customWidth="1"/>
    <col min="3335" max="3335" width="13.23046875" customWidth="1"/>
    <col min="3336" max="3336" width="2.69140625" customWidth="1"/>
    <col min="3337" max="3337" width="15.23046875" customWidth="1"/>
    <col min="3338" max="3338" width="3" customWidth="1"/>
    <col min="3339" max="3339" width="11.84375" bestFit="1" customWidth="1"/>
    <col min="3340" max="3340" width="3.07421875" customWidth="1"/>
    <col min="3341" max="3341" width="13.53515625" bestFit="1" customWidth="1"/>
    <col min="3342" max="3343" width="9.23046875" customWidth="1"/>
    <col min="3589" max="3589" width="3.4609375" bestFit="1" customWidth="1"/>
    <col min="3590" max="3590" width="3.4609375" customWidth="1"/>
    <col min="3591" max="3591" width="13.23046875" customWidth="1"/>
    <col min="3592" max="3592" width="2.69140625" customWidth="1"/>
    <col min="3593" max="3593" width="15.23046875" customWidth="1"/>
    <col min="3594" max="3594" width="3" customWidth="1"/>
    <col min="3595" max="3595" width="11.84375" bestFit="1" customWidth="1"/>
    <col min="3596" max="3596" width="3.07421875" customWidth="1"/>
    <col min="3597" max="3597" width="13.53515625" bestFit="1" customWidth="1"/>
    <col min="3598" max="3599" width="9.23046875" customWidth="1"/>
    <col min="3845" max="3845" width="3.4609375" bestFit="1" customWidth="1"/>
    <col min="3846" max="3846" width="3.4609375" customWidth="1"/>
    <col min="3847" max="3847" width="13.23046875" customWidth="1"/>
    <col min="3848" max="3848" width="2.69140625" customWidth="1"/>
    <col min="3849" max="3849" width="15.23046875" customWidth="1"/>
    <col min="3850" max="3850" width="3" customWidth="1"/>
    <col min="3851" max="3851" width="11.84375" bestFit="1" customWidth="1"/>
    <col min="3852" max="3852" width="3.07421875" customWidth="1"/>
    <col min="3853" max="3853" width="13.53515625" bestFit="1" customWidth="1"/>
    <col min="3854" max="3855" width="9.23046875" customWidth="1"/>
    <col min="4101" max="4101" width="3.4609375" bestFit="1" customWidth="1"/>
    <col min="4102" max="4102" width="3.4609375" customWidth="1"/>
    <col min="4103" max="4103" width="13.23046875" customWidth="1"/>
    <col min="4104" max="4104" width="2.69140625" customWidth="1"/>
    <col min="4105" max="4105" width="15.23046875" customWidth="1"/>
    <col min="4106" max="4106" width="3" customWidth="1"/>
    <col min="4107" max="4107" width="11.84375" bestFit="1" customWidth="1"/>
    <col min="4108" max="4108" width="3.07421875" customWidth="1"/>
    <col min="4109" max="4109" width="13.53515625" bestFit="1" customWidth="1"/>
    <col min="4110" max="4111" width="9.23046875" customWidth="1"/>
    <col min="4357" max="4357" width="3.4609375" bestFit="1" customWidth="1"/>
    <col min="4358" max="4358" width="3.4609375" customWidth="1"/>
    <col min="4359" max="4359" width="13.23046875" customWidth="1"/>
    <col min="4360" max="4360" width="2.69140625" customWidth="1"/>
    <col min="4361" max="4361" width="15.23046875" customWidth="1"/>
    <col min="4362" max="4362" width="3" customWidth="1"/>
    <col min="4363" max="4363" width="11.84375" bestFit="1" customWidth="1"/>
    <col min="4364" max="4364" width="3.07421875" customWidth="1"/>
    <col min="4365" max="4365" width="13.53515625" bestFit="1" customWidth="1"/>
    <col min="4366" max="4367" width="9.23046875" customWidth="1"/>
    <col min="4613" max="4613" width="3.4609375" bestFit="1" customWidth="1"/>
    <col min="4614" max="4614" width="3.4609375" customWidth="1"/>
    <col min="4615" max="4615" width="13.23046875" customWidth="1"/>
    <col min="4616" max="4616" width="2.69140625" customWidth="1"/>
    <col min="4617" max="4617" width="15.23046875" customWidth="1"/>
    <col min="4618" max="4618" width="3" customWidth="1"/>
    <col min="4619" max="4619" width="11.84375" bestFit="1" customWidth="1"/>
    <col min="4620" max="4620" width="3.07421875" customWidth="1"/>
    <col min="4621" max="4621" width="13.53515625" bestFit="1" customWidth="1"/>
    <col min="4622" max="4623" width="9.23046875" customWidth="1"/>
    <col min="4869" max="4869" width="3.4609375" bestFit="1" customWidth="1"/>
    <col min="4870" max="4870" width="3.4609375" customWidth="1"/>
    <col min="4871" max="4871" width="13.23046875" customWidth="1"/>
    <col min="4872" max="4872" width="2.69140625" customWidth="1"/>
    <col min="4873" max="4873" width="15.23046875" customWidth="1"/>
    <col min="4874" max="4874" width="3" customWidth="1"/>
    <col min="4875" max="4875" width="11.84375" bestFit="1" customWidth="1"/>
    <col min="4876" max="4876" width="3.07421875" customWidth="1"/>
    <col min="4877" max="4877" width="13.53515625" bestFit="1" customWidth="1"/>
    <col min="4878" max="4879" width="9.23046875" customWidth="1"/>
    <col min="5125" max="5125" width="3.4609375" bestFit="1" customWidth="1"/>
    <col min="5126" max="5126" width="3.4609375" customWidth="1"/>
    <col min="5127" max="5127" width="13.23046875" customWidth="1"/>
    <col min="5128" max="5128" width="2.69140625" customWidth="1"/>
    <col min="5129" max="5129" width="15.23046875" customWidth="1"/>
    <col min="5130" max="5130" width="3" customWidth="1"/>
    <col min="5131" max="5131" width="11.84375" bestFit="1" customWidth="1"/>
    <col min="5132" max="5132" width="3.07421875" customWidth="1"/>
    <col min="5133" max="5133" width="13.53515625" bestFit="1" customWidth="1"/>
    <col min="5134" max="5135" width="9.23046875" customWidth="1"/>
    <col min="5381" max="5381" width="3.4609375" bestFit="1" customWidth="1"/>
    <col min="5382" max="5382" width="3.4609375" customWidth="1"/>
    <col min="5383" max="5383" width="13.23046875" customWidth="1"/>
    <col min="5384" max="5384" width="2.69140625" customWidth="1"/>
    <col min="5385" max="5385" width="15.23046875" customWidth="1"/>
    <col min="5386" max="5386" width="3" customWidth="1"/>
    <col min="5387" max="5387" width="11.84375" bestFit="1" customWidth="1"/>
    <col min="5388" max="5388" width="3.07421875" customWidth="1"/>
    <col min="5389" max="5389" width="13.53515625" bestFit="1" customWidth="1"/>
    <col min="5390" max="5391" width="9.23046875" customWidth="1"/>
    <col min="5637" max="5637" width="3.4609375" bestFit="1" customWidth="1"/>
    <col min="5638" max="5638" width="3.4609375" customWidth="1"/>
    <col min="5639" max="5639" width="13.23046875" customWidth="1"/>
    <col min="5640" max="5640" width="2.69140625" customWidth="1"/>
    <col min="5641" max="5641" width="15.23046875" customWidth="1"/>
    <col min="5642" max="5642" width="3" customWidth="1"/>
    <col min="5643" max="5643" width="11.84375" bestFit="1" customWidth="1"/>
    <col min="5644" max="5644" width="3.07421875" customWidth="1"/>
    <col min="5645" max="5645" width="13.53515625" bestFit="1" customWidth="1"/>
    <col min="5646" max="5647" width="9.23046875" customWidth="1"/>
    <col min="5893" max="5893" width="3.4609375" bestFit="1" customWidth="1"/>
    <col min="5894" max="5894" width="3.4609375" customWidth="1"/>
    <col min="5895" max="5895" width="13.23046875" customWidth="1"/>
    <col min="5896" max="5896" width="2.69140625" customWidth="1"/>
    <col min="5897" max="5897" width="15.23046875" customWidth="1"/>
    <col min="5898" max="5898" width="3" customWidth="1"/>
    <col min="5899" max="5899" width="11.84375" bestFit="1" customWidth="1"/>
    <col min="5900" max="5900" width="3.07421875" customWidth="1"/>
    <col min="5901" max="5901" width="13.53515625" bestFit="1" customWidth="1"/>
    <col min="5902" max="5903" width="9.23046875" customWidth="1"/>
    <col min="6149" max="6149" width="3.4609375" bestFit="1" customWidth="1"/>
    <col min="6150" max="6150" width="3.4609375" customWidth="1"/>
    <col min="6151" max="6151" width="13.23046875" customWidth="1"/>
    <col min="6152" max="6152" width="2.69140625" customWidth="1"/>
    <col min="6153" max="6153" width="15.23046875" customWidth="1"/>
    <col min="6154" max="6154" width="3" customWidth="1"/>
    <col min="6155" max="6155" width="11.84375" bestFit="1" customWidth="1"/>
    <col min="6156" max="6156" width="3.07421875" customWidth="1"/>
    <col min="6157" max="6157" width="13.53515625" bestFit="1" customWidth="1"/>
    <col min="6158" max="6159" width="9.23046875" customWidth="1"/>
    <col min="6405" max="6405" width="3.4609375" bestFit="1" customWidth="1"/>
    <col min="6406" max="6406" width="3.4609375" customWidth="1"/>
    <col min="6407" max="6407" width="13.23046875" customWidth="1"/>
    <col min="6408" max="6408" width="2.69140625" customWidth="1"/>
    <col min="6409" max="6409" width="15.23046875" customWidth="1"/>
    <col min="6410" max="6410" width="3" customWidth="1"/>
    <col min="6411" max="6411" width="11.84375" bestFit="1" customWidth="1"/>
    <col min="6412" max="6412" width="3.07421875" customWidth="1"/>
    <col min="6413" max="6413" width="13.53515625" bestFit="1" customWidth="1"/>
    <col min="6414" max="6415" width="9.23046875" customWidth="1"/>
    <col min="6661" max="6661" width="3.4609375" bestFit="1" customWidth="1"/>
    <col min="6662" max="6662" width="3.4609375" customWidth="1"/>
    <col min="6663" max="6663" width="13.23046875" customWidth="1"/>
    <col min="6664" max="6664" width="2.69140625" customWidth="1"/>
    <col min="6665" max="6665" width="15.23046875" customWidth="1"/>
    <col min="6666" max="6666" width="3" customWidth="1"/>
    <col min="6667" max="6667" width="11.84375" bestFit="1" customWidth="1"/>
    <col min="6668" max="6668" width="3.07421875" customWidth="1"/>
    <col min="6669" max="6669" width="13.53515625" bestFit="1" customWidth="1"/>
    <col min="6670" max="6671" width="9.23046875" customWidth="1"/>
    <col min="6917" max="6917" width="3.4609375" bestFit="1" customWidth="1"/>
    <col min="6918" max="6918" width="3.4609375" customWidth="1"/>
    <col min="6919" max="6919" width="13.23046875" customWidth="1"/>
    <col min="6920" max="6920" width="2.69140625" customWidth="1"/>
    <col min="6921" max="6921" width="15.23046875" customWidth="1"/>
    <col min="6922" max="6922" width="3" customWidth="1"/>
    <col min="6923" max="6923" width="11.84375" bestFit="1" customWidth="1"/>
    <col min="6924" max="6924" width="3.07421875" customWidth="1"/>
    <col min="6925" max="6925" width="13.53515625" bestFit="1" customWidth="1"/>
    <col min="6926" max="6927" width="9.23046875" customWidth="1"/>
    <col min="7173" max="7173" width="3.4609375" bestFit="1" customWidth="1"/>
    <col min="7174" max="7174" width="3.4609375" customWidth="1"/>
    <col min="7175" max="7175" width="13.23046875" customWidth="1"/>
    <col min="7176" max="7176" width="2.69140625" customWidth="1"/>
    <col min="7177" max="7177" width="15.23046875" customWidth="1"/>
    <col min="7178" max="7178" width="3" customWidth="1"/>
    <col min="7179" max="7179" width="11.84375" bestFit="1" customWidth="1"/>
    <col min="7180" max="7180" width="3.07421875" customWidth="1"/>
    <col min="7181" max="7181" width="13.53515625" bestFit="1" customWidth="1"/>
    <col min="7182" max="7183" width="9.23046875" customWidth="1"/>
    <col min="7429" max="7429" width="3.4609375" bestFit="1" customWidth="1"/>
    <col min="7430" max="7430" width="3.4609375" customWidth="1"/>
    <col min="7431" max="7431" width="13.23046875" customWidth="1"/>
    <col min="7432" max="7432" width="2.69140625" customWidth="1"/>
    <col min="7433" max="7433" width="15.23046875" customWidth="1"/>
    <col min="7434" max="7434" width="3" customWidth="1"/>
    <col min="7435" max="7435" width="11.84375" bestFit="1" customWidth="1"/>
    <col min="7436" max="7436" width="3.07421875" customWidth="1"/>
    <col min="7437" max="7437" width="13.53515625" bestFit="1" customWidth="1"/>
    <col min="7438" max="7439" width="9.23046875" customWidth="1"/>
    <col min="7685" max="7685" width="3.4609375" bestFit="1" customWidth="1"/>
    <col min="7686" max="7686" width="3.4609375" customWidth="1"/>
    <col min="7687" max="7687" width="13.23046875" customWidth="1"/>
    <col min="7688" max="7688" width="2.69140625" customWidth="1"/>
    <col min="7689" max="7689" width="15.23046875" customWidth="1"/>
    <col min="7690" max="7690" width="3" customWidth="1"/>
    <col min="7691" max="7691" width="11.84375" bestFit="1" customWidth="1"/>
    <col min="7692" max="7692" width="3.07421875" customWidth="1"/>
    <col min="7693" max="7693" width="13.53515625" bestFit="1" customWidth="1"/>
    <col min="7694" max="7695" width="9.23046875" customWidth="1"/>
    <col min="7941" max="7941" width="3.4609375" bestFit="1" customWidth="1"/>
    <col min="7942" max="7942" width="3.4609375" customWidth="1"/>
    <col min="7943" max="7943" width="13.23046875" customWidth="1"/>
    <col min="7944" max="7944" width="2.69140625" customWidth="1"/>
    <col min="7945" max="7945" width="15.23046875" customWidth="1"/>
    <col min="7946" max="7946" width="3" customWidth="1"/>
    <col min="7947" max="7947" width="11.84375" bestFit="1" customWidth="1"/>
    <col min="7948" max="7948" width="3.07421875" customWidth="1"/>
    <col min="7949" max="7949" width="13.53515625" bestFit="1" customWidth="1"/>
    <col min="7950" max="7951" width="9.23046875" customWidth="1"/>
    <col min="8197" max="8197" width="3.4609375" bestFit="1" customWidth="1"/>
    <col min="8198" max="8198" width="3.4609375" customWidth="1"/>
    <col min="8199" max="8199" width="13.23046875" customWidth="1"/>
    <col min="8200" max="8200" width="2.69140625" customWidth="1"/>
    <col min="8201" max="8201" width="15.23046875" customWidth="1"/>
    <col min="8202" max="8202" width="3" customWidth="1"/>
    <col min="8203" max="8203" width="11.84375" bestFit="1" customWidth="1"/>
    <col min="8204" max="8204" width="3.07421875" customWidth="1"/>
    <col min="8205" max="8205" width="13.53515625" bestFit="1" customWidth="1"/>
    <col min="8206" max="8207" width="9.23046875" customWidth="1"/>
    <col min="8453" max="8453" width="3.4609375" bestFit="1" customWidth="1"/>
    <col min="8454" max="8454" width="3.4609375" customWidth="1"/>
    <col min="8455" max="8455" width="13.23046875" customWidth="1"/>
    <col min="8456" max="8456" width="2.69140625" customWidth="1"/>
    <col min="8457" max="8457" width="15.23046875" customWidth="1"/>
    <col min="8458" max="8458" width="3" customWidth="1"/>
    <col min="8459" max="8459" width="11.84375" bestFit="1" customWidth="1"/>
    <col min="8460" max="8460" width="3.07421875" customWidth="1"/>
    <col min="8461" max="8461" width="13.53515625" bestFit="1" customWidth="1"/>
    <col min="8462" max="8463" width="9.23046875" customWidth="1"/>
    <col min="8709" max="8709" width="3.4609375" bestFit="1" customWidth="1"/>
    <col min="8710" max="8710" width="3.4609375" customWidth="1"/>
    <col min="8711" max="8711" width="13.23046875" customWidth="1"/>
    <col min="8712" max="8712" width="2.69140625" customWidth="1"/>
    <col min="8713" max="8713" width="15.23046875" customWidth="1"/>
    <col min="8714" max="8714" width="3" customWidth="1"/>
    <col min="8715" max="8715" width="11.84375" bestFit="1" customWidth="1"/>
    <col min="8716" max="8716" width="3.07421875" customWidth="1"/>
    <col min="8717" max="8717" width="13.53515625" bestFit="1" customWidth="1"/>
    <col min="8718" max="8719" width="9.23046875" customWidth="1"/>
    <col min="8965" max="8965" width="3.4609375" bestFit="1" customWidth="1"/>
    <col min="8966" max="8966" width="3.4609375" customWidth="1"/>
    <col min="8967" max="8967" width="13.23046875" customWidth="1"/>
    <col min="8968" max="8968" width="2.69140625" customWidth="1"/>
    <col min="8969" max="8969" width="15.23046875" customWidth="1"/>
    <col min="8970" max="8970" width="3" customWidth="1"/>
    <col min="8971" max="8971" width="11.84375" bestFit="1" customWidth="1"/>
    <col min="8972" max="8972" width="3.07421875" customWidth="1"/>
    <col min="8973" max="8973" width="13.53515625" bestFit="1" customWidth="1"/>
    <col min="8974" max="8975" width="9.23046875" customWidth="1"/>
    <col min="9221" max="9221" width="3.4609375" bestFit="1" customWidth="1"/>
    <col min="9222" max="9222" width="3.4609375" customWidth="1"/>
    <col min="9223" max="9223" width="13.23046875" customWidth="1"/>
    <col min="9224" max="9224" width="2.69140625" customWidth="1"/>
    <col min="9225" max="9225" width="15.23046875" customWidth="1"/>
    <col min="9226" max="9226" width="3" customWidth="1"/>
    <col min="9227" max="9227" width="11.84375" bestFit="1" customWidth="1"/>
    <col min="9228" max="9228" width="3.07421875" customWidth="1"/>
    <col min="9229" max="9229" width="13.53515625" bestFit="1" customWidth="1"/>
    <col min="9230" max="9231" width="9.23046875" customWidth="1"/>
    <col min="9477" max="9477" width="3.4609375" bestFit="1" customWidth="1"/>
    <col min="9478" max="9478" width="3.4609375" customWidth="1"/>
    <col min="9479" max="9479" width="13.23046875" customWidth="1"/>
    <col min="9480" max="9480" width="2.69140625" customWidth="1"/>
    <col min="9481" max="9481" width="15.23046875" customWidth="1"/>
    <col min="9482" max="9482" width="3" customWidth="1"/>
    <col min="9483" max="9483" width="11.84375" bestFit="1" customWidth="1"/>
    <col min="9484" max="9484" width="3.07421875" customWidth="1"/>
    <col min="9485" max="9485" width="13.53515625" bestFit="1" customWidth="1"/>
    <col min="9486" max="9487" width="9.23046875" customWidth="1"/>
    <col min="9733" max="9733" width="3.4609375" bestFit="1" customWidth="1"/>
    <col min="9734" max="9734" width="3.4609375" customWidth="1"/>
    <col min="9735" max="9735" width="13.23046875" customWidth="1"/>
    <col min="9736" max="9736" width="2.69140625" customWidth="1"/>
    <col min="9737" max="9737" width="15.23046875" customWidth="1"/>
    <col min="9738" max="9738" width="3" customWidth="1"/>
    <col min="9739" max="9739" width="11.84375" bestFit="1" customWidth="1"/>
    <col min="9740" max="9740" width="3.07421875" customWidth="1"/>
    <col min="9741" max="9741" width="13.53515625" bestFit="1" customWidth="1"/>
    <col min="9742" max="9743" width="9.23046875" customWidth="1"/>
    <col min="9989" max="9989" width="3.4609375" bestFit="1" customWidth="1"/>
    <col min="9990" max="9990" width="3.4609375" customWidth="1"/>
    <col min="9991" max="9991" width="13.23046875" customWidth="1"/>
    <col min="9992" max="9992" width="2.69140625" customWidth="1"/>
    <col min="9993" max="9993" width="15.23046875" customWidth="1"/>
    <col min="9994" max="9994" width="3" customWidth="1"/>
    <col min="9995" max="9995" width="11.84375" bestFit="1" customWidth="1"/>
    <col min="9996" max="9996" width="3.07421875" customWidth="1"/>
    <col min="9997" max="9997" width="13.53515625" bestFit="1" customWidth="1"/>
    <col min="9998" max="9999" width="9.23046875" customWidth="1"/>
    <col min="10245" max="10245" width="3.4609375" bestFit="1" customWidth="1"/>
    <col min="10246" max="10246" width="3.4609375" customWidth="1"/>
    <col min="10247" max="10247" width="13.23046875" customWidth="1"/>
    <col min="10248" max="10248" width="2.69140625" customWidth="1"/>
    <col min="10249" max="10249" width="15.23046875" customWidth="1"/>
    <col min="10250" max="10250" width="3" customWidth="1"/>
    <col min="10251" max="10251" width="11.84375" bestFit="1" customWidth="1"/>
    <col min="10252" max="10252" width="3.07421875" customWidth="1"/>
    <col min="10253" max="10253" width="13.53515625" bestFit="1" customWidth="1"/>
    <col min="10254" max="10255" width="9.23046875" customWidth="1"/>
    <col min="10501" max="10501" width="3.4609375" bestFit="1" customWidth="1"/>
    <col min="10502" max="10502" width="3.4609375" customWidth="1"/>
    <col min="10503" max="10503" width="13.23046875" customWidth="1"/>
    <col min="10504" max="10504" width="2.69140625" customWidth="1"/>
    <col min="10505" max="10505" width="15.23046875" customWidth="1"/>
    <col min="10506" max="10506" width="3" customWidth="1"/>
    <col min="10507" max="10507" width="11.84375" bestFit="1" customWidth="1"/>
    <col min="10508" max="10508" width="3.07421875" customWidth="1"/>
    <col min="10509" max="10509" width="13.53515625" bestFit="1" customWidth="1"/>
    <col min="10510" max="10511" width="9.23046875" customWidth="1"/>
    <col min="10757" max="10757" width="3.4609375" bestFit="1" customWidth="1"/>
    <col min="10758" max="10758" width="3.4609375" customWidth="1"/>
    <col min="10759" max="10759" width="13.23046875" customWidth="1"/>
    <col min="10760" max="10760" width="2.69140625" customWidth="1"/>
    <col min="10761" max="10761" width="15.23046875" customWidth="1"/>
    <col min="10762" max="10762" width="3" customWidth="1"/>
    <col min="10763" max="10763" width="11.84375" bestFit="1" customWidth="1"/>
    <col min="10764" max="10764" width="3.07421875" customWidth="1"/>
    <col min="10765" max="10765" width="13.53515625" bestFit="1" customWidth="1"/>
    <col min="10766" max="10767" width="9.23046875" customWidth="1"/>
    <col min="11013" max="11013" width="3.4609375" bestFit="1" customWidth="1"/>
    <col min="11014" max="11014" width="3.4609375" customWidth="1"/>
    <col min="11015" max="11015" width="13.23046875" customWidth="1"/>
    <col min="11016" max="11016" width="2.69140625" customWidth="1"/>
    <col min="11017" max="11017" width="15.23046875" customWidth="1"/>
    <col min="11018" max="11018" width="3" customWidth="1"/>
    <col min="11019" max="11019" width="11.84375" bestFit="1" customWidth="1"/>
    <col min="11020" max="11020" width="3.07421875" customWidth="1"/>
    <col min="11021" max="11021" width="13.53515625" bestFit="1" customWidth="1"/>
    <col min="11022" max="11023" width="9.23046875" customWidth="1"/>
    <col min="11269" max="11269" width="3.4609375" bestFit="1" customWidth="1"/>
    <col min="11270" max="11270" width="3.4609375" customWidth="1"/>
    <col min="11271" max="11271" width="13.23046875" customWidth="1"/>
    <col min="11272" max="11272" width="2.69140625" customWidth="1"/>
    <col min="11273" max="11273" width="15.23046875" customWidth="1"/>
    <col min="11274" max="11274" width="3" customWidth="1"/>
    <col min="11275" max="11275" width="11.84375" bestFit="1" customWidth="1"/>
    <col min="11276" max="11276" width="3.07421875" customWidth="1"/>
    <col min="11277" max="11277" width="13.53515625" bestFit="1" customWidth="1"/>
    <col min="11278" max="11279" width="9.23046875" customWidth="1"/>
    <col min="11525" max="11525" width="3.4609375" bestFit="1" customWidth="1"/>
    <col min="11526" max="11526" width="3.4609375" customWidth="1"/>
    <col min="11527" max="11527" width="13.23046875" customWidth="1"/>
    <col min="11528" max="11528" width="2.69140625" customWidth="1"/>
    <col min="11529" max="11529" width="15.23046875" customWidth="1"/>
    <col min="11530" max="11530" width="3" customWidth="1"/>
    <col min="11531" max="11531" width="11.84375" bestFit="1" customWidth="1"/>
    <col min="11532" max="11532" width="3.07421875" customWidth="1"/>
    <col min="11533" max="11533" width="13.53515625" bestFit="1" customWidth="1"/>
    <col min="11534" max="11535" width="9.23046875" customWidth="1"/>
    <col min="11781" max="11781" width="3.4609375" bestFit="1" customWidth="1"/>
    <col min="11782" max="11782" width="3.4609375" customWidth="1"/>
    <col min="11783" max="11783" width="13.23046875" customWidth="1"/>
    <col min="11784" max="11784" width="2.69140625" customWidth="1"/>
    <col min="11785" max="11785" width="15.23046875" customWidth="1"/>
    <col min="11786" max="11786" width="3" customWidth="1"/>
    <col min="11787" max="11787" width="11.84375" bestFit="1" customWidth="1"/>
    <col min="11788" max="11788" width="3.07421875" customWidth="1"/>
    <col min="11789" max="11789" width="13.53515625" bestFit="1" customWidth="1"/>
    <col min="11790" max="11791" width="9.23046875" customWidth="1"/>
    <col min="12037" max="12037" width="3.4609375" bestFit="1" customWidth="1"/>
    <col min="12038" max="12038" width="3.4609375" customWidth="1"/>
    <col min="12039" max="12039" width="13.23046875" customWidth="1"/>
    <col min="12040" max="12040" width="2.69140625" customWidth="1"/>
    <col min="12041" max="12041" width="15.23046875" customWidth="1"/>
    <col min="12042" max="12042" width="3" customWidth="1"/>
    <col min="12043" max="12043" width="11.84375" bestFit="1" customWidth="1"/>
    <col min="12044" max="12044" width="3.07421875" customWidth="1"/>
    <col min="12045" max="12045" width="13.53515625" bestFit="1" customWidth="1"/>
    <col min="12046" max="12047" width="9.23046875" customWidth="1"/>
    <col min="12293" max="12293" width="3.4609375" bestFit="1" customWidth="1"/>
    <col min="12294" max="12294" width="3.4609375" customWidth="1"/>
    <col min="12295" max="12295" width="13.23046875" customWidth="1"/>
    <col min="12296" max="12296" width="2.69140625" customWidth="1"/>
    <col min="12297" max="12297" width="15.23046875" customWidth="1"/>
    <col min="12298" max="12298" width="3" customWidth="1"/>
    <col min="12299" max="12299" width="11.84375" bestFit="1" customWidth="1"/>
    <col min="12300" max="12300" width="3.07421875" customWidth="1"/>
    <col min="12301" max="12301" width="13.53515625" bestFit="1" customWidth="1"/>
    <col min="12302" max="12303" width="9.23046875" customWidth="1"/>
    <col min="12549" max="12549" width="3.4609375" bestFit="1" customWidth="1"/>
    <col min="12550" max="12550" width="3.4609375" customWidth="1"/>
    <col min="12551" max="12551" width="13.23046875" customWidth="1"/>
    <col min="12552" max="12552" width="2.69140625" customWidth="1"/>
    <col min="12553" max="12553" width="15.23046875" customWidth="1"/>
    <col min="12554" max="12554" width="3" customWidth="1"/>
    <col min="12555" max="12555" width="11.84375" bestFit="1" customWidth="1"/>
    <col min="12556" max="12556" width="3.07421875" customWidth="1"/>
    <col min="12557" max="12557" width="13.53515625" bestFit="1" customWidth="1"/>
    <col min="12558" max="12559" width="9.23046875" customWidth="1"/>
    <col min="12805" max="12805" width="3.4609375" bestFit="1" customWidth="1"/>
    <col min="12806" max="12806" width="3.4609375" customWidth="1"/>
    <col min="12807" max="12807" width="13.23046875" customWidth="1"/>
    <col min="12808" max="12808" width="2.69140625" customWidth="1"/>
    <col min="12809" max="12809" width="15.23046875" customWidth="1"/>
    <col min="12810" max="12810" width="3" customWidth="1"/>
    <col min="12811" max="12811" width="11.84375" bestFit="1" customWidth="1"/>
    <col min="12812" max="12812" width="3.07421875" customWidth="1"/>
    <col min="12813" max="12813" width="13.53515625" bestFit="1" customWidth="1"/>
    <col min="12814" max="12815" width="9.23046875" customWidth="1"/>
    <col min="13061" max="13061" width="3.4609375" bestFit="1" customWidth="1"/>
    <col min="13062" max="13062" width="3.4609375" customWidth="1"/>
    <col min="13063" max="13063" width="13.23046875" customWidth="1"/>
    <col min="13064" max="13064" width="2.69140625" customWidth="1"/>
    <col min="13065" max="13065" width="15.23046875" customWidth="1"/>
    <col min="13066" max="13066" width="3" customWidth="1"/>
    <col min="13067" max="13067" width="11.84375" bestFit="1" customWidth="1"/>
    <col min="13068" max="13068" width="3.07421875" customWidth="1"/>
    <col min="13069" max="13069" width="13.53515625" bestFit="1" customWidth="1"/>
    <col min="13070" max="13071" width="9.23046875" customWidth="1"/>
    <col min="13317" max="13317" width="3.4609375" bestFit="1" customWidth="1"/>
    <col min="13318" max="13318" width="3.4609375" customWidth="1"/>
    <col min="13319" max="13319" width="13.23046875" customWidth="1"/>
    <col min="13320" max="13320" width="2.69140625" customWidth="1"/>
    <col min="13321" max="13321" width="15.23046875" customWidth="1"/>
    <col min="13322" max="13322" width="3" customWidth="1"/>
    <col min="13323" max="13323" width="11.84375" bestFit="1" customWidth="1"/>
    <col min="13324" max="13324" width="3.07421875" customWidth="1"/>
    <col min="13325" max="13325" width="13.53515625" bestFit="1" customWidth="1"/>
    <col min="13326" max="13327" width="9.23046875" customWidth="1"/>
    <col min="13573" max="13573" width="3.4609375" bestFit="1" customWidth="1"/>
    <col min="13574" max="13574" width="3.4609375" customWidth="1"/>
    <col min="13575" max="13575" width="13.23046875" customWidth="1"/>
    <col min="13576" max="13576" width="2.69140625" customWidth="1"/>
    <col min="13577" max="13577" width="15.23046875" customWidth="1"/>
    <col min="13578" max="13578" width="3" customWidth="1"/>
    <col min="13579" max="13579" width="11.84375" bestFit="1" customWidth="1"/>
    <col min="13580" max="13580" width="3.07421875" customWidth="1"/>
    <col min="13581" max="13581" width="13.53515625" bestFit="1" customWidth="1"/>
    <col min="13582" max="13583" width="9.23046875" customWidth="1"/>
    <col min="13829" max="13829" width="3.4609375" bestFit="1" customWidth="1"/>
    <col min="13830" max="13830" width="3.4609375" customWidth="1"/>
    <col min="13831" max="13831" width="13.23046875" customWidth="1"/>
    <col min="13832" max="13832" width="2.69140625" customWidth="1"/>
    <col min="13833" max="13833" width="15.23046875" customWidth="1"/>
    <col min="13834" max="13834" width="3" customWidth="1"/>
    <col min="13835" max="13835" width="11.84375" bestFit="1" customWidth="1"/>
    <col min="13836" max="13836" width="3.07421875" customWidth="1"/>
    <col min="13837" max="13837" width="13.53515625" bestFit="1" customWidth="1"/>
    <col min="13838" max="13839" width="9.23046875" customWidth="1"/>
    <col min="14085" max="14085" width="3.4609375" bestFit="1" customWidth="1"/>
    <col min="14086" max="14086" width="3.4609375" customWidth="1"/>
    <col min="14087" max="14087" width="13.23046875" customWidth="1"/>
    <col min="14088" max="14088" width="2.69140625" customWidth="1"/>
    <col min="14089" max="14089" width="15.23046875" customWidth="1"/>
    <col min="14090" max="14090" width="3" customWidth="1"/>
    <col min="14091" max="14091" width="11.84375" bestFit="1" customWidth="1"/>
    <col min="14092" max="14092" width="3.07421875" customWidth="1"/>
    <col min="14093" max="14093" width="13.53515625" bestFit="1" customWidth="1"/>
    <col min="14094" max="14095" width="9.23046875" customWidth="1"/>
    <col min="14341" max="14341" width="3.4609375" bestFit="1" customWidth="1"/>
    <col min="14342" max="14342" width="3.4609375" customWidth="1"/>
    <col min="14343" max="14343" width="13.23046875" customWidth="1"/>
    <col min="14344" max="14344" width="2.69140625" customWidth="1"/>
    <col min="14345" max="14345" width="15.23046875" customWidth="1"/>
    <col min="14346" max="14346" width="3" customWidth="1"/>
    <col min="14347" max="14347" width="11.84375" bestFit="1" customWidth="1"/>
    <col min="14348" max="14348" width="3.07421875" customWidth="1"/>
    <col min="14349" max="14349" width="13.53515625" bestFit="1" customWidth="1"/>
    <col min="14350" max="14351" width="9.23046875" customWidth="1"/>
    <col min="14597" max="14597" width="3.4609375" bestFit="1" customWidth="1"/>
    <col min="14598" max="14598" width="3.4609375" customWidth="1"/>
    <col min="14599" max="14599" width="13.23046875" customWidth="1"/>
    <col min="14600" max="14600" width="2.69140625" customWidth="1"/>
    <col min="14601" max="14601" width="15.23046875" customWidth="1"/>
    <col min="14602" max="14602" width="3" customWidth="1"/>
    <col min="14603" max="14603" width="11.84375" bestFit="1" customWidth="1"/>
    <col min="14604" max="14604" width="3.07421875" customWidth="1"/>
    <col min="14605" max="14605" width="13.53515625" bestFit="1" customWidth="1"/>
    <col min="14606" max="14607" width="9.23046875" customWidth="1"/>
    <col min="14853" max="14853" width="3.4609375" bestFit="1" customWidth="1"/>
    <col min="14854" max="14854" width="3.4609375" customWidth="1"/>
    <col min="14855" max="14855" width="13.23046875" customWidth="1"/>
    <col min="14856" max="14856" width="2.69140625" customWidth="1"/>
    <col min="14857" max="14857" width="15.23046875" customWidth="1"/>
    <col min="14858" max="14858" width="3" customWidth="1"/>
    <col min="14859" max="14859" width="11.84375" bestFit="1" customWidth="1"/>
    <col min="14860" max="14860" width="3.07421875" customWidth="1"/>
    <col min="14861" max="14861" width="13.53515625" bestFit="1" customWidth="1"/>
    <col min="14862" max="14863" width="9.23046875" customWidth="1"/>
    <col min="15109" max="15109" width="3.4609375" bestFit="1" customWidth="1"/>
    <col min="15110" max="15110" width="3.4609375" customWidth="1"/>
    <col min="15111" max="15111" width="13.23046875" customWidth="1"/>
    <col min="15112" max="15112" width="2.69140625" customWidth="1"/>
    <col min="15113" max="15113" width="15.23046875" customWidth="1"/>
    <col min="15114" max="15114" width="3" customWidth="1"/>
    <col min="15115" max="15115" width="11.84375" bestFit="1" customWidth="1"/>
    <col min="15116" max="15116" width="3.07421875" customWidth="1"/>
    <col min="15117" max="15117" width="13.53515625" bestFit="1" customWidth="1"/>
    <col min="15118" max="15119" width="9.23046875" customWidth="1"/>
    <col min="15365" max="15365" width="3.4609375" bestFit="1" customWidth="1"/>
    <col min="15366" max="15366" width="3.4609375" customWidth="1"/>
    <col min="15367" max="15367" width="13.23046875" customWidth="1"/>
    <col min="15368" max="15368" width="2.69140625" customWidth="1"/>
    <col min="15369" max="15369" width="15.23046875" customWidth="1"/>
    <col min="15370" max="15370" width="3" customWidth="1"/>
    <col min="15371" max="15371" width="11.84375" bestFit="1" customWidth="1"/>
    <col min="15372" max="15372" width="3.07421875" customWidth="1"/>
    <col min="15373" max="15373" width="13.53515625" bestFit="1" customWidth="1"/>
    <col min="15374" max="15375" width="9.23046875" customWidth="1"/>
    <col min="15621" max="15621" width="3.4609375" bestFit="1" customWidth="1"/>
    <col min="15622" max="15622" width="3.4609375" customWidth="1"/>
    <col min="15623" max="15623" width="13.23046875" customWidth="1"/>
    <col min="15624" max="15624" width="2.69140625" customWidth="1"/>
    <col min="15625" max="15625" width="15.23046875" customWidth="1"/>
    <col min="15626" max="15626" width="3" customWidth="1"/>
    <col min="15627" max="15627" width="11.84375" bestFit="1" customWidth="1"/>
    <col min="15628" max="15628" width="3.07421875" customWidth="1"/>
    <col min="15629" max="15629" width="13.53515625" bestFit="1" customWidth="1"/>
    <col min="15630" max="15631" width="9.23046875" customWidth="1"/>
    <col min="15877" max="15877" width="3.4609375" bestFit="1" customWidth="1"/>
    <col min="15878" max="15878" width="3.4609375" customWidth="1"/>
    <col min="15879" max="15879" width="13.23046875" customWidth="1"/>
    <col min="15880" max="15880" width="2.69140625" customWidth="1"/>
    <col min="15881" max="15881" width="15.23046875" customWidth="1"/>
    <col min="15882" max="15882" width="3" customWidth="1"/>
    <col min="15883" max="15883" width="11.84375" bestFit="1" customWidth="1"/>
    <col min="15884" max="15884" width="3.07421875" customWidth="1"/>
    <col min="15885" max="15885" width="13.53515625" bestFit="1" customWidth="1"/>
    <col min="15886" max="15887" width="9.23046875" customWidth="1"/>
    <col min="16133" max="16133" width="3.4609375" bestFit="1" customWidth="1"/>
    <col min="16134" max="16134" width="3.4609375" customWidth="1"/>
    <col min="16135" max="16135" width="13.23046875" customWidth="1"/>
    <col min="16136" max="16136" width="2.69140625" customWidth="1"/>
    <col min="16137" max="16137" width="15.23046875" customWidth="1"/>
    <col min="16138" max="16138" width="3" customWidth="1"/>
    <col min="16139" max="16139" width="11.84375" bestFit="1" customWidth="1"/>
    <col min="16140" max="16140" width="3.07421875" customWidth="1"/>
    <col min="16141" max="16141" width="13.53515625" bestFit="1" customWidth="1"/>
    <col min="16142" max="16143" width="9.23046875" customWidth="1"/>
  </cols>
  <sheetData>
    <row r="3" spans="1:30" s="34" customFormat="1" ht="15" customHeight="1">
      <c r="A3" s="281" t="s">
        <v>393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178"/>
      <c r="O3" s="178"/>
    </row>
    <row r="4" spans="1:30" s="34" customFormat="1" ht="15" customHeight="1">
      <c r="A4" s="281" t="s">
        <v>395</v>
      </c>
      <c r="B4" s="281"/>
      <c r="C4" s="281"/>
      <c r="D4" s="281"/>
      <c r="E4" s="281"/>
      <c r="F4" s="281"/>
      <c r="G4" s="281"/>
      <c r="H4" s="281"/>
      <c r="I4" s="281"/>
      <c r="J4" s="281"/>
      <c r="K4" s="281"/>
      <c r="L4" s="281"/>
      <c r="M4" s="281"/>
      <c r="N4" s="178"/>
      <c r="O4" s="178"/>
    </row>
    <row r="5" spans="1:30" s="34" customFormat="1" ht="15" customHeight="1">
      <c r="A5" s="281" t="s">
        <v>2</v>
      </c>
      <c r="B5" s="281"/>
      <c r="C5" s="281"/>
      <c r="D5" s="281"/>
      <c r="E5" s="281"/>
      <c r="F5" s="281"/>
      <c r="G5" s="281"/>
      <c r="H5" s="281"/>
      <c r="I5" s="281"/>
      <c r="J5" s="281"/>
      <c r="K5" s="281"/>
      <c r="L5" s="281"/>
      <c r="M5" s="281"/>
      <c r="N5" s="178"/>
      <c r="O5" s="178"/>
    </row>
    <row r="6" spans="1:30" s="34" customFormat="1" ht="13">
      <c r="A6" s="192"/>
      <c r="B6" s="192"/>
      <c r="C6" s="193"/>
      <c r="D6" s="193"/>
      <c r="E6" s="193"/>
      <c r="F6" s="193"/>
      <c r="G6" s="193"/>
      <c r="H6" s="193"/>
      <c r="I6" s="274"/>
      <c r="J6" s="274"/>
      <c r="K6" s="193"/>
      <c r="L6" s="193"/>
      <c r="M6" s="194" t="s">
        <v>436</v>
      </c>
      <c r="N6" s="192"/>
      <c r="O6" s="178"/>
    </row>
    <row r="7" spans="1:30" s="34" customFormat="1" ht="16">
      <c r="C7" s="222" t="s">
        <v>22</v>
      </c>
      <c r="D7" s="222"/>
      <c r="E7" s="222" t="s">
        <v>374</v>
      </c>
      <c r="F7" s="222"/>
      <c r="G7" s="190" t="s">
        <v>373</v>
      </c>
      <c r="H7" s="222"/>
      <c r="I7" s="190" t="s">
        <v>381</v>
      </c>
      <c r="J7" s="190"/>
      <c r="K7" s="194" t="s">
        <v>382</v>
      </c>
      <c r="L7" s="190"/>
      <c r="M7" s="190" t="s">
        <v>372</v>
      </c>
    </row>
    <row r="8" spans="1:30" s="34" customFormat="1" ht="12.5">
      <c r="A8" s="193" t="s">
        <v>3</v>
      </c>
      <c r="B8" s="193"/>
      <c r="C8" s="222"/>
      <c r="D8" s="222"/>
      <c r="E8" s="222" t="s">
        <v>371</v>
      </c>
      <c r="F8" s="222"/>
      <c r="G8" s="222" t="s">
        <v>370</v>
      </c>
      <c r="H8" s="222"/>
      <c r="I8" s="264"/>
      <c r="J8" s="264"/>
      <c r="K8" s="264" t="s">
        <v>451</v>
      </c>
      <c r="L8" s="222"/>
      <c r="M8" s="222" t="s">
        <v>369</v>
      </c>
    </row>
    <row r="9" spans="1:30" s="34" customFormat="1" ht="12.5">
      <c r="A9" s="9" t="s">
        <v>5</v>
      </c>
      <c r="B9" s="9"/>
      <c r="C9" s="224" t="s">
        <v>368</v>
      </c>
      <c r="D9" s="224"/>
      <c r="E9" s="225" t="s">
        <v>367</v>
      </c>
      <c r="F9" s="225"/>
      <c r="G9" s="226" t="s">
        <v>366</v>
      </c>
      <c r="H9" s="225"/>
      <c r="I9" s="265" t="s">
        <v>379</v>
      </c>
      <c r="J9" s="226"/>
      <c r="K9" s="265" t="s">
        <v>452</v>
      </c>
      <c r="L9" s="226"/>
      <c r="M9" s="227" t="s">
        <v>365</v>
      </c>
      <c r="R9" s="180"/>
      <c r="S9" s="180"/>
    </row>
    <row r="10" spans="1:30" s="34" customFormat="1" ht="13">
      <c r="A10" s="158"/>
      <c r="B10" s="175" t="s">
        <v>364</v>
      </c>
      <c r="C10" s="180"/>
      <c r="D10" s="228"/>
      <c r="E10" s="229"/>
      <c r="F10" s="229"/>
      <c r="G10" s="230"/>
      <c r="H10" s="229"/>
      <c r="I10" s="230"/>
      <c r="J10" s="230"/>
      <c r="K10" s="230"/>
      <c r="L10" s="230"/>
      <c r="M10" s="231"/>
      <c r="P10" s="180"/>
      <c r="Q10" s="180"/>
      <c r="R10" s="180"/>
      <c r="S10" s="180"/>
      <c r="T10" s="180"/>
      <c r="U10" s="180"/>
      <c r="V10" s="180"/>
      <c r="W10" s="180"/>
      <c r="X10" s="180"/>
      <c r="Y10" s="180"/>
      <c r="Z10" s="180"/>
      <c r="AA10" s="180"/>
      <c r="AB10" s="180"/>
      <c r="AC10" s="180"/>
      <c r="AD10" s="180"/>
    </row>
    <row r="11" spans="1:30" s="34" customFormat="1">
      <c r="A11" s="193">
        <v>1</v>
      </c>
      <c r="B11" s="193"/>
      <c r="C11" s="188">
        <v>44166</v>
      </c>
      <c r="D11" s="188"/>
      <c r="E11" s="260">
        <v>60489131.50999999</v>
      </c>
      <c r="F11" s="190"/>
      <c r="G11" s="260">
        <v>7278054.459999999</v>
      </c>
      <c r="H11" s="190"/>
      <c r="I11" s="260">
        <v>75529745.49000001</v>
      </c>
      <c r="J11" s="190"/>
      <c r="K11" s="260">
        <v>16576394</v>
      </c>
      <c r="L11" s="190"/>
      <c r="M11" s="261">
        <f>E11+G11+K11+I11</f>
        <v>159873325.45999998</v>
      </c>
      <c r="N11" s="7"/>
      <c r="O11" s="7"/>
      <c r="P11" s="180"/>
      <c r="Q11" s="180"/>
      <c r="R11" s="181"/>
      <c r="S11" s="181"/>
      <c r="T11" s="180"/>
      <c r="U11" s="180"/>
      <c r="V11" s="180"/>
      <c r="W11" s="180"/>
      <c r="X11" s="180"/>
      <c r="Y11" s="180"/>
      <c r="Z11" s="180"/>
      <c r="AA11" s="180"/>
      <c r="AB11" s="180"/>
      <c r="AC11" s="180"/>
      <c r="AD11" s="180"/>
    </row>
    <row r="12" spans="1:30" s="34" customFormat="1">
      <c r="A12" s="169">
        <f t="shared" ref="A12:A28" si="0">A11+1</f>
        <v>2</v>
      </c>
      <c r="B12" s="169"/>
      <c r="C12" s="188">
        <v>44197</v>
      </c>
      <c r="D12" s="188"/>
      <c r="E12" s="260">
        <v>61170319.49999997</v>
      </c>
      <c r="F12" s="190"/>
      <c r="G12" s="260">
        <v>7278065.7999999989</v>
      </c>
      <c r="H12" s="190"/>
      <c r="I12" s="260">
        <v>75529745.49000001</v>
      </c>
      <c r="J12" s="190"/>
      <c r="K12" s="260">
        <v>16576394</v>
      </c>
      <c r="L12" s="190"/>
      <c r="M12" s="261">
        <f t="shared" ref="M12:M23" si="1">E12+G12+K12+I12</f>
        <v>160554524.78999996</v>
      </c>
      <c r="N12" s="172"/>
      <c r="O12" s="172"/>
      <c r="P12" s="180"/>
      <c r="Q12" s="180"/>
      <c r="R12" s="181"/>
      <c r="S12" s="181"/>
      <c r="T12" s="180"/>
      <c r="U12" s="180"/>
      <c r="V12" s="180"/>
      <c r="W12" s="180"/>
      <c r="X12" s="180"/>
      <c r="Y12" s="180"/>
      <c r="Z12" s="180"/>
      <c r="AA12" s="180"/>
      <c r="AB12" s="180"/>
      <c r="AC12" s="180"/>
      <c r="AD12" s="180"/>
    </row>
    <row r="13" spans="1:30">
      <c r="A13" s="169">
        <f t="shared" si="0"/>
        <v>3</v>
      </c>
      <c r="B13" s="169"/>
      <c r="C13" s="188">
        <v>44228</v>
      </c>
      <c r="D13" s="188"/>
      <c r="E13" s="260">
        <v>61343157.079999954</v>
      </c>
      <c r="F13" s="190"/>
      <c r="G13" s="260">
        <v>7278065.7999999989</v>
      </c>
      <c r="H13" s="190"/>
      <c r="I13" s="260">
        <v>75529745.49000001</v>
      </c>
      <c r="J13" s="190"/>
      <c r="K13" s="260">
        <v>16576394</v>
      </c>
      <c r="L13" s="190"/>
      <c r="M13" s="261">
        <f t="shared" si="1"/>
        <v>160727362.36999995</v>
      </c>
      <c r="N13" s="171"/>
      <c r="O13" s="171"/>
      <c r="P13" s="180"/>
      <c r="Q13" s="182"/>
      <c r="R13" s="197"/>
      <c r="S13" s="181"/>
      <c r="T13" s="182"/>
      <c r="U13" s="182"/>
      <c r="V13" s="182"/>
      <c r="W13" s="182"/>
      <c r="X13" s="182"/>
      <c r="Y13" s="182"/>
      <c r="Z13" s="182"/>
      <c r="AA13" s="182"/>
      <c r="AB13" s="182"/>
      <c r="AC13" s="182"/>
      <c r="AD13" s="182"/>
    </row>
    <row r="14" spans="1:30">
      <c r="A14" s="169">
        <f t="shared" si="0"/>
        <v>4</v>
      </c>
      <c r="B14" s="169"/>
      <c r="C14" s="188">
        <v>44256</v>
      </c>
      <c r="D14" s="188"/>
      <c r="E14" s="260">
        <v>62065672.609999985</v>
      </c>
      <c r="F14" s="190"/>
      <c r="G14" s="260">
        <v>7280146.5899999999</v>
      </c>
      <c r="H14" s="190"/>
      <c r="I14" s="260">
        <v>75489460.840000004</v>
      </c>
      <c r="J14" s="190"/>
      <c r="K14" s="260">
        <v>16576856</v>
      </c>
      <c r="L14" s="190"/>
      <c r="M14" s="261">
        <f t="shared" si="1"/>
        <v>161412136.03999999</v>
      </c>
      <c r="N14" s="156"/>
      <c r="O14" s="156"/>
      <c r="P14" s="180"/>
      <c r="Q14" s="182"/>
      <c r="R14" s="197"/>
      <c r="S14" s="181"/>
      <c r="T14" s="182"/>
      <c r="U14" s="182"/>
      <c r="V14" s="182"/>
      <c r="W14" s="182"/>
      <c r="X14" s="182"/>
      <c r="Y14" s="182"/>
      <c r="Z14" s="182"/>
      <c r="AA14" s="182"/>
      <c r="AB14" s="182"/>
      <c r="AC14" s="182"/>
      <c r="AD14" s="182"/>
    </row>
    <row r="15" spans="1:30">
      <c r="A15" s="169">
        <f t="shared" si="0"/>
        <v>5</v>
      </c>
      <c r="B15" s="169"/>
      <c r="C15" s="188">
        <v>44287</v>
      </c>
      <c r="D15" s="188"/>
      <c r="E15" s="260">
        <v>62321312.779999956</v>
      </c>
      <c r="F15" s="190"/>
      <c r="G15" s="260">
        <v>7243998.7400000002</v>
      </c>
      <c r="H15" s="190"/>
      <c r="I15" s="260">
        <v>75510666.810000017</v>
      </c>
      <c r="J15" s="190"/>
      <c r="K15" s="260">
        <v>16576856</v>
      </c>
      <c r="L15" s="190"/>
      <c r="M15" s="261">
        <f t="shared" si="1"/>
        <v>161652834.32999998</v>
      </c>
      <c r="N15" s="156"/>
      <c r="O15" s="156"/>
      <c r="P15" s="181"/>
      <c r="Q15" s="182"/>
      <c r="R15" s="197"/>
      <c r="S15" s="181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</row>
    <row r="16" spans="1:30">
      <c r="A16" s="169">
        <f t="shared" si="0"/>
        <v>6</v>
      </c>
      <c r="B16" s="169"/>
      <c r="C16" s="188">
        <v>44317</v>
      </c>
      <c r="D16" s="188"/>
      <c r="E16" s="260">
        <v>61893660.949999973</v>
      </c>
      <c r="F16" s="190"/>
      <c r="G16" s="260">
        <v>7244011.5600000005</v>
      </c>
      <c r="H16" s="190"/>
      <c r="I16" s="260">
        <v>75492698.329999998</v>
      </c>
      <c r="J16" s="190"/>
      <c r="K16" s="260">
        <v>16576856</v>
      </c>
      <c r="L16" s="190"/>
      <c r="M16" s="261">
        <f t="shared" si="1"/>
        <v>161207226.83999997</v>
      </c>
      <c r="N16" s="156"/>
      <c r="O16" s="156"/>
      <c r="P16" s="181"/>
      <c r="Q16" s="182"/>
      <c r="R16" s="197"/>
      <c r="S16" s="181"/>
      <c r="T16" s="182"/>
      <c r="U16" s="182"/>
      <c r="V16" s="182"/>
      <c r="W16" s="182"/>
      <c r="X16" s="182"/>
      <c r="Y16" s="182"/>
      <c r="Z16" s="182"/>
      <c r="AA16" s="182"/>
      <c r="AB16" s="182"/>
      <c r="AC16" s="182"/>
      <c r="AD16" s="182"/>
    </row>
    <row r="17" spans="1:30">
      <c r="A17" s="169">
        <f t="shared" si="0"/>
        <v>7</v>
      </c>
      <c r="B17" s="169"/>
      <c r="C17" s="188">
        <v>44348</v>
      </c>
      <c r="D17" s="188"/>
      <c r="E17" s="260">
        <v>62126068.849999979</v>
      </c>
      <c r="F17" s="190"/>
      <c r="G17" s="260">
        <v>7241851.9899999993</v>
      </c>
      <c r="H17" s="190"/>
      <c r="I17" s="260">
        <v>75492698.329999998</v>
      </c>
      <c r="J17" s="190"/>
      <c r="K17" s="260">
        <v>16576856</v>
      </c>
      <c r="L17" s="190"/>
      <c r="M17" s="261">
        <f t="shared" si="1"/>
        <v>161437475.16999996</v>
      </c>
      <c r="P17" s="180"/>
      <c r="Q17" s="182"/>
      <c r="R17" s="197"/>
      <c r="S17" s="181"/>
      <c r="T17" s="182"/>
      <c r="U17" s="182"/>
      <c r="V17" s="182"/>
      <c r="W17" s="182"/>
      <c r="X17" s="182"/>
      <c r="Y17" s="182"/>
      <c r="Z17" s="182"/>
      <c r="AA17" s="182"/>
      <c r="AB17" s="182"/>
      <c r="AC17" s="182"/>
      <c r="AD17" s="182"/>
    </row>
    <row r="18" spans="1:30">
      <c r="A18" s="169">
        <f t="shared" si="0"/>
        <v>8</v>
      </c>
      <c r="B18" s="169"/>
      <c r="C18" s="188">
        <v>44378</v>
      </c>
      <c r="D18" s="188"/>
      <c r="E18" s="260">
        <v>62002138.739999995</v>
      </c>
      <c r="F18" s="190"/>
      <c r="G18" s="260">
        <v>7236390.0899999999</v>
      </c>
      <c r="H18" s="190"/>
      <c r="I18" s="260">
        <v>75492698.329999998</v>
      </c>
      <c r="J18" s="190"/>
      <c r="K18" s="260">
        <v>16576856</v>
      </c>
      <c r="L18" s="190"/>
      <c r="M18" s="261">
        <f t="shared" si="1"/>
        <v>161308083.16</v>
      </c>
      <c r="P18" s="180"/>
      <c r="Q18" s="182"/>
      <c r="R18" s="197"/>
      <c r="S18" s="181"/>
      <c r="T18" s="182"/>
      <c r="U18" s="182"/>
      <c r="V18" s="182"/>
      <c r="W18" s="182"/>
      <c r="X18" s="182"/>
      <c r="Y18" s="182"/>
      <c r="Z18" s="182"/>
      <c r="AA18" s="182"/>
      <c r="AB18" s="182"/>
      <c r="AC18" s="182"/>
      <c r="AD18" s="182"/>
    </row>
    <row r="19" spans="1:30">
      <c r="A19" s="169">
        <f t="shared" si="0"/>
        <v>9</v>
      </c>
      <c r="B19" s="169"/>
      <c r="C19" s="188">
        <v>44409</v>
      </c>
      <c r="D19" s="188"/>
      <c r="E19" s="260">
        <v>62058297.36999999</v>
      </c>
      <c r="F19" s="190"/>
      <c r="G19" s="260">
        <v>7236507.1799999997</v>
      </c>
      <c r="H19" s="190"/>
      <c r="I19" s="260">
        <v>75492698.329999998</v>
      </c>
      <c r="J19" s="190"/>
      <c r="K19" s="260">
        <v>16576856</v>
      </c>
      <c r="L19" s="190"/>
      <c r="M19" s="261">
        <f t="shared" si="1"/>
        <v>161364358.88</v>
      </c>
      <c r="P19" s="180"/>
      <c r="Q19" s="182"/>
      <c r="R19" s="197"/>
      <c r="S19" s="181"/>
      <c r="T19" s="182"/>
      <c r="U19" s="182"/>
      <c r="V19" s="182"/>
      <c r="W19" s="182"/>
      <c r="X19" s="182"/>
      <c r="Y19" s="182"/>
      <c r="Z19" s="182"/>
      <c r="AA19" s="182"/>
      <c r="AB19" s="182"/>
      <c r="AC19" s="182"/>
      <c r="AD19" s="182"/>
    </row>
    <row r="20" spans="1:30">
      <c r="A20" s="169">
        <f t="shared" si="0"/>
        <v>10</v>
      </c>
      <c r="B20" s="169"/>
      <c r="C20" s="188">
        <v>44440</v>
      </c>
      <c r="D20" s="188"/>
      <c r="E20" s="260">
        <v>60792660.999999985</v>
      </c>
      <c r="F20" s="190"/>
      <c r="G20" s="260">
        <v>6835477.0899999999</v>
      </c>
      <c r="H20" s="190"/>
      <c r="I20" s="260">
        <v>75492698.329999998</v>
      </c>
      <c r="J20" s="190"/>
      <c r="K20" s="260">
        <v>16576737</v>
      </c>
      <c r="L20" s="190"/>
      <c r="M20" s="261">
        <f t="shared" si="1"/>
        <v>159697573.41999999</v>
      </c>
      <c r="P20" s="180"/>
      <c r="Q20" s="182"/>
      <c r="R20" s="197"/>
      <c r="S20" s="181"/>
      <c r="T20" s="182"/>
      <c r="U20" s="182"/>
      <c r="V20" s="182"/>
      <c r="W20" s="182"/>
      <c r="X20" s="182"/>
      <c r="Y20" s="182"/>
      <c r="Z20" s="182"/>
      <c r="AA20" s="182"/>
      <c r="AB20" s="182"/>
      <c r="AC20" s="182"/>
      <c r="AD20" s="182"/>
    </row>
    <row r="21" spans="1:30">
      <c r="A21" s="169">
        <f t="shared" si="0"/>
        <v>11</v>
      </c>
      <c r="B21" s="169"/>
      <c r="C21" s="188">
        <v>44470</v>
      </c>
      <c r="D21" s="188"/>
      <c r="E21" s="260">
        <v>62235227.62999998</v>
      </c>
      <c r="F21" s="190"/>
      <c r="G21" s="260">
        <v>7044722.7100000009</v>
      </c>
      <c r="H21" s="190"/>
      <c r="I21" s="260">
        <v>75492698.329999998</v>
      </c>
      <c r="J21" s="190"/>
      <c r="K21" s="260">
        <v>16553459</v>
      </c>
      <c r="L21" s="190"/>
      <c r="M21" s="261">
        <f t="shared" si="1"/>
        <v>161326107.66999996</v>
      </c>
      <c r="P21" s="180"/>
      <c r="Q21" s="182"/>
      <c r="R21" s="197"/>
      <c r="S21" s="181"/>
      <c r="T21" s="182"/>
      <c r="U21" s="182"/>
      <c r="V21" s="182"/>
      <c r="W21" s="182"/>
      <c r="X21" s="182"/>
      <c r="Y21" s="182"/>
      <c r="Z21" s="182"/>
      <c r="AA21" s="182"/>
      <c r="AB21" s="182"/>
      <c r="AC21" s="182"/>
      <c r="AD21" s="182"/>
    </row>
    <row r="22" spans="1:30">
      <c r="A22" s="169">
        <f t="shared" si="0"/>
        <v>12</v>
      </c>
      <c r="B22" s="169"/>
      <c r="C22" s="188">
        <v>44501</v>
      </c>
      <c r="D22" s="188"/>
      <c r="E22" s="260">
        <v>61753640.809999987</v>
      </c>
      <c r="F22" s="190"/>
      <c r="G22" s="260">
        <v>6859094.9199999999</v>
      </c>
      <c r="H22" s="190"/>
      <c r="I22" s="260">
        <v>75524171.850000009</v>
      </c>
      <c r="J22" s="190"/>
      <c r="K22" s="260">
        <v>16553459</v>
      </c>
      <c r="L22" s="190"/>
      <c r="M22" s="261">
        <f t="shared" si="1"/>
        <v>160690366.57999998</v>
      </c>
      <c r="P22" s="180"/>
      <c r="Q22" s="182"/>
      <c r="R22" s="197"/>
      <c r="S22" s="181"/>
      <c r="T22" s="182"/>
      <c r="U22" s="182"/>
      <c r="V22" s="182"/>
      <c r="W22" s="182"/>
      <c r="X22" s="182"/>
      <c r="Y22" s="182"/>
      <c r="Z22" s="182"/>
      <c r="AA22" s="182"/>
      <c r="AB22" s="182"/>
      <c r="AC22" s="182"/>
      <c r="AD22" s="182"/>
    </row>
    <row r="23" spans="1:30">
      <c r="A23" s="169">
        <f t="shared" si="0"/>
        <v>13</v>
      </c>
      <c r="B23" s="169"/>
      <c r="C23" s="188">
        <v>44531</v>
      </c>
      <c r="D23" s="188"/>
      <c r="E23" s="260">
        <v>61453596.25</v>
      </c>
      <c r="F23" s="190"/>
      <c r="G23" s="260">
        <v>6862228.2400000002</v>
      </c>
      <c r="H23" s="190"/>
      <c r="I23" s="260">
        <v>75546228.610000014</v>
      </c>
      <c r="J23" s="190"/>
      <c r="K23" s="260">
        <v>16553459</v>
      </c>
      <c r="L23" s="190"/>
      <c r="M23" s="261">
        <f t="shared" si="1"/>
        <v>160415512.10000002</v>
      </c>
      <c r="P23" s="180"/>
      <c r="Q23" s="182"/>
      <c r="R23" s="197"/>
      <c r="S23" s="181"/>
      <c r="T23" s="182"/>
      <c r="U23" s="182"/>
      <c r="V23" s="182"/>
      <c r="W23" s="182"/>
      <c r="X23" s="182"/>
      <c r="Y23" s="182"/>
      <c r="Z23" s="182"/>
      <c r="AA23" s="182"/>
      <c r="AB23" s="182"/>
      <c r="AC23" s="182"/>
      <c r="AD23" s="182"/>
    </row>
    <row r="24" spans="1:30" ht="26">
      <c r="A24" s="169">
        <f t="shared" si="0"/>
        <v>14</v>
      </c>
      <c r="B24" s="169"/>
      <c r="C24" s="191" t="s">
        <v>363</v>
      </c>
      <c r="D24" s="191"/>
      <c r="E24" s="190">
        <f>AVERAGE(E11:E23)</f>
        <v>61669606.544615358</v>
      </c>
      <c r="F24" s="190"/>
      <c r="G24" s="190">
        <f>AVERAGE(G11:G23)</f>
        <v>7147585.7823076909</v>
      </c>
      <c r="H24" s="190"/>
      <c r="I24" s="190">
        <f>AVERAGE(I11:I23)</f>
        <v>75508919.581538469</v>
      </c>
      <c r="J24" s="190"/>
      <c r="K24" s="190">
        <f>AVERAGE(K11:K23)</f>
        <v>16571340.923076924</v>
      </c>
      <c r="L24" s="190"/>
      <c r="M24" s="190">
        <f>AVERAGE(M11:M23)</f>
        <v>160897452.83153841</v>
      </c>
      <c r="P24" s="180"/>
      <c r="Q24" s="182"/>
      <c r="R24" s="197"/>
      <c r="S24" s="182"/>
    </row>
    <row r="25" spans="1:30">
      <c r="A25" s="169">
        <f t="shared" si="0"/>
        <v>15</v>
      </c>
      <c r="B25" s="169"/>
      <c r="C25" s="232"/>
      <c r="D25" s="232"/>
      <c r="E25" s="182"/>
      <c r="F25" s="182"/>
      <c r="G25" s="182"/>
      <c r="H25" s="182"/>
      <c r="I25" s="182"/>
      <c r="J25" s="182"/>
      <c r="K25" s="182"/>
      <c r="L25" s="182"/>
      <c r="M25" s="182"/>
      <c r="P25" s="182"/>
      <c r="Q25" s="182"/>
      <c r="R25" s="182"/>
      <c r="S25" s="182"/>
    </row>
    <row r="26" spans="1:30">
      <c r="A26" s="169">
        <f t="shared" si="0"/>
        <v>16</v>
      </c>
      <c r="B26" s="168" t="s">
        <v>362</v>
      </c>
      <c r="D26" s="168"/>
    </row>
    <row r="27" spans="1:30">
      <c r="A27" s="169">
        <f t="shared" si="0"/>
        <v>17</v>
      </c>
      <c r="B27" s="168" t="s">
        <v>361</v>
      </c>
      <c r="D27" s="168"/>
    </row>
    <row r="28" spans="1:30">
      <c r="A28" s="169">
        <f t="shared" si="0"/>
        <v>18</v>
      </c>
      <c r="B28" s="168" t="s">
        <v>383</v>
      </c>
      <c r="D28" s="168"/>
    </row>
    <row r="29" spans="1:30">
      <c r="B29" s="168" t="s">
        <v>450</v>
      </c>
    </row>
    <row r="30" spans="1:30">
      <c r="B30" s="168" t="s">
        <v>449</v>
      </c>
    </row>
    <row r="31" spans="1:30">
      <c r="A31" s="155"/>
      <c r="B31" s="155"/>
      <c r="C31" s="155"/>
      <c r="D31" s="155"/>
      <c r="E31" s="155"/>
      <c r="F31" s="155"/>
      <c r="G31" s="155"/>
      <c r="H31" s="155"/>
      <c r="I31" s="155"/>
      <c r="J31" s="155"/>
      <c r="K31" s="155"/>
      <c r="L31" s="155"/>
      <c r="M31" s="155"/>
      <c r="N31" s="155"/>
      <c r="O31" s="155"/>
      <c r="P31" s="155"/>
      <c r="Q31" s="155"/>
    </row>
    <row r="32" spans="1:30">
      <c r="A32" s="155"/>
      <c r="B32" s="155"/>
      <c r="C32" s="155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</row>
    <row r="33" spans="1:17">
      <c r="A33" s="155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</row>
    <row r="34" spans="1:17">
      <c r="A34" s="158"/>
      <c r="B34" s="158"/>
      <c r="C34" s="167"/>
      <c r="D34" s="167"/>
      <c r="E34" s="167"/>
      <c r="F34" s="167"/>
      <c r="G34" s="166"/>
      <c r="H34" s="167"/>
      <c r="I34" s="166"/>
      <c r="J34" s="166"/>
      <c r="K34" s="166"/>
      <c r="L34" s="166"/>
      <c r="M34" s="166"/>
      <c r="N34" s="155"/>
      <c r="O34" s="155"/>
      <c r="P34" s="155"/>
      <c r="Q34" s="155"/>
    </row>
    <row r="35" spans="1:17">
      <c r="A35" s="158"/>
      <c r="B35" s="158"/>
      <c r="C35" s="165"/>
      <c r="D35" s="165"/>
      <c r="E35" s="165"/>
      <c r="F35" s="165"/>
      <c r="G35" s="164"/>
      <c r="H35" s="165"/>
      <c r="I35" s="164"/>
      <c r="J35" s="164"/>
      <c r="K35" s="164"/>
      <c r="L35" s="164"/>
      <c r="M35" s="164"/>
      <c r="N35" s="155"/>
      <c r="O35" s="155"/>
      <c r="P35" s="155"/>
      <c r="Q35" s="155"/>
    </row>
    <row r="36" spans="1:17">
      <c r="A36" s="158"/>
      <c r="B36" s="158"/>
      <c r="C36" s="159"/>
      <c r="D36" s="159"/>
      <c r="E36" s="155"/>
      <c r="F36" s="155"/>
      <c r="G36" s="163"/>
      <c r="H36" s="155"/>
      <c r="I36" s="163"/>
      <c r="J36" s="163"/>
      <c r="K36" s="163"/>
      <c r="L36" s="163"/>
      <c r="M36" s="163"/>
      <c r="N36" s="155"/>
      <c r="O36" s="155"/>
      <c r="P36" s="155"/>
      <c r="Q36" s="155"/>
    </row>
    <row r="37" spans="1:17">
      <c r="A37" s="162"/>
      <c r="B37" s="162"/>
      <c r="C37" s="161"/>
      <c r="D37" s="161"/>
      <c r="E37" s="160"/>
      <c r="F37" s="160"/>
      <c r="G37" s="156"/>
      <c r="H37" s="160"/>
      <c r="I37" s="156"/>
      <c r="J37" s="156"/>
      <c r="K37" s="156"/>
      <c r="L37" s="156"/>
      <c r="M37" s="156"/>
      <c r="N37" s="155"/>
      <c r="O37" s="155"/>
      <c r="P37" s="155"/>
      <c r="Q37" s="155"/>
    </row>
    <row r="38" spans="1:17">
      <c r="A38" s="158"/>
      <c r="B38" s="158"/>
      <c r="C38" s="159"/>
      <c r="D38" s="159"/>
      <c r="E38" s="157"/>
      <c r="F38" s="157"/>
      <c r="G38" s="156"/>
      <c r="H38" s="157"/>
      <c r="I38" s="156"/>
      <c r="J38" s="156"/>
      <c r="K38" s="156"/>
      <c r="L38" s="156"/>
      <c r="M38" s="156"/>
      <c r="N38" s="155"/>
      <c r="O38" s="155"/>
      <c r="P38" s="155"/>
      <c r="Q38" s="155"/>
    </row>
    <row r="39" spans="1:17">
      <c r="A39" s="158"/>
      <c r="B39" s="158"/>
      <c r="C39" s="157"/>
      <c r="D39" s="157"/>
      <c r="E39" s="157"/>
      <c r="F39" s="157"/>
      <c r="G39" s="156"/>
      <c r="H39" s="157"/>
      <c r="I39" s="156"/>
      <c r="J39" s="156"/>
      <c r="K39" s="156"/>
      <c r="L39" s="156"/>
      <c r="M39" s="156"/>
      <c r="N39" s="155"/>
      <c r="O39" s="155"/>
      <c r="P39" s="155"/>
      <c r="Q39" s="155"/>
    </row>
    <row r="40" spans="1:17">
      <c r="A40" s="155"/>
      <c r="B40" s="155"/>
      <c r="C40" s="155"/>
      <c r="D40" s="155"/>
      <c r="E40" s="155"/>
      <c r="F40" s="155"/>
      <c r="G40" s="155"/>
      <c r="H40" s="155"/>
      <c r="I40" s="155"/>
      <c r="J40" s="155"/>
      <c r="K40" s="155"/>
      <c r="L40" s="155"/>
      <c r="M40" s="155"/>
      <c r="N40" s="155"/>
      <c r="O40" s="155"/>
      <c r="P40" s="155"/>
      <c r="Q40" s="155"/>
    </row>
    <row r="41" spans="1:17">
      <c r="A41" s="155"/>
      <c r="B41" s="155"/>
      <c r="C41" s="155"/>
      <c r="D41" s="155"/>
      <c r="E41" s="155"/>
      <c r="F41" s="155"/>
      <c r="G41" s="155"/>
      <c r="H41" s="155"/>
      <c r="I41" s="155"/>
      <c r="J41" s="155"/>
      <c r="K41" s="155"/>
      <c r="L41" s="155"/>
      <c r="M41" s="155"/>
      <c r="N41" s="155"/>
      <c r="O41" s="155"/>
      <c r="P41" s="155"/>
      <c r="Q41" s="155"/>
    </row>
    <row r="42" spans="1:17">
      <c r="A42" s="155"/>
      <c r="B42" s="155"/>
      <c r="C42" s="155"/>
      <c r="D42" s="155"/>
      <c r="E42" s="155"/>
      <c r="F42" s="155"/>
      <c r="G42" s="155"/>
      <c r="H42" s="155"/>
      <c r="I42" s="155"/>
      <c r="J42" s="155"/>
      <c r="K42" s="155"/>
      <c r="L42" s="155"/>
      <c r="M42" s="155"/>
      <c r="N42" s="155"/>
      <c r="O42" s="155"/>
      <c r="P42" s="155"/>
      <c r="Q42" s="155"/>
    </row>
    <row r="43" spans="1:17">
      <c r="A43" s="155"/>
      <c r="B43" s="155"/>
      <c r="C43" s="155"/>
      <c r="D43" s="155"/>
      <c r="E43" s="155"/>
      <c r="F43" s="155"/>
      <c r="G43" s="155"/>
      <c r="H43" s="155"/>
      <c r="I43" s="155"/>
      <c r="J43" s="155"/>
      <c r="K43" s="155"/>
      <c r="L43" s="155"/>
      <c r="M43" s="155"/>
      <c r="N43" s="155"/>
      <c r="O43" s="155"/>
      <c r="P43" s="155"/>
      <c r="Q43" s="155"/>
    </row>
    <row r="44" spans="1:17">
      <c r="A44" s="155"/>
      <c r="B44" s="155"/>
      <c r="C44" s="155"/>
      <c r="D44" s="155"/>
      <c r="E44" s="155"/>
      <c r="F44" s="155"/>
      <c r="G44" s="155"/>
      <c r="H44" s="155"/>
      <c r="I44" s="155"/>
      <c r="J44" s="155"/>
      <c r="K44" s="155"/>
      <c r="L44" s="155"/>
      <c r="M44" s="155"/>
      <c r="N44" s="155"/>
      <c r="O44" s="155"/>
      <c r="P44" s="155"/>
      <c r="Q44" s="155"/>
    </row>
  </sheetData>
  <mergeCells count="3">
    <mergeCell ref="A3:M3"/>
    <mergeCell ref="A4:M4"/>
    <mergeCell ref="A5:M5"/>
  </mergeCells>
  <pageMargins left="0.7" right="0.7" top="0.75" bottom="0.75" header="0.3" footer="0.3"/>
  <pageSetup orientation="portrait" verticalDpi="0" r:id="rId1"/>
  <headerFooter>
    <oddHeader>&amp;L&amp;8 2016 BHP-Workpaper 9 Supplemental Supporting Schedules&amp;C
ACTUAL SERVICE YEAR ATRR
BLACK HILLS POWER, INC.
SUPPORTING SCHEDULES&amp;RPage &amp;P of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 tint="0.39997558519241921"/>
  </sheetPr>
  <dimension ref="A3:N44"/>
  <sheetViews>
    <sheetView workbookViewId="0">
      <selection activeCell="E11" sqref="E11"/>
    </sheetView>
  </sheetViews>
  <sheetFormatPr defaultRowHeight="15.5"/>
  <cols>
    <col min="1" max="1" width="3.4609375" bestFit="1" customWidth="1"/>
    <col min="2" max="2" width="3.4609375" customWidth="1"/>
    <col min="3" max="3" width="34.69140625" bestFit="1" customWidth="1"/>
    <col min="4" max="4" width="2.69140625" customWidth="1"/>
    <col min="5" max="5" width="13.4609375" customWidth="1"/>
    <col min="6" max="6" width="2.69140625" customWidth="1"/>
    <col min="7" max="7" width="15.23046875" customWidth="1"/>
    <col min="8" max="8" width="3" customWidth="1"/>
  </cols>
  <sheetData>
    <row r="3" spans="1:14" s="34" customFormat="1" ht="15" customHeight="1">
      <c r="A3" s="281" t="s">
        <v>394</v>
      </c>
      <c r="B3" s="281"/>
      <c r="C3" s="281"/>
      <c r="D3" s="281"/>
      <c r="E3" s="281"/>
      <c r="F3" s="281"/>
      <c r="G3" s="281"/>
      <c r="H3" s="281"/>
      <c r="I3" s="178"/>
      <c r="J3" s="178"/>
    </row>
    <row r="4" spans="1:14" s="34" customFormat="1" ht="15" customHeight="1">
      <c r="A4" s="281" t="s">
        <v>386</v>
      </c>
      <c r="B4" s="281"/>
      <c r="C4" s="281"/>
      <c r="D4" s="281"/>
      <c r="E4" s="281"/>
      <c r="F4" s="281"/>
      <c r="G4" s="281"/>
      <c r="H4" s="281"/>
      <c r="I4" s="178"/>
      <c r="J4" s="178"/>
    </row>
    <row r="5" spans="1:14" s="34" customFormat="1" ht="15" customHeight="1">
      <c r="A5" s="281" t="s">
        <v>2</v>
      </c>
      <c r="B5" s="281"/>
      <c r="C5" s="281"/>
      <c r="D5" s="281"/>
      <c r="E5" s="281"/>
      <c r="F5" s="281"/>
      <c r="G5" s="281"/>
      <c r="H5" s="281"/>
      <c r="I5" s="178"/>
      <c r="J5" s="178"/>
    </row>
    <row r="6" spans="1:14" s="34" customFormat="1" ht="13">
      <c r="A6" s="192"/>
      <c r="B6" s="192"/>
      <c r="C6" s="193"/>
      <c r="D6" s="193"/>
      <c r="E6" s="193"/>
      <c r="F6" s="193"/>
      <c r="G6" s="193"/>
      <c r="H6" s="193"/>
      <c r="I6" s="192"/>
      <c r="J6" s="178"/>
    </row>
    <row r="7" spans="1:14" s="34" customFormat="1" ht="12.5">
      <c r="C7" s="193" t="s">
        <v>22</v>
      </c>
      <c r="D7" s="193"/>
      <c r="E7" s="193" t="s">
        <v>23</v>
      </c>
      <c r="F7" s="193"/>
      <c r="G7" s="193" t="s">
        <v>398</v>
      </c>
      <c r="H7" s="193"/>
    </row>
    <row r="8" spans="1:14" s="34" customFormat="1" ht="12.5">
      <c r="A8" s="193" t="s">
        <v>3</v>
      </c>
      <c r="B8" s="193"/>
      <c r="C8" s="193"/>
      <c r="D8" s="193"/>
      <c r="E8" s="193"/>
      <c r="F8" s="193"/>
      <c r="G8" s="193"/>
      <c r="H8" s="193"/>
    </row>
    <row r="9" spans="1:14" s="34" customFormat="1" ht="12.5">
      <c r="A9" s="9" t="s">
        <v>5</v>
      </c>
      <c r="B9" s="9"/>
      <c r="C9" s="9" t="s">
        <v>26</v>
      </c>
      <c r="D9" s="9"/>
      <c r="E9" s="9" t="s">
        <v>384</v>
      </c>
      <c r="F9" s="9"/>
      <c r="G9" s="177" t="s">
        <v>389</v>
      </c>
      <c r="H9" s="177"/>
      <c r="M9" s="180"/>
      <c r="N9" s="180"/>
    </row>
    <row r="10" spans="1:14">
      <c r="A10" s="158"/>
      <c r="B10" s="175"/>
      <c r="C10" s="34"/>
      <c r="D10" s="174"/>
      <c r="E10" s="174"/>
      <c r="F10" s="174"/>
      <c r="G10" s="173"/>
      <c r="H10" s="173"/>
    </row>
    <row r="11" spans="1:14">
      <c r="A11" s="193">
        <f>1+A10</f>
        <v>1</v>
      </c>
      <c r="B11" s="193"/>
      <c r="C11" s="188" t="s">
        <v>387</v>
      </c>
      <c r="D11" s="188"/>
      <c r="E11" s="188" t="s">
        <v>456</v>
      </c>
      <c r="F11" s="188"/>
      <c r="G11" s="260">
        <v>9149366</v>
      </c>
      <c r="H11" s="190"/>
    </row>
    <row r="12" spans="1:14">
      <c r="A12" s="193">
        <f t="shared" ref="A12:A16" si="0">1+A11</f>
        <v>2</v>
      </c>
      <c r="B12" s="169"/>
      <c r="C12" s="188"/>
      <c r="D12" s="188"/>
      <c r="E12" s="188"/>
      <c r="F12" s="188"/>
      <c r="G12" s="189"/>
      <c r="H12" s="190"/>
    </row>
    <row r="13" spans="1:14">
      <c r="A13" s="193">
        <f t="shared" si="0"/>
        <v>3</v>
      </c>
      <c r="B13" s="169"/>
      <c r="C13" s="188" t="s">
        <v>385</v>
      </c>
      <c r="D13" s="188"/>
      <c r="E13" s="188" t="s">
        <v>51</v>
      </c>
      <c r="F13" s="188"/>
      <c r="G13" s="260">
        <v>-593444</v>
      </c>
      <c r="H13" s="190"/>
    </row>
    <row r="14" spans="1:14">
      <c r="A14" s="193">
        <f t="shared" si="0"/>
        <v>4</v>
      </c>
      <c r="B14" s="169"/>
      <c r="C14" s="188"/>
      <c r="D14" s="188"/>
      <c r="E14" s="188"/>
      <c r="F14" s="188"/>
      <c r="G14" s="189"/>
      <c r="H14" s="190"/>
    </row>
    <row r="15" spans="1:14">
      <c r="A15" s="193">
        <f t="shared" si="0"/>
        <v>5</v>
      </c>
      <c r="B15" s="169"/>
      <c r="C15" s="188" t="s">
        <v>388</v>
      </c>
      <c r="D15" s="188"/>
      <c r="E15" s="188" t="s">
        <v>390</v>
      </c>
      <c r="F15" s="188"/>
      <c r="G15" s="195">
        <f>SUM(G11:G14)</f>
        <v>8555922</v>
      </c>
      <c r="H15" s="190"/>
    </row>
    <row r="16" spans="1:14">
      <c r="A16" s="193">
        <f t="shared" si="0"/>
        <v>6</v>
      </c>
      <c r="B16" s="169"/>
      <c r="H16" s="190"/>
    </row>
    <row r="17" spans="1:8">
      <c r="A17" s="193"/>
      <c r="B17" s="169"/>
      <c r="C17" s="188"/>
      <c r="D17" s="188"/>
      <c r="E17" s="188"/>
      <c r="F17" s="188"/>
      <c r="G17" s="189"/>
      <c r="H17" s="190"/>
    </row>
    <row r="18" spans="1:8">
      <c r="A18" s="193"/>
      <c r="B18" s="169"/>
      <c r="C18" s="188"/>
      <c r="D18" s="188"/>
      <c r="E18" s="188"/>
      <c r="F18" s="188"/>
      <c r="G18" s="189"/>
      <c r="H18" s="190"/>
    </row>
    <row r="19" spans="1:8">
      <c r="A19" s="193"/>
      <c r="B19" s="169"/>
      <c r="C19" s="188"/>
      <c r="D19" s="188"/>
      <c r="E19" s="188"/>
      <c r="F19" s="188"/>
      <c r="G19" s="189"/>
      <c r="H19" s="190"/>
    </row>
    <row r="20" spans="1:8">
      <c r="A20" s="193"/>
      <c r="B20" s="169"/>
      <c r="C20" s="188"/>
      <c r="D20" s="188"/>
      <c r="E20" s="188"/>
      <c r="F20" s="188"/>
      <c r="G20" s="189"/>
      <c r="H20" s="190"/>
    </row>
    <row r="21" spans="1:8">
      <c r="A21" s="169"/>
      <c r="B21" s="169"/>
      <c r="C21" s="188"/>
      <c r="D21" s="188"/>
      <c r="E21" s="188"/>
      <c r="F21" s="188"/>
      <c r="G21" s="189"/>
      <c r="H21" s="190"/>
    </row>
    <row r="22" spans="1:8">
      <c r="A22" s="169"/>
      <c r="B22" s="169"/>
      <c r="C22" s="188"/>
      <c r="D22" s="188"/>
      <c r="E22" s="188"/>
      <c r="F22" s="188"/>
      <c r="G22" s="189"/>
      <c r="H22" s="190"/>
    </row>
    <row r="23" spans="1:8">
      <c r="A23" s="169"/>
      <c r="B23" s="169"/>
      <c r="C23" s="188"/>
      <c r="D23" s="188"/>
      <c r="E23" s="188"/>
      <c r="F23" s="188"/>
      <c r="G23" s="189"/>
      <c r="H23" s="190"/>
    </row>
    <row r="24" spans="1:8">
      <c r="A24" s="169"/>
      <c r="B24" s="169"/>
      <c r="C24" s="191"/>
      <c r="D24" s="191"/>
      <c r="E24" s="191"/>
      <c r="F24" s="191"/>
      <c r="G24" s="190"/>
      <c r="H24" s="190"/>
    </row>
    <row r="25" spans="1:8">
      <c r="A25" s="169"/>
      <c r="B25" s="169"/>
      <c r="C25" s="170"/>
      <c r="D25" s="170"/>
      <c r="E25" s="170"/>
      <c r="F25" s="170"/>
    </row>
    <row r="26" spans="1:8">
      <c r="A26" s="169"/>
      <c r="B26" s="168"/>
      <c r="D26" s="168"/>
      <c r="E26" s="168"/>
      <c r="F26" s="168"/>
    </row>
    <row r="27" spans="1:8">
      <c r="A27" s="169"/>
      <c r="B27" s="168"/>
      <c r="D27" s="168"/>
      <c r="E27" s="168"/>
      <c r="F27" s="168"/>
    </row>
    <row r="28" spans="1:8">
      <c r="A28" s="169"/>
      <c r="B28" s="168"/>
      <c r="D28" s="168"/>
      <c r="E28" s="168"/>
      <c r="F28" s="168"/>
    </row>
    <row r="29" spans="1:8">
      <c r="B29" s="168"/>
    </row>
    <row r="31" spans="1:8">
      <c r="A31" s="155"/>
      <c r="B31" s="155"/>
      <c r="C31" s="155"/>
      <c r="D31" s="155"/>
      <c r="E31" s="155"/>
      <c r="F31" s="155"/>
      <c r="G31" s="155"/>
      <c r="H31" s="155"/>
    </row>
    <row r="32" spans="1:8">
      <c r="A32" s="155"/>
      <c r="B32" s="155"/>
      <c r="C32" s="155"/>
      <c r="D32" s="155"/>
      <c r="E32" s="155"/>
      <c r="F32" s="155"/>
      <c r="G32" s="155"/>
      <c r="H32" s="155"/>
    </row>
    <row r="33" spans="1:8">
      <c r="A33" s="155"/>
      <c r="B33" s="155"/>
      <c r="C33" s="155"/>
      <c r="D33" s="155"/>
      <c r="E33" s="155"/>
      <c r="F33" s="155"/>
      <c r="G33" s="155"/>
      <c r="H33" s="155"/>
    </row>
    <row r="34" spans="1:8">
      <c r="A34" s="158"/>
      <c r="B34" s="158"/>
      <c r="C34" s="167"/>
      <c r="D34" s="167"/>
      <c r="E34" s="167"/>
      <c r="F34" s="167"/>
      <c r="G34" s="167"/>
      <c r="H34" s="167"/>
    </row>
    <row r="35" spans="1:8">
      <c r="A35" s="158"/>
      <c r="B35" s="158"/>
      <c r="C35" s="165"/>
      <c r="D35" s="165"/>
      <c r="E35" s="165"/>
      <c r="F35" s="165"/>
      <c r="G35" s="165"/>
      <c r="H35" s="165"/>
    </row>
    <row r="36" spans="1:8">
      <c r="A36" s="158"/>
      <c r="B36" s="158"/>
      <c r="C36" s="159"/>
      <c r="D36" s="159"/>
      <c r="E36" s="159"/>
      <c r="F36" s="159"/>
      <c r="G36" s="155"/>
      <c r="H36" s="155"/>
    </row>
    <row r="37" spans="1:8">
      <c r="A37" s="162"/>
      <c r="B37" s="162"/>
      <c r="C37" s="161"/>
      <c r="D37" s="161"/>
      <c r="E37" s="161"/>
      <c r="F37" s="161"/>
      <c r="G37" s="160"/>
      <c r="H37" s="160"/>
    </row>
    <row r="38" spans="1:8">
      <c r="A38" s="158"/>
      <c r="B38" s="158"/>
      <c r="C38" s="159"/>
      <c r="D38" s="159"/>
      <c r="E38" s="159"/>
      <c r="F38" s="159"/>
      <c r="G38" s="157"/>
      <c r="H38" s="157"/>
    </row>
    <row r="39" spans="1:8">
      <c r="A39" s="158"/>
      <c r="B39" s="158"/>
      <c r="C39" s="157"/>
      <c r="D39" s="157"/>
      <c r="E39" s="157"/>
      <c r="F39" s="157"/>
      <c r="G39" s="157"/>
      <c r="H39" s="157"/>
    </row>
    <row r="40" spans="1:8">
      <c r="A40" s="155"/>
      <c r="B40" s="155"/>
      <c r="C40" s="155"/>
      <c r="D40" s="155"/>
      <c r="E40" s="155"/>
      <c r="F40" s="155"/>
      <c r="G40" s="155"/>
      <c r="H40" s="155"/>
    </row>
    <row r="41" spans="1:8">
      <c r="A41" s="155"/>
      <c r="B41" s="155"/>
      <c r="C41" s="155"/>
      <c r="D41" s="155"/>
      <c r="E41" s="155"/>
      <c r="F41" s="155"/>
      <c r="G41" s="155"/>
      <c r="H41" s="155"/>
    </row>
    <row r="42" spans="1:8">
      <c r="A42" s="155"/>
      <c r="B42" s="155"/>
      <c r="C42" s="155"/>
      <c r="D42" s="155"/>
      <c r="E42" s="155"/>
      <c r="F42" s="155"/>
      <c r="G42" s="155"/>
      <c r="H42" s="155"/>
    </row>
    <row r="43" spans="1:8">
      <c r="A43" s="155"/>
      <c r="B43" s="155"/>
      <c r="C43" s="155"/>
      <c r="D43" s="155"/>
      <c r="E43" s="155"/>
      <c r="F43" s="155"/>
      <c r="G43" s="155"/>
      <c r="H43" s="155"/>
    </row>
    <row r="44" spans="1:8">
      <c r="A44" s="155"/>
      <c r="B44" s="155"/>
      <c r="C44" s="155"/>
      <c r="D44" s="155"/>
      <c r="E44" s="155"/>
      <c r="F44" s="155"/>
      <c r="G44" s="155"/>
      <c r="H44" s="155"/>
    </row>
  </sheetData>
  <mergeCells count="3">
    <mergeCell ref="A3:H3"/>
    <mergeCell ref="A4:H4"/>
    <mergeCell ref="A5:H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7" tint="0.39997558519241921"/>
  </sheetPr>
  <dimension ref="A3:J27"/>
  <sheetViews>
    <sheetView workbookViewId="0">
      <selection activeCell="D15" sqref="D15"/>
    </sheetView>
  </sheetViews>
  <sheetFormatPr defaultColWidth="8.84375" defaultRowHeight="12.5"/>
  <cols>
    <col min="1" max="1" width="8.84375" style="34"/>
    <col min="2" max="2" width="23" style="34" bestFit="1" customWidth="1"/>
    <col min="3" max="3" width="1.69140625" style="34" customWidth="1"/>
    <col min="4" max="4" width="18.53515625" style="34" customWidth="1"/>
    <col min="5" max="5" width="1.69140625" style="34" customWidth="1"/>
    <col min="6" max="8" width="13" style="34" customWidth="1"/>
    <col min="9" max="16384" width="8.84375" style="34"/>
  </cols>
  <sheetData>
    <row r="3" spans="1:10" ht="15" customHeight="1">
      <c r="A3" s="281" t="s">
        <v>396</v>
      </c>
      <c r="B3" s="281"/>
      <c r="C3" s="281"/>
      <c r="D3" s="281"/>
      <c r="E3" s="281"/>
      <c r="F3" s="281"/>
      <c r="G3" s="281"/>
      <c r="H3" s="281"/>
      <c r="I3" s="178"/>
      <c r="J3" s="178"/>
    </row>
    <row r="4" spans="1:10" ht="15" customHeight="1">
      <c r="A4" s="281" t="s">
        <v>397</v>
      </c>
      <c r="B4" s="281"/>
      <c r="C4" s="281"/>
      <c r="D4" s="281"/>
      <c r="E4" s="281"/>
      <c r="F4" s="281"/>
      <c r="G4" s="281"/>
      <c r="H4" s="281"/>
      <c r="I4" s="178"/>
      <c r="J4" s="178"/>
    </row>
    <row r="5" spans="1:10" ht="15" customHeight="1">
      <c r="A5" s="281" t="s">
        <v>2</v>
      </c>
      <c r="B5" s="281"/>
      <c r="C5" s="281"/>
      <c r="D5" s="281"/>
      <c r="E5" s="281"/>
      <c r="F5" s="281"/>
      <c r="G5" s="281"/>
      <c r="H5" s="281"/>
      <c r="I5" s="178"/>
      <c r="J5" s="178"/>
    </row>
    <row r="6" spans="1:10" ht="15" customHeight="1">
      <c r="A6" s="192"/>
      <c r="B6" s="192"/>
      <c r="C6" s="192"/>
      <c r="D6" s="192"/>
      <c r="E6" s="192"/>
      <c r="F6" s="273">
        <v>2020</v>
      </c>
      <c r="G6" s="192">
        <v>2021</v>
      </c>
      <c r="H6" s="192"/>
      <c r="I6" s="178"/>
      <c r="J6" s="178"/>
    </row>
    <row r="7" spans="1:10">
      <c r="B7" s="193" t="s">
        <v>22</v>
      </c>
      <c r="C7" s="193"/>
      <c r="D7" s="193" t="s">
        <v>23</v>
      </c>
      <c r="E7" s="193"/>
      <c r="F7" s="193" t="s">
        <v>398</v>
      </c>
      <c r="G7" s="193" t="s">
        <v>380</v>
      </c>
      <c r="H7" s="193" t="s">
        <v>391</v>
      </c>
    </row>
    <row r="8" spans="1:10">
      <c r="A8" s="193" t="s">
        <v>3</v>
      </c>
    </row>
    <row r="9" spans="1:10">
      <c r="A9" s="9" t="s">
        <v>5</v>
      </c>
      <c r="B9" s="9" t="s">
        <v>26</v>
      </c>
      <c r="C9" s="9"/>
      <c r="D9" s="9" t="s">
        <v>384</v>
      </c>
      <c r="E9" s="9"/>
      <c r="F9" s="177" t="s">
        <v>402</v>
      </c>
      <c r="G9" s="177" t="s">
        <v>403</v>
      </c>
      <c r="H9" s="177" t="s">
        <v>392</v>
      </c>
    </row>
    <row r="10" spans="1:10">
      <c r="A10" s="158"/>
    </row>
    <row r="11" spans="1:10">
      <c r="A11" s="193">
        <f>1+A10</f>
        <v>1</v>
      </c>
      <c r="B11" s="196" t="s">
        <v>400</v>
      </c>
      <c r="C11" s="188"/>
      <c r="D11" s="188" t="s">
        <v>482</v>
      </c>
      <c r="E11" s="188"/>
      <c r="F11" s="234">
        <v>-135042654</v>
      </c>
      <c r="G11" s="234">
        <v>-138786389</v>
      </c>
      <c r="H11" s="234">
        <f>SUM(F11:G11)/2</f>
        <v>-136914521.5</v>
      </c>
      <c r="I11" s="180"/>
    </row>
    <row r="12" spans="1:10">
      <c r="A12" s="193">
        <f t="shared" ref="A12:A17" si="0">1+A11</f>
        <v>2</v>
      </c>
      <c r="B12" s="196" t="s">
        <v>399</v>
      </c>
      <c r="D12" s="180"/>
      <c r="E12" s="180"/>
      <c r="F12" s="234"/>
      <c r="G12" s="234"/>
      <c r="H12" s="234"/>
      <c r="I12" s="180"/>
    </row>
    <row r="13" spans="1:10">
      <c r="A13" s="193">
        <f t="shared" si="0"/>
        <v>3</v>
      </c>
      <c r="B13" s="188" t="s">
        <v>379</v>
      </c>
      <c r="D13" s="180" t="s">
        <v>410</v>
      </c>
      <c r="E13" s="180"/>
      <c r="F13" s="234">
        <v>-2900894.0238974285</v>
      </c>
      <c r="G13" s="234">
        <v>-2569492</v>
      </c>
      <c r="H13" s="234">
        <f>SUM(F13:G13)/2</f>
        <v>-2735193.011948714</v>
      </c>
      <c r="I13" s="180"/>
    </row>
    <row r="14" spans="1:10">
      <c r="A14" s="193">
        <f t="shared" si="0"/>
        <v>4</v>
      </c>
      <c r="B14" s="269" t="s">
        <v>438</v>
      </c>
      <c r="D14" s="180" t="s">
        <v>439</v>
      </c>
      <c r="E14" s="180"/>
      <c r="F14" s="234">
        <f>-'BHP WP13 Accumulated Reserve '!X29</f>
        <v>2653063.6441499041</v>
      </c>
      <c r="G14" s="234">
        <f>-'BHP WP13 Accumulated Reserve '!X41</f>
        <v>2960751.6375856986</v>
      </c>
      <c r="H14" s="234">
        <f>SUM(F14:G14)/2</f>
        <v>2806907.6408678014</v>
      </c>
      <c r="I14" s="180"/>
    </row>
    <row r="15" spans="1:10">
      <c r="A15" s="193">
        <f t="shared" si="0"/>
        <v>5</v>
      </c>
      <c r="B15" s="188" t="s">
        <v>401</v>
      </c>
      <c r="D15" s="180" t="s">
        <v>481</v>
      </c>
      <c r="E15" s="180"/>
      <c r="F15" s="237">
        <f>F11-F13-F14</f>
        <v>-134794823.62025249</v>
      </c>
      <c r="G15" s="237">
        <f>G11-G13-G14</f>
        <v>-139177648.6375857</v>
      </c>
      <c r="H15" s="237">
        <f>H11-H13-H14</f>
        <v>-136986236.12891909</v>
      </c>
      <c r="I15" s="180"/>
    </row>
    <row r="16" spans="1:10">
      <c r="A16" s="193">
        <f t="shared" si="0"/>
        <v>6</v>
      </c>
      <c r="B16" s="188"/>
      <c r="D16" s="180"/>
      <c r="E16" s="180"/>
      <c r="F16" s="234"/>
      <c r="G16" s="234"/>
      <c r="H16" s="234"/>
      <c r="I16" s="180"/>
    </row>
    <row r="17" spans="1:9">
      <c r="A17" s="193">
        <f t="shared" si="0"/>
        <v>7</v>
      </c>
      <c r="D17" s="180"/>
      <c r="E17" s="180"/>
      <c r="F17" s="180"/>
      <c r="G17" s="180"/>
      <c r="H17" s="180"/>
      <c r="I17" s="180"/>
    </row>
    <row r="18" spans="1:9">
      <c r="A18" s="193">
        <f t="shared" ref="A18:A25" si="1">1+A17</f>
        <v>8</v>
      </c>
      <c r="B18" s="196" t="s">
        <v>118</v>
      </c>
      <c r="C18" s="188"/>
      <c r="D18" s="180"/>
      <c r="E18" s="188"/>
      <c r="F18" s="234"/>
      <c r="G18" s="234"/>
      <c r="H18" s="234"/>
      <c r="I18" s="180"/>
    </row>
    <row r="19" spans="1:9">
      <c r="A19" s="193">
        <f t="shared" si="1"/>
        <v>9</v>
      </c>
      <c r="B19" s="196" t="s">
        <v>405</v>
      </c>
      <c r="D19" s="188" t="s">
        <v>480</v>
      </c>
      <c r="E19" s="180"/>
      <c r="F19" s="277">
        <v>4649702</v>
      </c>
      <c r="G19" s="277">
        <v>4437843</v>
      </c>
      <c r="H19" s="234">
        <f>SUM(F19:G19)/2</f>
        <v>4543772.5</v>
      </c>
      <c r="I19" s="180"/>
    </row>
    <row r="20" spans="1:9">
      <c r="A20" s="193">
        <f t="shared" si="1"/>
        <v>10</v>
      </c>
      <c r="B20" s="196" t="s">
        <v>404</v>
      </c>
      <c r="D20" s="188"/>
      <c r="E20" s="180"/>
      <c r="F20" s="235">
        <v>0.21</v>
      </c>
      <c r="G20" s="235">
        <v>0.21</v>
      </c>
      <c r="H20" s="234"/>
      <c r="I20" s="180"/>
    </row>
    <row r="21" spans="1:9">
      <c r="A21" s="193">
        <f t="shared" si="1"/>
        <v>11</v>
      </c>
      <c r="B21" s="196"/>
      <c r="D21" s="188"/>
      <c r="E21" s="180"/>
      <c r="F21" s="236">
        <f>F19*F20</f>
        <v>976437.41999999993</v>
      </c>
      <c r="G21" s="236">
        <f>G19*G20</f>
        <v>931947.02999999991</v>
      </c>
      <c r="H21" s="237">
        <f>SUM(F21:G21)/2</f>
        <v>954192.22499999986</v>
      </c>
      <c r="I21" s="180"/>
    </row>
    <row r="22" spans="1:9">
      <c r="A22" s="193">
        <f t="shared" si="1"/>
        <v>12</v>
      </c>
      <c r="D22" s="180" t="s">
        <v>409</v>
      </c>
      <c r="E22" s="180"/>
      <c r="F22" s="234">
        <v>-95109064</v>
      </c>
      <c r="G22" s="234">
        <v>-93487982</v>
      </c>
      <c r="H22" s="234">
        <f>SUM(F22:G22)/2</f>
        <v>-94298523</v>
      </c>
      <c r="I22" s="180"/>
    </row>
    <row r="23" spans="1:9">
      <c r="A23" s="193">
        <f t="shared" si="1"/>
        <v>13</v>
      </c>
      <c r="B23" s="188" t="s">
        <v>379</v>
      </c>
      <c r="D23" s="180" t="s">
        <v>51</v>
      </c>
      <c r="E23" s="180"/>
      <c r="F23" s="234">
        <v>-2068943.6528012343</v>
      </c>
      <c r="G23" s="234">
        <v>-882597</v>
      </c>
      <c r="H23" s="234">
        <f>SUM(F23:G23)/2</f>
        <v>-1475770.3264006171</v>
      </c>
      <c r="I23" s="180"/>
    </row>
    <row r="24" spans="1:9">
      <c r="A24" s="268">
        <f t="shared" si="1"/>
        <v>14</v>
      </c>
      <c r="B24" s="269" t="s">
        <v>438</v>
      </c>
      <c r="D24" s="180" t="s">
        <v>439</v>
      </c>
      <c r="E24" s="180"/>
      <c r="F24" s="234">
        <f>+'BHP WP13 Accumulated Reserve '!Y19</f>
        <v>-1280224.4467619362</v>
      </c>
      <c r="G24" s="234">
        <f>+'BHP WP13 Accumulated Reserve '!Y41</f>
        <v>-1280224.4467619362</v>
      </c>
      <c r="H24" s="234">
        <f>SUM(F24:G24)/2</f>
        <v>-1280224.4467619362</v>
      </c>
      <c r="I24" s="180"/>
    </row>
    <row r="25" spans="1:9">
      <c r="A25" s="268">
        <f t="shared" si="1"/>
        <v>15</v>
      </c>
      <c r="B25" s="188" t="s">
        <v>401</v>
      </c>
      <c r="D25" s="180" t="s">
        <v>408</v>
      </c>
      <c r="E25" s="180"/>
      <c r="F25" s="237">
        <f>SUM(F21:F22)-F23+F24</f>
        <v>-93343907.373960704</v>
      </c>
      <c r="G25" s="237">
        <f>SUM(G21:G22)-G23+G24</f>
        <v>-92953662.416761935</v>
      </c>
      <c r="H25" s="237">
        <f>SUM(H21:H22)-H23+H24</f>
        <v>-93148784.895361319</v>
      </c>
      <c r="I25" s="180"/>
    </row>
    <row r="26" spans="1:9">
      <c r="F26" s="180"/>
      <c r="G26" s="180"/>
    </row>
    <row r="27" spans="1:9">
      <c r="F27" s="180"/>
      <c r="G27" s="180"/>
    </row>
  </sheetData>
  <mergeCells count="3">
    <mergeCell ref="A3:H3"/>
    <mergeCell ref="A4:H4"/>
    <mergeCell ref="A5:H5"/>
  </mergeCells>
  <pageMargins left="0.7" right="0.7" top="0.75" bottom="0.75" header="0.3" footer="0.3"/>
  <pageSetup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ABD44-5BFF-4559-AA52-579C4505EA4A}">
  <sheetPr>
    <tabColor theme="7" tint="0.39997558519241921"/>
  </sheetPr>
  <dimension ref="A1:AJ41"/>
  <sheetViews>
    <sheetView workbookViewId="0">
      <pane xSplit="1" ySplit="2" topLeftCell="P17" activePane="bottomRight" state="frozen"/>
      <selection pane="topRight" activeCell="B1" sqref="B1"/>
      <selection pane="bottomLeft" activeCell="A3" sqref="A3"/>
      <selection pane="bottomRight" activeCell="T30" sqref="T30"/>
    </sheetView>
  </sheetViews>
  <sheetFormatPr defaultRowHeight="15.5"/>
  <cols>
    <col min="2" max="3" width="16.23046875" customWidth="1"/>
    <col min="4" max="4" width="12.4609375" customWidth="1"/>
    <col min="5" max="5" width="15.69140625" customWidth="1"/>
    <col min="6" max="6" width="17.84375" customWidth="1"/>
    <col min="7" max="7" width="12.23046875" customWidth="1"/>
    <col min="8" max="8" width="16.23046875" customWidth="1"/>
    <col min="9" max="9" width="17" customWidth="1"/>
    <col min="10" max="10" width="11.69140625" customWidth="1"/>
    <col min="11" max="11" width="16.07421875" customWidth="1"/>
    <col min="13" max="13" width="12.23046875" customWidth="1"/>
    <col min="14" max="14" width="15.07421875" customWidth="1"/>
    <col min="15" max="15" width="17.69140625" customWidth="1"/>
    <col min="16" max="16" width="13.07421875" customWidth="1"/>
    <col min="17" max="17" width="16.23046875" customWidth="1"/>
    <col min="18" max="18" width="17.53515625" customWidth="1"/>
    <col min="19" max="19" width="15.07421875" customWidth="1"/>
    <col min="20" max="20" width="14.84375" customWidth="1"/>
    <col min="21" max="21" width="19.23046875" customWidth="1"/>
    <col min="22" max="22" width="14.69140625" customWidth="1"/>
    <col min="24" max="24" width="16.23046875" customWidth="1"/>
    <col min="25" max="25" width="16.69140625" customWidth="1"/>
    <col min="30" max="30" width="17.69140625" customWidth="1"/>
    <col min="31" max="31" width="17.84375" customWidth="1"/>
    <col min="32" max="32" width="13.07421875" customWidth="1"/>
    <col min="34" max="34" width="13.23046875" customWidth="1"/>
    <col min="35" max="35" width="11.23046875" customWidth="1"/>
    <col min="36" max="36" width="18.23046875" customWidth="1"/>
  </cols>
  <sheetData>
    <row r="1" spans="1:36">
      <c r="A1" s="202"/>
      <c r="B1" s="285" t="s">
        <v>433</v>
      </c>
      <c r="C1" s="286"/>
      <c r="D1" s="287"/>
      <c r="E1" s="285" t="s">
        <v>412</v>
      </c>
      <c r="F1" s="286"/>
      <c r="G1" s="286"/>
      <c r="H1" s="285" t="s">
        <v>413</v>
      </c>
      <c r="I1" s="286"/>
      <c r="J1" s="286"/>
      <c r="K1" s="285" t="s">
        <v>414</v>
      </c>
      <c r="L1" s="286"/>
      <c r="M1" s="286"/>
      <c r="N1" s="285" t="s">
        <v>415</v>
      </c>
      <c r="O1" s="286"/>
      <c r="P1" s="286"/>
      <c r="Q1" s="285" t="s">
        <v>416</v>
      </c>
      <c r="R1" s="286"/>
      <c r="S1" s="286"/>
      <c r="T1" s="285" t="s">
        <v>417</v>
      </c>
      <c r="U1" s="286"/>
      <c r="V1" s="286"/>
      <c r="W1" s="202"/>
      <c r="X1" s="203"/>
      <c r="Y1" s="203"/>
      <c r="Z1" s="285" t="s">
        <v>418</v>
      </c>
      <c r="AA1" s="286"/>
      <c r="AB1" s="286"/>
      <c r="AC1" s="286"/>
      <c r="AD1" s="204"/>
      <c r="AE1" s="203"/>
      <c r="AF1" s="202"/>
      <c r="AG1" s="205"/>
      <c r="AH1" s="206"/>
      <c r="AI1" s="202"/>
      <c r="AJ1" s="205"/>
    </row>
    <row r="2" spans="1:36">
      <c r="A2" s="213" t="s">
        <v>278</v>
      </c>
      <c r="B2" s="208" t="s">
        <v>79</v>
      </c>
      <c r="C2" s="176" t="s">
        <v>83</v>
      </c>
      <c r="D2" s="209" t="s">
        <v>338</v>
      </c>
      <c r="E2" s="208" t="s">
        <v>79</v>
      </c>
      <c r="F2" s="176" t="s">
        <v>83</v>
      </c>
      <c r="G2" s="176" t="s">
        <v>338</v>
      </c>
      <c r="H2" s="208" t="s">
        <v>79</v>
      </c>
      <c r="I2" s="176" t="s">
        <v>83</v>
      </c>
      <c r="J2" s="176" t="s">
        <v>338</v>
      </c>
      <c r="K2" s="208" t="s">
        <v>79</v>
      </c>
      <c r="L2" s="176" t="s">
        <v>83</v>
      </c>
      <c r="M2" s="176" t="s">
        <v>338</v>
      </c>
      <c r="N2" s="208" t="s">
        <v>79</v>
      </c>
      <c r="O2" s="176" t="s">
        <v>83</v>
      </c>
      <c r="P2" s="176" t="s">
        <v>338</v>
      </c>
      <c r="Q2" s="208" t="s">
        <v>79</v>
      </c>
      <c r="R2" s="176" t="s">
        <v>83</v>
      </c>
      <c r="S2" s="176" t="s">
        <v>338</v>
      </c>
      <c r="T2" s="208" t="s">
        <v>79</v>
      </c>
      <c r="U2" s="176" t="s">
        <v>83</v>
      </c>
      <c r="V2" s="176" t="s">
        <v>338</v>
      </c>
      <c r="W2" s="208" t="s">
        <v>419</v>
      </c>
      <c r="X2" s="208" t="s">
        <v>420</v>
      </c>
      <c r="Y2" s="208" t="s">
        <v>421</v>
      </c>
      <c r="Z2" s="208" t="s">
        <v>422</v>
      </c>
      <c r="AA2" s="176" t="s">
        <v>423</v>
      </c>
      <c r="AB2" s="176" t="s">
        <v>424</v>
      </c>
      <c r="AC2" s="176" t="s">
        <v>425</v>
      </c>
      <c r="AD2" s="210" t="s">
        <v>426</v>
      </c>
      <c r="AE2" s="208" t="s">
        <v>427</v>
      </c>
      <c r="AF2" s="208" t="s">
        <v>428</v>
      </c>
      <c r="AG2" s="211" t="s">
        <v>429</v>
      </c>
      <c r="AH2" s="176" t="s">
        <v>430</v>
      </c>
      <c r="AI2" s="212" t="s">
        <v>431</v>
      </c>
      <c r="AJ2" s="213" t="s">
        <v>432</v>
      </c>
    </row>
    <row r="3" spans="1:36" ht="16.5" customHeight="1">
      <c r="A3" s="207"/>
      <c r="B3" s="214"/>
      <c r="C3" s="215"/>
      <c r="D3" s="216"/>
      <c r="E3" s="214"/>
      <c r="F3" s="215"/>
      <c r="G3" s="215"/>
      <c r="H3" s="214"/>
      <c r="I3" s="215"/>
      <c r="J3" s="215"/>
      <c r="K3" s="214"/>
      <c r="L3" s="215"/>
      <c r="M3" s="215"/>
      <c r="N3" s="214"/>
      <c r="O3" s="215"/>
      <c r="P3" s="215"/>
      <c r="Q3" s="214"/>
      <c r="R3" s="215"/>
      <c r="S3" s="215"/>
      <c r="T3" s="214"/>
      <c r="U3" s="215"/>
      <c r="V3" s="215"/>
      <c r="W3" s="214"/>
      <c r="X3" s="214"/>
      <c r="Y3" s="214"/>
      <c r="Z3" s="214"/>
      <c r="AA3" s="215"/>
      <c r="AB3" s="215"/>
      <c r="AC3" s="215"/>
      <c r="AD3" s="217"/>
      <c r="AE3" s="214"/>
      <c r="AF3" s="214"/>
      <c r="AG3" s="218"/>
      <c r="AH3" s="214"/>
      <c r="AI3" s="207"/>
      <c r="AJ3" s="219"/>
    </row>
    <row r="4" spans="1:36" ht="16.5" customHeight="1">
      <c r="A4" s="207"/>
      <c r="B4" s="214"/>
      <c r="C4" s="215"/>
      <c r="D4" s="216"/>
      <c r="E4" s="214"/>
      <c r="F4" s="215"/>
      <c r="G4" s="215"/>
      <c r="H4" s="214"/>
      <c r="I4" s="215"/>
      <c r="J4" s="215"/>
      <c r="K4" s="214"/>
      <c r="L4" s="215"/>
      <c r="M4" s="215"/>
      <c r="N4" s="214"/>
      <c r="O4" s="215"/>
      <c r="P4" s="215"/>
      <c r="Q4" s="214"/>
      <c r="R4" s="215"/>
      <c r="S4" s="215"/>
      <c r="T4" s="214"/>
      <c r="U4" s="215"/>
      <c r="V4" s="215"/>
      <c r="W4" s="214"/>
      <c r="X4" s="214"/>
      <c r="Y4" s="214"/>
      <c r="Z4" s="214"/>
      <c r="AA4" s="215"/>
      <c r="AB4" s="215"/>
      <c r="AC4" s="215"/>
      <c r="AD4" s="217"/>
      <c r="AE4" s="214"/>
      <c r="AF4" s="214"/>
      <c r="AG4" s="218"/>
      <c r="AH4" s="214"/>
      <c r="AI4" s="207"/>
      <c r="AJ4" s="219"/>
    </row>
    <row r="5" spans="1:36" ht="16.5" customHeight="1">
      <c r="A5" s="220">
        <v>43435</v>
      </c>
      <c r="B5" s="238">
        <v>42832155.160000019</v>
      </c>
      <c r="C5" s="238">
        <v>7921110.1200000001</v>
      </c>
      <c r="D5" s="239">
        <v>208155661.73000002</v>
      </c>
      <c r="E5" s="240">
        <v>6.5299999999999997E-2</v>
      </c>
      <c r="F5" s="240">
        <v>6.5299999999999997E-2</v>
      </c>
      <c r="G5" s="240">
        <v>2.3199999999999998E-2</v>
      </c>
      <c r="H5" s="239">
        <v>233078.31099566678</v>
      </c>
      <c r="I5" s="239">
        <v>43104.040903000001</v>
      </c>
      <c r="J5" s="239">
        <v>402434.27934466669</v>
      </c>
      <c r="K5" s="240">
        <v>4.6199999999999998E-2</v>
      </c>
      <c r="L5" s="240">
        <v>4.6199999999999998E-2</v>
      </c>
      <c r="M5" s="240">
        <v>2.2599999999999999E-2</v>
      </c>
      <c r="N5" s="239">
        <v>164903.79736600007</v>
      </c>
      <c r="O5" s="239">
        <v>30496.273961999996</v>
      </c>
      <c r="P5" s="239">
        <v>392026.49625816668</v>
      </c>
      <c r="Q5" s="239">
        <v>68174.513629666704</v>
      </c>
      <c r="R5" s="239">
        <v>12607.766941000005</v>
      </c>
      <c r="S5" s="239">
        <v>10407.783086500014</v>
      </c>
      <c r="T5" s="239">
        <v>7294155.7585217468</v>
      </c>
      <c r="U5" s="239">
        <v>1399952.956316001</v>
      </c>
      <c r="V5" s="239">
        <v>1459988.8314004987</v>
      </c>
      <c r="W5" s="241">
        <v>0.21</v>
      </c>
      <c r="X5" s="242">
        <v>-2132360.4847100317</v>
      </c>
      <c r="Y5" s="242">
        <v>-1280224.4467619362</v>
      </c>
      <c r="Z5" s="243">
        <v>0.12907930019431649</v>
      </c>
      <c r="AA5" s="243">
        <v>0.32745510276006462</v>
      </c>
      <c r="AB5" s="243">
        <v>0.81793400000000005</v>
      </c>
      <c r="AC5" s="243">
        <v>0.16605692838435593</v>
      </c>
      <c r="AD5" s="239">
        <v>1923346.517857899</v>
      </c>
      <c r="AE5" s="240">
        <v>8.7575585376438198E-2</v>
      </c>
      <c r="AF5" s="240">
        <v>2.6015585376438194E-2</v>
      </c>
      <c r="AG5" s="240">
        <v>0.18685630889672664</v>
      </c>
      <c r="AH5" s="244">
        <v>168438.19718313953</v>
      </c>
      <c r="AI5" s="244">
        <v>31473.739802860473</v>
      </c>
      <c r="AJ5" s="245">
        <v>179545.68739515002</v>
      </c>
    </row>
    <row r="6" spans="1:36" ht="16.5" customHeight="1">
      <c r="A6" s="221">
        <v>43466</v>
      </c>
      <c r="B6" s="239">
        <v>44215218.420000017</v>
      </c>
      <c r="C6" s="239">
        <v>7091434.3799999999</v>
      </c>
      <c r="D6" s="239">
        <v>208792310.36000004</v>
      </c>
      <c r="E6" s="240">
        <v>6.5299999999999997E-2</v>
      </c>
      <c r="F6" s="240">
        <v>6.5299999999999997E-2</v>
      </c>
      <c r="G6" s="240">
        <v>2.3199999999999998E-2</v>
      </c>
      <c r="H6" s="239">
        <f t="shared" ref="H6:H29" si="0">E6*B6/12</f>
        <v>240604.48023550006</v>
      </c>
      <c r="I6" s="239">
        <f t="shared" ref="I6:I10" si="1">F6*C6/12</f>
        <v>38589.222084499997</v>
      </c>
      <c r="J6" s="239">
        <f t="shared" ref="J6:J29" si="2">G6*D6/12</f>
        <v>403665.1333626667</v>
      </c>
      <c r="K6" s="240">
        <v>4.6199999999999998E-2</v>
      </c>
      <c r="L6" s="240">
        <v>4.6199999999999998E-2</v>
      </c>
      <c r="M6" s="240">
        <v>2.2599999999999999E-2</v>
      </c>
      <c r="N6" s="239">
        <f t="shared" ref="N6:N29" si="3">K6*B6/12</f>
        <v>170228.59091700005</v>
      </c>
      <c r="O6" s="239">
        <f t="shared" ref="O6:O29" si="4">L6*C6/12</f>
        <v>27302.022362999996</v>
      </c>
      <c r="P6" s="239">
        <f t="shared" ref="P6:P29" si="5">M6*D6/12</f>
        <v>393225.51784466673</v>
      </c>
      <c r="Q6" s="239">
        <f t="shared" ref="Q6:Q7" si="6">H6-N6</f>
        <v>70375.889318500005</v>
      </c>
      <c r="R6" s="239">
        <f t="shared" ref="R6:R29" si="7">I6-O6</f>
        <v>11287.199721500001</v>
      </c>
      <c r="S6" s="239">
        <f t="shared" ref="S6:S29" si="8">J6-P6</f>
        <v>10439.615517999977</v>
      </c>
      <c r="T6" s="239">
        <f t="shared" ref="T6:T29" si="9">T5+Q6</f>
        <v>7364531.6478402466</v>
      </c>
      <c r="U6" s="239">
        <f t="shared" ref="U6:U29" si="10">U5+R6</f>
        <v>1411240.1560375011</v>
      </c>
      <c r="V6" s="239">
        <f t="shared" ref="V6:V29" si="11">V5+S6</f>
        <v>1470428.4469184987</v>
      </c>
      <c r="W6" s="241">
        <v>0.21</v>
      </c>
      <c r="X6" s="242">
        <f t="shared" ref="X6:X17" si="12">SUM(T6:V6)*-W6</f>
        <v>-2151702.0526672117</v>
      </c>
      <c r="Y6" s="242">
        <f t="shared" ref="Y6:Y41" si="13">Y5</f>
        <v>-1280224.4467619362</v>
      </c>
      <c r="Z6" s="243">
        <v>0.12907930019431649</v>
      </c>
      <c r="AA6" s="243">
        <v>0.32745510276006462</v>
      </c>
      <c r="AB6" s="243">
        <v>0.81793400000000005</v>
      </c>
      <c r="AC6" s="243">
        <v>0.16605692838435593</v>
      </c>
      <c r="AD6" s="239">
        <v>1940379.2274966924</v>
      </c>
      <c r="AE6" s="240">
        <v>8.7575585376438198E-2</v>
      </c>
      <c r="AF6" s="240">
        <v>2.6015585376438194E-2</v>
      </c>
      <c r="AG6" s="240">
        <f t="shared" ref="AG6:AG17" si="14">(W6/(1-W6))*(1-AF6/AE6)</f>
        <v>0.18685630889672664</v>
      </c>
      <c r="AH6" s="244">
        <f t="shared" ref="AH6:AH7" si="15">AD6*AE6</f>
        <v>169929.84670030378</v>
      </c>
      <c r="AI6" s="244">
        <f t="shared" ref="AI6:AI17" si="16">AH6*AG6</f>
        <v>31752.463925805368</v>
      </c>
      <c r="AJ6" s="245"/>
    </row>
    <row r="7" spans="1:36" ht="16.5" customHeight="1">
      <c r="A7" s="221">
        <v>43497</v>
      </c>
      <c r="B7" s="239">
        <v>44278024.780000016</v>
      </c>
      <c r="C7" s="239">
        <v>7091434.3799999999</v>
      </c>
      <c r="D7" s="239">
        <v>208580676.04000002</v>
      </c>
      <c r="E7" s="240">
        <v>6.5299999999999997E-2</v>
      </c>
      <c r="F7" s="240">
        <v>6.5299999999999997E-2</v>
      </c>
      <c r="G7" s="240">
        <v>2.3199999999999998E-2</v>
      </c>
      <c r="H7" s="239">
        <f t="shared" si="0"/>
        <v>240946.25151116672</v>
      </c>
      <c r="I7" s="239">
        <f t="shared" si="1"/>
        <v>38589.222084499997</v>
      </c>
      <c r="J7" s="239">
        <f t="shared" si="2"/>
        <v>403255.97367733339</v>
      </c>
      <c r="K7" s="240">
        <v>4.6199999999999998E-2</v>
      </c>
      <c r="L7" s="240">
        <v>4.6199999999999998E-2</v>
      </c>
      <c r="M7" s="240">
        <v>2.2599999999999999E-2</v>
      </c>
      <c r="N7" s="239">
        <f t="shared" si="3"/>
        <v>170470.39540300006</v>
      </c>
      <c r="O7" s="239">
        <f t="shared" si="4"/>
        <v>27302.022362999996</v>
      </c>
      <c r="P7" s="239">
        <f t="shared" si="5"/>
        <v>392826.93987533334</v>
      </c>
      <c r="Q7" s="239">
        <f t="shared" si="6"/>
        <v>70475.856108166656</v>
      </c>
      <c r="R7" s="239">
        <f t="shared" si="7"/>
        <v>11287.199721500001</v>
      </c>
      <c r="S7" s="239">
        <f t="shared" si="8"/>
        <v>10429.033802000049</v>
      </c>
      <c r="T7" s="239">
        <f t="shared" si="9"/>
        <v>7435007.5039484128</v>
      </c>
      <c r="U7" s="239">
        <f t="shared" si="10"/>
        <v>1422527.3557590011</v>
      </c>
      <c r="V7" s="239">
        <f t="shared" si="11"/>
        <v>1480857.4807204988</v>
      </c>
      <c r="W7" s="241">
        <v>0.21</v>
      </c>
      <c r="X7" s="242">
        <f t="shared" si="12"/>
        <v>-2171062.3914898615</v>
      </c>
      <c r="Y7" s="242">
        <f t="shared" si="13"/>
        <v>-1280224.4467619362</v>
      </c>
      <c r="Z7" s="243">
        <v>0.12907930019431649</v>
      </c>
      <c r="AA7" s="243">
        <v>0.32745510276006462</v>
      </c>
      <c r="AB7" s="243">
        <v>0.81793400000000005</v>
      </c>
      <c r="AC7" s="243">
        <v>0.16605692838435593</v>
      </c>
      <c r="AD7" s="239">
        <v>1957556.6902290343</v>
      </c>
      <c r="AE7" s="240">
        <v>8.7575585376438198E-2</v>
      </c>
      <c r="AF7" s="240">
        <v>2.6015585376438194E-2</v>
      </c>
      <c r="AG7" s="240">
        <f t="shared" si="14"/>
        <v>0.18685630889672664</v>
      </c>
      <c r="AH7" s="244">
        <f t="shared" si="15"/>
        <v>171434.17305437056</v>
      </c>
      <c r="AI7" s="244">
        <f t="shared" si="16"/>
        <v>32033.556795702356</v>
      </c>
      <c r="AJ7" s="245"/>
    </row>
    <row r="8" spans="1:36" ht="16.5" customHeight="1">
      <c r="A8" s="221">
        <v>43525</v>
      </c>
      <c r="B8" s="239">
        <v>47445114.260000005</v>
      </c>
      <c r="C8" s="239">
        <v>7091434.3799999999</v>
      </c>
      <c r="D8" s="239">
        <v>208102410.56</v>
      </c>
      <c r="E8" s="240">
        <v>6.5299999999999997E-2</v>
      </c>
      <c r="F8" s="240">
        <v>6.5299999999999997E-2</v>
      </c>
      <c r="G8" s="240">
        <v>2.3199999999999998E-2</v>
      </c>
      <c r="H8" s="239">
        <f t="shared" si="0"/>
        <v>258180.49676483334</v>
      </c>
      <c r="I8" s="239">
        <f t="shared" si="1"/>
        <v>38589.222084499997</v>
      </c>
      <c r="J8" s="239">
        <f t="shared" si="2"/>
        <v>402331.32708266663</v>
      </c>
      <c r="K8" s="240">
        <v>4.6199999999999998E-2</v>
      </c>
      <c r="L8" s="240">
        <v>4.6199999999999998E-2</v>
      </c>
      <c r="M8" s="240">
        <v>2.2599999999999999E-2</v>
      </c>
      <c r="N8" s="239">
        <f t="shared" si="3"/>
        <v>182663.68990100001</v>
      </c>
      <c r="O8" s="239">
        <f t="shared" si="4"/>
        <v>27302.022362999996</v>
      </c>
      <c r="P8" s="239">
        <f t="shared" si="5"/>
        <v>391926.20655466663</v>
      </c>
      <c r="Q8" s="239">
        <f>H8-N8</f>
        <v>75516.806863833335</v>
      </c>
      <c r="R8" s="239">
        <f t="shared" si="7"/>
        <v>11287.199721500001</v>
      </c>
      <c r="S8" s="239">
        <f t="shared" si="8"/>
        <v>10405.120527999999</v>
      </c>
      <c r="T8" s="239">
        <f t="shared" si="9"/>
        <v>7510524.3108122461</v>
      </c>
      <c r="U8" s="239">
        <f t="shared" si="10"/>
        <v>1433814.5554805011</v>
      </c>
      <c r="V8" s="239">
        <f t="shared" si="11"/>
        <v>1491262.6012484988</v>
      </c>
      <c r="W8" s="241">
        <v>0.21</v>
      </c>
      <c r="X8" s="242">
        <f t="shared" si="12"/>
        <v>-2191476.3081836617</v>
      </c>
      <c r="Y8" s="242">
        <f t="shared" si="13"/>
        <v>-1280224.4467619362</v>
      </c>
      <c r="Z8" s="243">
        <v>0.12907930019431649</v>
      </c>
      <c r="AA8" s="243">
        <v>0.32745510276006462</v>
      </c>
      <c r="AB8" s="243">
        <v>0.81793400000000005</v>
      </c>
      <c r="AC8" s="243">
        <v>0.16605692838435593</v>
      </c>
      <c r="AD8" s="239">
        <v>1974842.4782830752</v>
      </c>
      <c r="AE8" s="240">
        <v>8.7575585376438198E-2</v>
      </c>
      <c r="AF8" s="240">
        <v>2.6015585376438194E-2</v>
      </c>
      <c r="AG8" s="240">
        <f t="shared" si="14"/>
        <v>0.18685630889672664</v>
      </c>
      <c r="AH8" s="244">
        <f>AD8*AE8</f>
        <v>172947.98606189626</v>
      </c>
      <c r="AI8" s="244">
        <f t="shared" si="16"/>
        <v>32316.422306648459</v>
      </c>
      <c r="AJ8" s="245"/>
    </row>
    <row r="9" spans="1:36" ht="16.5" customHeight="1">
      <c r="A9" s="221">
        <v>43556</v>
      </c>
      <c r="B9" s="239">
        <v>47900015.289999992</v>
      </c>
      <c r="C9" s="239">
        <v>7092922.6699999999</v>
      </c>
      <c r="D9" s="239">
        <v>207952411.41000003</v>
      </c>
      <c r="E9" s="240">
        <v>6.5299999999999997E-2</v>
      </c>
      <c r="F9" s="240">
        <v>6.5299999999999997E-2</v>
      </c>
      <c r="G9" s="240">
        <v>2.3199999999999998E-2</v>
      </c>
      <c r="H9" s="239">
        <f t="shared" si="0"/>
        <v>260655.91653641663</v>
      </c>
      <c r="I9" s="239">
        <f t="shared" si="1"/>
        <v>38597.320862583329</v>
      </c>
      <c r="J9" s="239">
        <f t="shared" si="2"/>
        <v>402041.32872599998</v>
      </c>
      <c r="K9" s="240">
        <v>4.6199999999999998E-2</v>
      </c>
      <c r="L9" s="240">
        <v>4.6199999999999998E-2</v>
      </c>
      <c r="M9" s="240">
        <v>2.2599999999999999E-2</v>
      </c>
      <c r="N9" s="239">
        <f t="shared" si="3"/>
        <v>184415.05886649995</v>
      </c>
      <c r="O9" s="239">
        <f t="shared" si="4"/>
        <v>27307.752279499997</v>
      </c>
      <c r="P9" s="239">
        <f t="shared" si="5"/>
        <v>391643.7081555</v>
      </c>
      <c r="Q9" s="239">
        <f t="shared" ref="Q9:Q29" si="17">H9-N9</f>
        <v>76240.857669916673</v>
      </c>
      <c r="R9" s="239">
        <f t="shared" si="7"/>
        <v>11289.568583083332</v>
      </c>
      <c r="S9" s="239">
        <f t="shared" si="8"/>
        <v>10397.620570499974</v>
      </c>
      <c r="T9" s="239">
        <f t="shared" si="9"/>
        <v>7586765.168482163</v>
      </c>
      <c r="U9" s="239">
        <f t="shared" si="10"/>
        <v>1445104.1240635845</v>
      </c>
      <c r="V9" s="239">
        <f t="shared" si="11"/>
        <v>1501660.2218189987</v>
      </c>
      <c r="W9" s="241">
        <v>0.21</v>
      </c>
      <c r="X9" s="242">
        <f t="shared" si="12"/>
        <v>-2212041.1980165965</v>
      </c>
      <c r="Y9" s="242">
        <f t="shared" si="13"/>
        <v>-1280224.4467619362</v>
      </c>
      <c r="Z9" s="243">
        <v>0.12907930019431649</v>
      </c>
      <c r="AA9" s="243">
        <v>0.32745510276006462</v>
      </c>
      <c r="AB9" s="243">
        <v>0.81793400000000005</v>
      </c>
      <c r="AC9" s="243">
        <v>0.16605692838435593</v>
      </c>
      <c r="AD9" s="239">
        <v>1992315.731349044</v>
      </c>
      <c r="AE9" s="240">
        <v>8.7575585376438198E-2</v>
      </c>
      <c r="AF9" s="240">
        <v>2.6015585376438194E-2</v>
      </c>
      <c r="AG9" s="240">
        <f t="shared" si="14"/>
        <v>0.18685630889672664</v>
      </c>
      <c r="AH9" s="244">
        <f t="shared" ref="AH9:AH17" si="18">AD9*AE9</f>
        <v>174478.21642757911</v>
      </c>
      <c r="AI9" s="244">
        <f t="shared" si="16"/>
        <v>32602.355504541647</v>
      </c>
      <c r="AJ9" s="245"/>
    </row>
    <row r="10" spans="1:36" ht="16.5" customHeight="1">
      <c r="A10" s="221">
        <v>43586</v>
      </c>
      <c r="B10" s="239">
        <v>48182651.5</v>
      </c>
      <c r="C10" s="239">
        <v>7092922.6699999999</v>
      </c>
      <c r="D10" s="239">
        <v>207384866.53000003</v>
      </c>
      <c r="E10" s="240">
        <v>6.5299999999999997E-2</v>
      </c>
      <c r="F10" s="240">
        <v>6.5299999999999997E-2</v>
      </c>
      <c r="G10" s="240">
        <v>2.3199999999999998E-2</v>
      </c>
      <c r="H10" s="239">
        <f t="shared" si="0"/>
        <v>262193.92857916665</v>
      </c>
      <c r="I10" s="239">
        <f t="shared" si="1"/>
        <v>38597.320862583329</v>
      </c>
      <c r="J10" s="239">
        <f t="shared" si="2"/>
        <v>400944.07529133331</v>
      </c>
      <c r="K10" s="240">
        <v>4.6199999999999998E-2</v>
      </c>
      <c r="L10" s="240">
        <v>4.6199999999999998E-2</v>
      </c>
      <c r="M10" s="240">
        <v>2.2599999999999999E-2</v>
      </c>
      <c r="N10" s="239">
        <f t="shared" si="3"/>
        <v>185503.20827499998</v>
      </c>
      <c r="O10" s="239">
        <f t="shared" si="4"/>
        <v>27307.752279499997</v>
      </c>
      <c r="P10" s="239">
        <f t="shared" si="5"/>
        <v>390574.83196483337</v>
      </c>
      <c r="Q10" s="239">
        <f t="shared" si="17"/>
        <v>76690.720304166665</v>
      </c>
      <c r="R10" s="239">
        <f t="shared" si="7"/>
        <v>11289.568583083332</v>
      </c>
      <c r="S10" s="239">
        <f t="shared" si="8"/>
        <v>10369.243326499942</v>
      </c>
      <c r="T10" s="239">
        <f t="shared" si="9"/>
        <v>7663455.8887863299</v>
      </c>
      <c r="U10" s="239">
        <f t="shared" si="10"/>
        <v>1456393.6926466678</v>
      </c>
      <c r="V10" s="239">
        <f t="shared" si="11"/>
        <v>1512029.4651454985</v>
      </c>
      <c r="W10" s="241">
        <v>0.21</v>
      </c>
      <c r="X10" s="242">
        <f t="shared" si="12"/>
        <v>-2232694.5997814843</v>
      </c>
      <c r="Y10" s="242">
        <f t="shared" si="13"/>
        <v>-1280224.4467619362</v>
      </c>
      <c r="Z10" s="243">
        <v>0.12907930019431649</v>
      </c>
      <c r="AA10" s="243">
        <v>0.32745510276006462</v>
      </c>
      <c r="AB10" s="243">
        <v>0.81793400000000005</v>
      </c>
      <c r="AC10" s="243">
        <v>0.16605692838435593</v>
      </c>
      <c r="AD10" s="239">
        <v>2009983.219018897</v>
      </c>
      <c r="AE10" s="240">
        <v>8.7575585376438198E-2</v>
      </c>
      <c r="AF10" s="240">
        <v>2.6015585376438194E-2</v>
      </c>
      <c r="AG10" s="240">
        <f t="shared" si="14"/>
        <v>0.18685630889672664</v>
      </c>
      <c r="AH10" s="244">
        <f t="shared" si="18"/>
        <v>176025.45700239748</v>
      </c>
      <c r="AI10" s="244">
        <f t="shared" si="16"/>
        <v>32891.467167327457</v>
      </c>
      <c r="AJ10" s="245"/>
    </row>
    <row r="11" spans="1:36" ht="16.5" customHeight="1">
      <c r="A11" s="221">
        <v>43617</v>
      </c>
      <c r="B11" s="239">
        <v>48576086.680000007</v>
      </c>
      <c r="C11" s="239">
        <v>7047245.4699999997</v>
      </c>
      <c r="D11" s="239">
        <v>207111383.66000003</v>
      </c>
      <c r="E11" s="240">
        <v>6.5299999999999997E-2</v>
      </c>
      <c r="F11" s="240">
        <v>6.5299999999999997E-2</v>
      </c>
      <c r="G11" s="240">
        <v>2.3199999999999998E-2</v>
      </c>
      <c r="H11" s="239">
        <f t="shared" si="0"/>
        <v>264334.87168366666</v>
      </c>
      <c r="I11" s="239">
        <f>F11*C11/12</f>
        <v>38348.760765916661</v>
      </c>
      <c r="J11" s="239">
        <f t="shared" si="2"/>
        <v>400415.34174266667</v>
      </c>
      <c r="K11" s="240">
        <v>4.6199999999999998E-2</v>
      </c>
      <c r="L11" s="240">
        <v>4.6199999999999998E-2</v>
      </c>
      <c r="M11" s="240">
        <v>2.2599999999999999E-2</v>
      </c>
      <c r="N11" s="239">
        <f t="shared" si="3"/>
        <v>187017.93371800004</v>
      </c>
      <c r="O11" s="239">
        <f t="shared" si="4"/>
        <v>27131.895059499995</v>
      </c>
      <c r="P11" s="239">
        <f t="shared" si="5"/>
        <v>390059.77255966672</v>
      </c>
      <c r="Q11" s="239">
        <f t="shared" si="17"/>
        <v>77316.937965666613</v>
      </c>
      <c r="R11" s="239">
        <f t="shared" si="7"/>
        <v>11216.865706416665</v>
      </c>
      <c r="S11" s="239">
        <f t="shared" si="8"/>
        <v>10355.569182999956</v>
      </c>
      <c r="T11" s="239">
        <f t="shared" si="9"/>
        <v>7740772.8267519968</v>
      </c>
      <c r="U11" s="239">
        <f t="shared" si="10"/>
        <v>1467610.5583530846</v>
      </c>
      <c r="V11" s="239">
        <f t="shared" si="11"/>
        <v>1522385.0343284984</v>
      </c>
      <c r="W11" s="241">
        <v>0.21</v>
      </c>
      <c r="X11" s="242">
        <f t="shared" si="12"/>
        <v>-2253461.3680810514</v>
      </c>
      <c r="Y11" s="242">
        <f t="shared" si="13"/>
        <v>-1280224.4467619362</v>
      </c>
      <c r="Z11" s="243">
        <v>0.12907930019431649</v>
      </c>
      <c r="AA11" s="243">
        <v>0.32745510276006462</v>
      </c>
      <c r="AB11" s="243">
        <v>0.81793400000000005</v>
      </c>
      <c r="AC11" s="243">
        <v>0.16605692838435593</v>
      </c>
      <c r="AD11" s="239">
        <v>2027853.4765341962</v>
      </c>
      <c r="AE11" s="240">
        <v>8.7575585376438198E-2</v>
      </c>
      <c r="AF11" s="240">
        <v>2.6015585376438194E-2</v>
      </c>
      <c r="AG11" s="240">
        <f t="shared" si="14"/>
        <v>0.18685630889672664</v>
      </c>
      <c r="AH11" s="244">
        <f t="shared" si="18"/>
        <v>177590.4552651275</v>
      </c>
      <c r="AI11" s="244">
        <f t="shared" si="16"/>
        <v>33183.896966130975</v>
      </c>
      <c r="AJ11" s="245"/>
    </row>
    <row r="12" spans="1:36" ht="16.5" customHeight="1">
      <c r="A12" s="221">
        <v>43647</v>
      </c>
      <c r="B12" s="239">
        <v>48610688.370000005</v>
      </c>
      <c r="C12" s="239">
        <v>7047245.4699999997</v>
      </c>
      <c r="D12" s="239">
        <v>207020992.92999998</v>
      </c>
      <c r="E12" s="240">
        <v>6.5299999999999997E-2</v>
      </c>
      <c r="F12" s="240">
        <v>6.5299999999999997E-2</v>
      </c>
      <c r="G12" s="240">
        <v>2.3199999999999998E-2</v>
      </c>
      <c r="H12" s="239">
        <f t="shared" si="0"/>
        <v>264523.16254674998</v>
      </c>
      <c r="I12" s="239">
        <f t="shared" ref="I12:I29" si="19">F12*C12/12</f>
        <v>38348.760765916661</v>
      </c>
      <c r="J12" s="239">
        <f t="shared" si="2"/>
        <v>400240.58633133327</v>
      </c>
      <c r="K12" s="240">
        <v>4.6199999999999998E-2</v>
      </c>
      <c r="L12" s="240">
        <v>4.6199999999999998E-2</v>
      </c>
      <c r="M12" s="240">
        <v>2.2599999999999999E-2</v>
      </c>
      <c r="N12" s="239">
        <f t="shared" si="3"/>
        <v>187151.15022450002</v>
      </c>
      <c r="O12" s="239">
        <f t="shared" si="4"/>
        <v>27131.895059499995</v>
      </c>
      <c r="P12" s="239">
        <f t="shared" si="5"/>
        <v>389889.53668483323</v>
      </c>
      <c r="Q12" s="239">
        <f t="shared" si="17"/>
        <v>77372.012322249968</v>
      </c>
      <c r="R12" s="239">
        <f t="shared" si="7"/>
        <v>11216.865706416665</v>
      </c>
      <c r="S12" s="239">
        <f t="shared" si="8"/>
        <v>10351.049646500032</v>
      </c>
      <c r="T12" s="239">
        <f t="shared" si="9"/>
        <v>7818144.8390742466</v>
      </c>
      <c r="U12" s="239">
        <f t="shared" si="10"/>
        <v>1478827.4240595014</v>
      </c>
      <c r="V12" s="239">
        <f t="shared" si="11"/>
        <v>1532736.0839749984</v>
      </c>
      <c r="W12" s="241">
        <v>0.21</v>
      </c>
      <c r="X12" s="242">
        <f t="shared" si="12"/>
        <v>-2274238.7528928365</v>
      </c>
      <c r="Y12" s="242">
        <f t="shared" si="13"/>
        <v>-1280224.4467619362</v>
      </c>
      <c r="Z12" s="243">
        <v>0.12907930019431649</v>
      </c>
      <c r="AA12" s="243">
        <v>0.32745510276006462</v>
      </c>
      <c r="AB12" s="243">
        <v>0.81793400000000005</v>
      </c>
      <c r="AC12" s="243">
        <v>0.16605692838435593</v>
      </c>
      <c r="AD12" s="239">
        <v>2045913.7831860054</v>
      </c>
      <c r="AE12" s="240">
        <v>8.7575585376438198E-2</v>
      </c>
      <c r="AF12" s="240">
        <v>2.6015585376438194E-2</v>
      </c>
      <c r="AG12" s="240">
        <f t="shared" si="14"/>
        <v>0.18685630889672664</v>
      </c>
      <c r="AH12" s="244">
        <f t="shared" si="18"/>
        <v>179172.09719223768</v>
      </c>
      <c r="AI12" s="244">
        <f t="shared" si="16"/>
        <v>33479.43673862709</v>
      </c>
      <c r="AJ12" s="245"/>
    </row>
    <row r="13" spans="1:36" ht="16.5" customHeight="1">
      <c r="A13" s="221">
        <v>43678</v>
      </c>
      <c r="B13" s="239">
        <v>48751258.329999998</v>
      </c>
      <c r="C13" s="239">
        <v>7047245.4699999997</v>
      </c>
      <c r="D13" s="239">
        <v>206977274.62000003</v>
      </c>
      <c r="E13" s="240">
        <v>6.5299999999999997E-2</v>
      </c>
      <c r="F13" s="240">
        <v>6.5299999999999997E-2</v>
      </c>
      <c r="G13" s="240">
        <v>2.3199999999999998E-2</v>
      </c>
      <c r="H13" s="239">
        <f t="shared" si="0"/>
        <v>265288.09741241665</v>
      </c>
      <c r="I13" s="239">
        <f t="shared" si="19"/>
        <v>38348.760765916661</v>
      </c>
      <c r="J13" s="239">
        <f t="shared" si="2"/>
        <v>400156.06426533335</v>
      </c>
      <c r="K13" s="240">
        <v>4.6199999999999998E-2</v>
      </c>
      <c r="L13" s="240">
        <v>4.6199999999999998E-2</v>
      </c>
      <c r="M13" s="240">
        <v>2.2599999999999999E-2</v>
      </c>
      <c r="N13" s="239">
        <f t="shared" si="3"/>
        <v>187692.34457049999</v>
      </c>
      <c r="O13" s="239">
        <f t="shared" si="4"/>
        <v>27131.895059499995</v>
      </c>
      <c r="P13" s="239">
        <f t="shared" si="5"/>
        <v>389807.20053433342</v>
      </c>
      <c r="Q13" s="239">
        <f t="shared" si="17"/>
        <v>77595.752841916663</v>
      </c>
      <c r="R13" s="239">
        <f t="shared" si="7"/>
        <v>11216.865706416665</v>
      </c>
      <c r="S13" s="239">
        <f t="shared" si="8"/>
        <v>10348.863730999932</v>
      </c>
      <c r="T13" s="239">
        <f t="shared" si="9"/>
        <v>7895740.5919161635</v>
      </c>
      <c r="U13" s="239">
        <f t="shared" si="10"/>
        <v>1490044.2897659182</v>
      </c>
      <c r="V13" s="239">
        <f t="shared" si="11"/>
        <v>1543084.9477059983</v>
      </c>
      <c r="W13" s="241">
        <v>0.21</v>
      </c>
      <c r="X13" s="242">
        <f t="shared" si="12"/>
        <v>-2295062.6641714969</v>
      </c>
      <c r="Y13" s="242">
        <f t="shared" si="13"/>
        <v>-1280224.4467619362</v>
      </c>
      <c r="Z13" s="243">
        <v>0.12907930019431649</v>
      </c>
      <c r="AA13" s="243">
        <v>0.32745510276006462</v>
      </c>
      <c r="AB13" s="243">
        <v>0.81793400000000005</v>
      </c>
      <c r="AC13" s="243">
        <v>0.16605692838435593</v>
      </c>
      <c r="AD13" s="239">
        <v>2064115.7974963603</v>
      </c>
      <c r="AE13" s="240">
        <v>8.7575585376438198E-2</v>
      </c>
      <c r="AF13" s="240">
        <v>2.6015585376438194E-2</v>
      </c>
      <c r="AG13" s="240">
        <f t="shared" si="14"/>
        <v>0.18685630889672664</v>
      </c>
      <c r="AH13" s="244">
        <f t="shared" si="18"/>
        <v>180766.14925049731</v>
      </c>
      <c r="AI13" s="244">
        <f t="shared" si="16"/>
        <v>33777.295422422714</v>
      </c>
      <c r="AJ13" s="245"/>
    </row>
    <row r="14" spans="1:36" ht="16.5" customHeight="1">
      <c r="A14" s="221">
        <v>43709</v>
      </c>
      <c r="B14" s="239">
        <v>47208362.640000015</v>
      </c>
      <c r="C14" s="239">
        <v>6807536.1899999995</v>
      </c>
      <c r="D14" s="239">
        <v>232268214.65000004</v>
      </c>
      <c r="E14" s="240">
        <v>6.5299999999999997E-2</v>
      </c>
      <c r="F14" s="240">
        <v>6.5299999999999997E-2</v>
      </c>
      <c r="G14" s="240">
        <v>2.3199999999999998E-2</v>
      </c>
      <c r="H14" s="239">
        <f t="shared" si="0"/>
        <v>256892.17336600006</v>
      </c>
      <c r="I14" s="239">
        <f t="shared" si="19"/>
        <v>37044.342767249997</v>
      </c>
      <c r="J14" s="239">
        <f t="shared" si="2"/>
        <v>449051.88165666669</v>
      </c>
      <c r="K14" s="240">
        <v>4.6199999999999998E-2</v>
      </c>
      <c r="L14" s="240">
        <v>4.6199999999999998E-2</v>
      </c>
      <c r="M14" s="240">
        <v>2.2599999999999999E-2</v>
      </c>
      <c r="N14" s="239">
        <f t="shared" si="3"/>
        <v>181752.19616400005</v>
      </c>
      <c r="O14" s="239">
        <f t="shared" si="4"/>
        <v>26209.014331499999</v>
      </c>
      <c r="P14" s="239">
        <f t="shared" si="5"/>
        <v>437438.47092416673</v>
      </c>
      <c r="Q14" s="239">
        <f t="shared" si="17"/>
        <v>75139.977202000009</v>
      </c>
      <c r="R14" s="239">
        <f t="shared" si="7"/>
        <v>10835.328435749998</v>
      </c>
      <c r="S14" s="239">
        <f t="shared" si="8"/>
        <v>11613.410732499964</v>
      </c>
      <c r="T14" s="239">
        <f t="shared" si="9"/>
        <v>7970880.5691181635</v>
      </c>
      <c r="U14" s="239">
        <f t="shared" si="10"/>
        <v>1500879.6182016681</v>
      </c>
      <c r="V14" s="239">
        <f t="shared" si="11"/>
        <v>1554698.3584384983</v>
      </c>
      <c r="W14" s="241">
        <v>0.21</v>
      </c>
      <c r="X14" s="242">
        <f t="shared" si="12"/>
        <v>-2315556.2946092491</v>
      </c>
      <c r="Y14" s="242">
        <f t="shared" si="13"/>
        <v>-1280224.4467619362</v>
      </c>
      <c r="Z14" s="243">
        <v>0.12907930019431649</v>
      </c>
      <c r="AA14" s="243">
        <v>0.32745510276006462</v>
      </c>
      <c r="AB14" s="243">
        <v>0.81793400000000005</v>
      </c>
      <c r="AC14" s="243">
        <v>0.16605692838435593</v>
      </c>
      <c r="AD14" s="239">
        <v>2082533.1223714731</v>
      </c>
      <c r="AE14" s="240">
        <v>8.7575585376438198E-2</v>
      </c>
      <c r="AF14" s="240">
        <v>2.6015585376438194E-2</v>
      </c>
      <c r="AG14" s="240">
        <f t="shared" si="14"/>
        <v>0.18685630889672664</v>
      </c>
      <c r="AH14" s="244">
        <f t="shared" si="18"/>
        <v>182379.05725750336</v>
      </c>
      <c r="AI14" s="244">
        <f t="shared" si="16"/>
        <v>34078.677459201841</v>
      </c>
      <c r="AJ14" s="245"/>
    </row>
    <row r="15" spans="1:36" ht="16.5" customHeight="1">
      <c r="A15" s="221">
        <v>43739</v>
      </c>
      <c r="B15" s="239">
        <v>49960086.49000001</v>
      </c>
      <c r="C15" s="239">
        <v>6807536.1899999995</v>
      </c>
      <c r="D15" s="239">
        <v>231929736.52000001</v>
      </c>
      <c r="E15" s="240">
        <v>6.5299999999999997E-2</v>
      </c>
      <c r="F15" s="240">
        <v>6.5299999999999997E-2</v>
      </c>
      <c r="G15" s="240">
        <v>2.3199999999999998E-2</v>
      </c>
      <c r="H15" s="239">
        <f t="shared" si="0"/>
        <v>271866.13731641672</v>
      </c>
      <c r="I15" s="239">
        <f t="shared" si="19"/>
        <v>37044.342767249997</v>
      </c>
      <c r="J15" s="239">
        <f t="shared" si="2"/>
        <v>448397.49060533335</v>
      </c>
      <c r="K15" s="240">
        <v>4.6199999999999998E-2</v>
      </c>
      <c r="L15" s="240">
        <v>4.6199999999999998E-2</v>
      </c>
      <c r="M15" s="240">
        <v>2.2599999999999999E-2</v>
      </c>
      <c r="N15" s="239">
        <f t="shared" si="3"/>
        <v>192346.33298650003</v>
      </c>
      <c r="O15" s="239">
        <f t="shared" si="4"/>
        <v>26209.014331499999</v>
      </c>
      <c r="P15" s="239">
        <f t="shared" si="5"/>
        <v>436801.00377933332</v>
      </c>
      <c r="Q15" s="239">
        <f t="shared" si="17"/>
        <v>79519.804329916689</v>
      </c>
      <c r="R15" s="239">
        <f t="shared" si="7"/>
        <v>10835.328435749998</v>
      </c>
      <c r="S15" s="239">
        <f t="shared" si="8"/>
        <v>11596.486826000037</v>
      </c>
      <c r="T15" s="239">
        <f t="shared" si="9"/>
        <v>8050400.3734480804</v>
      </c>
      <c r="U15" s="239">
        <f t="shared" si="10"/>
        <v>1511714.9466374181</v>
      </c>
      <c r="V15" s="239">
        <f t="shared" si="11"/>
        <v>1566294.8452644984</v>
      </c>
      <c r="W15" s="241">
        <v>0.21</v>
      </c>
      <c r="X15" s="242">
        <f t="shared" si="12"/>
        <v>-2336966.1347234994</v>
      </c>
      <c r="Y15" s="242">
        <f t="shared" si="13"/>
        <v>-1280224.4467619362</v>
      </c>
      <c r="Z15" s="243">
        <v>0.12907930019431649</v>
      </c>
      <c r="AA15" s="243">
        <v>0.32745510276006462</v>
      </c>
      <c r="AB15" s="243">
        <v>0.81793400000000005</v>
      </c>
      <c r="AC15" s="243">
        <v>0.16605692838435593</v>
      </c>
      <c r="AD15" s="239">
        <v>2101099.9184373757</v>
      </c>
      <c r="AE15" s="240">
        <v>8.7575585376438198E-2</v>
      </c>
      <c r="AF15" s="240">
        <v>2.6015585376438194E-2</v>
      </c>
      <c r="AG15" s="240">
        <f t="shared" si="14"/>
        <v>0.18685630889672664</v>
      </c>
      <c r="AH15" s="244">
        <f t="shared" si="18"/>
        <v>184005.05529153973</v>
      </c>
      <c r="AI15" s="244">
        <f t="shared" si="16"/>
        <v>34382.505450115212</v>
      </c>
      <c r="AJ15" s="245"/>
    </row>
    <row r="16" spans="1:36" ht="16.5" customHeight="1">
      <c r="A16" s="221">
        <v>43770</v>
      </c>
      <c r="B16" s="239">
        <v>49805571.390000001</v>
      </c>
      <c r="C16" s="239">
        <v>7022058.3399999999</v>
      </c>
      <c r="D16" s="239">
        <v>234771081.79000002</v>
      </c>
      <c r="E16" s="240">
        <v>6.5299999999999997E-2</v>
      </c>
      <c r="F16" s="240">
        <v>6.5299999999999997E-2</v>
      </c>
      <c r="G16" s="240">
        <v>2.3199999999999998E-2</v>
      </c>
      <c r="H16" s="239">
        <f t="shared" si="0"/>
        <v>271025.31764724996</v>
      </c>
      <c r="I16" s="239">
        <f t="shared" si="19"/>
        <v>38211.700800166662</v>
      </c>
      <c r="J16" s="239">
        <f t="shared" si="2"/>
        <v>453890.75812733336</v>
      </c>
      <c r="K16" s="240">
        <v>4.6199999999999998E-2</v>
      </c>
      <c r="L16" s="240">
        <v>4.6199999999999998E-2</v>
      </c>
      <c r="M16" s="240">
        <v>2.2599999999999999E-2</v>
      </c>
      <c r="N16" s="239">
        <f t="shared" si="3"/>
        <v>191751.44985149999</v>
      </c>
      <c r="O16" s="239">
        <f t="shared" si="4"/>
        <v>27034.924608999998</v>
      </c>
      <c r="P16" s="239">
        <f t="shared" si="5"/>
        <v>442152.20403783332</v>
      </c>
      <c r="Q16" s="239">
        <f t="shared" si="17"/>
        <v>79273.867795749975</v>
      </c>
      <c r="R16" s="239">
        <f t="shared" si="7"/>
        <v>11176.776191166664</v>
      </c>
      <c r="S16" s="239">
        <f t="shared" si="8"/>
        <v>11738.554089500045</v>
      </c>
      <c r="T16" s="239">
        <f t="shared" si="9"/>
        <v>8129674.24124383</v>
      </c>
      <c r="U16" s="239">
        <f t="shared" si="10"/>
        <v>1522891.7228285847</v>
      </c>
      <c r="V16" s="239">
        <f t="shared" si="11"/>
        <v>1578033.3993539985</v>
      </c>
      <c r="W16" s="241">
        <v>0.21</v>
      </c>
      <c r="X16" s="271">
        <f t="shared" si="12"/>
        <v>-2358425.8663195465</v>
      </c>
      <c r="Y16" s="271">
        <f t="shared" si="13"/>
        <v>-1280224.4467619362</v>
      </c>
      <c r="Z16" s="266">
        <v>0.12907930019431649</v>
      </c>
      <c r="AA16" s="266">
        <v>0.32745510276006462</v>
      </c>
      <c r="AB16" s="266">
        <v>0.81793400000000005</v>
      </c>
      <c r="AC16" s="266">
        <v>0.16605692838435593</v>
      </c>
      <c r="AD16" s="272">
        <v>2119879.5929400455</v>
      </c>
      <c r="AE16" s="240">
        <v>8.7575585376438198E-2</v>
      </c>
      <c r="AF16" s="240">
        <v>2.6015585376438194E-2</v>
      </c>
      <c r="AG16" s="240">
        <f t="shared" si="14"/>
        <v>0.18685630889672664</v>
      </c>
      <c r="AH16" s="244">
        <f t="shared" si="18"/>
        <v>185649.69627929002</v>
      </c>
      <c r="AI16" s="244">
        <f t="shared" si="16"/>
        <v>34689.816994546498</v>
      </c>
      <c r="AJ16" s="245"/>
    </row>
    <row r="17" spans="1:36">
      <c r="A17" s="221">
        <v>43800</v>
      </c>
      <c r="B17" s="239">
        <v>51072235.319999993</v>
      </c>
      <c r="C17" s="239">
        <v>7022205.6799999997</v>
      </c>
      <c r="D17" s="239">
        <v>235135831.94</v>
      </c>
      <c r="E17" s="240">
        <v>6.5299999999999997E-2</v>
      </c>
      <c r="F17" s="240">
        <v>6.5299999999999997E-2</v>
      </c>
      <c r="G17" s="240">
        <v>2.3199999999999998E-2</v>
      </c>
      <c r="H17" s="239">
        <f t="shared" si="0"/>
        <v>277918.08053299994</v>
      </c>
      <c r="I17" s="239">
        <f t="shared" si="19"/>
        <v>38212.502575333332</v>
      </c>
      <c r="J17" s="239">
        <f t="shared" si="2"/>
        <v>454595.94175066659</v>
      </c>
      <c r="K17" s="240">
        <v>4.6199999999999998E-2</v>
      </c>
      <c r="L17" s="240">
        <v>4.6199999999999998E-2</v>
      </c>
      <c r="M17" s="240">
        <v>2.2599999999999999E-2</v>
      </c>
      <c r="N17" s="239">
        <f t="shared" si="3"/>
        <v>196628.10598199998</v>
      </c>
      <c r="O17" s="239">
        <f t="shared" si="4"/>
        <v>27035.491867999997</v>
      </c>
      <c r="P17" s="239">
        <f t="shared" si="5"/>
        <v>442839.15015366668</v>
      </c>
      <c r="Q17" s="239">
        <f t="shared" si="17"/>
        <v>81289.974550999963</v>
      </c>
      <c r="R17" s="239">
        <f t="shared" si="7"/>
        <v>11177.010707333335</v>
      </c>
      <c r="S17" s="239">
        <f t="shared" si="8"/>
        <v>11756.791596999916</v>
      </c>
      <c r="T17" s="239">
        <f t="shared" si="9"/>
        <v>8210964.2157948297</v>
      </c>
      <c r="U17" s="239">
        <f t="shared" si="10"/>
        <v>1534068.7335359179</v>
      </c>
      <c r="V17" s="239">
        <f t="shared" si="11"/>
        <v>1589790.1909509983</v>
      </c>
      <c r="W17" s="241">
        <v>0.21</v>
      </c>
      <c r="X17" s="271">
        <f t="shared" si="12"/>
        <v>-2380312.8594591664</v>
      </c>
      <c r="Y17" s="271">
        <f t="shared" si="13"/>
        <v>-1280224.4467619362</v>
      </c>
      <c r="Z17" s="266">
        <v>0.12907930019431649</v>
      </c>
      <c r="AA17" s="266">
        <v>0.32745510276006462</v>
      </c>
      <c r="AB17" s="266">
        <v>0.81793400000000005</v>
      </c>
      <c r="AC17" s="266">
        <v>0.16605692838435593</v>
      </c>
      <c r="AD17" s="272">
        <v>2138769.908593799</v>
      </c>
      <c r="AE17" s="240">
        <v>8.7575585376438198E-2</v>
      </c>
      <c r="AF17" s="240">
        <v>2.6015585376438194E-2</v>
      </c>
      <c r="AG17" s="240">
        <f t="shared" si="14"/>
        <v>0.18685630889672664</v>
      </c>
      <c r="AH17" s="244">
        <f t="shared" si="18"/>
        <v>187304.02673061317</v>
      </c>
      <c r="AI17" s="244">
        <f t="shared" si="16"/>
        <v>34998.939076376198</v>
      </c>
      <c r="AJ17" s="245"/>
    </row>
    <row r="18" spans="1:36">
      <c r="A18" s="221">
        <v>43831</v>
      </c>
      <c r="B18" s="272">
        <v>50906875.210000008</v>
      </c>
      <c r="C18" s="272">
        <v>7769749.8300000001</v>
      </c>
      <c r="D18" s="272">
        <v>235538607</v>
      </c>
      <c r="E18" s="240">
        <v>6.5299999999999997E-2</v>
      </c>
      <c r="F18" s="240">
        <v>6.5299999999999997E-2</v>
      </c>
      <c r="G18" s="240">
        <v>2.3199999999999998E-2</v>
      </c>
      <c r="H18" s="239">
        <f t="shared" si="0"/>
        <v>277018.24593441671</v>
      </c>
      <c r="I18" s="239">
        <f t="shared" si="19"/>
        <v>42280.388658249998</v>
      </c>
      <c r="J18" s="239">
        <f t="shared" si="2"/>
        <v>455374.64019999997</v>
      </c>
      <c r="K18" s="240">
        <v>4.6199999999999998E-2</v>
      </c>
      <c r="L18" s="240">
        <v>4.6199999999999998E-2</v>
      </c>
      <c r="M18" s="240">
        <v>2.2599999999999999E-2</v>
      </c>
      <c r="N18" s="239">
        <f t="shared" si="3"/>
        <v>195991.46955850002</v>
      </c>
      <c r="O18" s="239">
        <f t="shared" si="4"/>
        <v>29913.536845499999</v>
      </c>
      <c r="P18" s="239">
        <f t="shared" si="5"/>
        <v>443597.70984999998</v>
      </c>
      <c r="Q18" s="239">
        <f t="shared" si="17"/>
        <v>81026.776375916699</v>
      </c>
      <c r="R18" s="239">
        <f t="shared" si="7"/>
        <v>12366.851812749999</v>
      </c>
      <c r="S18" s="239">
        <f t="shared" si="8"/>
        <v>11776.930349999981</v>
      </c>
      <c r="T18" s="239">
        <f t="shared" si="9"/>
        <v>8291990.9921707464</v>
      </c>
      <c r="U18" s="239">
        <f t="shared" si="10"/>
        <v>1546435.585348668</v>
      </c>
      <c r="V18" s="239">
        <f t="shared" si="11"/>
        <v>1601567.1213009984</v>
      </c>
      <c r="W18" s="241">
        <v>0.21</v>
      </c>
      <c r="X18" s="271">
        <f t="shared" ref="X18:X29" si="20">SUM(T18:V18)*-W18</f>
        <v>-2402398.676752287</v>
      </c>
      <c r="Y18" s="271">
        <f t="shared" si="13"/>
        <v>-1280224.4467619362</v>
      </c>
      <c r="Z18" s="266">
        <v>0.11500586957360617</v>
      </c>
      <c r="AA18" s="266">
        <v>0.32825383525594476</v>
      </c>
      <c r="AB18" s="266">
        <v>0.82734099999999999</v>
      </c>
      <c r="AC18" s="266">
        <v>0.17775024587979751</v>
      </c>
      <c r="AD18" s="272">
        <f t="shared" ref="AD18:AD29" si="21">((SUM(T6:T18)/13)*Z18)+((SUM(U6:U18)/13)*AA18)+((SUM(V6:V18)/13)*AB18)+((X18+X6+Y6+Y18)/2*AC18)</f>
        <v>2021788.711191867</v>
      </c>
      <c r="AE18" s="267">
        <v>8.7839965026097311E-2</v>
      </c>
      <c r="AF18" s="267">
        <v>2.5999999999999999E-2</v>
      </c>
      <c r="AG18" s="240">
        <v>0.18714114595690171</v>
      </c>
      <c r="AH18" s="244">
        <f t="shared" ref="AH18:AH41" si="22">AD18*AE18</f>
        <v>177593.84968125194</v>
      </c>
      <c r="AI18" s="244">
        <f t="shared" ref="AI18:AI41" si="23">AH18*AG18</f>
        <v>33235.116544247234</v>
      </c>
      <c r="AJ18" s="245"/>
    </row>
    <row r="19" spans="1:36">
      <c r="A19" s="221">
        <v>43862</v>
      </c>
      <c r="B19" s="272">
        <v>51496544.460000008</v>
      </c>
      <c r="C19" s="272">
        <v>7323717.5899999999</v>
      </c>
      <c r="D19" s="272">
        <v>235841096</v>
      </c>
      <c r="E19" s="240">
        <v>6.5299999999999997E-2</v>
      </c>
      <c r="F19" s="240">
        <v>6.5299999999999997E-2</v>
      </c>
      <c r="G19" s="240">
        <v>2.3199999999999998E-2</v>
      </c>
      <c r="H19" s="239">
        <f t="shared" si="0"/>
        <v>280227.02943650004</v>
      </c>
      <c r="I19" s="239">
        <f t="shared" si="19"/>
        <v>39853.229885583329</v>
      </c>
      <c r="J19" s="239">
        <f t="shared" si="2"/>
        <v>455959.45226666663</v>
      </c>
      <c r="K19" s="240">
        <v>4.6199999999999998E-2</v>
      </c>
      <c r="L19" s="240">
        <v>4.6199999999999998E-2</v>
      </c>
      <c r="M19" s="240">
        <v>2.2599999999999999E-2</v>
      </c>
      <c r="N19" s="239">
        <f t="shared" si="3"/>
        <v>198261.69617100002</v>
      </c>
      <c r="O19" s="239">
        <f t="shared" si="4"/>
        <v>28196.312721499999</v>
      </c>
      <c r="P19" s="239">
        <f t="shared" si="5"/>
        <v>444167.39746666659</v>
      </c>
      <c r="Q19" s="239">
        <f t="shared" si="17"/>
        <v>81965.333265500027</v>
      </c>
      <c r="R19" s="239">
        <f t="shared" si="7"/>
        <v>11656.91716408333</v>
      </c>
      <c r="S19" s="239">
        <f t="shared" si="8"/>
        <v>11792.054800000042</v>
      </c>
      <c r="T19" s="239">
        <f t="shared" si="9"/>
        <v>8373956.3254362466</v>
      </c>
      <c r="U19" s="239">
        <f t="shared" si="10"/>
        <v>1558092.5025127514</v>
      </c>
      <c r="V19" s="239">
        <f t="shared" si="11"/>
        <v>1613359.1761009984</v>
      </c>
      <c r="W19" s="241">
        <v>0.21</v>
      </c>
      <c r="X19" s="271">
        <f t="shared" si="20"/>
        <v>-2424535.6808504993</v>
      </c>
      <c r="Y19" s="271">
        <f t="shared" si="13"/>
        <v>-1280224.4467619362</v>
      </c>
      <c r="Z19" s="266">
        <v>0.11500586957360617</v>
      </c>
      <c r="AA19" s="266">
        <v>0.32825383525594476</v>
      </c>
      <c r="AB19" s="266">
        <v>0.82734099999999999</v>
      </c>
      <c r="AC19" s="266">
        <v>0.17775024587979751</v>
      </c>
      <c r="AD19" s="272">
        <f t="shared" si="21"/>
        <v>2039835.0190592811</v>
      </c>
      <c r="AE19" s="267">
        <v>8.7839965026097311E-2</v>
      </c>
      <c r="AF19" s="267">
        <v>2.5999999999999999E-2</v>
      </c>
      <c r="AG19" s="240">
        <v>0.18714114595690171</v>
      </c>
      <c r="AH19" s="244">
        <f t="shared" si="22"/>
        <v>179179.0367331758</v>
      </c>
      <c r="AI19" s="244">
        <f t="shared" si="23"/>
        <v>33531.770265700303</v>
      </c>
      <c r="AJ19" s="245"/>
    </row>
    <row r="20" spans="1:36">
      <c r="A20" s="221">
        <v>43891</v>
      </c>
      <c r="B20" s="272">
        <v>51687637.170000002</v>
      </c>
      <c r="C20" s="272">
        <v>7335249.5700000003</v>
      </c>
      <c r="D20" s="272">
        <v>236219400</v>
      </c>
      <c r="E20" s="240">
        <v>6.5299999999999997E-2</v>
      </c>
      <c r="F20" s="240">
        <v>6.5299999999999997E-2</v>
      </c>
      <c r="G20" s="240">
        <v>2.3199999999999998E-2</v>
      </c>
      <c r="H20" s="239">
        <f t="shared" si="0"/>
        <v>281266.89226674999</v>
      </c>
      <c r="I20" s="239">
        <f t="shared" si="19"/>
        <v>39915.983076750003</v>
      </c>
      <c r="J20" s="239">
        <f t="shared" si="2"/>
        <v>456690.84</v>
      </c>
      <c r="K20" s="240">
        <v>4.6199999999999998E-2</v>
      </c>
      <c r="L20" s="240">
        <v>4.6199999999999998E-2</v>
      </c>
      <c r="M20" s="240">
        <v>2.2599999999999999E-2</v>
      </c>
      <c r="N20" s="239">
        <f t="shared" si="3"/>
        <v>198997.4031045</v>
      </c>
      <c r="O20" s="239">
        <f t="shared" si="4"/>
        <v>28240.710844500001</v>
      </c>
      <c r="P20" s="239">
        <f t="shared" si="5"/>
        <v>444879.86999999994</v>
      </c>
      <c r="Q20" s="239">
        <f t="shared" si="17"/>
        <v>82269.489162249985</v>
      </c>
      <c r="R20" s="239">
        <f t="shared" si="7"/>
        <v>11675.272232250001</v>
      </c>
      <c r="S20" s="239">
        <f t="shared" si="8"/>
        <v>11810.970000000088</v>
      </c>
      <c r="T20" s="239">
        <f t="shared" si="9"/>
        <v>8456225.814598497</v>
      </c>
      <c r="U20" s="239">
        <f t="shared" si="10"/>
        <v>1569767.7747450015</v>
      </c>
      <c r="V20" s="239">
        <f t="shared" si="11"/>
        <v>1625170.1461009984</v>
      </c>
      <c r="W20" s="241">
        <v>0.21</v>
      </c>
      <c r="X20" s="271">
        <f t="shared" si="20"/>
        <v>-2446744.3844433445</v>
      </c>
      <c r="Y20" s="271">
        <f t="shared" si="13"/>
        <v>-1280224.4467619362</v>
      </c>
      <c r="Z20" s="266">
        <v>0.11500586957360617</v>
      </c>
      <c r="AA20" s="266">
        <v>0.32825383525594476</v>
      </c>
      <c r="AB20" s="266">
        <v>0.82734099999999999</v>
      </c>
      <c r="AC20" s="266">
        <v>0.17775024587979751</v>
      </c>
      <c r="AD20" s="272">
        <f t="shared" si="21"/>
        <v>2057983.3989771481</v>
      </c>
      <c r="AE20" s="267">
        <v>8.7839965026097311E-2</v>
      </c>
      <c r="AF20" s="267">
        <v>2.5999999999999999E-2</v>
      </c>
      <c r="AG20" s="240">
        <v>0.18714114595690171</v>
      </c>
      <c r="AH20" s="244">
        <f t="shared" si="22"/>
        <v>180773.18979044157</v>
      </c>
      <c r="AI20" s="244">
        <f t="shared" si="23"/>
        <v>33830.101895667722</v>
      </c>
      <c r="AJ20" s="245"/>
    </row>
    <row r="21" spans="1:36">
      <c r="A21" s="221">
        <v>43922</v>
      </c>
      <c r="B21" s="272">
        <v>51881060.170000002</v>
      </c>
      <c r="C21" s="272">
        <v>7346422.7800000003</v>
      </c>
      <c r="D21" s="272">
        <v>236620295</v>
      </c>
      <c r="E21" s="240">
        <v>6.5299999999999997E-2</v>
      </c>
      <c r="F21" s="240">
        <v>6.5299999999999997E-2</v>
      </c>
      <c r="G21" s="240">
        <v>2.3199999999999998E-2</v>
      </c>
      <c r="H21" s="239">
        <f t="shared" si="0"/>
        <v>282319.43575841666</v>
      </c>
      <c r="I21" s="239">
        <f t="shared" si="19"/>
        <v>39976.783961166664</v>
      </c>
      <c r="J21" s="239">
        <f t="shared" si="2"/>
        <v>457465.90366666665</v>
      </c>
      <c r="K21" s="240">
        <v>4.6199999999999998E-2</v>
      </c>
      <c r="L21" s="240">
        <v>4.6199999999999998E-2</v>
      </c>
      <c r="M21" s="240">
        <v>2.2599999999999999E-2</v>
      </c>
      <c r="N21" s="239">
        <f t="shared" si="3"/>
        <v>199742.08165449998</v>
      </c>
      <c r="O21" s="239">
        <f t="shared" si="4"/>
        <v>28283.727703</v>
      </c>
      <c r="P21" s="239">
        <f t="shared" si="5"/>
        <v>445634.88891666662</v>
      </c>
      <c r="Q21" s="239">
        <f t="shared" si="17"/>
        <v>82577.354103916674</v>
      </c>
      <c r="R21" s="239">
        <f t="shared" si="7"/>
        <v>11693.056258166664</v>
      </c>
      <c r="S21" s="239">
        <f t="shared" si="8"/>
        <v>11831.014750000031</v>
      </c>
      <c r="T21" s="239">
        <f t="shared" si="9"/>
        <v>8538803.1687024143</v>
      </c>
      <c r="U21" s="239">
        <f t="shared" si="10"/>
        <v>1581460.8310031681</v>
      </c>
      <c r="V21" s="239">
        <f t="shared" si="11"/>
        <v>1637001.1608509985</v>
      </c>
      <c r="W21" s="241">
        <v>0.21</v>
      </c>
      <c r="X21" s="271">
        <f t="shared" si="20"/>
        <v>-2469025.683716882</v>
      </c>
      <c r="Y21" s="271">
        <f t="shared" si="13"/>
        <v>-1280224.4467619362</v>
      </c>
      <c r="Z21" s="266">
        <v>0.11500586957360617</v>
      </c>
      <c r="AA21" s="266">
        <v>0.32825383525594476</v>
      </c>
      <c r="AB21" s="266">
        <v>0.82734099999999999</v>
      </c>
      <c r="AC21" s="266">
        <v>0.17775024587979751</v>
      </c>
      <c r="AD21" s="272">
        <f t="shared" si="21"/>
        <v>2076275.3652726095</v>
      </c>
      <c r="AE21" s="267">
        <v>8.7839965026097311E-2</v>
      </c>
      <c r="AF21" s="267">
        <v>2.5999999999999999E-2</v>
      </c>
      <c r="AG21" s="240">
        <v>0.18714114595690171</v>
      </c>
      <c r="AH21" s="244">
        <f t="shared" si="22"/>
        <v>182379.95547009344</v>
      </c>
      <c r="AI21" s="244">
        <f t="shared" si="23"/>
        <v>34130.793866241991</v>
      </c>
      <c r="AJ21" s="245"/>
    </row>
    <row r="22" spans="1:36">
      <c r="A22" s="221">
        <v>43952</v>
      </c>
      <c r="B22" s="272">
        <v>51971375.170000002</v>
      </c>
      <c r="C22" s="272">
        <v>7405150.4100000001</v>
      </c>
      <c r="D22" s="272">
        <v>234677363</v>
      </c>
      <c r="E22" s="240">
        <v>6.5299999999999997E-2</v>
      </c>
      <c r="F22" s="240">
        <v>6.5299999999999997E-2</v>
      </c>
      <c r="G22" s="240">
        <v>2.3199999999999998E-2</v>
      </c>
      <c r="H22" s="239">
        <f t="shared" si="0"/>
        <v>282810.89988341666</v>
      </c>
      <c r="I22" s="239">
        <f t="shared" si="19"/>
        <v>40296.360147749998</v>
      </c>
      <c r="J22" s="239">
        <f t="shared" si="2"/>
        <v>453709.56846666662</v>
      </c>
      <c r="K22" s="240">
        <v>4.6199999999999998E-2</v>
      </c>
      <c r="L22" s="240">
        <v>4.6199999999999998E-2</v>
      </c>
      <c r="M22" s="240">
        <v>2.2599999999999999E-2</v>
      </c>
      <c r="N22" s="239">
        <f t="shared" si="3"/>
        <v>200089.79440450002</v>
      </c>
      <c r="O22" s="239">
        <f t="shared" si="4"/>
        <v>28509.829078499999</v>
      </c>
      <c r="P22" s="239">
        <f t="shared" si="5"/>
        <v>441975.70031666663</v>
      </c>
      <c r="Q22" s="239">
        <f t="shared" si="17"/>
        <v>82721.105478916637</v>
      </c>
      <c r="R22" s="239">
        <f t="shared" si="7"/>
        <v>11786.531069249999</v>
      </c>
      <c r="S22" s="239">
        <f t="shared" si="8"/>
        <v>11733.868149999995</v>
      </c>
      <c r="T22" s="239">
        <f t="shared" si="9"/>
        <v>8621524.2741813306</v>
      </c>
      <c r="U22" s="239">
        <f t="shared" si="10"/>
        <v>1593247.3620724182</v>
      </c>
      <c r="V22" s="239">
        <f t="shared" si="11"/>
        <v>1648735.0290009985</v>
      </c>
      <c r="W22" s="241">
        <v>0.21</v>
      </c>
      <c r="X22" s="271">
        <f t="shared" si="20"/>
        <v>-2491336.3997034966</v>
      </c>
      <c r="Y22" s="271">
        <f t="shared" si="13"/>
        <v>-1280224.4467619362</v>
      </c>
      <c r="Z22" s="266">
        <v>0.11500586957360617</v>
      </c>
      <c r="AA22" s="266">
        <v>0.32825383525594476</v>
      </c>
      <c r="AB22" s="266">
        <v>0.82734099999999999</v>
      </c>
      <c r="AC22" s="266">
        <v>0.17775024587979751</v>
      </c>
      <c r="AD22" s="272">
        <f t="shared" si="21"/>
        <v>2094711.768244097</v>
      </c>
      <c r="AE22" s="267">
        <v>8.7839965026097311E-2</v>
      </c>
      <c r="AF22" s="267">
        <v>2.5999999999999999E-2</v>
      </c>
      <c r="AG22" s="240">
        <v>0.18714114595690171</v>
      </c>
      <c r="AH22" s="244">
        <f t="shared" si="22"/>
        <v>183999.40846231594</v>
      </c>
      <c r="AI22" s="244">
        <f t="shared" si="23"/>
        <v>34433.860155029841</v>
      </c>
      <c r="AJ22" s="245"/>
    </row>
    <row r="23" spans="1:36">
      <c r="A23" s="221">
        <v>43983</v>
      </c>
      <c r="B23" s="272">
        <v>52047774.610000014</v>
      </c>
      <c r="C23" s="272">
        <v>7282998.3499999996</v>
      </c>
      <c r="D23" s="272">
        <v>234788635</v>
      </c>
      <c r="E23" s="240">
        <v>6.5299999999999997E-2</v>
      </c>
      <c r="F23" s="240">
        <v>6.5299999999999997E-2</v>
      </c>
      <c r="G23" s="240">
        <v>2.3199999999999998E-2</v>
      </c>
      <c r="H23" s="239">
        <f t="shared" si="0"/>
        <v>283226.64016941673</v>
      </c>
      <c r="I23" s="239">
        <f t="shared" si="19"/>
        <v>39631.649354583329</v>
      </c>
      <c r="J23" s="239">
        <f t="shared" si="2"/>
        <v>453924.69433333329</v>
      </c>
      <c r="K23" s="240">
        <v>4.6199999999999998E-2</v>
      </c>
      <c r="L23" s="240">
        <v>4.6199999999999998E-2</v>
      </c>
      <c r="M23" s="240">
        <v>2.2599999999999999E-2</v>
      </c>
      <c r="N23" s="239">
        <f t="shared" si="3"/>
        <v>200383.93224850006</v>
      </c>
      <c r="O23" s="239">
        <f t="shared" si="4"/>
        <v>28039.543647499999</v>
      </c>
      <c r="P23" s="239">
        <f t="shared" si="5"/>
        <v>442185.2625833333</v>
      </c>
      <c r="Q23" s="239">
        <f t="shared" si="17"/>
        <v>82842.70792091667</v>
      </c>
      <c r="R23" s="239">
        <f t="shared" si="7"/>
        <v>11592.10570708333</v>
      </c>
      <c r="S23" s="239">
        <f t="shared" si="8"/>
        <v>11739.431749999989</v>
      </c>
      <c r="T23" s="239">
        <f t="shared" si="9"/>
        <v>8704366.982102247</v>
      </c>
      <c r="U23" s="239">
        <f t="shared" si="10"/>
        <v>1604839.4677795016</v>
      </c>
      <c r="V23" s="239">
        <f t="shared" si="11"/>
        <v>1660474.4607509985</v>
      </c>
      <c r="W23" s="241">
        <v>0.21</v>
      </c>
      <c r="X23" s="271">
        <f t="shared" si="20"/>
        <v>-2513632.9912328771</v>
      </c>
      <c r="Y23" s="271">
        <f t="shared" si="13"/>
        <v>-1280224.4467619362</v>
      </c>
      <c r="Z23" s="266">
        <v>0.11500586957360617</v>
      </c>
      <c r="AA23" s="266">
        <v>0.32825383525594476</v>
      </c>
      <c r="AB23" s="266">
        <v>0.82734099999999999</v>
      </c>
      <c r="AC23" s="266">
        <v>0.17775024587979751</v>
      </c>
      <c r="AD23" s="272">
        <f t="shared" si="21"/>
        <v>2113288.6154266139</v>
      </c>
      <c r="AE23" s="267">
        <v>8.7839965026097311E-2</v>
      </c>
      <c r="AF23" s="267">
        <v>2.5999999999999999E-2</v>
      </c>
      <c r="AG23" s="240">
        <v>0.18714114595690171</v>
      </c>
      <c r="AH23" s="244">
        <f t="shared" si="22"/>
        <v>185631.19806912338</v>
      </c>
      <c r="AI23" s="244">
        <f t="shared" si="23"/>
        <v>34739.235132008347</v>
      </c>
      <c r="AJ23" s="245"/>
    </row>
    <row r="24" spans="1:36">
      <c r="A24" s="221">
        <v>44013</v>
      </c>
      <c r="B24" s="272">
        <v>52357202.150000006</v>
      </c>
      <c r="C24" s="272">
        <v>7282829.8400000008</v>
      </c>
      <c r="D24" s="272">
        <v>237708818</v>
      </c>
      <c r="E24" s="240">
        <v>6.5299999999999997E-2</v>
      </c>
      <c r="F24" s="240">
        <v>6.5299999999999997E-2</v>
      </c>
      <c r="G24" s="240">
        <v>2.3199999999999998E-2</v>
      </c>
      <c r="H24" s="239">
        <f t="shared" si="0"/>
        <v>284910.44169958337</v>
      </c>
      <c r="I24" s="239">
        <f t="shared" si="19"/>
        <v>39630.732379333334</v>
      </c>
      <c r="J24" s="239">
        <f t="shared" si="2"/>
        <v>459570.38146666664</v>
      </c>
      <c r="K24" s="240">
        <v>4.6199999999999998E-2</v>
      </c>
      <c r="L24" s="240">
        <v>4.6199999999999998E-2</v>
      </c>
      <c r="M24" s="240">
        <v>2.2599999999999999E-2</v>
      </c>
      <c r="N24" s="239">
        <f t="shared" si="3"/>
        <v>201575.22827750002</v>
      </c>
      <c r="O24" s="239">
        <f t="shared" si="4"/>
        <v>28038.894884000005</v>
      </c>
      <c r="P24" s="239">
        <f t="shared" si="5"/>
        <v>447684.94056666666</v>
      </c>
      <c r="Q24" s="239">
        <f t="shared" si="17"/>
        <v>83335.213422083354</v>
      </c>
      <c r="R24" s="239">
        <f t="shared" si="7"/>
        <v>11591.83749533333</v>
      </c>
      <c r="S24" s="239">
        <f t="shared" si="8"/>
        <v>11885.440899999987</v>
      </c>
      <c r="T24" s="239">
        <f t="shared" si="9"/>
        <v>8787702.1955243312</v>
      </c>
      <c r="U24" s="239">
        <f t="shared" si="10"/>
        <v>1616431.3052748349</v>
      </c>
      <c r="V24" s="239">
        <f t="shared" si="11"/>
        <v>1672359.9016509985</v>
      </c>
      <c r="W24" s="241">
        <v>0.21</v>
      </c>
      <c r="X24" s="271">
        <f t="shared" si="20"/>
        <v>-2536063.6145145344</v>
      </c>
      <c r="Y24" s="271">
        <f t="shared" si="13"/>
        <v>-1280224.4467619362</v>
      </c>
      <c r="Z24" s="266">
        <v>0.11500586957360617</v>
      </c>
      <c r="AA24" s="266">
        <v>0.32825383525594476</v>
      </c>
      <c r="AB24" s="266">
        <v>0.82734099999999999</v>
      </c>
      <c r="AC24" s="266">
        <v>0.17775024587979751</v>
      </c>
      <c r="AD24" s="272">
        <f t="shared" si="21"/>
        <v>2132012.6799403969</v>
      </c>
      <c r="AE24" s="267">
        <v>8.7839965026097311E-2</v>
      </c>
      <c r="AF24" s="267">
        <v>2.5999999999999999E-2</v>
      </c>
      <c r="AG24" s="240">
        <v>0.18714114595690171</v>
      </c>
      <c r="AH24" s="244">
        <f t="shared" si="22"/>
        <v>187275.91924116047</v>
      </c>
      <c r="AI24" s="244">
        <f t="shared" si="23"/>
        <v>35047.030136922949</v>
      </c>
      <c r="AJ24" s="245"/>
    </row>
    <row r="25" spans="1:36">
      <c r="A25" s="221">
        <v>44044</v>
      </c>
      <c r="B25" s="272">
        <v>52842613.88000001</v>
      </c>
      <c r="C25" s="272">
        <v>7282342.1500000004</v>
      </c>
      <c r="D25" s="272">
        <v>237741571</v>
      </c>
      <c r="E25" s="240">
        <v>6.5299999999999997E-2</v>
      </c>
      <c r="F25" s="240">
        <v>6.5299999999999997E-2</v>
      </c>
      <c r="G25" s="240">
        <v>2.3199999999999998E-2</v>
      </c>
      <c r="H25" s="239">
        <f t="shared" si="0"/>
        <v>287551.89053033339</v>
      </c>
      <c r="I25" s="239">
        <f t="shared" si="19"/>
        <v>39628.078532916668</v>
      </c>
      <c r="J25" s="239">
        <f t="shared" si="2"/>
        <v>459633.70393333328</v>
      </c>
      <c r="K25" s="240">
        <v>4.6199999999999998E-2</v>
      </c>
      <c r="L25" s="240">
        <v>4.6199999999999998E-2</v>
      </c>
      <c r="M25" s="240">
        <v>2.2599999999999999E-2</v>
      </c>
      <c r="N25" s="239">
        <f t="shared" si="3"/>
        <v>203444.06343800004</v>
      </c>
      <c r="O25" s="239">
        <f t="shared" si="4"/>
        <v>28037.017277499999</v>
      </c>
      <c r="P25" s="239">
        <f t="shared" si="5"/>
        <v>447746.6253833333</v>
      </c>
      <c r="Q25" s="239">
        <f t="shared" si="17"/>
        <v>84107.827092333348</v>
      </c>
      <c r="R25" s="239">
        <f t="shared" si="7"/>
        <v>11591.061255416669</v>
      </c>
      <c r="S25" s="239">
        <f t="shared" si="8"/>
        <v>11887.078549999977</v>
      </c>
      <c r="T25" s="239">
        <f t="shared" si="9"/>
        <v>8871810.0226166639</v>
      </c>
      <c r="U25" s="239">
        <f t="shared" si="10"/>
        <v>1628022.3665302515</v>
      </c>
      <c r="V25" s="239">
        <f t="shared" si="11"/>
        <v>1684246.9802009985</v>
      </c>
      <c r="W25" s="241">
        <v>0.21</v>
      </c>
      <c r="X25" s="271">
        <f t="shared" si="20"/>
        <v>-2558656.6675630617</v>
      </c>
      <c r="Y25" s="271">
        <f t="shared" si="13"/>
        <v>-1280224.4467619362</v>
      </c>
      <c r="Z25" s="266">
        <v>0.11500586957360617</v>
      </c>
      <c r="AA25" s="266">
        <v>0.32825383525594476</v>
      </c>
      <c r="AB25" s="266">
        <v>0.82734099999999999</v>
      </c>
      <c r="AC25" s="266">
        <v>0.17775024587979751</v>
      </c>
      <c r="AD25" s="272">
        <f t="shared" si="21"/>
        <v>2150884.9664469147</v>
      </c>
      <c r="AE25" s="267">
        <v>8.7839965026097311E-2</v>
      </c>
      <c r="AF25" s="267">
        <v>2.5999999999999999E-2</v>
      </c>
      <c r="AG25" s="240">
        <v>0.18714114595690171</v>
      </c>
      <c r="AH25" s="244">
        <f t="shared" si="22"/>
        <v>188933.66022785546</v>
      </c>
      <c r="AI25" s="244">
        <f t="shared" si="23"/>
        <v>35357.261684872778</v>
      </c>
      <c r="AJ25" s="245"/>
    </row>
    <row r="26" spans="1:36">
      <c r="A26" s="221">
        <v>44075</v>
      </c>
      <c r="B26" s="272">
        <v>52790086.890000001</v>
      </c>
      <c r="C26" s="272">
        <v>7277905.8000000007</v>
      </c>
      <c r="D26" s="272">
        <v>234479704</v>
      </c>
      <c r="E26" s="240">
        <v>6.5299999999999997E-2</v>
      </c>
      <c r="F26" s="240">
        <v>6.5299999999999997E-2</v>
      </c>
      <c r="G26" s="240">
        <v>2.3199999999999998E-2</v>
      </c>
      <c r="H26" s="239">
        <f t="shared" si="0"/>
        <v>287266.05615974998</v>
      </c>
      <c r="I26" s="239">
        <f t="shared" si="19"/>
        <v>39603.937395000001</v>
      </c>
      <c r="J26" s="239">
        <f t="shared" si="2"/>
        <v>453327.42773333332</v>
      </c>
      <c r="K26" s="240">
        <v>4.6199999999999998E-2</v>
      </c>
      <c r="L26" s="240">
        <v>4.6199999999999998E-2</v>
      </c>
      <c r="M26" s="240">
        <v>2.2599999999999999E-2</v>
      </c>
      <c r="N26" s="239">
        <f t="shared" si="3"/>
        <v>203241.8345265</v>
      </c>
      <c r="O26" s="239">
        <f t="shared" si="4"/>
        <v>28019.937330000001</v>
      </c>
      <c r="P26" s="239">
        <f t="shared" si="5"/>
        <v>441603.44253333332</v>
      </c>
      <c r="Q26" s="239">
        <f t="shared" si="17"/>
        <v>84024.221633249981</v>
      </c>
      <c r="R26" s="239">
        <f t="shared" si="7"/>
        <v>11584.000065</v>
      </c>
      <c r="S26" s="239">
        <f t="shared" si="8"/>
        <v>11723.985199999996</v>
      </c>
      <c r="T26" s="239">
        <f t="shared" si="9"/>
        <v>8955834.2442499138</v>
      </c>
      <c r="U26" s="239">
        <f t="shared" si="10"/>
        <v>1639606.3665952515</v>
      </c>
      <c r="V26" s="239">
        <f t="shared" si="11"/>
        <v>1695970.9654009985</v>
      </c>
      <c r="W26" s="241">
        <v>0.21</v>
      </c>
      <c r="X26" s="271">
        <f t="shared" si="20"/>
        <v>-2581196.4310116945</v>
      </c>
      <c r="Y26" s="271">
        <f t="shared" si="13"/>
        <v>-1280224.4467619362</v>
      </c>
      <c r="Z26" s="266">
        <v>0.11500586957360617</v>
      </c>
      <c r="AA26" s="266">
        <v>0.32825383525594476</v>
      </c>
      <c r="AB26" s="266">
        <v>0.82734099999999999</v>
      </c>
      <c r="AC26" s="266">
        <v>0.17775024587979751</v>
      </c>
      <c r="AD26" s="272">
        <f t="shared" si="21"/>
        <v>2169944.9981524316</v>
      </c>
      <c r="AE26" s="267">
        <v>8.7839965026097311E-2</v>
      </c>
      <c r="AF26" s="267">
        <v>2.5999999999999999E-2</v>
      </c>
      <c r="AG26" s="240">
        <v>0.18714114595690171</v>
      </c>
      <c r="AH26" s="244">
        <f t="shared" si="22"/>
        <v>190607.89274626438</v>
      </c>
      <c r="AI26" s="244">
        <f t="shared" si="23"/>
        <v>35670.57947696613</v>
      </c>
      <c r="AJ26" s="245"/>
    </row>
    <row r="27" spans="1:36">
      <c r="A27" s="221">
        <v>44105</v>
      </c>
      <c r="B27" s="272">
        <v>53835504.109999999</v>
      </c>
      <c r="C27" s="272">
        <v>7277956.3500000006</v>
      </c>
      <c r="D27" s="272">
        <v>234474426</v>
      </c>
      <c r="E27" s="240">
        <v>6.5299999999999997E-2</v>
      </c>
      <c r="F27" s="240">
        <v>6.5299999999999997E-2</v>
      </c>
      <c r="G27" s="240">
        <v>2.3199999999999998E-2</v>
      </c>
      <c r="H27" s="239">
        <f t="shared" si="0"/>
        <v>292954.86819858331</v>
      </c>
      <c r="I27" s="239">
        <f t="shared" si="19"/>
        <v>39604.212471250001</v>
      </c>
      <c r="J27" s="239">
        <f t="shared" si="2"/>
        <v>453317.22359999997</v>
      </c>
      <c r="K27" s="240">
        <v>4.6199999999999998E-2</v>
      </c>
      <c r="L27" s="240">
        <v>4.6199999999999998E-2</v>
      </c>
      <c r="M27" s="240">
        <v>2.2599999999999999E-2</v>
      </c>
      <c r="N27" s="239">
        <f t="shared" si="3"/>
        <v>207266.69082350002</v>
      </c>
      <c r="O27" s="239">
        <f t="shared" si="4"/>
        <v>28020.131947500002</v>
      </c>
      <c r="P27" s="239">
        <f t="shared" si="5"/>
        <v>441593.50229999999</v>
      </c>
      <c r="Q27" s="239">
        <f t="shared" si="17"/>
        <v>85688.177375083294</v>
      </c>
      <c r="R27" s="239">
        <f t="shared" si="7"/>
        <v>11584.080523749999</v>
      </c>
      <c r="S27" s="239">
        <f t="shared" si="8"/>
        <v>11723.721299999976</v>
      </c>
      <c r="T27" s="239">
        <f t="shared" si="9"/>
        <v>9041522.4216249976</v>
      </c>
      <c r="U27" s="239">
        <f t="shared" si="10"/>
        <v>1651190.4471190015</v>
      </c>
      <c r="V27" s="239">
        <f t="shared" si="11"/>
        <v>1707694.6867009983</v>
      </c>
      <c r="W27" s="241">
        <v>0.21</v>
      </c>
      <c r="X27" s="271">
        <f t="shared" si="20"/>
        <v>-2604085.586643449</v>
      </c>
      <c r="Y27" s="271">
        <f t="shared" si="13"/>
        <v>-1280224.4467619362</v>
      </c>
      <c r="Z27" s="266">
        <v>0.11500586957360617</v>
      </c>
      <c r="AA27" s="266">
        <v>0.32825383525594476</v>
      </c>
      <c r="AB27" s="266">
        <v>0.82734099999999999</v>
      </c>
      <c r="AC27" s="266">
        <v>0.17775024587979751</v>
      </c>
      <c r="AD27" s="272">
        <f t="shared" si="21"/>
        <v>2189011.7916550143</v>
      </c>
      <c r="AE27" s="267">
        <v>8.7839965026097311E-2</v>
      </c>
      <c r="AF27" s="267">
        <v>2.5999999999999999E-2</v>
      </c>
      <c r="AG27" s="240">
        <v>0.18714114595690171</v>
      </c>
      <c r="AH27" s="244">
        <f t="shared" si="22"/>
        <v>192282.71922069107</v>
      </c>
      <c r="AI27" s="244">
        <f t="shared" si="23"/>
        <v>35984.0084226693</v>
      </c>
      <c r="AJ27" s="245"/>
    </row>
    <row r="28" spans="1:36">
      <c r="A28" s="221">
        <v>44136</v>
      </c>
      <c r="B28" s="272">
        <v>56519131.470000014</v>
      </c>
      <c r="C28" s="272">
        <v>7278047.4200000009</v>
      </c>
      <c r="D28" s="272">
        <v>235297783</v>
      </c>
      <c r="E28" s="240">
        <v>6.5299999999999997E-2</v>
      </c>
      <c r="F28" s="240">
        <v>6.5299999999999997E-2</v>
      </c>
      <c r="G28" s="240">
        <v>2.3199999999999998E-2</v>
      </c>
      <c r="H28" s="239">
        <f t="shared" si="0"/>
        <v>307558.27374925005</v>
      </c>
      <c r="I28" s="239">
        <f t="shared" si="19"/>
        <v>39604.708043833336</v>
      </c>
      <c r="J28" s="239">
        <f t="shared" si="2"/>
        <v>454909.04713333328</v>
      </c>
      <c r="K28" s="240">
        <v>4.6199999999999998E-2</v>
      </c>
      <c r="L28" s="240">
        <v>4.6199999999999998E-2</v>
      </c>
      <c r="M28" s="240">
        <v>2.2599999999999999E-2</v>
      </c>
      <c r="N28" s="239">
        <f t="shared" si="3"/>
        <v>217598.65615950004</v>
      </c>
      <c r="O28" s="239">
        <f t="shared" si="4"/>
        <v>28020.482567000003</v>
      </c>
      <c r="P28" s="239">
        <f t="shared" si="5"/>
        <v>443144.15798333334</v>
      </c>
      <c r="Q28" s="239">
        <f t="shared" si="17"/>
        <v>89959.617589750007</v>
      </c>
      <c r="R28" s="239">
        <f t="shared" si="7"/>
        <v>11584.225476833333</v>
      </c>
      <c r="S28" s="239">
        <f t="shared" si="8"/>
        <v>11764.889149999944</v>
      </c>
      <c r="T28" s="239">
        <f t="shared" si="9"/>
        <v>9131482.039214747</v>
      </c>
      <c r="U28" s="239">
        <f t="shared" si="10"/>
        <v>1662774.6725958348</v>
      </c>
      <c r="V28" s="239">
        <f t="shared" si="11"/>
        <v>1719459.5758509983</v>
      </c>
      <c r="W28" s="241">
        <v>0.21</v>
      </c>
      <c r="X28" s="271">
        <f t="shared" si="20"/>
        <v>-2627880.4204089316</v>
      </c>
      <c r="Y28" s="271">
        <f t="shared" si="13"/>
        <v>-1280224.4467619362</v>
      </c>
      <c r="Z28" s="266">
        <v>0.11500586957360617</v>
      </c>
      <c r="AA28" s="266">
        <v>0.32825383525594476</v>
      </c>
      <c r="AB28" s="266">
        <v>0.82734099999999999</v>
      </c>
      <c r="AC28" s="266">
        <v>0.17775024587979751</v>
      </c>
      <c r="AD28" s="272">
        <f t="shared" si="21"/>
        <v>2208115.6429655552</v>
      </c>
      <c r="AE28" s="267">
        <v>8.7839965026097311E-2</v>
      </c>
      <c r="AF28" s="267">
        <v>2.5999999999999999E-2</v>
      </c>
      <c r="AG28" s="240">
        <v>0.18714114595690171</v>
      </c>
      <c r="AH28" s="244">
        <f t="shared" si="22"/>
        <v>193960.80085167274</v>
      </c>
      <c r="AI28" s="244">
        <f t="shared" si="23"/>
        <v>36298.046542100434</v>
      </c>
      <c r="AJ28" s="245"/>
    </row>
    <row r="29" spans="1:36">
      <c r="A29" s="221">
        <v>44166</v>
      </c>
      <c r="B29" s="272">
        <v>60489131.510000005</v>
      </c>
      <c r="C29" s="272">
        <v>7278054.4600000009</v>
      </c>
      <c r="D29" s="272">
        <v>241146841</v>
      </c>
      <c r="E29" s="240">
        <v>6.5299999999999997E-2</v>
      </c>
      <c r="F29" s="240">
        <v>6.5299999999999997E-2</v>
      </c>
      <c r="G29" s="240">
        <v>2.3199999999999998E-2</v>
      </c>
      <c r="H29" s="239">
        <f t="shared" si="0"/>
        <v>329161.69063358335</v>
      </c>
      <c r="I29" s="239">
        <f t="shared" si="19"/>
        <v>39604.746353166665</v>
      </c>
      <c r="J29" s="239">
        <f t="shared" si="2"/>
        <v>466217.22593333333</v>
      </c>
      <c r="K29" s="240">
        <v>4.6199999999999998E-2</v>
      </c>
      <c r="L29" s="240">
        <v>4.6199999999999998E-2</v>
      </c>
      <c r="M29" s="240">
        <v>2.2599999999999999E-2</v>
      </c>
      <c r="N29" s="239">
        <f t="shared" si="3"/>
        <v>232883.15631350002</v>
      </c>
      <c r="O29" s="239">
        <f t="shared" si="4"/>
        <v>28020.509671000003</v>
      </c>
      <c r="P29" s="239">
        <f t="shared" si="5"/>
        <v>454159.8838833333</v>
      </c>
      <c r="Q29" s="239">
        <f t="shared" si="17"/>
        <v>96278.53432008333</v>
      </c>
      <c r="R29" s="239">
        <f t="shared" si="7"/>
        <v>11584.236682166662</v>
      </c>
      <c r="S29" s="239">
        <f t="shared" si="8"/>
        <v>12057.342050000036</v>
      </c>
      <c r="T29" s="239">
        <f t="shared" si="9"/>
        <v>9227760.5735348295</v>
      </c>
      <c r="U29" s="239">
        <f t="shared" si="10"/>
        <v>1674358.9092780014</v>
      </c>
      <c r="V29" s="239">
        <f t="shared" si="11"/>
        <v>1731516.9179009984</v>
      </c>
      <c r="W29" s="241">
        <v>0.21</v>
      </c>
      <c r="X29" s="271">
        <f t="shared" si="20"/>
        <v>-2653063.6441499041</v>
      </c>
      <c r="Y29" s="271">
        <f t="shared" si="13"/>
        <v>-1280224.4467619362</v>
      </c>
      <c r="Z29" s="266">
        <v>0.11500586957360617</v>
      </c>
      <c r="AA29" s="266">
        <v>0.32825383525594476</v>
      </c>
      <c r="AB29" s="266">
        <v>0.82734099999999999</v>
      </c>
      <c r="AC29" s="266">
        <v>0.17775024587979751</v>
      </c>
      <c r="AD29" s="272">
        <f t="shared" si="21"/>
        <v>2227239.1382763814</v>
      </c>
      <c r="AE29" s="267">
        <v>8.7839965026097311E-2</v>
      </c>
      <c r="AF29" s="267">
        <v>2.5999999999999999E-2</v>
      </c>
      <c r="AG29" s="240">
        <v>0.18714114595690171</v>
      </c>
      <c r="AH29" s="244">
        <f t="shared" si="22"/>
        <v>195640.60801095245</v>
      </c>
      <c r="AI29" s="244">
        <f t="shared" si="23"/>
        <v>36612.407578874649</v>
      </c>
      <c r="AJ29" s="245"/>
    </row>
    <row r="30" spans="1:36">
      <c r="A30" s="221">
        <v>44197</v>
      </c>
      <c r="B30" s="262">
        <v>61170319.49999997</v>
      </c>
      <c r="C30" s="262">
        <v>7278065.7999999989</v>
      </c>
      <c r="D30" s="262">
        <v>242345926.87999997</v>
      </c>
      <c r="E30" s="240">
        <v>6.5299999999999997E-2</v>
      </c>
      <c r="F30" s="240">
        <v>6.5299999999999997E-2</v>
      </c>
      <c r="G30" s="240">
        <v>2.3199999999999998E-2</v>
      </c>
      <c r="H30" s="239">
        <f t="shared" ref="H30:H41" si="24">E30*B30/12</f>
        <v>332868.48861249984</v>
      </c>
      <c r="I30" s="239">
        <f t="shared" ref="I30:I41" si="25">F30*C30/12</f>
        <v>39604.808061666663</v>
      </c>
      <c r="J30" s="239">
        <f t="shared" ref="J30:J41" si="26">G30*D30/12</f>
        <v>468535.45863466657</v>
      </c>
      <c r="K30" s="240">
        <v>4.6199999999999998E-2</v>
      </c>
      <c r="L30" s="240">
        <v>4.6199999999999998E-2</v>
      </c>
      <c r="M30" s="240">
        <v>2.2599999999999999E-2</v>
      </c>
      <c r="N30" s="239">
        <f t="shared" ref="N30:N41" si="27">K30*B30/12</f>
        <v>235505.73007499988</v>
      </c>
      <c r="O30" s="239">
        <f t="shared" ref="O30:O41" si="28">L30*C30/12</f>
        <v>28020.553329999995</v>
      </c>
      <c r="P30" s="239">
        <f t="shared" ref="P30:P41" si="29">M30*D30/12</f>
        <v>456418.16229066654</v>
      </c>
      <c r="Q30" s="239">
        <f t="shared" ref="Q30:Q41" si="30">H30-N30</f>
        <v>97362.758537499962</v>
      </c>
      <c r="R30" s="239">
        <f t="shared" ref="R30:R41" si="31">I30-O30</f>
        <v>11584.254731666668</v>
      </c>
      <c r="S30" s="239">
        <f t="shared" ref="S30:S41" si="32">J30-P30</f>
        <v>12117.296344000031</v>
      </c>
      <c r="T30" s="239">
        <f t="shared" ref="T30:T41" si="33">T29+Q30</f>
        <v>9325123.3320723288</v>
      </c>
      <c r="U30" s="239">
        <f t="shared" ref="U30:U41" si="34">U29+R30</f>
        <v>1685943.1640096682</v>
      </c>
      <c r="V30" s="239">
        <f t="shared" ref="V30:V41" si="35">V29+S30</f>
        <v>1743634.2142449985</v>
      </c>
      <c r="W30" s="241">
        <v>0.21</v>
      </c>
      <c r="X30" s="271">
        <f t="shared" ref="X30:X41" si="36">SUM(T30:V30)*-W30</f>
        <v>-2678487.1491686688</v>
      </c>
      <c r="Y30" s="271">
        <f t="shared" si="13"/>
        <v>-1280224.4467619362</v>
      </c>
      <c r="Z30" s="266">
        <v>0.1116818396207977</v>
      </c>
      <c r="AA30" s="266">
        <v>0.32055058246875617</v>
      </c>
      <c r="AB30" s="266">
        <v>0.78449000000000002</v>
      </c>
      <c r="AC30" s="266">
        <v>0.17246822636892989</v>
      </c>
      <c r="AD30" s="272">
        <f t="shared" ref="AD30:AD41" si="37">((SUM(T18:T30)/13)*Z30)+((SUM(U18:U30)/13)*AA30)+((SUM(V18:V30)/13)*AB30)+((X30+X18+Y18+Y30)/2*AC30)</f>
        <v>2153331.8750741463</v>
      </c>
      <c r="AE30" s="267">
        <v>8.7662452806149052E-2</v>
      </c>
      <c r="AF30" s="267">
        <v>2.6102770714801864E-2</v>
      </c>
      <c r="AG30" s="240">
        <v>0.1866701832052792</v>
      </c>
      <c r="AH30" s="244">
        <f t="shared" si="22"/>
        <v>188766.35387466379</v>
      </c>
      <c r="AI30" s="244">
        <f t="shared" si="23"/>
        <v>35237.049860776053</v>
      </c>
      <c r="AJ30" s="245"/>
    </row>
    <row r="31" spans="1:36">
      <c r="A31" s="221">
        <v>44228</v>
      </c>
      <c r="B31" s="262">
        <v>61343157.079999954</v>
      </c>
      <c r="C31" s="262">
        <v>7278065.7999999989</v>
      </c>
      <c r="D31" s="262">
        <v>241895006.59999999</v>
      </c>
      <c r="E31" s="240">
        <v>6.5299999999999997E-2</v>
      </c>
      <c r="F31" s="240">
        <v>6.5299999999999997E-2</v>
      </c>
      <c r="G31" s="240">
        <v>2.3199999999999998E-2</v>
      </c>
      <c r="H31" s="239">
        <f t="shared" si="24"/>
        <v>333809.01311033306</v>
      </c>
      <c r="I31" s="239">
        <f t="shared" si="25"/>
        <v>39604.808061666663</v>
      </c>
      <c r="J31" s="239">
        <f t="shared" si="26"/>
        <v>467663.67942666664</v>
      </c>
      <c r="K31" s="240">
        <v>4.6199999999999998E-2</v>
      </c>
      <c r="L31" s="240">
        <v>4.6199999999999998E-2</v>
      </c>
      <c r="M31" s="240">
        <v>2.2599999999999999E-2</v>
      </c>
      <c r="N31" s="239">
        <f t="shared" si="27"/>
        <v>236171.15475799982</v>
      </c>
      <c r="O31" s="239">
        <f t="shared" si="28"/>
        <v>28020.553329999995</v>
      </c>
      <c r="P31" s="239">
        <f t="shared" si="29"/>
        <v>455568.92909666663</v>
      </c>
      <c r="Q31" s="239">
        <f t="shared" si="30"/>
        <v>97637.858352333249</v>
      </c>
      <c r="R31" s="239">
        <f t="shared" si="31"/>
        <v>11584.254731666668</v>
      </c>
      <c r="S31" s="239">
        <f t="shared" si="32"/>
        <v>12094.75033000001</v>
      </c>
      <c r="T31" s="239">
        <f t="shared" si="33"/>
        <v>9422761.1904246621</v>
      </c>
      <c r="U31" s="239">
        <f t="shared" si="34"/>
        <v>1697527.4187413349</v>
      </c>
      <c r="V31" s="239">
        <f t="shared" si="35"/>
        <v>1755728.9645749985</v>
      </c>
      <c r="W31" s="241">
        <v>0.21</v>
      </c>
      <c r="X31" s="271">
        <f t="shared" si="36"/>
        <v>-2703963.6904856088</v>
      </c>
      <c r="Y31" s="271">
        <f t="shared" si="13"/>
        <v>-1280224.4467619362</v>
      </c>
      <c r="Z31" s="266">
        <v>0.1116818396207977</v>
      </c>
      <c r="AA31" s="266">
        <v>0.32055058246875617</v>
      </c>
      <c r="AB31" s="266">
        <v>0.78449000000000002</v>
      </c>
      <c r="AC31" s="266">
        <v>0.17246822636892989</v>
      </c>
      <c r="AD31" s="272">
        <f t="shared" si="37"/>
        <v>2171968.8474835246</v>
      </c>
      <c r="AE31" s="267">
        <v>8.7662452806149052E-2</v>
      </c>
      <c r="AF31" s="267">
        <v>2.6102770714801864E-2</v>
      </c>
      <c r="AG31" s="240">
        <v>0.1866701832052792</v>
      </c>
      <c r="AH31" s="244">
        <f t="shared" si="22"/>
        <v>190400.11658895042</v>
      </c>
      <c r="AI31" s="244">
        <f t="shared" si="23"/>
        <v>35542.024645965896</v>
      </c>
      <c r="AJ31" s="245"/>
    </row>
    <row r="32" spans="1:36">
      <c r="A32" s="221">
        <v>44256</v>
      </c>
      <c r="B32" s="262">
        <v>62065672.609999985</v>
      </c>
      <c r="C32" s="262">
        <v>7280146.5899999999</v>
      </c>
      <c r="D32" s="262">
        <v>241417596.26999998</v>
      </c>
      <c r="E32" s="240">
        <v>6.5299999999999997E-2</v>
      </c>
      <c r="F32" s="240">
        <v>6.5299999999999997E-2</v>
      </c>
      <c r="G32" s="240">
        <v>2.3199999999999998E-2</v>
      </c>
      <c r="H32" s="239">
        <f t="shared" si="24"/>
        <v>337740.70178608323</v>
      </c>
      <c r="I32" s="239">
        <f t="shared" si="25"/>
        <v>39616.131027249998</v>
      </c>
      <c r="J32" s="239">
        <f t="shared" si="26"/>
        <v>466740.68612199993</v>
      </c>
      <c r="K32" s="240">
        <v>4.6199999999999998E-2</v>
      </c>
      <c r="L32" s="240">
        <v>4.6199999999999998E-2</v>
      </c>
      <c r="M32" s="240">
        <v>2.2599999999999999E-2</v>
      </c>
      <c r="N32" s="239">
        <f t="shared" si="27"/>
        <v>238952.83954849993</v>
      </c>
      <c r="O32" s="239">
        <f t="shared" si="28"/>
        <v>28028.564371500001</v>
      </c>
      <c r="P32" s="239">
        <f t="shared" si="29"/>
        <v>454669.80630849994</v>
      </c>
      <c r="Q32" s="239">
        <f t="shared" si="30"/>
        <v>98787.862237583293</v>
      </c>
      <c r="R32" s="239">
        <f t="shared" si="31"/>
        <v>11587.566655749997</v>
      </c>
      <c r="S32" s="239">
        <f t="shared" si="32"/>
        <v>12070.879813499982</v>
      </c>
      <c r="T32" s="239">
        <f t="shared" si="33"/>
        <v>9521549.0526622459</v>
      </c>
      <c r="U32" s="239">
        <f t="shared" si="34"/>
        <v>1709114.9853970848</v>
      </c>
      <c r="V32" s="239">
        <f t="shared" si="35"/>
        <v>1767799.8443884985</v>
      </c>
      <c r="W32" s="241">
        <v>0.21</v>
      </c>
      <c r="X32" s="271">
        <f t="shared" si="36"/>
        <v>-2729677.4153140439</v>
      </c>
      <c r="Y32" s="271">
        <f t="shared" si="13"/>
        <v>-1280224.4467619362</v>
      </c>
      <c r="Z32" s="266">
        <v>0.1116818396207977</v>
      </c>
      <c r="AA32" s="266">
        <v>0.32055058246875617</v>
      </c>
      <c r="AB32" s="266">
        <v>0.78449000000000002</v>
      </c>
      <c r="AC32" s="266">
        <v>0.17246822636892989</v>
      </c>
      <c r="AD32" s="272">
        <f t="shared" si="37"/>
        <v>2190738.8202616889</v>
      </c>
      <c r="AE32" s="267">
        <v>8.7662452806149052E-2</v>
      </c>
      <c r="AF32" s="267">
        <v>2.6102770714801864E-2</v>
      </c>
      <c r="AG32" s="240">
        <v>0.1866701832052792</v>
      </c>
      <c r="AH32" s="244">
        <f t="shared" si="22"/>
        <v>192045.53844178896</v>
      </c>
      <c r="AI32" s="244">
        <f t="shared" si="23"/>
        <v>35849.175844685233</v>
      </c>
      <c r="AJ32" s="245"/>
    </row>
    <row r="33" spans="1:36">
      <c r="A33" s="221">
        <v>44287</v>
      </c>
      <c r="B33" s="262">
        <v>62321312.779999956</v>
      </c>
      <c r="C33" s="262">
        <v>7243998.7400000002</v>
      </c>
      <c r="D33" s="262">
        <v>244534297.96000001</v>
      </c>
      <c r="E33" s="240">
        <v>6.5299999999999997E-2</v>
      </c>
      <c r="F33" s="240">
        <v>6.5299999999999997E-2</v>
      </c>
      <c r="G33" s="240">
        <v>2.3199999999999998E-2</v>
      </c>
      <c r="H33" s="239">
        <f t="shared" si="24"/>
        <v>339131.81037783308</v>
      </c>
      <c r="I33" s="239">
        <f t="shared" si="25"/>
        <v>39419.426476833331</v>
      </c>
      <c r="J33" s="239">
        <f t="shared" si="26"/>
        <v>472766.3093893333</v>
      </c>
      <c r="K33" s="240">
        <v>4.6199999999999998E-2</v>
      </c>
      <c r="L33" s="240">
        <v>4.6199999999999998E-2</v>
      </c>
      <c r="M33" s="240">
        <v>2.2599999999999999E-2</v>
      </c>
      <c r="N33" s="239">
        <f t="shared" si="27"/>
        <v>239937.0542029998</v>
      </c>
      <c r="O33" s="239">
        <f t="shared" si="28"/>
        <v>27889.395149</v>
      </c>
      <c r="P33" s="239">
        <f t="shared" si="29"/>
        <v>460539.59449133329</v>
      </c>
      <c r="Q33" s="239">
        <f t="shared" si="30"/>
        <v>99194.756174833281</v>
      </c>
      <c r="R33" s="239">
        <f t="shared" si="31"/>
        <v>11530.031327833331</v>
      </c>
      <c r="S33" s="239">
        <f t="shared" si="32"/>
        <v>12226.714898000006</v>
      </c>
      <c r="T33" s="239">
        <f t="shared" si="33"/>
        <v>9620743.8088370785</v>
      </c>
      <c r="U33" s="239">
        <f t="shared" si="34"/>
        <v>1720645.0167249183</v>
      </c>
      <c r="V33" s="239">
        <f t="shared" si="35"/>
        <v>1780026.5592864985</v>
      </c>
      <c r="W33" s="241">
        <v>0.21</v>
      </c>
      <c r="X33" s="271">
        <f t="shared" si="36"/>
        <v>-2755497.2308181836</v>
      </c>
      <c r="Y33" s="271">
        <f t="shared" si="13"/>
        <v>-1280224.4467619362</v>
      </c>
      <c r="Z33" s="266">
        <v>0.1116818396207977</v>
      </c>
      <c r="AA33" s="266">
        <v>0.32055058246875617</v>
      </c>
      <c r="AB33" s="266">
        <v>0.78449000000000002</v>
      </c>
      <c r="AC33" s="266">
        <v>0.17246822636892989</v>
      </c>
      <c r="AD33" s="272">
        <f t="shared" si="37"/>
        <v>2209660.2946122619</v>
      </c>
      <c r="AE33" s="267">
        <v>8.7662452806149052E-2</v>
      </c>
      <c r="AF33" s="267">
        <v>2.6102770714801864E-2</v>
      </c>
      <c r="AG33" s="240">
        <v>0.1866701832052792</v>
      </c>
      <c r="AH33" s="244">
        <f t="shared" si="22"/>
        <v>193704.24129406881</v>
      </c>
      <c r="AI33" s="244">
        <f t="shared" si="23"/>
        <v>36158.806210003429</v>
      </c>
      <c r="AJ33" s="245"/>
    </row>
    <row r="34" spans="1:36">
      <c r="A34" s="221">
        <v>44317</v>
      </c>
      <c r="B34" s="262">
        <v>61893660.949999973</v>
      </c>
      <c r="C34" s="262">
        <v>7244011.5600000005</v>
      </c>
      <c r="D34" s="262">
        <v>251270240.08999994</v>
      </c>
      <c r="E34" s="240">
        <v>6.5299999999999997E-2</v>
      </c>
      <c r="F34" s="240">
        <v>6.5299999999999997E-2</v>
      </c>
      <c r="G34" s="240">
        <v>2.3199999999999998E-2</v>
      </c>
      <c r="H34" s="239">
        <f t="shared" si="24"/>
        <v>336804.67166958319</v>
      </c>
      <c r="I34" s="239">
        <f t="shared" si="25"/>
        <v>39419.496239</v>
      </c>
      <c r="J34" s="239">
        <f t="shared" si="26"/>
        <v>485789.13084066653</v>
      </c>
      <c r="K34" s="240">
        <v>4.6199999999999998E-2</v>
      </c>
      <c r="L34" s="240">
        <v>4.6199999999999998E-2</v>
      </c>
      <c r="M34" s="240">
        <v>2.2599999999999999E-2</v>
      </c>
      <c r="N34" s="239">
        <f t="shared" si="27"/>
        <v>238290.5946574999</v>
      </c>
      <c r="O34" s="239">
        <f t="shared" si="28"/>
        <v>27889.444506</v>
      </c>
      <c r="P34" s="239">
        <f t="shared" si="29"/>
        <v>473225.61883616651</v>
      </c>
      <c r="Q34" s="239">
        <f t="shared" si="30"/>
        <v>98514.077012083289</v>
      </c>
      <c r="R34" s="239">
        <f t="shared" si="31"/>
        <v>11530.051733</v>
      </c>
      <c r="S34" s="239">
        <f t="shared" si="32"/>
        <v>12563.512004500022</v>
      </c>
      <c r="T34" s="239">
        <f t="shared" si="33"/>
        <v>9719257.8858491611</v>
      </c>
      <c r="U34" s="239">
        <f t="shared" si="34"/>
        <v>1732175.0684579182</v>
      </c>
      <c r="V34" s="239">
        <f t="shared" si="35"/>
        <v>1792590.0712909985</v>
      </c>
      <c r="W34" s="241">
        <v>0.21</v>
      </c>
      <c r="X34" s="271">
        <f t="shared" si="36"/>
        <v>-2781244.8353755963</v>
      </c>
      <c r="Y34" s="271">
        <f t="shared" si="13"/>
        <v>-1280224.4467619362</v>
      </c>
      <c r="Z34" s="266">
        <v>0.1116818396207977</v>
      </c>
      <c r="AA34" s="266">
        <v>0.32055058246875617</v>
      </c>
      <c r="AB34" s="266">
        <v>0.78449000000000002</v>
      </c>
      <c r="AC34" s="266">
        <v>0.17246822636892989</v>
      </c>
      <c r="AD34" s="272">
        <f t="shared" si="37"/>
        <v>2228762.553755438</v>
      </c>
      <c r="AE34" s="267">
        <v>8.7662452806149052E-2</v>
      </c>
      <c r="AF34" s="267">
        <v>2.6102770714801864E-2</v>
      </c>
      <c r="AG34" s="240">
        <v>0.1866701832052792</v>
      </c>
      <c r="AH34" s="244">
        <f t="shared" si="22"/>
        <v>195378.79218469831</v>
      </c>
      <c r="AI34" s="244">
        <f t="shared" si="23"/>
        <v>36471.394931543808</v>
      </c>
      <c r="AJ34" s="245"/>
    </row>
    <row r="35" spans="1:36">
      <c r="A35" s="221">
        <v>44348</v>
      </c>
      <c r="B35" s="262">
        <v>62126068.849999979</v>
      </c>
      <c r="C35" s="262">
        <v>7241851.9899999993</v>
      </c>
      <c r="D35" s="262">
        <v>250778534.09999996</v>
      </c>
      <c r="E35" s="240">
        <v>6.5299999999999997E-2</v>
      </c>
      <c r="F35" s="240">
        <v>6.5299999999999997E-2</v>
      </c>
      <c r="G35" s="240">
        <v>2.3199999999999998E-2</v>
      </c>
      <c r="H35" s="239">
        <f t="shared" si="24"/>
        <v>338069.35799208324</v>
      </c>
      <c r="I35" s="239">
        <f t="shared" si="25"/>
        <v>39407.74457891666</v>
      </c>
      <c r="J35" s="239">
        <f t="shared" si="26"/>
        <v>484838.4992599999</v>
      </c>
      <c r="K35" s="240">
        <v>4.6199999999999998E-2</v>
      </c>
      <c r="L35" s="240">
        <v>4.6199999999999998E-2</v>
      </c>
      <c r="M35" s="240">
        <v>2.2599999999999999E-2</v>
      </c>
      <c r="N35" s="239">
        <f t="shared" si="27"/>
        <v>239185.36507249993</v>
      </c>
      <c r="O35" s="239">
        <f t="shared" si="28"/>
        <v>27881.130161499997</v>
      </c>
      <c r="P35" s="239">
        <f t="shared" si="29"/>
        <v>472299.5725549999</v>
      </c>
      <c r="Q35" s="239">
        <f t="shared" si="30"/>
        <v>98883.99291958331</v>
      </c>
      <c r="R35" s="239">
        <f t="shared" si="31"/>
        <v>11526.614417416662</v>
      </c>
      <c r="S35" s="239">
        <f t="shared" si="32"/>
        <v>12538.926704999991</v>
      </c>
      <c r="T35" s="239">
        <f t="shared" si="33"/>
        <v>9818141.8787687439</v>
      </c>
      <c r="U35" s="239">
        <f t="shared" si="34"/>
        <v>1743701.682875335</v>
      </c>
      <c r="V35" s="239">
        <f t="shared" si="35"/>
        <v>1805128.9979959985</v>
      </c>
      <c r="W35" s="241">
        <v>0.21</v>
      </c>
      <c r="X35" s="271">
        <f t="shared" si="36"/>
        <v>-2807064.2375244163</v>
      </c>
      <c r="Y35" s="271">
        <f t="shared" si="13"/>
        <v>-1280224.4467619362</v>
      </c>
      <c r="Z35" s="266">
        <v>0.1116818396207977</v>
      </c>
      <c r="AA35" s="266">
        <v>0.32055058246875617</v>
      </c>
      <c r="AB35" s="266">
        <v>0.78449000000000002</v>
      </c>
      <c r="AC35" s="266">
        <v>0.17246822636892989</v>
      </c>
      <c r="AD35" s="272">
        <f t="shared" si="37"/>
        <v>2248040.8660420054</v>
      </c>
      <c r="AE35" s="267">
        <v>8.7662452806149052E-2</v>
      </c>
      <c r="AF35" s="267">
        <v>2.6102770714801864E-2</v>
      </c>
      <c r="AG35" s="240">
        <v>0.1866701832052792</v>
      </c>
      <c r="AH35" s="244">
        <f t="shared" si="22"/>
        <v>197068.77632570174</v>
      </c>
      <c r="AI35" s="244">
        <f t="shared" si="23"/>
        <v>36786.864580758935</v>
      </c>
      <c r="AJ35" s="245"/>
    </row>
    <row r="36" spans="1:36">
      <c r="A36" s="221">
        <v>44378</v>
      </c>
      <c r="B36" s="262">
        <v>62002138.739999995</v>
      </c>
      <c r="C36" s="262">
        <v>7236390.0899999999</v>
      </c>
      <c r="D36" s="262">
        <v>250822548.66999999</v>
      </c>
      <c r="E36" s="240">
        <v>6.5299999999999997E-2</v>
      </c>
      <c r="F36" s="240">
        <v>6.5299999999999997E-2</v>
      </c>
      <c r="G36" s="240">
        <v>2.3199999999999998E-2</v>
      </c>
      <c r="H36" s="239">
        <f t="shared" si="24"/>
        <v>337394.97164349997</v>
      </c>
      <c r="I36" s="239">
        <f t="shared" si="25"/>
        <v>39378.022739749998</v>
      </c>
      <c r="J36" s="239">
        <f t="shared" si="26"/>
        <v>484923.59409533325</v>
      </c>
      <c r="K36" s="240">
        <v>4.6199999999999998E-2</v>
      </c>
      <c r="L36" s="240">
        <v>4.6199999999999998E-2</v>
      </c>
      <c r="M36" s="240">
        <v>2.2599999999999999E-2</v>
      </c>
      <c r="N36" s="239">
        <f t="shared" si="27"/>
        <v>238708.234149</v>
      </c>
      <c r="O36" s="239">
        <f t="shared" si="28"/>
        <v>27860.101846499998</v>
      </c>
      <c r="P36" s="239">
        <f t="shared" si="29"/>
        <v>472382.46666183328</v>
      </c>
      <c r="Q36" s="239">
        <f t="shared" si="30"/>
        <v>98686.737494499976</v>
      </c>
      <c r="R36" s="239">
        <f t="shared" si="31"/>
        <v>11517.920893250001</v>
      </c>
      <c r="S36" s="239">
        <f t="shared" si="32"/>
        <v>12541.127433499962</v>
      </c>
      <c r="T36" s="239">
        <f t="shared" si="33"/>
        <v>9916828.6162632443</v>
      </c>
      <c r="U36" s="239">
        <f t="shared" si="34"/>
        <v>1755219.603768585</v>
      </c>
      <c r="V36" s="239">
        <f t="shared" si="35"/>
        <v>1817670.1254294985</v>
      </c>
      <c r="W36" s="241">
        <v>0.21</v>
      </c>
      <c r="X36" s="271">
        <f t="shared" si="36"/>
        <v>-2832840.8525468786</v>
      </c>
      <c r="Y36" s="271">
        <f t="shared" si="13"/>
        <v>-1280224.4467619362</v>
      </c>
      <c r="Z36" s="266">
        <v>0.1116818396207977</v>
      </c>
      <c r="AA36" s="266">
        <v>0.32055058246875617</v>
      </c>
      <c r="AB36" s="266">
        <v>0.78449000000000002</v>
      </c>
      <c r="AC36" s="266">
        <v>0.17246822636892989</v>
      </c>
      <c r="AD36" s="272">
        <f t="shared" si="37"/>
        <v>2267493.973977732</v>
      </c>
      <c r="AE36" s="267">
        <v>8.7662452806149052E-2</v>
      </c>
      <c r="AF36" s="267">
        <v>2.6102770714801864E-2</v>
      </c>
      <c r="AG36" s="240">
        <v>0.1866701832052792</v>
      </c>
      <c r="AH36" s="244">
        <f t="shared" si="22"/>
        <v>198774.08348205031</v>
      </c>
      <c r="AI36" s="244">
        <f t="shared" si="23"/>
        <v>37105.194580055795</v>
      </c>
      <c r="AJ36" s="245"/>
    </row>
    <row r="37" spans="1:36">
      <c r="A37" s="221">
        <v>44409</v>
      </c>
      <c r="B37" s="262">
        <v>62058297.36999999</v>
      </c>
      <c r="C37" s="262">
        <v>7236507.1799999997</v>
      </c>
      <c r="D37" s="262">
        <v>251203046.85999998</v>
      </c>
      <c r="E37" s="240">
        <v>6.5299999999999997E-2</v>
      </c>
      <c r="F37" s="240">
        <v>6.5299999999999997E-2</v>
      </c>
      <c r="G37" s="240">
        <v>2.3199999999999998E-2</v>
      </c>
      <c r="H37" s="239">
        <f t="shared" si="24"/>
        <v>337700.5681884166</v>
      </c>
      <c r="I37" s="239">
        <f t="shared" si="25"/>
        <v>39378.659904499997</v>
      </c>
      <c r="J37" s="239">
        <f t="shared" si="26"/>
        <v>485659.22392933327</v>
      </c>
      <c r="K37" s="240">
        <v>4.6199999999999998E-2</v>
      </c>
      <c r="L37" s="240">
        <v>4.6199999999999998E-2</v>
      </c>
      <c r="M37" s="240">
        <v>2.2599999999999999E-2</v>
      </c>
      <c r="N37" s="239">
        <f t="shared" si="27"/>
        <v>238924.44487449995</v>
      </c>
      <c r="O37" s="239">
        <f t="shared" si="28"/>
        <v>27860.552642999999</v>
      </c>
      <c r="P37" s="239">
        <f t="shared" si="29"/>
        <v>473099.07158633327</v>
      </c>
      <c r="Q37" s="239">
        <f t="shared" si="30"/>
        <v>98776.123313916643</v>
      </c>
      <c r="R37" s="239">
        <f t="shared" si="31"/>
        <v>11518.107261499998</v>
      </c>
      <c r="S37" s="239">
        <f t="shared" si="32"/>
        <v>12560.152342999994</v>
      </c>
      <c r="T37" s="239">
        <f t="shared" si="33"/>
        <v>10015604.739577161</v>
      </c>
      <c r="U37" s="239">
        <f t="shared" si="34"/>
        <v>1766737.7110300851</v>
      </c>
      <c r="V37" s="239">
        <f t="shared" si="35"/>
        <v>1830230.2777724985</v>
      </c>
      <c r="W37" s="241">
        <v>0.21</v>
      </c>
      <c r="X37" s="271">
        <f t="shared" si="36"/>
        <v>-2858640.2729597464</v>
      </c>
      <c r="Y37" s="271">
        <f t="shared" si="13"/>
        <v>-1280224.4467619362</v>
      </c>
      <c r="Z37" s="266">
        <v>0.1116818396207977</v>
      </c>
      <c r="AA37" s="266">
        <v>0.32055058246875617</v>
      </c>
      <c r="AB37" s="266">
        <v>0.78449000000000002</v>
      </c>
      <c r="AC37" s="266">
        <v>0.17246822636892989</v>
      </c>
      <c r="AD37" s="272">
        <f t="shared" si="37"/>
        <v>2287102.6575033758</v>
      </c>
      <c r="AE37" s="267">
        <v>8.7662452806149052E-2</v>
      </c>
      <c r="AF37" s="267">
        <v>2.6102770714801864E-2</v>
      </c>
      <c r="AG37" s="240">
        <v>0.1866701832052792</v>
      </c>
      <c r="AH37" s="244">
        <f t="shared" si="22"/>
        <v>200493.02877620776</v>
      </c>
      <c r="AI37" s="244">
        <f t="shared" si="23"/>
        <v>37426.070413036017</v>
      </c>
      <c r="AJ37" s="245"/>
    </row>
    <row r="38" spans="1:36">
      <c r="A38" s="221">
        <v>44440</v>
      </c>
      <c r="B38" s="262">
        <v>60792660.999999985</v>
      </c>
      <c r="C38" s="262">
        <v>6835477.0899999999</v>
      </c>
      <c r="D38" s="262">
        <v>250732574.53999999</v>
      </c>
      <c r="E38" s="240">
        <v>6.5299999999999997E-2</v>
      </c>
      <c r="F38" s="240">
        <v>6.5299999999999997E-2</v>
      </c>
      <c r="G38" s="240">
        <v>2.3199999999999998E-2</v>
      </c>
      <c r="H38" s="239">
        <f t="shared" si="24"/>
        <v>330813.39694166655</v>
      </c>
      <c r="I38" s="239">
        <f t="shared" si="25"/>
        <v>37196.387831416665</v>
      </c>
      <c r="J38" s="239">
        <f t="shared" si="26"/>
        <v>484749.64411066659</v>
      </c>
      <c r="K38" s="240">
        <v>4.6199999999999998E-2</v>
      </c>
      <c r="L38" s="240">
        <v>4.6199999999999998E-2</v>
      </c>
      <c r="M38" s="240">
        <v>2.2599999999999999E-2</v>
      </c>
      <c r="N38" s="239">
        <f t="shared" si="27"/>
        <v>234051.74484999993</v>
      </c>
      <c r="O38" s="239">
        <f t="shared" si="28"/>
        <v>26316.586796499996</v>
      </c>
      <c r="P38" s="239">
        <f t="shared" si="29"/>
        <v>472213.01538366661</v>
      </c>
      <c r="Q38" s="239">
        <f t="shared" si="30"/>
        <v>96761.65209166662</v>
      </c>
      <c r="R38" s="239">
        <f t="shared" si="31"/>
        <v>10879.801034916669</v>
      </c>
      <c r="S38" s="239">
        <f t="shared" si="32"/>
        <v>12536.628726999974</v>
      </c>
      <c r="T38" s="239">
        <f t="shared" si="33"/>
        <v>10112366.391668828</v>
      </c>
      <c r="U38" s="239">
        <f t="shared" si="34"/>
        <v>1777617.5120650018</v>
      </c>
      <c r="V38" s="239">
        <f t="shared" si="35"/>
        <v>1842766.9064994985</v>
      </c>
      <c r="W38" s="241">
        <v>0.21</v>
      </c>
      <c r="X38" s="271">
        <f t="shared" si="36"/>
        <v>-2883877.670148999</v>
      </c>
      <c r="Y38" s="271">
        <f t="shared" si="13"/>
        <v>-1280224.4467619362</v>
      </c>
      <c r="Z38" s="266">
        <v>0.1116818396207977</v>
      </c>
      <c r="AA38" s="266">
        <v>0.32055058246875617</v>
      </c>
      <c r="AB38" s="266">
        <v>0.78449000000000002</v>
      </c>
      <c r="AC38" s="266">
        <v>0.17246822636892989</v>
      </c>
      <c r="AD38" s="272">
        <f t="shared" si="37"/>
        <v>2306894.7691534963</v>
      </c>
      <c r="AE38" s="267">
        <v>8.7662452806149052E-2</v>
      </c>
      <c r="AF38" s="267">
        <v>2.6102770714801864E-2</v>
      </c>
      <c r="AG38" s="240">
        <v>0.1866701832052792</v>
      </c>
      <c r="AH38" s="244">
        <f t="shared" si="22"/>
        <v>202228.05382967048</v>
      </c>
      <c r="AI38" s="244">
        <f t="shared" si="23"/>
        <v>37749.947857631654</v>
      </c>
      <c r="AJ38" s="245"/>
    </row>
    <row r="39" spans="1:36">
      <c r="A39" s="221">
        <v>44470</v>
      </c>
      <c r="B39" s="262">
        <v>62235227.62999998</v>
      </c>
      <c r="C39" s="262">
        <v>7044722.7100000009</v>
      </c>
      <c r="D39" s="262">
        <v>251077620.72999999</v>
      </c>
      <c r="E39" s="240">
        <v>6.5299999999999997E-2</v>
      </c>
      <c r="F39" s="240">
        <v>6.5299999999999997E-2</v>
      </c>
      <c r="G39" s="240">
        <v>2.3199999999999998E-2</v>
      </c>
      <c r="H39" s="239">
        <f t="shared" si="24"/>
        <v>338663.36368658318</v>
      </c>
      <c r="I39" s="239">
        <f t="shared" si="25"/>
        <v>38335.032746916673</v>
      </c>
      <c r="J39" s="239">
        <f t="shared" si="26"/>
        <v>485416.73341133329</v>
      </c>
      <c r="K39" s="240">
        <v>4.6199999999999998E-2</v>
      </c>
      <c r="L39" s="240">
        <v>4.6199999999999998E-2</v>
      </c>
      <c r="M39" s="240">
        <v>2.2599999999999999E-2</v>
      </c>
      <c r="N39" s="239">
        <f t="shared" si="27"/>
        <v>239605.62637549991</v>
      </c>
      <c r="O39" s="239">
        <f t="shared" si="28"/>
        <v>27122.182433500002</v>
      </c>
      <c r="P39" s="239">
        <f t="shared" si="29"/>
        <v>472862.85237483331</v>
      </c>
      <c r="Q39" s="239">
        <f t="shared" si="30"/>
        <v>99057.73731108327</v>
      </c>
      <c r="R39" s="239">
        <f t="shared" si="31"/>
        <v>11212.850313416671</v>
      </c>
      <c r="S39" s="239">
        <f t="shared" si="32"/>
        <v>12553.881036499981</v>
      </c>
      <c r="T39" s="239">
        <f t="shared" si="33"/>
        <v>10211424.128979912</v>
      </c>
      <c r="U39" s="239">
        <f t="shared" si="34"/>
        <v>1788830.3623784184</v>
      </c>
      <c r="V39" s="239">
        <f t="shared" si="35"/>
        <v>1855320.7875359985</v>
      </c>
      <c r="W39" s="241">
        <v>0.21</v>
      </c>
      <c r="X39" s="271">
        <f t="shared" si="36"/>
        <v>-2909670.8085678089</v>
      </c>
      <c r="Y39" s="271">
        <f t="shared" si="13"/>
        <v>-1280224.4467619362</v>
      </c>
      <c r="Z39" s="266">
        <v>0.1116818396207977</v>
      </c>
      <c r="AA39" s="266">
        <v>0.32055058246875617</v>
      </c>
      <c r="AB39" s="266">
        <v>0.78449000000000002</v>
      </c>
      <c r="AC39" s="266">
        <v>0.17246822636892989</v>
      </c>
      <c r="AD39" s="272">
        <f t="shared" si="37"/>
        <v>2326778.9076881995</v>
      </c>
      <c r="AE39" s="267">
        <v>8.7662452806149052E-2</v>
      </c>
      <c r="AF39" s="267">
        <v>2.6102770714801864E-2</v>
      </c>
      <c r="AG39" s="240">
        <v>0.1866701832052792</v>
      </c>
      <c r="AH39" s="244">
        <f t="shared" si="22"/>
        <v>203971.14618555983</v>
      </c>
      <c r="AI39" s="244">
        <f t="shared" si="23"/>
        <v>38075.331227049239</v>
      </c>
      <c r="AJ39" s="245"/>
    </row>
    <row r="40" spans="1:36">
      <c r="A40" s="221">
        <v>44501</v>
      </c>
      <c r="B40" s="262">
        <v>61753640.809999987</v>
      </c>
      <c r="C40" s="262">
        <v>6859094.9199999999</v>
      </c>
      <c r="D40" s="262">
        <v>250876319.92000002</v>
      </c>
      <c r="E40" s="240">
        <v>6.5299999999999997E-2</v>
      </c>
      <c r="F40" s="240">
        <v>6.5299999999999997E-2</v>
      </c>
      <c r="G40" s="240">
        <v>2.3199999999999998E-2</v>
      </c>
      <c r="H40" s="239">
        <f t="shared" si="24"/>
        <v>336042.72874108324</v>
      </c>
      <c r="I40" s="239">
        <f t="shared" si="25"/>
        <v>37324.908189666668</v>
      </c>
      <c r="J40" s="239">
        <f t="shared" si="26"/>
        <v>485027.55184533331</v>
      </c>
      <c r="K40" s="240">
        <v>4.6199999999999998E-2</v>
      </c>
      <c r="L40" s="240">
        <v>4.6199999999999998E-2</v>
      </c>
      <c r="M40" s="240">
        <v>2.2599999999999999E-2</v>
      </c>
      <c r="N40" s="239">
        <f t="shared" si="27"/>
        <v>237751.51711849993</v>
      </c>
      <c r="O40" s="239">
        <f t="shared" si="28"/>
        <v>26407.515442</v>
      </c>
      <c r="P40" s="239">
        <f t="shared" si="29"/>
        <v>472483.73584933329</v>
      </c>
      <c r="Q40" s="239">
        <f t="shared" si="30"/>
        <v>98291.211622583302</v>
      </c>
      <c r="R40" s="239">
        <f t="shared" si="31"/>
        <v>10917.392747666669</v>
      </c>
      <c r="S40" s="239">
        <f t="shared" si="32"/>
        <v>12543.815996000019</v>
      </c>
      <c r="T40" s="239">
        <f t="shared" si="33"/>
        <v>10309715.340602495</v>
      </c>
      <c r="U40" s="239">
        <f t="shared" si="34"/>
        <v>1799747.7551260851</v>
      </c>
      <c r="V40" s="239">
        <f t="shared" si="35"/>
        <v>1867864.6035319986</v>
      </c>
      <c r="W40" s="241">
        <v>0.21</v>
      </c>
      <c r="X40" s="271">
        <f t="shared" si="36"/>
        <v>-2935238.8168447213</v>
      </c>
      <c r="Y40" s="271">
        <f t="shared" si="13"/>
        <v>-1280224.4467619362</v>
      </c>
      <c r="Z40" s="266">
        <v>0.1116818396207977</v>
      </c>
      <c r="AA40" s="266">
        <v>0.32055058246875617</v>
      </c>
      <c r="AB40" s="266">
        <v>0.78449000000000002</v>
      </c>
      <c r="AC40" s="266">
        <v>0.17246822636892989</v>
      </c>
      <c r="AD40" s="272">
        <f t="shared" si="37"/>
        <v>2346745.6812305544</v>
      </c>
      <c r="AE40" s="267">
        <v>8.7662452806149052E-2</v>
      </c>
      <c r="AF40" s="267">
        <v>2.6102770714801864E-2</v>
      </c>
      <c r="AG40" s="240">
        <v>0.1866701832052792</v>
      </c>
      <c r="AH40" s="244">
        <f t="shared" si="22"/>
        <v>205721.48252890757</v>
      </c>
      <c r="AI40" s="244">
        <f t="shared" si="23"/>
        <v>38402.066832932818</v>
      </c>
      <c r="AJ40" s="245"/>
    </row>
    <row r="41" spans="1:36">
      <c r="A41" s="221">
        <v>44531</v>
      </c>
      <c r="B41" s="262">
        <v>61453596.25</v>
      </c>
      <c r="C41" s="262">
        <v>6862228.2400000002</v>
      </c>
      <c r="D41" s="262">
        <v>255072038.59</v>
      </c>
      <c r="E41" s="240">
        <v>6.5299999999999997E-2</v>
      </c>
      <c r="F41" s="240">
        <v>6.5299999999999997E-2</v>
      </c>
      <c r="G41" s="240">
        <v>2.3199999999999998E-2</v>
      </c>
      <c r="H41" s="239">
        <f t="shared" si="24"/>
        <v>334409.98626041663</v>
      </c>
      <c r="I41" s="239">
        <f t="shared" si="25"/>
        <v>37341.958672666668</v>
      </c>
      <c r="J41" s="239">
        <f t="shared" si="26"/>
        <v>493139.2746073333</v>
      </c>
      <c r="K41" s="240">
        <v>4.6199999999999998E-2</v>
      </c>
      <c r="L41" s="240">
        <v>4.6199999999999998E-2</v>
      </c>
      <c r="M41" s="240">
        <v>2.2599999999999999E-2</v>
      </c>
      <c r="N41" s="239">
        <f t="shared" si="27"/>
        <v>236596.34556249998</v>
      </c>
      <c r="O41" s="239">
        <f t="shared" si="28"/>
        <v>26419.578724000003</v>
      </c>
      <c r="P41" s="239">
        <f t="shared" si="29"/>
        <v>480385.6726778333</v>
      </c>
      <c r="Q41" s="239">
        <f t="shared" si="30"/>
        <v>97813.64069791665</v>
      </c>
      <c r="R41" s="239">
        <f t="shared" si="31"/>
        <v>10922.379948666665</v>
      </c>
      <c r="S41" s="239">
        <f t="shared" si="32"/>
        <v>12753.601929500001</v>
      </c>
      <c r="T41" s="239">
        <f t="shared" si="33"/>
        <v>10407528.981300412</v>
      </c>
      <c r="U41" s="239">
        <f t="shared" si="34"/>
        <v>1810670.1350747517</v>
      </c>
      <c r="V41" s="239">
        <f t="shared" si="35"/>
        <v>1880618.2054614986</v>
      </c>
      <c r="W41" s="241">
        <v>0.21</v>
      </c>
      <c r="X41" s="271">
        <f t="shared" si="36"/>
        <v>-2960751.6375856986</v>
      </c>
      <c r="Y41" s="271">
        <f t="shared" si="13"/>
        <v>-1280224.4467619362</v>
      </c>
      <c r="Z41" s="266">
        <v>0.1116818396207977</v>
      </c>
      <c r="AA41" s="266">
        <v>0.32055058246875617</v>
      </c>
      <c r="AB41" s="266">
        <v>0.78449000000000002</v>
      </c>
      <c r="AC41" s="266">
        <v>0.17246822636892989</v>
      </c>
      <c r="AD41" s="272">
        <f t="shared" si="37"/>
        <v>2366708.3050942211</v>
      </c>
      <c r="AE41" s="267">
        <v>8.7662452806149052E-2</v>
      </c>
      <c r="AF41" s="267">
        <v>2.6102770714801864E-2</v>
      </c>
      <c r="AG41" s="240">
        <v>0.1866701832052792</v>
      </c>
      <c r="AH41" s="244">
        <f t="shared" si="22"/>
        <v>207471.45510124316</v>
      </c>
      <c r="AI41" s="244">
        <f t="shared" si="23"/>
        <v>38728.734533614916</v>
      </c>
      <c r="AJ41" s="245">
        <f t="shared" ref="AJ41" si="38">SUM(AH41:AI41)</f>
        <v>246200.18963485808</v>
      </c>
    </row>
  </sheetData>
  <mergeCells count="8">
    <mergeCell ref="T1:V1"/>
    <mergeCell ref="Z1:AC1"/>
    <mergeCell ref="B1:D1"/>
    <mergeCell ref="E1:G1"/>
    <mergeCell ref="H1:J1"/>
    <mergeCell ref="K1:M1"/>
    <mergeCell ref="N1:P1"/>
    <mergeCell ref="Q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Cost of Service References</vt:lpstr>
      <vt:lpstr>Capital True up References</vt:lpstr>
      <vt:lpstr>BHP WP1 A&amp;G</vt:lpstr>
      <vt:lpstr>BHP WP4 Transmission Assets</vt:lpstr>
      <vt:lpstr>BHP WP9 Accum Depr</vt:lpstr>
      <vt:lpstr>BHP WP10 Plant in Service</vt:lpstr>
      <vt:lpstr>BHP WP11 Property Tax Expense</vt:lpstr>
      <vt:lpstr>BHP WP12 ADIT</vt:lpstr>
      <vt:lpstr>BHP WP13 Accumulated Reserve </vt:lpstr>
      <vt:lpstr>'BHP WP1 A&amp;G'!Print_Area</vt:lpstr>
      <vt:lpstr>'BHP WP10 Plant in Service'!Print_Area</vt:lpstr>
      <vt:lpstr>'BHP WP4 Transmission Assets'!Print_Area</vt:lpstr>
      <vt:lpstr>'BHP WP9 Accum Depr'!Print_Area</vt:lpstr>
      <vt:lpstr>'Capital True up References'!Print_Area</vt:lpstr>
    </vt:vector>
  </TitlesOfParts>
  <Company>BHC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Bisgaard, Debra</dc:creator>
  <cp:lastModifiedBy>Clevinger, Michael</cp:lastModifiedBy>
  <cp:lastPrinted>2016-05-31T15:34:06Z</cp:lastPrinted>
  <dcterms:created xsi:type="dcterms:W3CDTF">2015-05-28T18:39:45Z</dcterms:created>
  <dcterms:modified xsi:type="dcterms:W3CDTF">2022-05-27T17:10:27Z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