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2.xml" ContentType="application/vnd.openxmlformats-officedocument.spreadsheetml.pivotTable+xml"/>
  <Override PartName="/xl/pivotTables/pivotTable1.xml" ContentType="application/vnd.openxmlformats-officedocument.spreadsheetml.pivotTabl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L:\BH Colo Electric, LLC\Regulatory\FERC\2022 Annual True-Up\Attachments from BH Team\"/>
    </mc:Choice>
  </mc:AlternateContent>
  <xr:revisionPtr revIDLastSave="0" documentId="13_ncr:1_{B51FFC1E-B352-4665-A192-25693680FED8}" xr6:coauthVersionLast="47" xr6:coauthVersionMax="47" xr10:uidLastSave="{00000000-0000-0000-0000-000000000000}"/>
  <bookViews>
    <workbookView xWindow="8630" yWindow="10690" windowWidth="19420" windowHeight="11500" tabRatio="904" xr2:uid="{D6EAA7BA-A311-40BB-977C-E7A59B17B103}"/>
  </bookViews>
  <sheets>
    <sheet name="A4-Rate Base" sheetId="27" r:id="rId1"/>
    <sheet name="PIS" sheetId="25" r:id="rId2"/>
    <sheet name="PIS Pivot" sheetId="24" r:id="rId3"/>
    <sheet name="PIS Data" sheetId="23" r:id="rId4"/>
    <sheet name="Pending Retirements" sheetId="26" r:id="rId5"/>
    <sheet name="Balance Sheet - Jan - Dec 2021" sheetId="20" r:id="rId6"/>
    <sheet name="Balance Sheet - Jan - Dec 2022" sheetId="22" r:id="rId7"/>
    <sheet name="BS - Jan - Dec _ 99200" sheetId="38" r:id="rId8"/>
    <sheet name="Accum" sheetId="28" r:id="rId9"/>
    <sheet name="Accum Pivot" sheetId="29" r:id="rId10"/>
    <sheet name="Accum Data" sheetId="30" r:id="rId11"/>
    <sheet name="Materials and Supplies" sheetId="36" r:id="rId12"/>
    <sheet name="Adjustments to Rate Base" sheetId="37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123Graph_A" localSheetId="0" hidden="1">[1]Sheet3!#REF!</definedName>
    <definedName name="__123Graph_A" hidden="1">'[2]Func. Plt. RRF - With Earnings'!#REF!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" hidden="1">'[2]Func. Plt. RRF - With Earnings'!#REF!</definedName>
    <definedName name="__123Graph_CBAR" hidden="1">[1]Sheet3!#REF!</definedName>
    <definedName name="__123Graph_D" hidden="1">'[2]Func. Plt. RRF - With Earnings'!#REF!</definedName>
    <definedName name="__123Graph_DBAR" hidden="1">[1]Sheet3!#REF!</definedName>
    <definedName name="__123Graph_E" hidden="1">'[2]Func. Plt. RRF - With Earnings'!#REF!</definedName>
    <definedName name="__123Graph_EBAR" hidden="1">[1]Sheet3!#REF!</definedName>
    <definedName name="__123Graph_F" hidden="1">'[2]Func. Plt. RRF - With Earnings'!#REF!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1234" hidden="1">'[3]Func. Plt. RRF - With Earnings'!#REF!</definedName>
    <definedName name="_142XX_" hidden="1">'[3]Func. Plt. RRF - With Earnings'!#REF!</definedName>
    <definedName name="_bdm.FastTrackBookmark.10_4_2004_9_40_31_AM.edm" hidden="1">'[4]Adjusted Exp &amp; Rate Base'!#REF!</definedName>
    <definedName name="_bdm.FastTrackBookmark.9_15_2004_3_08_01_PM.edm" hidden="1">'[5]Stmt H'!#REF!</definedName>
    <definedName name="_bdm.FastTrackBookmark.9_15_2004_3_17_28_PM.edm" hidden="1">'[6]WACC &amp; IT'!#REF!</definedName>
    <definedName name="_bdm.FastTrackBookmark.9_15_2004_4_15_33_PM.edm" hidden="1">'[5]Stmt H'!#REF!</definedName>
    <definedName name="_FEB01" hidden="1">{#N/A,#N/A,FALSE,"EMPPAY"}</definedName>
    <definedName name="_Fill" hidden="1">'[7]Exp Detail'!#REF!</definedName>
    <definedName name="_xlnm._FilterDatabase" localSheetId="10" hidden="1">'Accum Data'!$A$1:$O$3253</definedName>
    <definedName name="_xlnm._FilterDatabase" localSheetId="4" hidden="1">'Pending Retirements'!$A$1:$F$19</definedName>
    <definedName name="_xlnm._FilterDatabase" localSheetId="3" hidden="1">'PIS Data'!$A$1:$P$2058</definedName>
    <definedName name="_JAN01" hidden="1">{#N/A,#N/A,FALSE,"EMPPAY"}</definedName>
    <definedName name="_JAN2001" hidden="1">{#N/A,#N/A,FALSE,"EMPPAY"}</definedName>
    <definedName name="_Key1" localSheetId="0" hidden="1">'[7]Exp Detail'!#REF!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dfa" localSheetId="6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dfa" localSheetId="4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Library" hidden="1">"a1"</definedName>
    <definedName name="MAY" hidden="1">{#N/A,#N/A,FALSE,"EMPPAY"}</definedName>
    <definedName name="New" hidden="1">'[8]Stmt H'!#REF!</definedName>
    <definedName name="saraaksdf" localSheetId="6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saraaksdf" localSheetId="4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OST._.ALLOC._.STUDY._.1997._.CLFP." localSheetId="6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OST._.ALLOC._.STUDY._.1997._.CLFP." localSheetId="4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localSheetId="6" hidden="1">{#N/A,#N/A,TRUE,"DATA INPUTS"}</definedName>
    <definedName name="wrn.DATA._.INPUTS." localSheetId="4" hidden="1">{#N/A,#N/A,TRUE,"DATA INPUTS"}</definedName>
    <definedName name="wrn.DATA._.INPUTS." hidden="1">{#N/A,#N/A,TRUE,"DATA INPUTS"}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Other._.Schedules." localSheetId="6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Other._.Schedules." localSheetId="4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RAK1." localSheetId="6" hidden="1">{"RAK-1, Schedule 1",#N/A,FALSE,"Electric";"RAK-1, Schedule 2",#N/A,FALSE,"Electric";"RAK-1, Schedule 4",#N/A,FALSE,"Electric"}</definedName>
    <definedName name="wrn.RAK1." localSheetId="4" hidden="1">{"RAK-1, Schedule 1",#N/A,FALSE,"Electric";"RAK-1, Schedule 2",#N/A,FALSE,"Electric";"RAK-1, Schedule 4",#N/A,FALSE,"Electric"}</definedName>
    <definedName name="wrn.RAK1." hidden="1">{"RAK-1, Schedule 1",#N/A,FALSE,"Electric";"RAK-1, Schedule 2",#N/A,FALSE,"Electric";"RAK-1, Schedule 4",#N/A,FALSE,"Electric"}</definedName>
    <definedName name="wrn.RAK2." localSheetId="6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AK2." localSheetId="4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localSheetId="6" hidden="1">{#N/A,#N/A,FALSE,"Revenue Requirements";#N/A,#N/A,FALSE,"Capital Structure";#N/A,#N/A,FALSE,"Cost of Debt";#N/A,#N/A,FALSE,"Electric";#N/A,#N/A,FALSE,"Gas";#N/A,#N/A,FALSE,"CWC";#N/A,#N/A,FALSE,"Income Taxes"}</definedName>
    <definedName name="wrn.RevReq." localSheetId="4" hidden="1">{#N/A,#N/A,FALSE,"Revenue Requirements";#N/A,#N/A,FALSE,"Capital Structure";#N/A,#N/A,FALSE,"Cost of Debt";#N/A,#N/A,FALSE,"Electric";#N/A,#N/A,FALSE,"Gas";#N/A,#N/A,FALSE,"CWC";#N/A,#N/A,FALSE,"Income Taxes"}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localSheetId="6" hidden="1">{"ERB1",#N/A,FALSE,"Electric";"ERB2",#N/A,FALSE,"Electric";"ERB3",#N/A,FALSE,"Electric";"ERB4",#N/A,FALSE,"Electric";"ERB5",#N/A,FALSE,"Electric"}</definedName>
    <definedName name="wrn.Schedule._.4." localSheetId="4" hidden="1">{"ERB1",#N/A,FALSE,"Electric";"ERB2",#N/A,FALSE,"Electric";"ERB3",#N/A,FALSE,"Electric";"ERB4",#N/A,FALSE,"Electric";"ERB5",#N/A,FALSE,"Electric"}</definedName>
    <definedName name="wrn.Schedule._.4." hidden="1">{"ERB1",#N/A,FALSE,"Electric";"ERB2",#N/A,FALSE,"Electric";"ERB3",#N/A,FALSE,"Electric";"ERB4",#N/A,FALSE,"Electric";"ERB5",#N/A,FALSE,"Electric"}</definedName>
    <definedName name="wrn.Schedule._.5." localSheetId="6" hidden="1">{"EE1",#N/A,FALSE,"Electric";"EE2",#N/A,FALSE,"Electric";"EE3",#N/A,FALSE,"Electric";"EE4",#N/A,FALSE,"Electric";"EE5",#N/A,FALSE,"Electric"}</definedName>
    <definedName name="wrn.Schedule._.5." localSheetId="4" hidden="1">{"EE1",#N/A,FALSE,"Electric";"EE2",#N/A,FALSE,"Electric";"EE3",#N/A,FALSE,"Electric";"EE4",#N/A,FALSE,"Electric";"EE5",#N/A,FALSE,"Electric"}</definedName>
    <definedName name="wrn.Schedule._.5." hidden="1">{"EE1",#N/A,FALSE,"Electric";"EE2",#N/A,FALSE,"Electric";"EE3",#N/A,FALSE,"Electric";"EE4",#N/A,FALSE,"Electric";"EE5",#N/A,FALSE,"Electric"}</definedName>
    <definedName name="wrn.UEG._.Operating._.Report." localSheetId="6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EG._.Operating._.Report." localSheetId="4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xx" hidden="1">{#N/A,#N/A,FALSE,"EMPPAY"}</definedName>
    <definedName name="Z_F04A2B9A_C6FE_4FEB_AD1E_2CF9AC309BE4_.wvu.PrintArea" localSheetId="0" hidden="1">'A4-Rate Base'!$A$1:$L$138</definedName>
  </definedNames>
  <calcPr calcId="191029"/>
  <pivotCaches>
    <pivotCache cacheId="0" r:id="rId23"/>
    <pivotCache cacheId="1" r:id="rId2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36" l="1"/>
  <c r="H35" i="36"/>
  <c r="H36" i="36"/>
  <c r="H37" i="36"/>
  <c r="H38" i="36"/>
  <c r="Z9" i="36"/>
  <c r="Z17" i="36"/>
  <c r="Z14" i="36"/>
  <c r="Z13" i="36"/>
  <c r="Z12" i="36"/>
  <c r="G25" i="27"/>
  <c r="P51" i="27"/>
  <c r="O51" i="27"/>
  <c r="L51" i="27"/>
  <c r="N25" i="27" l="1"/>
  <c r="M25" i="27"/>
  <c r="H47" i="36"/>
  <c r="P30" i="37"/>
  <c r="D30" i="37"/>
  <c r="C21" i="28"/>
  <c r="D21" i="28"/>
  <c r="F21" i="28"/>
  <c r="G21" i="28"/>
  <c r="I21" i="28"/>
  <c r="J21" i="28"/>
  <c r="L21" i="28"/>
  <c r="M21" i="28"/>
  <c r="B140" i="29"/>
  <c r="C140" i="29"/>
  <c r="D140" i="29"/>
  <c r="E140" i="29"/>
  <c r="F140" i="29"/>
  <c r="G140" i="29"/>
  <c r="H140" i="29"/>
  <c r="I140" i="29"/>
  <c r="J140" i="29"/>
  <c r="K140" i="29"/>
  <c r="L140" i="29"/>
  <c r="M140" i="29"/>
  <c r="N140" i="29"/>
  <c r="H51" i="27"/>
  <c r="N53" i="28"/>
  <c r="C136" i="29"/>
  <c r="D136" i="29"/>
  <c r="E136" i="29"/>
  <c r="F136" i="29"/>
  <c r="G136" i="29"/>
  <c r="H136" i="29"/>
  <c r="I136" i="29"/>
  <c r="J136" i="29"/>
  <c r="K136" i="29"/>
  <c r="L136" i="29"/>
  <c r="M136" i="29"/>
  <c r="N136" i="29"/>
  <c r="C137" i="29"/>
  <c r="D137" i="29"/>
  <c r="E137" i="29"/>
  <c r="F137" i="29"/>
  <c r="G137" i="29"/>
  <c r="H137" i="29"/>
  <c r="I137" i="29"/>
  <c r="J137" i="29"/>
  <c r="K137" i="29"/>
  <c r="L137" i="29"/>
  <c r="M137" i="29"/>
  <c r="N137" i="29"/>
  <c r="C138" i="29"/>
  <c r="D138" i="29"/>
  <c r="E138" i="29"/>
  <c r="F138" i="29"/>
  <c r="G138" i="29"/>
  <c r="H138" i="29"/>
  <c r="I138" i="29"/>
  <c r="J138" i="29"/>
  <c r="K138" i="29"/>
  <c r="L138" i="29"/>
  <c r="M138" i="29"/>
  <c r="N138" i="29"/>
  <c r="C139" i="29"/>
  <c r="D139" i="29"/>
  <c r="E139" i="29"/>
  <c r="F139" i="29"/>
  <c r="G139" i="29"/>
  <c r="H139" i="29"/>
  <c r="I139" i="29"/>
  <c r="J139" i="29"/>
  <c r="K139" i="29"/>
  <c r="L139" i="29"/>
  <c r="M139" i="29"/>
  <c r="N139" i="29"/>
  <c r="B139" i="29"/>
  <c r="B138" i="29"/>
  <c r="B137" i="29"/>
  <c r="B136" i="29"/>
  <c r="B130" i="29"/>
  <c r="C130" i="29"/>
  <c r="D130" i="29"/>
  <c r="E130" i="29"/>
  <c r="F130" i="29"/>
  <c r="G130" i="29"/>
  <c r="H130" i="29"/>
  <c r="I130" i="29"/>
  <c r="J130" i="29"/>
  <c r="K130" i="29"/>
  <c r="L130" i="29"/>
  <c r="M130" i="29"/>
  <c r="B131" i="29"/>
  <c r="C131" i="29"/>
  <c r="D131" i="29"/>
  <c r="E131" i="29"/>
  <c r="F131" i="29"/>
  <c r="G131" i="29"/>
  <c r="H131" i="29"/>
  <c r="I131" i="29"/>
  <c r="J131" i="29"/>
  <c r="K131" i="29"/>
  <c r="L131" i="29"/>
  <c r="M131" i="29"/>
  <c r="N131" i="29"/>
  <c r="N130" i="29"/>
  <c r="I51" i="27" l="1"/>
  <c r="E51" i="27"/>
  <c r="F25" i="27"/>
  <c r="E11" i="28" l="1"/>
  <c r="N87" i="28"/>
  <c r="N86" i="28"/>
  <c r="K87" i="28"/>
  <c r="K86" i="28"/>
  <c r="H87" i="28"/>
  <c r="H86" i="28"/>
  <c r="N83" i="28"/>
  <c r="K83" i="28"/>
  <c r="H83" i="28"/>
  <c r="N73" i="28"/>
  <c r="K73" i="28"/>
  <c r="H73" i="28"/>
  <c r="E73" i="28"/>
  <c r="H34" i="28"/>
  <c r="E34" i="28"/>
  <c r="N20" i="28"/>
  <c r="N19" i="28"/>
  <c r="N14" i="28"/>
  <c r="N13" i="28"/>
  <c r="N12" i="28"/>
  <c r="N11" i="28"/>
  <c r="N10" i="28"/>
  <c r="N9" i="28"/>
  <c r="N8" i="28"/>
  <c r="N7" i="28"/>
  <c r="N6" i="28"/>
  <c r="K20" i="28"/>
  <c r="K19" i="28"/>
  <c r="K15" i="28"/>
  <c r="K14" i="28"/>
  <c r="K13" i="28"/>
  <c r="K12" i="28"/>
  <c r="K11" i="28"/>
  <c r="K10" i="28"/>
  <c r="K9" i="28"/>
  <c r="K8" i="28"/>
  <c r="K7" i="28"/>
  <c r="K6" i="28"/>
  <c r="H20" i="28"/>
  <c r="H19" i="28"/>
  <c r="H15" i="28"/>
  <c r="H14" i="28"/>
  <c r="H13" i="28"/>
  <c r="H12" i="28"/>
  <c r="H11" i="28"/>
  <c r="H10" i="28"/>
  <c r="H9" i="28"/>
  <c r="H8" i="28"/>
  <c r="H7" i="28"/>
  <c r="H6" i="28"/>
  <c r="E20" i="28"/>
  <c r="E19" i="28"/>
  <c r="E15" i="28"/>
  <c r="E14" i="28"/>
  <c r="E13" i="28"/>
  <c r="E12" i="28"/>
  <c r="E10" i="28"/>
  <c r="E9" i="28"/>
  <c r="E8" i="28"/>
  <c r="E7" i="28"/>
  <c r="E6" i="28"/>
  <c r="B20" i="28"/>
  <c r="B19" i="28"/>
  <c r="B15" i="28"/>
  <c r="B14" i="28"/>
  <c r="B13" i="28"/>
  <c r="B12" i="28"/>
  <c r="B11" i="28"/>
  <c r="B10" i="28"/>
  <c r="B9" i="28"/>
  <c r="B8" i="28"/>
  <c r="B7" i="28"/>
  <c r="B6" i="28"/>
  <c r="B34" i="28"/>
  <c r="B73" i="28"/>
  <c r="B83" i="28"/>
  <c r="B87" i="28"/>
  <c r="B86" i="28"/>
  <c r="B76" i="25"/>
  <c r="B80" i="25"/>
  <c r="A80" i="25"/>
  <c r="C80" i="25"/>
  <c r="D80" i="25"/>
  <c r="E80" i="25"/>
  <c r="F80" i="25"/>
  <c r="G80" i="25"/>
  <c r="H80" i="25"/>
  <c r="I80" i="25"/>
  <c r="J80" i="25"/>
  <c r="K80" i="25"/>
  <c r="L80" i="25"/>
  <c r="M80" i="25"/>
  <c r="N80" i="25"/>
  <c r="A58" i="25"/>
  <c r="B58" i="25"/>
  <c r="C58" i="25"/>
  <c r="D58" i="25"/>
  <c r="E58" i="25"/>
  <c r="F58" i="25"/>
  <c r="G58" i="25"/>
  <c r="H58" i="25"/>
  <c r="I58" i="25"/>
  <c r="J58" i="25"/>
  <c r="K58" i="25"/>
  <c r="L58" i="25"/>
  <c r="M58" i="25"/>
  <c r="N58" i="25"/>
  <c r="T47" i="36"/>
  <c r="I39" i="36"/>
  <c r="J39" i="36"/>
  <c r="K39" i="36"/>
  <c r="L39" i="36"/>
  <c r="M39" i="36"/>
  <c r="N39" i="36"/>
  <c r="O39" i="36"/>
  <c r="P39" i="36"/>
  <c r="Q39" i="36"/>
  <c r="R39" i="36"/>
  <c r="S39" i="36"/>
  <c r="T39" i="36"/>
  <c r="H39" i="36"/>
  <c r="J44" i="36"/>
  <c r="K44" i="36"/>
  <c r="L44" i="36"/>
  <c r="M44" i="36"/>
  <c r="N44" i="36"/>
  <c r="O44" i="36"/>
  <c r="P44" i="36"/>
  <c r="Q44" i="36"/>
  <c r="R44" i="36"/>
  <c r="S44" i="36"/>
  <c r="T44" i="36"/>
  <c r="I44" i="36"/>
  <c r="H44" i="36"/>
  <c r="J30" i="36"/>
  <c r="K30" i="36"/>
  <c r="L30" i="36"/>
  <c r="M30" i="36"/>
  <c r="N30" i="36"/>
  <c r="O30" i="36"/>
  <c r="P30" i="36"/>
  <c r="Q30" i="36"/>
  <c r="R30" i="36"/>
  <c r="S30" i="36"/>
  <c r="T30" i="36"/>
  <c r="J31" i="36"/>
  <c r="K31" i="36"/>
  <c r="L31" i="36"/>
  <c r="M31" i="36"/>
  <c r="N31" i="36"/>
  <c r="O31" i="36"/>
  <c r="P31" i="36"/>
  <c r="Q31" i="36"/>
  <c r="R31" i="36"/>
  <c r="S31" i="36"/>
  <c r="T31" i="36"/>
  <c r="J32" i="36"/>
  <c r="K32" i="36"/>
  <c r="L32" i="36"/>
  <c r="M32" i="36"/>
  <c r="N32" i="36"/>
  <c r="O32" i="36"/>
  <c r="P32" i="36"/>
  <c r="Q32" i="36"/>
  <c r="R32" i="36"/>
  <c r="S32" i="36"/>
  <c r="T32" i="36"/>
  <c r="I32" i="36"/>
  <c r="I31" i="36"/>
  <c r="I30" i="36"/>
  <c r="H32" i="36"/>
  <c r="H31" i="36"/>
  <c r="H30" i="36"/>
  <c r="F22" i="37"/>
  <c r="G22" i="37"/>
  <c r="H22" i="37"/>
  <c r="I22" i="37"/>
  <c r="J22" i="37"/>
  <c r="K22" i="37"/>
  <c r="L22" i="37"/>
  <c r="M22" i="37"/>
  <c r="N22" i="37"/>
  <c r="O22" i="37"/>
  <c r="P22" i="37"/>
  <c r="F23" i="37"/>
  <c r="G23" i="37"/>
  <c r="H23" i="37"/>
  <c r="I23" i="37"/>
  <c r="J23" i="37"/>
  <c r="K23" i="37"/>
  <c r="L23" i="37"/>
  <c r="M23" i="37"/>
  <c r="N23" i="37"/>
  <c r="O23" i="37"/>
  <c r="P23" i="37"/>
  <c r="F24" i="37"/>
  <c r="G24" i="37"/>
  <c r="H24" i="37"/>
  <c r="I24" i="37"/>
  <c r="J24" i="37"/>
  <c r="K24" i="37"/>
  <c r="L24" i="37"/>
  <c r="M24" i="37"/>
  <c r="N24" i="37"/>
  <c r="O24" i="37"/>
  <c r="P24" i="37"/>
  <c r="F25" i="37"/>
  <c r="G25" i="37"/>
  <c r="H25" i="37"/>
  <c r="I25" i="37"/>
  <c r="J25" i="37"/>
  <c r="K25" i="37"/>
  <c r="L25" i="37"/>
  <c r="M25" i="37"/>
  <c r="N25" i="37"/>
  <c r="O25" i="37"/>
  <c r="P25" i="37"/>
  <c r="F26" i="37"/>
  <c r="G26" i="37"/>
  <c r="H26" i="37"/>
  <c r="I26" i="37"/>
  <c r="J26" i="37"/>
  <c r="K26" i="37"/>
  <c r="L26" i="37"/>
  <c r="M26" i="37"/>
  <c r="N26" i="37"/>
  <c r="O26" i="37"/>
  <c r="P26" i="37"/>
  <c r="E26" i="37"/>
  <c r="E25" i="37"/>
  <c r="E24" i="37"/>
  <c r="E23" i="37"/>
  <c r="E22" i="37"/>
  <c r="D27" i="37"/>
  <c r="D26" i="37"/>
  <c r="D25" i="37"/>
  <c r="D24" i="37"/>
  <c r="D23" i="37"/>
  <c r="D22" i="37"/>
  <c r="D114" i="29"/>
  <c r="E114" i="29"/>
  <c r="F114" i="29"/>
  <c r="G114" i="29"/>
  <c r="H114" i="29"/>
  <c r="I114" i="29"/>
  <c r="J114" i="29"/>
  <c r="K114" i="29"/>
  <c r="L114" i="29"/>
  <c r="M114" i="29"/>
  <c r="N114" i="29"/>
  <c r="D115" i="29"/>
  <c r="E115" i="29"/>
  <c r="F115" i="29"/>
  <c r="G115" i="29"/>
  <c r="H115" i="29"/>
  <c r="I115" i="29"/>
  <c r="J115" i="29"/>
  <c r="K115" i="29"/>
  <c r="L115" i="29"/>
  <c r="M115" i="29"/>
  <c r="N115" i="29"/>
  <c r="D116" i="29"/>
  <c r="E116" i="29"/>
  <c r="F116" i="29"/>
  <c r="G116" i="29"/>
  <c r="H116" i="29"/>
  <c r="I116" i="29"/>
  <c r="J116" i="29"/>
  <c r="K116" i="29"/>
  <c r="L116" i="29"/>
  <c r="M116" i="29"/>
  <c r="N116" i="29"/>
  <c r="C116" i="29"/>
  <c r="C115" i="29"/>
  <c r="C114" i="29"/>
  <c r="B116" i="29"/>
  <c r="B115" i="29"/>
  <c r="B114" i="29"/>
  <c r="D104" i="28"/>
  <c r="E104" i="28"/>
  <c r="F104" i="28"/>
  <c r="G104" i="28"/>
  <c r="H104" i="28"/>
  <c r="I104" i="28"/>
  <c r="J104" i="28"/>
  <c r="K104" i="28"/>
  <c r="L104" i="28"/>
  <c r="M104" i="28"/>
  <c r="N104" i="28"/>
  <c r="D105" i="28"/>
  <c r="E105" i="28"/>
  <c r="F105" i="28"/>
  <c r="G105" i="28"/>
  <c r="H105" i="28"/>
  <c r="I105" i="28"/>
  <c r="J105" i="28"/>
  <c r="K105" i="28"/>
  <c r="L105" i="28"/>
  <c r="M105" i="28"/>
  <c r="N105" i="28"/>
  <c r="D106" i="28"/>
  <c r="E106" i="28"/>
  <c r="F106" i="28"/>
  <c r="G106" i="28"/>
  <c r="H106" i="28"/>
  <c r="I106" i="28"/>
  <c r="J106" i="28"/>
  <c r="K106" i="28"/>
  <c r="L106" i="28"/>
  <c r="M106" i="28"/>
  <c r="N106" i="28"/>
  <c r="C106" i="28"/>
  <c r="C105" i="28"/>
  <c r="C104" i="28"/>
  <c r="B106" i="28"/>
  <c r="B105" i="28"/>
  <c r="D95" i="28"/>
  <c r="E95" i="28"/>
  <c r="F95" i="28"/>
  <c r="G95" i="28"/>
  <c r="H95" i="28"/>
  <c r="I95" i="28"/>
  <c r="J95" i="28"/>
  <c r="K95" i="28"/>
  <c r="L95" i="28"/>
  <c r="M95" i="28"/>
  <c r="N95" i="28"/>
  <c r="D96" i="28"/>
  <c r="E96" i="28"/>
  <c r="F96" i="28"/>
  <c r="G96" i="28"/>
  <c r="H96" i="28"/>
  <c r="I96" i="28"/>
  <c r="J96" i="28"/>
  <c r="K96" i="28"/>
  <c r="L96" i="28"/>
  <c r="M96" i="28"/>
  <c r="N96" i="28"/>
  <c r="D97" i="28"/>
  <c r="E97" i="28"/>
  <c r="F97" i="28"/>
  <c r="G97" i="28"/>
  <c r="H97" i="28"/>
  <c r="I97" i="28"/>
  <c r="J97" i="28"/>
  <c r="K97" i="28"/>
  <c r="L97" i="28"/>
  <c r="M97" i="28"/>
  <c r="N97" i="28"/>
  <c r="D98" i="28"/>
  <c r="E98" i="28"/>
  <c r="F98" i="28"/>
  <c r="G98" i="28"/>
  <c r="H98" i="28"/>
  <c r="I98" i="28"/>
  <c r="J98" i="28"/>
  <c r="K98" i="28"/>
  <c r="L98" i="28"/>
  <c r="M98" i="28"/>
  <c r="N98" i="28"/>
  <c r="C98" i="28"/>
  <c r="C97" i="28"/>
  <c r="C96" i="28"/>
  <c r="C95" i="28"/>
  <c r="B98" i="28"/>
  <c r="B97" i="28"/>
  <c r="B96" i="28"/>
  <c r="B95" i="28"/>
  <c r="H21" i="28" l="1"/>
  <c r="K21" i="28"/>
  <c r="N21" i="28"/>
  <c r="B21" i="28"/>
  <c r="E21" i="28"/>
  <c r="F75" i="27"/>
  <c r="I53" i="27" s="1"/>
  <c r="F74" i="27"/>
  <c r="F73" i="27"/>
  <c r="F72" i="27"/>
  <c r="F71" i="27"/>
  <c r="F70" i="27"/>
  <c r="F69" i="27"/>
  <c r="F68" i="27"/>
  <c r="F67" i="27"/>
  <c r="F66" i="27"/>
  <c r="F65" i="27"/>
  <c r="F64" i="27"/>
  <c r="F63" i="27"/>
  <c r="E75" i="27"/>
  <c r="E74" i="27"/>
  <c r="E73" i="27"/>
  <c r="E72" i="27"/>
  <c r="E71" i="27"/>
  <c r="E70" i="27"/>
  <c r="E69" i="27"/>
  <c r="E68" i="27"/>
  <c r="E67" i="27"/>
  <c r="E66" i="27"/>
  <c r="E65" i="27"/>
  <c r="E64" i="27"/>
  <c r="E63" i="27"/>
  <c r="B134" i="25" l="1"/>
  <c r="G27" i="27"/>
  <c r="C134" i="25"/>
  <c r="N27" i="27"/>
  <c r="P53" i="27"/>
  <c r="F132" i="28"/>
  <c r="E132" i="28"/>
  <c r="C120" i="29"/>
  <c r="D120" i="29"/>
  <c r="E120" i="29"/>
  <c r="F120" i="29"/>
  <c r="G120" i="29"/>
  <c r="H120" i="29"/>
  <c r="I120" i="29"/>
  <c r="J120" i="29"/>
  <c r="K120" i="29"/>
  <c r="L120" i="29"/>
  <c r="M120" i="29"/>
  <c r="N120" i="29"/>
  <c r="B120" i="29"/>
  <c r="C76" i="28" l="1"/>
  <c r="E116" i="28" s="1"/>
  <c r="D76" i="28"/>
  <c r="E117" i="28" s="1"/>
  <c r="F76" i="28"/>
  <c r="E119" i="28" s="1"/>
  <c r="G76" i="28"/>
  <c r="E120" i="28" s="1"/>
  <c r="I76" i="28"/>
  <c r="E122" i="28" s="1"/>
  <c r="J76" i="28"/>
  <c r="E123" i="28" s="1"/>
  <c r="L76" i="28"/>
  <c r="E125" i="28" s="1"/>
  <c r="M76" i="28"/>
  <c r="E126" i="28" s="1"/>
  <c r="C102" i="29"/>
  <c r="D102" i="29"/>
  <c r="E102" i="29"/>
  <c r="F102" i="29"/>
  <c r="G102" i="29"/>
  <c r="H102" i="29"/>
  <c r="I102" i="29"/>
  <c r="J102" i="29"/>
  <c r="K102" i="29"/>
  <c r="L102" i="29"/>
  <c r="M102" i="29"/>
  <c r="N102" i="29"/>
  <c r="B102" i="29"/>
  <c r="C101" i="29"/>
  <c r="D101" i="29"/>
  <c r="E101" i="29"/>
  <c r="F101" i="29"/>
  <c r="G101" i="29"/>
  <c r="H101" i="29"/>
  <c r="I101" i="29"/>
  <c r="J101" i="29"/>
  <c r="K101" i="29"/>
  <c r="L101" i="29"/>
  <c r="M101" i="29"/>
  <c r="N101" i="29"/>
  <c r="C103" i="29"/>
  <c r="D103" i="29"/>
  <c r="E103" i="29"/>
  <c r="F103" i="29"/>
  <c r="G103" i="29"/>
  <c r="H103" i="29"/>
  <c r="I103" i="29"/>
  <c r="J103" i="29"/>
  <c r="K103" i="29"/>
  <c r="L103" i="29"/>
  <c r="M103" i="29"/>
  <c r="N103" i="29"/>
  <c r="C104" i="29"/>
  <c r="D104" i="29"/>
  <c r="E104" i="29"/>
  <c r="F104" i="29"/>
  <c r="G104" i="29"/>
  <c r="H104" i="29"/>
  <c r="I104" i="29"/>
  <c r="J104" i="29"/>
  <c r="K104" i="29"/>
  <c r="L104" i="29"/>
  <c r="M104" i="29"/>
  <c r="N104" i="29"/>
  <c r="B104" i="29"/>
  <c r="B103" i="29"/>
  <c r="B101" i="29"/>
  <c r="M105" i="29" l="1"/>
  <c r="M111" i="29" s="1"/>
  <c r="N105" i="29"/>
  <c r="D105" i="29"/>
  <c r="D108" i="29" s="1"/>
  <c r="C105" i="29"/>
  <c r="C108" i="29" s="1"/>
  <c r="K105" i="29"/>
  <c r="K108" i="29" s="1"/>
  <c r="E105" i="29"/>
  <c r="E109" i="29" s="1"/>
  <c r="L105" i="29"/>
  <c r="L110" i="29" s="1"/>
  <c r="B105" i="29"/>
  <c r="B108" i="29" s="1"/>
  <c r="N110" i="29"/>
  <c r="N109" i="29"/>
  <c r="N108" i="29"/>
  <c r="M108" i="29"/>
  <c r="F105" i="29"/>
  <c r="F109" i="29" s="1"/>
  <c r="N111" i="29"/>
  <c r="G105" i="29"/>
  <c r="G110" i="29" s="1"/>
  <c r="H105" i="29"/>
  <c r="H111" i="29" s="1"/>
  <c r="M110" i="29"/>
  <c r="M109" i="29"/>
  <c r="J105" i="29"/>
  <c r="I105" i="29"/>
  <c r="I108" i="29" s="1"/>
  <c r="E108" i="29" l="1"/>
  <c r="M133" i="29"/>
  <c r="C111" i="29"/>
  <c r="E110" i="29"/>
  <c r="E111" i="29"/>
  <c r="K109" i="29"/>
  <c r="K111" i="29"/>
  <c r="L111" i="29"/>
  <c r="K110" i="29"/>
  <c r="L109" i="29"/>
  <c r="D110" i="29"/>
  <c r="D111" i="29"/>
  <c r="C110" i="29"/>
  <c r="C109" i="29"/>
  <c r="D109" i="29"/>
  <c r="L108" i="29"/>
  <c r="G109" i="29"/>
  <c r="B110" i="29"/>
  <c r="B109" i="29"/>
  <c r="B111" i="29"/>
  <c r="G108" i="29"/>
  <c r="I110" i="29"/>
  <c r="I111" i="29"/>
  <c r="J109" i="29"/>
  <c r="J111" i="29"/>
  <c r="J110" i="29"/>
  <c r="F110" i="29"/>
  <c r="H108" i="29"/>
  <c r="F108" i="29"/>
  <c r="G111" i="29"/>
  <c r="H110" i="29"/>
  <c r="I109" i="29"/>
  <c r="J108" i="29"/>
  <c r="F111" i="29"/>
  <c r="H109" i="29"/>
  <c r="G133" i="29" l="1"/>
  <c r="F133" i="29"/>
  <c r="N133" i="29"/>
  <c r="M123" i="29"/>
  <c r="B123" i="29"/>
  <c r="N123" i="29"/>
  <c r="K123" i="29"/>
  <c r="E123" i="29"/>
  <c r="D123" i="29"/>
  <c r="C133" i="29" l="1"/>
  <c r="D133" i="29"/>
  <c r="I133" i="29"/>
  <c r="E133" i="29"/>
  <c r="K133" i="29"/>
  <c r="B133" i="29"/>
  <c r="J133" i="29"/>
  <c r="H133" i="29"/>
  <c r="C123" i="29"/>
  <c r="L133" i="29"/>
  <c r="H123" i="29"/>
  <c r="G123" i="29"/>
  <c r="F123" i="29"/>
  <c r="L123" i="29"/>
  <c r="J123" i="29"/>
  <c r="I123" i="29"/>
  <c r="C95" i="29" l="1"/>
  <c r="D95" i="29"/>
  <c r="E95" i="29"/>
  <c r="F95" i="29"/>
  <c r="G95" i="29"/>
  <c r="H95" i="29"/>
  <c r="I95" i="29"/>
  <c r="J95" i="29"/>
  <c r="K95" i="29"/>
  <c r="L95" i="29"/>
  <c r="M95" i="29"/>
  <c r="N95" i="29"/>
  <c r="B95" i="29"/>
  <c r="C90" i="28"/>
  <c r="F116" i="28" s="1"/>
  <c r="D90" i="28"/>
  <c r="F117" i="28" s="1"/>
  <c r="E90" i="28"/>
  <c r="F118" i="28" s="1"/>
  <c r="F90" i="28"/>
  <c r="F119" i="28" s="1"/>
  <c r="G90" i="28"/>
  <c r="F120" i="28" s="1"/>
  <c r="I90" i="28"/>
  <c r="F122" i="28" s="1"/>
  <c r="J90" i="28"/>
  <c r="F123" i="28" s="1"/>
  <c r="L90" i="28"/>
  <c r="F125" i="28" s="1"/>
  <c r="M90" i="28"/>
  <c r="F126" i="28" s="1"/>
  <c r="G116" i="28"/>
  <c r="G117" i="28"/>
  <c r="G119" i="28"/>
  <c r="G120" i="28"/>
  <c r="G122" i="28"/>
  <c r="G123" i="28"/>
  <c r="G125" i="28"/>
  <c r="G126" i="28"/>
  <c r="I88" i="27"/>
  <c r="I89" i="27"/>
  <c r="I90" i="27"/>
  <c r="I17" i="37"/>
  <c r="I98" i="27" s="1"/>
  <c r="K98" i="27" s="1"/>
  <c r="I16" i="37"/>
  <c r="I97" i="27" s="1"/>
  <c r="I15" i="37"/>
  <c r="I96" i="27" s="1"/>
  <c r="I14" i="37"/>
  <c r="I95" i="27" s="1"/>
  <c r="I13" i="37"/>
  <c r="I94" i="27" s="1"/>
  <c r="I12" i="37"/>
  <c r="I93" i="27" s="1"/>
  <c r="I11" i="37"/>
  <c r="I92" i="27" s="1"/>
  <c r="I10" i="37"/>
  <c r="I91" i="27" s="1"/>
  <c r="I9" i="37"/>
  <c r="I8" i="37"/>
  <c r="I7" i="37"/>
  <c r="I6" i="37"/>
  <c r="I87" i="27" s="1"/>
  <c r="I5" i="37"/>
  <c r="I86" i="27" s="1"/>
  <c r="K86" i="27" s="1"/>
  <c r="D18" i="37"/>
  <c r="C18" i="37"/>
  <c r="D126" i="27"/>
  <c r="D127" i="27"/>
  <c r="D128" i="27"/>
  <c r="D129" i="27"/>
  <c r="D130" i="27"/>
  <c r="D132" i="27"/>
  <c r="J132" i="27" s="1"/>
  <c r="K34" i="36"/>
  <c r="E8" i="36" s="1"/>
  <c r="E123" i="27" s="1"/>
  <c r="L34" i="36"/>
  <c r="E9" i="36" s="1"/>
  <c r="E124" i="27" s="1"/>
  <c r="M34" i="36"/>
  <c r="E10" i="36" s="1"/>
  <c r="E125" i="27" s="1"/>
  <c r="N34" i="36"/>
  <c r="E11" i="36" s="1"/>
  <c r="E126" i="27" s="1"/>
  <c r="O34" i="36"/>
  <c r="E12" i="36" s="1"/>
  <c r="E127" i="27" s="1"/>
  <c r="P34" i="36"/>
  <c r="E13" i="36" s="1"/>
  <c r="E128" i="27" s="1"/>
  <c r="L35" i="36"/>
  <c r="M35" i="36"/>
  <c r="N35" i="36"/>
  <c r="O35" i="36"/>
  <c r="P35" i="36"/>
  <c r="Q35" i="36"/>
  <c r="N36" i="36"/>
  <c r="C11" i="36" s="1"/>
  <c r="C126" i="27" s="1"/>
  <c r="O36" i="36"/>
  <c r="C12" i="36" s="1"/>
  <c r="C127" i="27" s="1"/>
  <c r="P36" i="36"/>
  <c r="C13" i="36" s="1"/>
  <c r="C128" i="27" s="1"/>
  <c r="Q36" i="36"/>
  <c r="C14" i="36" s="1"/>
  <c r="C129" i="27" s="1"/>
  <c r="R36" i="36"/>
  <c r="C15" i="36" s="1"/>
  <c r="C130" i="27" s="1"/>
  <c r="N37" i="36"/>
  <c r="O37" i="36"/>
  <c r="P37" i="36"/>
  <c r="Q37" i="36"/>
  <c r="R37" i="36"/>
  <c r="S37" i="36"/>
  <c r="N38" i="36"/>
  <c r="O38" i="36"/>
  <c r="P38" i="36"/>
  <c r="Q38" i="36"/>
  <c r="R38" i="36"/>
  <c r="W17" i="36"/>
  <c r="W14" i="36"/>
  <c r="W13" i="36"/>
  <c r="W12" i="36"/>
  <c r="W9" i="36"/>
  <c r="V18" i="36"/>
  <c r="D17" i="36"/>
  <c r="D16" i="36"/>
  <c r="D131" i="27" s="1"/>
  <c r="D15" i="36"/>
  <c r="D14" i="36"/>
  <c r="D13" i="36"/>
  <c r="F13" i="36" s="1"/>
  <c r="D12" i="36"/>
  <c r="D11" i="36"/>
  <c r="D10" i="36"/>
  <c r="D125" i="27" s="1"/>
  <c r="D9" i="36"/>
  <c r="D124" i="27" s="1"/>
  <c r="D8" i="36"/>
  <c r="D123" i="27" s="1"/>
  <c r="D7" i="36"/>
  <c r="D122" i="27" s="1"/>
  <c r="D6" i="36"/>
  <c r="D121" i="27" s="1"/>
  <c r="D5" i="36"/>
  <c r="D120" i="27" s="1"/>
  <c r="J120" i="27" s="1"/>
  <c r="I33" i="36"/>
  <c r="I35" i="36" s="1"/>
  <c r="J33" i="36"/>
  <c r="J38" i="36" s="1"/>
  <c r="K33" i="36"/>
  <c r="K38" i="36" s="1"/>
  <c r="L33" i="36"/>
  <c r="L38" i="36" s="1"/>
  <c r="M33" i="36"/>
  <c r="M38" i="36" s="1"/>
  <c r="N33" i="36"/>
  <c r="O33" i="36"/>
  <c r="P33" i="36"/>
  <c r="Q33" i="36"/>
  <c r="Q34" i="36" s="1"/>
  <c r="E14" i="36" s="1"/>
  <c r="E129" i="27" s="1"/>
  <c r="R33" i="36"/>
  <c r="R35" i="36" s="1"/>
  <c r="S33" i="36"/>
  <c r="S36" i="36" s="1"/>
  <c r="C16" i="36" s="1"/>
  <c r="T33" i="36"/>
  <c r="T37" i="36" s="1"/>
  <c r="H33" i="36"/>
  <c r="C131" i="27" l="1"/>
  <c r="S38" i="36"/>
  <c r="T38" i="36"/>
  <c r="M36" i="36"/>
  <c r="C10" i="36" s="1"/>
  <c r="C125" i="27" s="1"/>
  <c r="M37" i="36"/>
  <c r="L36" i="36"/>
  <c r="C9" i="36" s="1"/>
  <c r="K35" i="36"/>
  <c r="J34" i="36"/>
  <c r="E7" i="36" s="1"/>
  <c r="E122" i="27" s="1"/>
  <c r="F7" i="36"/>
  <c r="L37" i="36"/>
  <c r="K36" i="36"/>
  <c r="C8" i="36" s="1"/>
  <c r="C123" i="27" s="1"/>
  <c r="J35" i="36"/>
  <c r="K37" i="36"/>
  <c r="J36" i="36"/>
  <c r="C7" i="36" s="1"/>
  <c r="C122" i="27" s="1"/>
  <c r="T34" i="36"/>
  <c r="E17" i="36" s="1"/>
  <c r="E132" i="27" s="1"/>
  <c r="L132" i="27" s="1"/>
  <c r="J37" i="36"/>
  <c r="T35" i="36"/>
  <c r="S34" i="36"/>
  <c r="E16" i="36" s="1"/>
  <c r="E131" i="27" s="1"/>
  <c r="F11" i="36"/>
  <c r="F10" i="36"/>
  <c r="T36" i="36"/>
  <c r="C17" i="36" s="1"/>
  <c r="C132" i="27" s="1"/>
  <c r="H132" i="27" s="1"/>
  <c r="S35" i="36"/>
  <c r="R34" i="36"/>
  <c r="E15" i="36" s="1"/>
  <c r="E130" i="27" s="1"/>
  <c r="I37" i="36"/>
  <c r="I34" i="36"/>
  <c r="E6" i="36" s="1"/>
  <c r="E121" i="27" s="1"/>
  <c r="I38" i="36"/>
  <c r="I36" i="36"/>
  <c r="C6" i="36" s="1"/>
  <c r="C121" i="27" s="1"/>
  <c r="E5" i="36"/>
  <c r="E120" i="27" s="1"/>
  <c r="L120" i="27" s="1"/>
  <c r="C5" i="36"/>
  <c r="C120" i="27" s="1"/>
  <c r="H120" i="27" s="1"/>
  <c r="I18" i="37"/>
  <c r="F14" i="36"/>
  <c r="F12" i="36"/>
  <c r="F6" i="36"/>
  <c r="D18" i="36"/>
  <c r="H75" i="27"/>
  <c r="H74" i="27"/>
  <c r="H73" i="27"/>
  <c r="H72" i="27"/>
  <c r="H71" i="27"/>
  <c r="H70" i="27"/>
  <c r="H69" i="27"/>
  <c r="H68" i="27"/>
  <c r="H67" i="27"/>
  <c r="H66" i="27"/>
  <c r="H65" i="27"/>
  <c r="H64" i="27"/>
  <c r="H63" i="27"/>
  <c r="G75" i="27"/>
  <c r="F27" i="27" s="1"/>
  <c r="G74" i="27"/>
  <c r="G73" i="27"/>
  <c r="G72" i="27"/>
  <c r="G71" i="27"/>
  <c r="G70" i="27"/>
  <c r="G69" i="27"/>
  <c r="G68" i="27"/>
  <c r="G67" i="27"/>
  <c r="G66" i="27"/>
  <c r="G65" i="27"/>
  <c r="G64" i="27"/>
  <c r="G63" i="27"/>
  <c r="D75" i="27"/>
  <c r="D74" i="27"/>
  <c r="D73" i="27"/>
  <c r="D72" i="27"/>
  <c r="D71" i="27"/>
  <c r="D70" i="27"/>
  <c r="D69" i="27"/>
  <c r="D68" i="27"/>
  <c r="D67" i="27"/>
  <c r="D66" i="27"/>
  <c r="D65" i="27"/>
  <c r="D64" i="27"/>
  <c r="D63" i="27"/>
  <c r="C135" i="25" l="1"/>
  <c r="M27" i="27"/>
  <c r="O54" i="27"/>
  <c r="F133" i="28"/>
  <c r="L52" i="27"/>
  <c r="F134" i="28"/>
  <c r="E133" i="28"/>
  <c r="H54" i="27"/>
  <c r="E134" i="28"/>
  <c r="E52" i="27"/>
  <c r="B135" i="25"/>
  <c r="C124" i="27"/>
  <c r="F9" i="36"/>
  <c r="F15" i="36"/>
  <c r="F17" i="36"/>
  <c r="E18" i="36"/>
  <c r="F8" i="36"/>
  <c r="C18" i="36"/>
  <c r="F16" i="36"/>
  <c r="F5" i="36"/>
  <c r="C75" i="27"/>
  <c r="C74" i="27"/>
  <c r="C73" i="27"/>
  <c r="C72" i="27"/>
  <c r="C71" i="27"/>
  <c r="C70" i="27"/>
  <c r="C69" i="27"/>
  <c r="C68" i="27"/>
  <c r="C67" i="27"/>
  <c r="C66" i="27"/>
  <c r="C65" i="27"/>
  <c r="C64" i="27"/>
  <c r="C63" i="27"/>
  <c r="E135" i="28" l="1"/>
  <c r="M26" i="27"/>
  <c r="C136" i="25"/>
  <c r="F135" i="28"/>
  <c r="C137" i="25"/>
  <c r="B136" i="25"/>
  <c r="B137" i="25" s="1"/>
  <c r="C26" i="27"/>
  <c r="F18" i="36"/>
  <c r="C107" i="28"/>
  <c r="D107" i="28"/>
  <c r="E107" i="28"/>
  <c r="F107" i="28"/>
  <c r="G107" i="28"/>
  <c r="H107" i="28"/>
  <c r="I107" i="28"/>
  <c r="J107" i="28"/>
  <c r="K107" i="28"/>
  <c r="L107" i="28"/>
  <c r="M107" i="28"/>
  <c r="N107" i="28"/>
  <c r="B107" i="28"/>
  <c r="I117" i="28" l="1"/>
  <c r="I37" i="27" s="1"/>
  <c r="I118" i="28"/>
  <c r="I38" i="27" s="1"/>
  <c r="I119" i="28"/>
  <c r="I39" i="27" s="1"/>
  <c r="I120" i="28"/>
  <c r="I40" i="27" s="1"/>
  <c r="I121" i="28"/>
  <c r="I41" i="27" s="1"/>
  <c r="I122" i="28"/>
  <c r="I42" i="27" s="1"/>
  <c r="I123" i="28"/>
  <c r="I43" i="27" s="1"/>
  <c r="I124" i="28"/>
  <c r="I44" i="27" s="1"/>
  <c r="I125" i="28"/>
  <c r="I45" i="27" s="1"/>
  <c r="I126" i="28"/>
  <c r="I46" i="27" s="1"/>
  <c r="I127" i="28"/>
  <c r="I116" i="28"/>
  <c r="I36" i="27" s="1"/>
  <c r="N76" i="28"/>
  <c r="E127" i="28" s="1"/>
  <c r="D2343" i="30"/>
  <c r="D2109" i="30"/>
  <c r="D2096" i="30"/>
  <c r="D1654" i="30"/>
  <c r="D1641" i="30"/>
  <c r="D1498" i="30"/>
  <c r="D1420" i="30"/>
  <c r="D1381" i="30"/>
  <c r="D1380" i="30"/>
  <c r="D1355" i="30"/>
  <c r="D339" i="30"/>
  <c r="D338" i="30"/>
  <c r="D105" i="30"/>
  <c r="D92" i="30"/>
  <c r="D79" i="30"/>
  <c r="D66" i="30"/>
  <c r="D40" i="30"/>
  <c r="D27" i="30"/>
  <c r="D14" i="30"/>
  <c r="D3253" i="30"/>
  <c r="D3214" i="30"/>
  <c r="D3188" i="30"/>
  <c r="D3162" i="30"/>
  <c r="D3123" i="30"/>
  <c r="D3006" i="30"/>
  <c r="D2967" i="30"/>
  <c r="D2941" i="30"/>
  <c r="D2940" i="30"/>
  <c r="D2772" i="30"/>
  <c r="D2668" i="30"/>
  <c r="D2603" i="30"/>
  <c r="D2538" i="30"/>
  <c r="D2537" i="30"/>
  <c r="D2408" i="30"/>
  <c r="D2304" i="30"/>
  <c r="D2265" i="30"/>
  <c r="D2264" i="30"/>
  <c r="D2213" i="30"/>
  <c r="D2187" i="30"/>
  <c r="D2161" i="30"/>
  <c r="D2160" i="30"/>
  <c r="D2083" i="30"/>
  <c r="D2057" i="30"/>
  <c r="D2031" i="30"/>
  <c r="D2005" i="30"/>
  <c r="D1979" i="30"/>
  <c r="D1953" i="30"/>
  <c r="D1927" i="30"/>
  <c r="D1901" i="30"/>
  <c r="D1875" i="30"/>
  <c r="D1849" i="30"/>
  <c r="D1823" i="30"/>
  <c r="D1797" i="30"/>
  <c r="D1771" i="30"/>
  <c r="D1745" i="30"/>
  <c r="D1719" i="30"/>
  <c r="D1680" i="30"/>
  <c r="D1589" i="30"/>
  <c r="D1563" i="30"/>
  <c r="D1562" i="30"/>
  <c r="D1485" i="30"/>
  <c r="D1484" i="30"/>
  <c r="D1407" i="30"/>
  <c r="D1342" i="30"/>
  <c r="D1341" i="30"/>
  <c r="D1340" i="30"/>
  <c r="D1225" i="30"/>
  <c r="D1224" i="30"/>
  <c r="D1223" i="30"/>
  <c r="D1222" i="30"/>
  <c r="D1221" i="30"/>
  <c r="D1030" i="30"/>
  <c r="D1029" i="30"/>
  <c r="D1028" i="30"/>
  <c r="D1027" i="30"/>
  <c r="D1026" i="30"/>
  <c r="D1025" i="30"/>
  <c r="D1024" i="30"/>
  <c r="D848" i="30"/>
  <c r="D757" i="30"/>
  <c r="D756" i="30"/>
  <c r="D755" i="30"/>
  <c r="D754" i="30"/>
  <c r="D753" i="30"/>
  <c r="D575" i="30"/>
  <c r="D574" i="30"/>
  <c r="D573" i="30"/>
  <c r="D572" i="30"/>
  <c r="D443" i="30"/>
  <c r="D391" i="30"/>
  <c r="D274" i="30"/>
  <c r="D248" i="30"/>
  <c r="D222" i="30"/>
  <c r="D183" i="30"/>
  <c r="D157" i="30"/>
  <c r="D131" i="30"/>
  <c r="D65" i="30"/>
  <c r="D64" i="30"/>
  <c r="D63" i="30"/>
  <c r="D3252" i="30"/>
  <c r="D62" i="30"/>
  <c r="D61" i="30"/>
  <c r="D60" i="30"/>
  <c r="D59" i="30"/>
  <c r="D3251" i="30"/>
  <c r="D3250" i="30"/>
  <c r="D3249" i="30"/>
  <c r="D3248" i="30"/>
  <c r="D3247" i="30"/>
  <c r="D3246" i="30"/>
  <c r="D3245" i="30"/>
  <c r="D3244" i="30"/>
  <c r="D3213" i="30"/>
  <c r="D3187" i="30"/>
  <c r="D3161" i="30"/>
  <c r="D3160" i="30"/>
  <c r="D3122" i="30"/>
  <c r="D3121" i="30"/>
  <c r="D3120" i="30"/>
  <c r="D3119" i="30"/>
  <c r="D3058" i="30"/>
  <c r="D3057" i="30"/>
  <c r="D3056" i="30"/>
  <c r="D3055" i="30"/>
  <c r="D3005" i="30"/>
  <c r="D3004" i="30"/>
  <c r="D2966" i="30"/>
  <c r="D2939" i="30"/>
  <c r="D2938" i="30"/>
  <c r="D2889" i="30"/>
  <c r="D2771" i="30"/>
  <c r="D2770" i="30"/>
  <c r="D2769" i="30"/>
  <c r="D2768" i="30"/>
  <c r="D2667" i="30"/>
  <c r="D2666" i="30"/>
  <c r="D2665" i="30"/>
  <c r="D2664" i="30"/>
  <c r="D2602" i="30"/>
  <c r="D2601" i="30"/>
  <c r="D2600" i="30"/>
  <c r="D2599" i="30"/>
  <c r="D2536" i="30"/>
  <c r="D2535" i="30"/>
  <c r="D2534" i="30"/>
  <c r="D2533" i="30"/>
  <c r="D2460" i="30"/>
  <c r="D2459" i="30"/>
  <c r="D2458" i="30"/>
  <c r="D2457" i="30"/>
  <c r="D2407" i="30"/>
  <c r="D2406" i="30"/>
  <c r="D2405" i="30"/>
  <c r="D2404" i="30"/>
  <c r="D2330" i="30"/>
  <c r="D2317" i="30"/>
  <c r="D2303" i="30"/>
  <c r="D2302" i="30"/>
  <c r="D2263" i="30"/>
  <c r="D2262" i="30"/>
  <c r="D2212" i="30"/>
  <c r="D2186" i="30"/>
  <c r="D2159" i="30"/>
  <c r="D2158" i="30"/>
  <c r="D2082" i="30"/>
  <c r="D2056" i="30"/>
  <c r="D2030" i="30"/>
  <c r="D2004" i="30"/>
  <c r="D1978" i="30"/>
  <c r="D1952" i="30"/>
  <c r="D1926" i="30"/>
  <c r="D1900" i="30"/>
  <c r="D1874" i="30"/>
  <c r="D1848" i="30"/>
  <c r="D1822" i="30"/>
  <c r="D1796" i="30"/>
  <c r="D1770" i="30"/>
  <c r="D1744" i="30"/>
  <c r="D1718" i="30"/>
  <c r="D1679" i="30"/>
  <c r="D1628" i="30"/>
  <c r="D1615" i="30"/>
  <c r="D1614" i="30"/>
  <c r="D1588" i="30"/>
  <c r="D1561" i="30"/>
  <c r="D1560" i="30"/>
  <c r="D1511" i="30"/>
  <c r="D1483" i="30"/>
  <c r="D1482" i="30"/>
  <c r="D1406" i="30"/>
  <c r="D1339" i="30"/>
  <c r="D1338" i="30"/>
  <c r="D1337" i="30"/>
  <c r="D1336" i="30"/>
  <c r="D1335" i="30"/>
  <c r="D1334" i="30"/>
  <c r="D1220" i="30"/>
  <c r="D1219" i="30"/>
  <c r="D1218" i="30"/>
  <c r="D1217" i="30"/>
  <c r="D1216" i="30"/>
  <c r="D1215" i="30"/>
  <c r="D1214" i="30"/>
  <c r="D1069" i="30"/>
  <c r="D1068" i="30"/>
  <c r="D1067" i="30"/>
  <c r="D1023" i="30"/>
  <c r="D1022" i="30"/>
  <c r="D1021" i="30"/>
  <c r="D1020" i="30"/>
  <c r="D1019" i="30"/>
  <c r="D1018" i="30"/>
  <c r="D1017" i="30"/>
  <c r="D847" i="30"/>
  <c r="D846" i="30"/>
  <c r="D845" i="30"/>
  <c r="D844" i="30"/>
  <c r="D843" i="30"/>
  <c r="D842" i="30"/>
  <c r="D752" i="30"/>
  <c r="D751" i="30"/>
  <c r="D750" i="30"/>
  <c r="D749" i="30"/>
  <c r="D748" i="30"/>
  <c r="D747" i="30"/>
  <c r="D614" i="30"/>
  <c r="D613" i="30"/>
  <c r="D612" i="30"/>
  <c r="D571" i="30"/>
  <c r="D570" i="30"/>
  <c r="D569" i="30"/>
  <c r="D568" i="30"/>
  <c r="D567" i="30"/>
  <c r="D566" i="30"/>
  <c r="D442" i="30"/>
  <c r="D441" i="30"/>
  <c r="D440" i="30"/>
  <c r="D390" i="30"/>
  <c r="D389" i="30"/>
  <c r="D388" i="30"/>
  <c r="D337" i="30"/>
  <c r="D336" i="30"/>
  <c r="D335" i="30"/>
  <c r="D273" i="30"/>
  <c r="D247" i="30"/>
  <c r="D221" i="30"/>
  <c r="D196" i="30"/>
  <c r="D182" i="30"/>
  <c r="D156" i="30"/>
  <c r="D130" i="30"/>
  <c r="D2342" i="30"/>
  <c r="D2108" i="30"/>
  <c r="D2095" i="30"/>
  <c r="D1653" i="30"/>
  <c r="D1640" i="30"/>
  <c r="D1497" i="30"/>
  <c r="D1419" i="30"/>
  <c r="D1379" i="30"/>
  <c r="D1378" i="30"/>
  <c r="D1354" i="30"/>
  <c r="D334" i="30"/>
  <c r="D333" i="30"/>
  <c r="D104" i="30"/>
  <c r="D91" i="30"/>
  <c r="D78" i="30"/>
  <c r="D58" i="30"/>
  <c r="D39" i="30"/>
  <c r="D26" i="30"/>
  <c r="D13" i="30"/>
  <c r="D3243" i="30"/>
  <c r="D3212" i="30"/>
  <c r="D3186" i="30"/>
  <c r="D3159" i="30"/>
  <c r="D3118" i="30"/>
  <c r="D3003" i="30"/>
  <c r="D2965" i="30"/>
  <c r="D2937" i="30"/>
  <c r="D2936" i="30"/>
  <c r="D2767" i="30"/>
  <c r="D2663" i="30"/>
  <c r="D2598" i="30"/>
  <c r="D2532" i="30"/>
  <c r="D2531" i="30"/>
  <c r="D2403" i="30"/>
  <c r="D2301" i="30"/>
  <c r="D2261" i="30"/>
  <c r="D2260" i="30"/>
  <c r="D2211" i="30"/>
  <c r="D2185" i="30"/>
  <c r="D2157" i="30"/>
  <c r="D2156" i="30"/>
  <c r="D2081" i="30"/>
  <c r="D2055" i="30"/>
  <c r="D2029" i="30"/>
  <c r="D2003" i="30"/>
  <c r="D1977" i="30"/>
  <c r="D1951" i="30"/>
  <c r="D1925" i="30"/>
  <c r="D1899" i="30"/>
  <c r="D1873" i="30"/>
  <c r="D1847" i="30"/>
  <c r="D1821" i="30"/>
  <c r="D1795" i="30"/>
  <c r="D1769" i="30"/>
  <c r="D1743" i="30"/>
  <c r="D1717" i="30"/>
  <c r="D1678" i="30"/>
  <c r="D1587" i="30"/>
  <c r="D1559" i="30"/>
  <c r="D1558" i="30"/>
  <c r="D1481" i="30"/>
  <c r="D1480" i="30"/>
  <c r="D1405" i="30"/>
  <c r="D1333" i="30"/>
  <c r="D1332" i="30"/>
  <c r="D1331" i="30"/>
  <c r="D1213" i="30"/>
  <c r="D1212" i="30"/>
  <c r="D1211" i="30"/>
  <c r="D1210" i="30"/>
  <c r="D1209" i="30"/>
  <c r="D1016" i="30"/>
  <c r="D1015" i="30"/>
  <c r="D1014" i="30"/>
  <c r="D1013" i="30"/>
  <c r="D1012" i="30"/>
  <c r="D1011" i="30"/>
  <c r="D1010" i="30"/>
  <c r="D841" i="30"/>
  <c r="D746" i="30"/>
  <c r="D745" i="30"/>
  <c r="D744" i="30"/>
  <c r="D743" i="30"/>
  <c r="D742" i="30"/>
  <c r="D565" i="30"/>
  <c r="D564" i="30"/>
  <c r="D563" i="30"/>
  <c r="D562" i="30"/>
  <c r="D439" i="30"/>
  <c r="D387" i="30"/>
  <c r="D272" i="30"/>
  <c r="D246" i="30"/>
  <c r="D220" i="30"/>
  <c r="D181" i="30"/>
  <c r="D155" i="30"/>
  <c r="D129" i="30"/>
  <c r="D57" i="30"/>
  <c r="D56" i="30"/>
  <c r="D55" i="30"/>
  <c r="D3242" i="30"/>
  <c r="D54" i="30"/>
  <c r="D53" i="30"/>
  <c r="D52" i="30"/>
  <c r="D1479" i="30"/>
  <c r="D3241" i="30"/>
  <c r="D3240" i="30"/>
  <c r="D3239" i="30"/>
  <c r="D3238" i="30"/>
  <c r="D3237" i="30"/>
  <c r="D3236" i="30"/>
  <c r="D3235" i="30"/>
  <c r="D3234" i="30"/>
  <c r="D3211" i="30"/>
  <c r="D3185" i="30"/>
  <c r="D3158" i="30"/>
  <c r="D3157" i="30"/>
  <c r="D3117" i="30"/>
  <c r="D3116" i="30"/>
  <c r="D3115" i="30"/>
  <c r="D3114" i="30"/>
  <c r="D3054" i="30"/>
  <c r="D3053" i="30"/>
  <c r="D3052" i="30"/>
  <c r="D3051" i="30"/>
  <c r="D3002" i="30"/>
  <c r="D3001" i="30"/>
  <c r="D2964" i="30"/>
  <c r="D2935" i="30"/>
  <c r="D2934" i="30"/>
  <c r="D2888" i="30"/>
  <c r="D2766" i="30"/>
  <c r="D2765" i="30"/>
  <c r="D2764" i="30"/>
  <c r="D2763" i="30"/>
  <c r="D2662" i="30"/>
  <c r="D2661" i="30"/>
  <c r="D2660" i="30"/>
  <c r="D2659" i="30"/>
  <c r="D2597" i="30"/>
  <c r="D2596" i="30"/>
  <c r="D2595" i="30"/>
  <c r="D2594" i="30"/>
  <c r="D2530" i="30"/>
  <c r="D2529" i="30"/>
  <c r="D2528" i="30"/>
  <c r="D2527" i="30"/>
  <c r="D2456" i="30"/>
  <c r="D2455" i="30"/>
  <c r="D2454" i="30"/>
  <c r="D2453" i="30"/>
  <c r="D2402" i="30"/>
  <c r="D2401" i="30"/>
  <c r="D2400" i="30"/>
  <c r="D2399" i="30"/>
  <c r="D2329" i="30"/>
  <c r="D2316" i="30"/>
  <c r="D2300" i="30"/>
  <c r="D2299" i="30"/>
  <c r="D2259" i="30"/>
  <c r="D2258" i="30"/>
  <c r="D2210" i="30"/>
  <c r="D2184" i="30"/>
  <c r="D2155" i="30"/>
  <c r="D2154" i="30"/>
  <c r="D2080" i="30"/>
  <c r="D2054" i="30"/>
  <c r="D2028" i="30"/>
  <c r="D2002" i="30"/>
  <c r="D1976" i="30"/>
  <c r="D1950" i="30"/>
  <c r="D1924" i="30"/>
  <c r="D1898" i="30"/>
  <c r="D1872" i="30"/>
  <c r="D1846" i="30"/>
  <c r="D1820" i="30"/>
  <c r="D1794" i="30"/>
  <c r="D1768" i="30"/>
  <c r="D1742" i="30"/>
  <c r="D1716" i="30"/>
  <c r="D1677" i="30"/>
  <c r="D1627" i="30"/>
  <c r="D1613" i="30"/>
  <c r="D1612" i="30"/>
  <c r="D1586" i="30"/>
  <c r="D1557" i="30"/>
  <c r="D1556" i="30"/>
  <c r="D1510" i="30"/>
  <c r="D1478" i="30"/>
  <c r="D1477" i="30"/>
  <c r="D1404" i="30"/>
  <c r="D1330" i="30"/>
  <c r="D1329" i="30"/>
  <c r="D1328" i="30"/>
  <c r="D1327" i="30"/>
  <c r="D1326" i="30"/>
  <c r="D1325" i="30"/>
  <c r="D1208" i="30"/>
  <c r="D1207" i="30"/>
  <c r="D1206" i="30"/>
  <c r="D1205" i="30"/>
  <c r="D1204" i="30"/>
  <c r="D1203" i="30"/>
  <c r="D1202" i="30"/>
  <c r="D1066" i="30"/>
  <c r="D1065" i="30"/>
  <c r="D1064" i="30"/>
  <c r="D1009" i="30"/>
  <c r="D1008" i="30"/>
  <c r="D1007" i="30"/>
  <c r="D1006" i="30"/>
  <c r="D1005" i="30"/>
  <c r="D1004" i="30"/>
  <c r="D1003" i="30"/>
  <c r="D840" i="30"/>
  <c r="D839" i="30"/>
  <c r="D838" i="30"/>
  <c r="D837" i="30"/>
  <c r="D836" i="30"/>
  <c r="D835" i="30"/>
  <c r="D741" i="30"/>
  <c r="D740" i="30"/>
  <c r="D739" i="30"/>
  <c r="D738" i="30"/>
  <c r="D737" i="30"/>
  <c r="D736" i="30"/>
  <c r="D611" i="30"/>
  <c r="D610" i="30"/>
  <c r="D609" i="30"/>
  <c r="D561" i="30"/>
  <c r="D560" i="30"/>
  <c r="D559" i="30"/>
  <c r="D558" i="30"/>
  <c r="D557" i="30"/>
  <c r="D556" i="30"/>
  <c r="D438" i="30"/>
  <c r="D437" i="30"/>
  <c r="D436" i="30"/>
  <c r="D386" i="30"/>
  <c r="D385" i="30"/>
  <c r="D384" i="30"/>
  <c r="D332" i="30"/>
  <c r="D331" i="30"/>
  <c r="D330" i="30"/>
  <c r="D271" i="30"/>
  <c r="D245" i="30"/>
  <c r="D219" i="30"/>
  <c r="D195" i="30"/>
  <c r="D180" i="30"/>
  <c r="D154" i="30"/>
  <c r="D128" i="30"/>
  <c r="D2341" i="30"/>
  <c r="D2107" i="30"/>
  <c r="D2094" i="30"/>
  <c r="D1652" i="30"/>
  <c r="D1639" i="30"/>
  <c r="D1496" i="30"/>
  <c r="D1418" i="30"/>
  <c r="D1377" i="30"/>
  <c r="D1376" i="30"/>
  <c r="D1353" i="30"/>
  <c r="D329" i="30"/>
  <c r="D328" i="30"/>
  <c r="D103" i="30"/>
  <c r="D90" i="30"/>
  <c r="D77" i="30"/>
  <c r="D51" i="30"/>
  <c r="D38" i="30"/>
  <c r="D25" i="30"/>
  <c r="D12" i="30"/>
  <c r="D3233" i="30"/>
  <c r="D3210" i="30"/>
  <c r="D3184" i="30"/>
  <c r="D3156" i="30"/>
  <c r="D3113" i="30"/>
  <c r="D3000" i="30"/>
  <c r="D2963" i="30"/>
  <c r="D2933" i="30"/>
  <c r="D2932" i="30"/>
  <c r="D2762" i="30"/>
  <c r="D2658" i="30"/>
  <c r="D2593" i="30"/>
  <c r="D2526" i="30"/>
  <c r="D2525" i="30"/>
  <c r="D2398" i="30"/>
  <c r="D2298" i="30"/>
  <c r="D2257" i="30"/>
  <c r="D2256" i="30"/>
  <c r="D2209" i="30"/>
  <c r="D2183" i="30"/>
  <c r="D2153" i="30"/>
  <c r="D2152" i="30"/>
  <c r="D2079" i="30"/>
  <c r="D2053" i="30"/>
  <c r="D2027" i="30"/>
  <c r="D2001" i="30"/>
  <c r="D1975" i="30"/>
  <c r="D1949" i="30"/>
  <c r="D1923" i="30"/>
  <c r="D1897" i="30"/>
  <c r="D1871" i="30"/>
  <c r="D1845" i="30"/>
  <c r="D1819" i="30"/>
  <c r="D1793" i="30"/>
  <c r="D1767" i="30"/>
  <c r="D1741" i="30"/>
  <c r="D1715" i="30"/>
  <c r="D1676" i="30"/>
  <c r="D1585" i="30"/>
  <c r="D1555" i="30"/>
  <c r="D1554" i="30"/>
  <c r="D1476" i="30"/>
  <c r="D1475" i="30"/>
  <c r="D1403" i="30"/>
  <c r="D1324" i="30"/>
  <c r="D1323" i="30"/>
  <c r="D1322" i="30"/>
  <c r="D1201" i="30"/>
  <c r="D1200" i="30"/>
  <c r="D1199" i="30"/>
  <c r="D1198" i="30"/>
  <c r="D1197" i="30"/>
  <c r="D1002" i="30"/>
  <c r="D1001" i="30"/>
  <c r="D1000" i="30"/>
  <c r="D999" i="30"/>
  <c r="D998" i="30"/>
  <c r="D997" i="30"/>
  <c r="D996" i="30"/>
  <c r="D834" i="30"/>
  <c r="D735" i="30"/>
  <c r="D734" i="30"/>
  <c r="D733" i="30"/>
  <c r="D732" i="30"/>
  <c r="D731" i="30"/>
  <c r="D555" i="30"/>
  <c r="D554" i="30"/>
  <c r="D553" i="30"/>
  <c r="D552" i="30"/>
  <c r="D435" i="30"/>
  <c r="D383" i="30"/>
  <c r="D270" i="30"/>
  <c r="D244" i="30"/>
  <c r="D218" i="30"/>
  <c r="D179" i="30"/>
  <c r="D153" i="30"/>
  <c r="D127" i="30"/>
  <c r="D1474" i="30"/>
  <c r="D1473" i="30"/>
  <c r="D1472" i="30"/>
  <c r="D3232" i="30"/>
  <c r="D1471" i="30"/>
  <c r="D1470" i="30"/>
  <c r="D1469" i="30"/>
  <c r="D1468" i="30"/>
  <c r="D3231" i="30"/>
  <c r="D3230" i="30"/>
  <c r="D3229" i="30"/>
  <c r="D3228" i="30"/>
  <c r="D3227" i="30"/>
  <c r="D3226" i="30"/>
  <c r="D3225" i="30"/>
  <c r="D3224" i="30"/>
  <c r="D3209" i="30"/>
  <c r="D3183" i="30"/>
  <c r="D3155" i="30"/>
  <c r="D3154" i="30"/>
  <c r="D3112" i="30"/>
  <c r="D3111" i="30"/>
  <c r="D3110" i="30"/>
  <c r="D3109" i="30"/>
  <c r="D3050" i="30"/>
  <c r="D3049" i="30"/>
  <c r="D3048" i="30"/>
  <c r="D3047" i="30"/>
  <c r="D2999" i="30"/>
  <c r="D2998" i="30"/>
  <c r="D2962" i="30"/>
  <c r="D2931" i="30"/>
  <c r="D2930" i="30"/>
  <c r="D2887" i="30"/>
  <c r="D2761" i="30"/>
  <c r="D2760" i="30"/>
  <c r="D2759" i="30"/>
  <c r="D2758" i="30"/>
  <c r="D2657" i="30"/>
  <c r="D2656" i="30"/>
  <c r="D2655" i="30"/>
  <c r="D2654" i="30"/>
  <c r="D2592" i="30"/>
  <c r="D2591" i="30"/>
  <c r="D2590" i="30"/>
  <c r="D2589" i="30"/>
  <c r="D2524" i="30"/>
  <c r="D2523" i="30"/>
  <c r="D2522" i="30"/>
  <c r="D2521" i="30"/>
  <c r="D2452" i="30"/>
  <c r="D2451" i="30"/>
  <c r="D2450" i="30"/>
  <c r="D2449" i="30"/>
  <c r="D2397" i="30"/>
  <c r="D2396" i="30"/>
  <c r="D2395" i="30"/>
  <c r="D2394" i="30"/>
  <c r="D2328" i="30"/>
  <c r="D2315" i="30"/>
  <c r="D2297" i="30"/>
  <c r="D2296" i="30"/>
  <c r="D2255" i="30"/>
  <c r="D2254" i="30"/>
  <c r="D2208" i="30"/>
  <c r="D2182" i="30"/>
  <c r="D2151" i="30"/>
  <c r="D2150" i="30"/>
  <c r="D2078" i="30"/>
  <c r="D2052" i="30"/>
  <c r="D2026" i="30"/>
  <c r="D2000" i="30"/>
  <c r="D1974" i="30"/>
  <c r="D1948" i="30"/>
  <c r="D1922" i="30"/>
  <c r="D1896" i="30"/>
  <c r="D1870" i="30"/>
  <c r="D1844" i="30"/>
  <c r="D1818" i="30"/>
  <c r="D1792" i="30"/>
  <c r="D1766" i="30"/>
  <c r="D1740" i="30"/>
  <c r="D1714" i="30"/>
  <c r="D1675" i="30"/>
  <c r="D1626" i="30"/>
  <c r="D1611" i="30"/>
  <c r="D1610" i="30"/>
  <c r="D1584" i="30"/>
  <c r="D1553" i="30"/>
  <c r="D1552" i="30"/>
  <c r="D1509" i="30"/>
  <c r="D1467" i="30"/>
  <c r="D1466" i="30"/>
  <c r="D1402" i="30"/>
  <c r="D1321" i="30"/>
  <c r="D1320" i="30"/>
  <c r="D1319" i="30"/>
  <c r="D1318" i="30"/>
  <c r="D1317" i="30"/>
  <c r="D1316" i="30"/>
  <c r="D1196" i="30"/>
  <c r="D1195" i="30"/>
  <c r="D1194" i="30"/>
  <c r="D1193" i="30"/>
  <c r="D1192" i="30"/>
  <c r="D1191" i="30"/>
  <c r="D1190" i="30"/>
  <c r="D1063" i="30"/>
  <c r="D1062" i="30"/>
  <c r="D1061" i="30"/>
  <c r="D995" i="30"/>
  <c r="D994" i="30"/>
  <c r="D993" i="30"/>
  <c r="D992" i="30"/>
  <c r="D991" i="30"/>
  <c r="D990" i="30"/>
  <c r="D989" i="30"/>
  <c r="D833" i="30"/>
  <c r="D832" i="30"/>
  <c r="D831" i="30"/>
  <c r="D830" i="30"/>
  <c r="D829" i="30"/>
  <c r="D828" i="30"/>
  <c r="D730" i="30"/>
  <c r="D729" i="30"/>
  <c r="D728" i="30"/>
  <c r="D727" i="30"/>
  <c r="D726" i="30"/>
  <c r="D725" i="30"/>
  <c r="D608" i="30"/>
  <c r="D607" i="30"/>
  <c r="D606" i="30"/>
  <c r="D551" i="30"/>
  <c r="D550" i="30"/>
  <c r="D549" i="30"/>
  <c r="D548" i="30"/>
  <c r="D547" i="30"/>
  <c r="D546" i="30"/>
  <c r="D434" i="30"/>
  <c r="D433" i="30"/>
  <c r="D432" i="30"/>
  <c r="D382" i="30"/>
  <c r="D381" i="30"/>
  <c r="D380" i="30"/>
  <c r="D327" i="30"/>
  <c r="D326" i="30"/>
  <c r="D325" i="30"/>
  <c r="D269" i="30"/>
  <c r="D243" i="30"/>
  <c r="D217" i="30"/>
  <c r="D194" i="30"/>
  <c r="D178" i="30"/>
  <c r="D152" i="30"/>
  <c r="D126" i="30"/>
  <c r="D2340" i="30"/>
  <c r="D2106" i="30"/>
  <c r="D2093" i="30"/>
  <c r="D1651" i="30"/>
  <c r="D1638" i="30"/>
  <c r="D1495" i="30"/>
  <c r="D1417" i="30"/>
  <c r="D1375" i="30"/>
  <c r="D1374" i="30"/>
  <c r="D1352" i="30"/>
  <c r="D324" i="30"/>
  <c r="D323" i="30"/>
  <c r="D102" i="30"/>
  <c r="D89" i="30"/>
  <c r="D76" i="30"/>
  <c r="D50" i="30"/>
  <c r="D37" i="30"/>
  <c r="D24" i="30"/>
  <c r="D11" i="30"/>
  <c r="D3223" i="30"/>
  <c r="D3208" i="30"/>
  <c r="D3182" i="30"/>
  <c r="D3153" i="30"/>
  <c r="D3108" i="30"/>
  <c r="D2997" i="30"/>
  <c r="D2961" i="30"/>
  <c r="D2929" i="30"/>
  <c r="D2928" i="30"/>
  <c r="D2757" i="30"/>
  <c r="D2653" i="30"/>
  <c r="D2588" i="30"/>
  <c r="D2520" i="30"/>
  <c r="D2519" i="30"/>
  <c r="D2393" i="30"/>
  <c r="D2295" i="30"/>
  <c r="D2253" i="30"/>
  <c r="D2252" i="30"/>
  <c r="D2207" i="30"/>
  <c r="D2181" i="30"/>
  <c r="D2149" i="30"/>
  <c r="D2148" i="30"/>
  <c r="D2077" i="30"/>
  <c r="D2051" i="30"/>
  <c r="D2025" i="30"/>
  <c r="D1999" i="30"/>
  <c r="D1973" i="30"/>
  <c r="D1947" i="30"/>
  <c r="D1921" i="30"/>
  <c r="D1895" i="30"/>
  <c r="D1869" i="30"/>
  <c r="D1843" i="30"/>
  <c r="D1817" i="30"/>
  <c r="D1791" i="30"/>
  <c r="D1765" i="30"/>
  <c r="D1739" i="30"/>
  <c r="D1713" i="30"/>
  <c r="D1674" i="30"/>
  <c r="D1583" i="30"/>
  <c r="D1551" i="30"/>
  <c r="D1550" i="30"/>
  <c r="D1465" i="30"/>
  <c r="D1464" i="30"/>
  <c r="D1401" i="30"/>
  <c r="D1315" i="30"/>
  <c r="D1314" i="30"/>
  <c r="D1313" i="30"/>
  <c r="D1189" i="30"/>
  <c r="D1188" i="30"/>
  <c r="D1187" i="30"/>
  <c r="D1186" i="30"/>
  <c r="D1185" i="30"/>
  <c r="D988" i="30"/>
  <c r="D987" i="30"/>
  <c r="D986" i="30"/>
  <c r="D985" i="30"/>
  <c r="D984" i="30"/>
  <c r="D983" i="30"/>
  <c r="D982" i="30"/>
  <c r="D827" i="30"/>
  <c r="D724" i="30"/>
  <c r="D723" i="30"/>
  <c r="D722" i="30"/>
  <c r="D721" i="30"/>
  <c r="D720" i="30"/>
  <c r="D545" i="30"/>
  <c r="D544" i="30"/>
  <c r="D543" i="30"/>
  <c r="D542" i="30"/>
  <c r="D431" i="30"/>
  <c r="D379" i="30"/>
  <c r="D268" i="30"/>
  <c r="D242" i="30"/>
  <c r="D216" i="30"/>
  <c r="D177" i="30"/>
  <c r="D151" i="30"/>
  <c r="D125" i="30"/>
  <c r="D1463" i="30"/>
  <c r="D1462" i="30"/>
  <c r="D1461" i="30"/>
  <c r="D3222" i="30"/>
  <c r="D1460" i="30"/>
  <c r="D1459" i="30"/>
  <c r="D1712" i="30"/>
  <c r="D1711" i="30"/>
  <c r="D3221" i="30"/>
  <c r="D3220" i="30"/>
  <c r="D3219" i="30"/>
  <c r="D3218" i="30"/>
  <c r="D3217" i="30"/>
  <c r="D3216" i="30"/>
  <c r="D3215" i="30"/>
  <c r="D2850" i="30"/>
  <c r="D3207" i="30"/>
  <c r="D3181" i="30"/>
  <c r="D3152" i="30"/>
  <c r="D3151" i="30"/>
  <c r="D3107" i="30"/>
  <c r="D3106" i="30"/>
  <c r="D3105" i="30"/>
  <c r="D3104" i="30"/>
  <c r="D3046" i="30"/>
  <c r="D3045" i="30"/>
  <c r="D3044" i="30"/>
  <c r="D3043" i="30"/>
  <c r="D2996" i="30"/>
  <c r="D2995" i="30"/>
  <c r="D2960" i="30"/>
  <c r="D2927" i="30"/>
  <c r="D2926" i="30"/>
  <c r="D2886" i="30"/>
  <c r="D2756" i="30"/>
  <c r="D2755" i="30"/>
  <c r="D2754" i="30"/>
  <c r="D2753" i="30"/>
  <c r="D2652" i="30"/>
  <c r="D2651" i="30"/>
  <c r="D2650" i="30"/>
  <c r="D2649" i="30"/>
  <c r="D2587" i="30"/>
  <c r="D2586" i="30"/>
  <c r="D2585" i="30"/>
  <c r="D2584" i="30"/>
  <c r="D2518" i="30"/>
  <c r="D2517" i="30"/>
  <c r="D2516" i="30"/>
  <c r="D2515" i="30"/>
  <c r="D2448" i="30"/>
  <c r="D2447" i="30"/>
  <c r="D2446" i="30"/>
  <c r="D2445" i="30"/>
  <c r="D2392" i="30"/>
  <c r="D2391" i="30"/>
  <c r="D2390" i="30"/>
  <c r="D2389" i="30"/>
  <c r="D2327" i="30"/>
  <c r="D2314" i="30"/>
  <c r="D2294" i="30"/>
  <c r="D2293" i="30"/>
  <c r="D2251" i="30"/>
  <c r="D2250" i="30"/>
  <c r="D2206" i="30"/>
  <c r="D2180" i="30"/>
  <c r="D2147" i="30"/>
  <c r="D2146" i="30"/>
  <c r="D2076" i="30"/>
  <c r="D2050" i="30"/>
  <c r="D2024" i="30"/>
  <c r="D1998" i="30"/>
  <c r="D1972" i="30"/>
  <c r="D1946" i="30"/>
  <c r="D1920" i="30"/>
  <c r="D1894" i="30"/>
  <c r="D1868" i="30"/>
  <c r="D1842" i="30"/>
  <c r="D1816" i="30"/>
  <c r="D1790" i="30"/>
  <c r="D1764" i="30"/>
  <c r="D1738" i="30"/>
  <c r="D1710" i="30"/>
  <c r="D1673" i="30"/>
  <c r="D1625" i="30"/>
  <c r="D1609" i="30"/>
  <c r="D1608" i="30"/>
  <c r="D1582" i="30"/>
  <c r="D1549" i="30"/>
  <c r="D1548" i="30"/>
  <c r="D1508" i="30"/>
  <c r="D1458" i="30"/>
  <c r="D1457" i="30"/>
  <c r="D1400" i="30"/>
  <c r="D1312" i="30"/>
  <c r="D1311" i="30"/>
  <c r="D1310" i="30"/>
  <c r="D1309" i="30"/>
  <c r="D1308" i="30"/>
  <c r="D1307" i="30"/>
  <c r="D1184" i="30"/>
  <c r="D1183" i="30"/>
  <c r="D1182" i="30"/>
  <c r="D1181" i="30"/>
  <c r="D1180" i="30"/>
  <c r="D1179" i="30"/>
  <c r="D1178" i="30"/>
  <c r="D1060" i="30"/>
  <c r="D1059" i="30"/>
  <c r="D1058" i="30"/>
  <c r="D981" i="30"/>
  <c r="D980" i="30"/>
  <c r="D979" i="30"/>
  <c r="D978" i="30"/>
  <c r="D977" i="30"/>
  <c r="D976" i="30"/>
  <c r="D975" i="30"/>
  <c r="D826" i="30"/>
  <c r="D825" i="30"/>
  <c r="D824" i="30"/>
  <c r="D823" i="30"/>
  <c r="D822" i="30"/>
  <c r="D821" i="30"/>
  <c r="D719" i="30"/>
  <c r="D718" i="30"/>
  <c r="D717" i="30"/>
  <c r="D716" i="30"/>
  <c r="D715" i="30"/>
  <c r="D714" i="30"/>
  <c r="D605" i="30"/>
  <c r="D604" i="30"/>
  <c r="D603" i="30"/>
  <c r="D541" i="30"/>
  <c r="D540" i="30"/>
  <c r="D539" i="30"/>
  <c r="D538" i="30"/>
  <c r="D537" i="30"/>
  <c r="D536" i="30"/>
  <c r="D430" i="30"/>
  <c r="D429" i="30"/>
  <c r="D428" i="30"/>
  <c r="D378" i="30"/>
  <c r="D377" i="30"/>
  <c r="D376" i="30"/>
  <c r="D322" i="30"/>
  <c r="D321" i="30"/>
  <c r="D320" i="30"/>
  <c r="D267" i="30"/>
  <c r="D241" i="30"/>
  <c r="D215" i="30"/>
  <c r="D193" i="30"/>
  <c r="D176" i="30"/>
  <c r="D150" i="30"/>
  <c r="D124" i="30"/>
  <c r="D2339" i="30"/>
  <c r="D2105" i="30"/>
  <c r="D2092" i="30"/>
  <c r="D1650" i="30"/>
  <c r="D1637" i="30"/>
  <c r="D1494" i="30"/>
  <c r="D1416" i="30"/>
  <c r="D1373" i="30"/>
  <c r="D1372" i="30"/>
  <c r="D1351" i="30"/>
  <c r="D319" i="30"/>
  <c r="D318" i="30"/>
  <c r="D101" i="30"/>
  <c r="D88" i="30"/>
  <c r="D75" i="30"/>
  <c r="D49" i="30"/>
  <c r="D36" i="30"/>
  <c r="D23" i="30"/>
  <c r="D10" i="30"/>
  <c r="D2811" i="30"/>
  <c r="D3206" i="30"/>
  <c r="D3180" i="30"/>
  <c r="D3150" i="30"/>
  <c r="D3103" i="30"/>
  <c r="D2994" i="30"/>
  <c r="D2959" i="30"/>
  <c r="D2925" i="30"/>
  <c r="D2924" i="30"/>
  <c r="D2752" i="30"/>
  <c r="D2648" i="30"/>
  <c r="D2583" i="30"/>
  <c r="D2514" i="30"/>
  <c r="D2513" i="30"/>
  <c r="D2388" i="30"/>
  <c r="D2292" i="30"/>
  <c r="D2249" i="30"/>
  <c r="D2248" i="30"/>
  <c r="D2205" i="30"/>
  <c r="D2179" i="30"/>
  <c r="D2145" i="30"/>
  <c r="D2144" i="30"/>
  <c r="D2075" i="30"/>
  <c r="D2049" i="30"/>
  <c r="D2023" i="30"/>
  <c r="D1997" i="30"/>
  <c r="D1971" i="30"/>
  <c r="D1945" i="30"/>
  <c r="D1919" i="30"/>
  <c r="D1893" i="30"/>
  <c r="D1867" i="30"/>
  <c r="D1841" i="30"/>
  <c r="D1815" i="30"/>
  <c r="D1789" i="30"/>
  <c r="D1763" i="30"/>
  <c r="D1737" i="30"/>
  <c r="D1709" i="30"/>
  <c r="D1672" i="30"/>
  <c r="D1581" i="30"/>
  <c r="D1547" i="30"/>
  <c r="D1546" i="30"/>
  <c r="D1456" i="30"/>
  <c r="D1455" i="30"/>
  <c r="D1399" i="30"/>
  <c r="D1306" i="30"/>
  <c r="D1305" i="30"/>
  <c r="D1304" i="30"/>
  <c r="D1177" i="30"/>
  <c r="D1176" i="30"/>
  <c r="D1175" i="30"/>
  <c r="D1174" i="30"/>
  <c r="D1173" i="30"/>
  <c r="D974" i="30"/>
  <c r="D973" i="30"/>
  <c r="D972" i="30"/>
  <c r="D971" i="30"/>
  <c r="D970" i="30"/>
  <c r="D969" i="30"/>
  <c r="D968" i="30"/>
  <c r="D820" i="30"/>
  <c r="D713" i="30"/>
  <c r="D712" i="30"/>
  <c r="D711" i="30"/>
  <c r="D710" i="30"/>
  <c r="D709" i="30"/>
  <c r="D535" i="30"/>
  <c r="D534" i="30"/>
  <c r="D533" i="30"/>
  <c r="D532" i="30"/>
  <c r="D427" i="30"/>
  <c r="D375" i="30"/>
  <c r="D266" i="30"/>
  <c r="D240" i="30"/>
  <c r="D214" i="30"/>
  <c r="D175" i="30"/>
  <c r="D149" i="30"/>
  <c r="D123" i="30"/>
  <c r="D1708" i="30"/>
  <c r="D1707" i="30"/>
  <c r="D1706" i="30"/>
  <c r="D2751" i="30"/>
  <c r="D1705" i="30"/>
  <c r="D1704" i="30"/>
  <c r="D1703" i="30"/>
  <c r="D1702" i="30"/>
  <c r="D2849" i="30"/>
  <c r="D2810" i="30"/>
  <c r="D2750" i="30"/>
  <c r="D2848" i="30"/>
  <c r="D2809" i="30"/>
  <c r="D2749" i="30"/>
  <c r="D2847" i="30"/>
  <c r="D2808" i="30"/>
  <c r="D3205" i="30"/>
  <c r="D3179" i="30"/>
  <c r="D3149" i="30"/>
  <c r="D3148" i="30"/>
  <c r="D3102" i="30"/>
  <c r="D3101" i="30"/>
  <c r="D3100" i="30"/>
  <c r="D3099" i="30"/>
  <c r="D3042" i="30"/>
  <c r="D3041" i="30"/>
  <c r="D3040" i="30"/>
  <c r="D3039" i="30"/>
  <c r="D2993" i="30"/>
  <c r="D2992" i="30"/>
  <c r="D2958" i="30"/>
  <c r="D2923" i="30"/>
  <c r="D2922" i="30"/>
  <c r="D2885" i="30"/>
  <c r="D2748" i="30"/>
  <c r="D2747" i="30"/>
  <c r="D2746" i="30"/>
  <c r="D2745" i="30"/>
  <c r="D2647" i="30"/>
  <c r="D2646" i="30"/>
  <c r="D2645" i="30"/>
  <c r="D2644" i="30"/>
  <c r="D2582" i="30"/>
  <c r="D2581" i="30"/>
  <c r="D2580" i="30"/>
  <c r="D2579" i="30"/>
  <c r="D2512" i="30"/>
  <c r="D2511" i="30"/>
  <c r="D2510" i="30"/>
  <c r="D2509" i="30"/>
  <c r="D2444" i="30"/>
  <c r="D2443" i="30"/>
  <c r="D2442" i="30"/>
  <c r="D2441" i="30"/>
  <c r="D2387" i="30"/>
  <c r="D2386" i="30"/>
  <c r="D2385" i="30"/>
  <c r="D2384" i="30"/>
  <c r="D2326" i="30"/>
  <c r="D2313" i="30"/>
  <c r="D2291" i="30"/>
  <c r="D2290" i="30"/>
  <c r="D2247" i="30"/>
  <c r="D2246" i="30"/>
  <c r="D2204" i="30"/>
  <c r="D2178" i="30"/>
  <c r="D2143" i="30"/>
  <c r="D2142" i="30"/>
  <c r="D2074" i="30"/>
  <c r="D2048" i="30"/>
  <c r="D2022" i="30"/>
  <c r="D1996" i="30"/>
  <c r="D1970" i="30"/>
  <c r="D1944" i="30"/>
  <c r="D1918" i="30"/>
  <c r="D1892" i="30"/>
  <c r="D1866" i="30"/>
  <c r="D1840" i="30"/>
  <c r="D1814" i="30"/>
  <c r="D1788" i="30"/>
  <c r="D1762" i="30"/>
  <c r="D1736" i="30"/>
  <c r="D1701" i="30"/>
  <c r="D1671" i="30"/>
  <c r="D1624" i="30"/>
  <c r="D1607" i="30"/>
  <c r="D1606" i="30"/>
  <c r="D1580" i="30"/>
  <c r="D1545" i="30"/>
  <c r="D1544" i="30"/>
  <c r="D1507" i="30"/>
  <c r="D1454" i="30"/>
  <c r="D1453" i="30"/>
  <c r="D1398" i="30"/>
  <c r="D1303" i="30"/>
  <c r="D1302" i="30"/>
  <c r="D1301" i="30"/>
  <c r="D1300" i="30"/>
  <c r="D1299" i="30"/>
  <c r="D1298" i="30"/>
  <c r="D1172" i="30"/>
  <c r="D1171" i="30"/>
  <c r="D1170" i="30"/>
  <c r="D1169" i="30"/>
  <c r="D1168" i="30"/>
  <c r="D1167" i="30"/>
  <c r="D1166" i="30"/>
  <c r="D1057" i="30"/>
  <c r="D1056" i="30"/>
  <c r="D1055" i="30"/>
  <c r="D967" i="30"/>
  <c r="D966" i="30"/>
  <c r="D965" i="30"/>
  <c r="D964" i="30"/>
  <c r="D963" i="30"/>
  <c r="D962" i="30"/>
  <c r="D961" i="30"/>
  <c r="D819" i="30"/>
  <c r="D818" i="30"/>
  <c r="D817" i="30"/>
  <c r="D816" i="30"/>
  <c r="D815" i="30"/>
  <c r="D814" i="30"/>
  <c r="D708" i="30"/>
  <c r="D707" i="30"/>
  <c r="D706" i="30"/>
  <c r="D705" i="30"/>
  <c r="D704" i="30"/>
  <c r="D703" i="30"/>
  <c r="D602" i="30"/>
  <c r="D601" i="30"/>
  <c r="D600" i="30"/>
  <c r="D531" i="30"/>
  <c r="D530" i="30"/>
  <c r="D529" i="30"/>
  <c r="D528" i="30"/>
  <c r="D527" i="30"/>
  <c r="D526" i="30"/>
  <c r="D426" i="30"/>
  <c r="D425" i="30"/>
  <c r="D424" i="30"/>
  <c r="D374" i="30"/>
  <c r="D373" i="30"/>
  <c r="D372" i="30"/>
  <c r="D317" i="30"/>
  <c r="D316" i="30"/>
  <c r="D315" i="30"/>
  <c r="D265" i="30"/>
  <c r="D239" i="30"/>
  <c r="D213" i="30"/>
  <c r="D192" i="30"/>
  <c r="D174" i="30"/>
  <c r="D148" i="30"/>
  <c r="D122" i="30"/>
  <c r="D2338" i="30"/>
  <c r="D2104" i="30"/>
  <c r="D2091" i="30"/>
  <c r="D1649" i="30"/>
  <c r="D1636" i="30"/>
  <c r="D1493" i="30"/>
  <c r="D1415" i="30"/>
  <c r="D1371" i="30"/>
  <c r="D1370" i="30"/>
  <c r="D1350" i="30"/>
  <c r="D314" i="30"/>
  <c r="D313" i="30"/>
  <c r="D100" i="30"/>
  <c r="D87" i="30"/>
  <c r="D74" i="30"/>
  <c r="D48" i="30"/>
  <c r="D35" i="30"/>
  <c r="D22" i="30"/>
  <c r="D9" i="30"/>
  <c r="D2744" i="30"/>
  <c r="D3204" i="30"/>
  <c r="D3178" i="30"/>
  <c r="D3147" i="30"/>
  <c r="D3098" i="30"/>
  <c r="D2991" i="30"/>
  <c r="D2957" i="30"/>
  <c r="D2921" i="30"/>
  <c r="D2920" i="30"/>
  <c r="D2743" i="30"/>
  <c r="D2643" i="30"/>
  <c r="D2578" i="30"/>
  <c r="D2508" i="30"/>
  <c r="D2507" i="30"/>
  <c r="D2383" i="30"/>
  <c r="D2289" i="30"/>
  <c r="D2245" i="30"/>
  <c r="D2244" i="30"/>
  <c r="D2203" i="30"/>
  <c r="D2177" i="30"/>
  <c r="D2141" i="30"/>
  <c r="D2140" i="30"/>
  <c r="D2073" i="30"/>
  <c r="D2047" i="30"/>
  <c r="D2021" i="30"/>
  <c r="D1995" i="30"/>
  <c r="D1969" i="30"/>
  <c r="D1943" i="30"/>
  <c r="D1917" i="30"/>
  <c r="D1891" i="30"/>
  <c r="D1865" i="30"/>
  <c r="D1839" i="30"/>
  <c r="D1813" i="30"/>
  <c r="D1787" i="30"/>
  <c r="D1761" i="30"/>
  <c r="D1735" i="30"/>
  <c r="D1700" i="30"/>
  <c r="D1670" i="30"/>
  <c r="D1579" i="30"/>
  <c r="D1543" i="30"/>
  <c r="D1542" i="30"/>
  <c r="D1452" i="30"/>
  <c r="D1451" i="30"/>
  <c r="D1397" i="30"/>
  <c r="D1297" i="30"/>
  <c r="D1296" i="30"/>
  <c r="D1295" i="30"/>
  <c r="D1165" i="30"/>
  <c r="D1164" i="30"/>
  <c r="D1163" i="30"/>
  <c r="D1162" i="30"/>
  <c r="D1161" i="30"/>
  <c r="D960" i="30"/>
  <c r="D959" i="30"/>
  <c r="D958" i="30"/>
  <c r="D957" i="30"/>
  <c r="D956" i="30"/>
  <c r="D955" i="30"/>
  <c r="D954" i="30"/>
  <c r="D813" i="30"/>
  <c r="D702" i="30"/>
  <c r="D701" i="30"/>
  <c r="D700" i="30"/>
  <c r="D699" i="30"/>
  <c r="D698" i="30"/>
  <c r="D525" i="30"/>
  <c r="D524" i="30"/>
  <c r="D523" i="30"/>
  <c r="D522" i="30"/>
  <c r="D423" i="30"/>
  <c r="D371" i="30"/>
  <c r="D264" i="30"/>
  <c r="D238" i="30"/>
  <c r="D212" i="30"/>
  <c r="D173" i="30"/>
  <c r="D147" i="30"/>
  <c r="D121" i="30"/>
  <c r="D1699" i="30"/>
  <c r="D1698" i="30"/>
  <c r="D1697" i="30"/>
  <c r="D2846" i="30"/>
  <c r="D1696" i="30"/>
  <c r="D2876" i="30"/>
  <c r="D2845" i="30"/>
  <c r="D2807" i="30"/>
  <c r="D2806" i="30"/>
  <c r="D2742" i="30"/>
  <c r="D2844" i="30"/>
  <c r="D2805" i="30"/>
  <c r="D2741" i="30"/>
  <c r="D2843" i="30"/>
  <c r="D2804" i="30"/>
  <c r="D2740" i="30"/>
  <c r="D3203" i="30"/>
  <c r="D3177" i="30"/>
  <c r="D3146" i="30"/>
  <c r="D3145" i="30"/>
  <c r="D3097" i="30"/>
  <c r="D3096" i="30"/>
  <c r="D3095" i="30"/>
  <c r="D3094" i="30"/>
  <c r="D3038" i="30"/>
  <c r="D3037" i="30"/>
  <c r="D3036" i="30"/>
  <c r="D3035" i="30"/>
  <c r="D2990" i="30"/>
  <c r="D2989" i="30"/>
  <c r="D2956" i="30"/>
  <c r="D2919" i="30"/>
  <c r="D2918" i="30"/>
  <c r="D2884" i="30"/>
  <c r="D2739" i="30"/>
  <c r="D2738" i="30"/>
  <c r="D2737" i="30"/>
  <c r="D2736" i="30"/>
  <c r="D2642" i="30"/>
  <c r="D2641" i="30"/>
  <c r="D2640" i="30"/>
  <c r="D2639" i="30"/>
  <c r="D2577" i="30"/>
  <c r="D2576" i="30"/>
  <c r="D2575" i="30"/>
  <c r="D2574" i="30"/>
  <c r="D2506" i="30"/>
  <c r="D2505" i="30"/>
  <c r="D2504" i="30"/>
  <c r="D2503" i="30"/>
  <c r="D2440" i="30"/>
  <c r="D2439" i="30"/>
  <c r="D2438" i="30"/>
  <c r="D2437" i="30"/>
  <c r="D2382" i="30"/>
  <c r="D2381" i="30"/>
  <c r="D2380" i="30"/>
  <c r="D2379" i="30"/>
  <c r="D2325" i="30"/>
  <c r="D2312" i="30"/>
  <c r="D2288" i="30"/>
  <c r="D2287" i="30"/>
  <c r="D2243" i="30"/>
  <c r="D2242" i="30"/>
  <c r="D2202" i="30"/>
  <c r="D2176" i="30"/>
  <c r="D2139" i="30"/>
  <c r="D2138" i="30"/>
  <c r="D2072" i="30"/>
  <c r="D2046" i="30"/>
  <c r="D2020" i="30"/>
  <c r="D1994" i="30"/>
  <c r="D1968" i="30"/>
  <c r="D1942" i="30"/>
  <c r="D1916" i="30"/>
  <c r="D1890" i="30"/>
  <c r="D1864" i="30"/>
  <c r="D1838" i="30"/>
  <c r="D1812" i="30"/>
  <c r="D1786" i="30"/>
  <c r="D1760" i="30"/>
  <c r="D1734" i="30"/>
  <c r="D1695" i="30"/>
  <c r="D1669" i="30"/>
  <c r="D1623" i="30"/>
  <c r="D1605" i="30"/>
  <c r="D1604" i="30"/>
  <c r="D1578" i="30"/>
  <c r="D1541" i="30"/>
  <c r="D1540" i="30"/>
  <c r="D1506" i="30"/>
  <c r="D1450" i="30"/>
  <c r="D1449" i="30"/>
  <c r="D1396" i="30"/>
  <c r="D1294" i="30"/>
  <c r="D1293" i="30"/>
  <c r="D1292" i="30"/>
  <c r="D1291" i="30"/>
  <c r="D1290" i="30"/>
  <c r="D1289" i="30"/>
  <c r="D1160" i="30"/>
  <c r="D1159" i="30"/>
  <c r="D1158" i="30"/>
  <c r="D1157" i="30"/>
  <c r="D1156" i="30"/>
  <c r="D1155" i="30"/>
  <c r="D1154" i="30"/>
  <c r="D1054" i="30"/>
  <c r="D1053" i="30"/>
  <c r="D1052" i="30"/>
  <c r="D953" i="30"/>
  <c r="D952" i="30"/>
  <c r="D951" i="30"/>
  <c r="D950" i="30"/>
  <c r="D949" i="30"/>
  <c r="D948" i="30"/>
  <c r="D947" i="30"/>
  <c r="D812" i="30"/>
  <c r="D811" i="30"/>
  <c r="D810" i="30"/>
  <c r="D809" i="30"/>
  <c r="D808" i="30"/>
  <c r="D807" i="30"/>
  <c r="D697" i="30"/>
  <c r="D696" i="30"/>
  <c r="D695" i="30"/>
  <c r="D694" i="30"/>
  <c r="D693" i="30"/>
  <c r="D692" i="30"/>
  <c r="D599" i="30"/>
  <c r="D598" i="30"/>
  <c r="D597" i="30"/>
  <c r="D521" i="30"/>
  <c r="D520" i="30"/>
  <c r="D519" i="30"/>
  <c r="D518" i="30"/>
  <c r="D517" i="30"/>
  <c r="D516" i="30"/>
  <c r="D422" i="30"/>
  <c r="D421" i="30"/>
  <c r="D420" i="30"/>
  <c r="D370" i="30"/>
  <c r="D369" i="30"/>
  <c r="D368" i="30"/>
  <c r="D312" i="30"/>
  <c r="D311" i="30"/>
  <c r="D310" i="30"/>
  <c r="D263" i="30"/>
  <c r="D237" i="30"/>
  <c r="D211" i="30"/>
  <c r="D191" i="30"/>
  <c r="D172" i="30"/>
  <c r="D146" i="30"/>
  <c r="D120" i="30"/>
  <c r="D2337" i="30"/>
  <c r="D2103" i="30"/>
  <c r="D2090" i="30"/>
  <c r="D1648" i="30"/>
  <c r="D1635" i="30"/>
  <c r="D1492" i="30"/>
  <c r="D1414" i="30"/>
  <c r="D1369" i="30"/>
  <c r="D1368" i="30"/>
  <c r="D1349" i="30"/>
  <c r="D309" i="30"/>
  <c r="D308" i="30"/>
  <c r="D99" i="30"/>
  <c r="D86" i="30"/>
  <c r="D73" i="30"/>
  <c r="D47" i="30"/>
  <c r="D34" i="30"/>
  <c r="D21" i="30"/>
  <c r="D8" i="30"/>
  <c r="D2842" i="30"/>
  <c r="D3202" i="30"/>
  <c r="D3176" i="30"/>
  <c r="D3144" i="30"/>
  <c r="D3093" i="30"/>
  <c r="D2988" i="30"/>
  <c r="D2955" i="30"/>
  <c r="D2917" i="30"/>
  <c r="D2916" i="30"/>
  <c r="D2735" i="30"/>
  <c r="D2638" i="30"/>
  <c r="D2573" i="30"/>
  <c r="D2502" i="30"/>
  <c r="D2501" i="30"/>
  <c r="D2378" i="30"/>
  <c r="D2286" i="30"/>
  <c r="D2241" i="30"/>
  <c r="D2240" i="30"/>
  <c r="D2201" i="30"/>
  <c r="D2175" i="30"/>
  <c r="D2137" i="30"/>
  <c r="D2136" i="30"/>
  <c r="D2071" i="30"/>
  <c r="D2045" i="30"/>
  <c r="D2019" i="30"/>
  <c r="D1993" i="30"/>
  <c r="D1967" i="30"/>
  <c r="D1941" i="30"/>
  <c r="D1915" i="30"/>
  <c r="D1889" i="30"/>
  <c r="D1863" i="30"/>
  <c r="D1837" i="30"/>
  <c r="D1811" i="30"/>
  <c r="D1785" i="30"/>
  <c r="D1759" i="30"/>
  <c r="D1733" i="30"/>
  <c r="D1694" i="30"/>
  <c r="D1668" i="30"/>
  <c r="D1577" i="30"/>
  <c r="D1539" i="30"/>
  <c r="D1538" i="30"/>
  <c r="D1448" i="30"/>
  <c r="D1447" i="30"/>
  <c r="D1395" i="30"/>
  <c r="D1288" i="30"/>
  <c r="D1287" i="30"/>
  <c r="D1286" i="30"/>
  <c r="D1153" i="30"/>
  <c r="D1152" i="30"/>
  <c r="D1151" i="30"/>
  <c r="D1150" i="30"/>
  <c r="D1149" i="30"/>
  <c r="D946" i="30"/>
  <c r="D945" i="30"/>
  <c r="D944" i="30"/>
  <c r="D943" i="30"/>
  <c r="D942" i="30"/>
  <c r="D941" i="30"/>
  <c r="D940" i="30"/>
  <c r="D806" i="30"/>
  <c r="D691" i="30"/>
  <c r="D690" i="30"/>
  <c r="D689" i="30"/>
  <c r="D688" i="30"/>
  <c r="D687" i="30"/>
  <c r="D515" i="30"/>
  <c r="D514" i="30"/>
  <c r="D513" i="30"/>
  <c r="D512" i="30"/>
  <c r="D419" i="30"/>
  <c r="D367" i="30"/>
  <c r="D262" i="30"/>
  <c r="D236" i="30"/>
  <c r="D210" i="30"/>
  <c r="D171" i="30"/>
  <c r="D145" i="30"/>
  <c r="D119" i="30"/>
  <c r="D2734" i="30"/>
  <c r="D2875" i="30"/>
  <c r="D2841" i="30"/>
  <c r="D2803" i="30"/>
  <c r="D2802" i="30"/>
  <c r="D2733" i="30"/>
  <c r="D2874" i="30"/>
  <c r="D2840" i="30"/>
  <c r="D2732" i="30"/>
  <c r="D2839" i="30"/>
  <c r="D2801" i="30"/>
  <c r="D2731" i="30"/>
  <c r="D2838" i="30"/>
  <c r="D2800" i="30"/>
  <c r="D2730" i="30"/>
  <c r="D2837" i="30"/>
  <c r="D3201" i="30"/>
  <c r="D3175" i="30"/>
  <c r="D3143" i="30"/>
  <c r="D3142" i="30"/>
  <c r="D3092" i="30"/>
  <c r="D3091" i="30"/>
  <c r="D3090" i="30"/>
  <c r="D3089" i="30"/>
  <c r="D3034" i="30"/>
  <c r="D3033" i="30"/>
  <c r="D3032" i="30"/>
  <c r="D3031" i="30"/>
  <c r="D2987" i="30"/>
  <c r="D2986" i="30"/>
  <c r="D2954" i="30"/>
  <c r="D2915" i="30"/>
  <c r="D2914" i="30"/>
  <c r="D2883" i="30"/>
  <c r="D2729" i="30"/>
  <c r="D2728" i="30"/>
  <c r="D2727" i="30"/>
  <c r="D2726" i="30"/>
  <c r="D2637" i="30"/>
  <c r="D2636" i="30"/>
  <c r="D2635" i="30"/>
  <c r="D2634" i="30"/>
  <c r="D2572" i="30"/>
  <c r="D2571" i="30"/>
  <c r="D2570" i="30"/>
  <c r="D2569" i="30"/>
  <c r="D2500" i="30"/>
  <c r="D2499" i="30"/>
  <c r="D2498" i="30"/>
  <c r="D2497" i="30"/>
  <c r="D2436" i="30"/>
  <c r="D2435" i="30"/>
  <c r="D2434" i="30"/>
  <c r="D2433" i="30"/>
  <c r="D2377" i="30"/>
  <c r="D2376" i="30"/>
  <c r="D2375" i="30"/>
  <c r="D2374" i="30"/>
  <c r="D2324" i="30"/>
  <c r="D2311" i="30"/>
  <c r="D2285" i="30"/>
  <c r="D2284" i="30"/>
  <c r="D2239" i="30"/>
  <c r="D2238" i="30"/>
  <c r="D2200" i="30"/>
  <c r="D2174" i="30"/>
  <c r="D2135" i="30"/>
  <c r="D2134" i="30"/>
  <c r="D2070" i="30"/>
  <c r="D2044" i="30"/>
  <c r="D2018" i="30"/>
  <c r="D1992" i="30"/>
  <c r="D1966" i="30"/>
  <c r="D1940" i="30"/>
  <c r="D1914" i="30"/>
  <c r="D1888" i="30"/>
  <c r="D1862" i="30"/>
  <c r="D1836" i="30"/>
  <c r="D1810" i="30"/>
  <c r="D1784" i="30"/>
  <c r="D1758" i="30"/>
  <c r="D1732" i="30"/>
  <c r="D1693" i="30"/>
  <c r="D1667" i="30"/>
  <c r="D1622" i="30"/>
  <c r="D1603" i="30"/>
  <c r="D1602" i="30"/>
  <c r="D1576" i="30"/>
  <c r="D1537" i="30"/>
  <c r="D1536" i="30"/>
  <c r="D1505" i="30"/>
  <c r="D1446" i="30"/>
  <c r="D1445" i="30"/>
  <c r="D1394" i="30"/>
  <c r="D1285" i="30"/>
  <c r="D1284" i="30"/>
  <c r="D1283" i="30"/>
  <c r="D1282" i="30"/>
  <c r="D1281" i="30"/>
  <c r="D1280" i="30"/>
  <c r="D1148" i="30"/>
  <c r="D1147" i="30"/>
  <c r="D1146" i="30"/>
  <c r="D1145" i="30"/>
  <c r="D1144" i="30"/>
  <c r="D1143" i="30"/>
  <c r="D1142" i="30"/>
  <c r="D1051" i="30"/>
  <c r="D1050" i="30"/>
  <c r="D1049" i="30"/>
  <c r="D939" i="30"/>
  <c r="D938" i="30"/>
  <c r="D937" i="30"/>
  <c r="D936" i="30"/>
  <c r="D935" i="30"/>
  <c r="D934" i="30"/>
  <c r="D933" i="30"/>
  <c r="D805" i="30"/>
  <c r="D804" i="30"/>
  <c r="D803" i="30"/>
  <c r="D802" i="30"/>
  <c r="D801" i="30"/>
  <c r="D800" i="30"/>
  <c r="D686" i="30"/>
  <c r="D685" i="30"/>
  <c r="D684" i="30"/>
  <c r="D683" i="30"/>
  <c r="D682" i="30"/>
  <c r="D681" i="30"/>
  <c r="D596" i="30"/>
  <c r="D595" i="30"/>
  <c r="D594" i="30"/>
  <c r="D511" i="30"/>
  <c r="D510" i="30"/>
  <c r="D509" i="30"/>
  <c r="D508" i="30"/>
  <c r="D507" i="30"/>
  <c r="D506" i="30"/>
  <c r="D418" i="30"/>
  <c r="D417" i="30"/>
  <c r="D416" i="30"/>
  <c r="D366" i="30"/>
  <c r="D365" i="30"/>
  <c r="D364" i="30"/>
  <c r="D307" i="30"/>
  <c r="D306" i="30"/>
  <c r="D305" i="30"/>
  <c r="D261" i="30"/>
  <c r="D235" i="30"/>
  <c r="D209" i="30"/>
  <c r="D190" i="30"/>
  <c r="D170" i="30"/>
  <c r="D144" i="30"/>
  <c r="D118" i="30"/>
  <c r="D2336" i="30"/>
  <c r="D2102" i="30"/>
  <c r="D2089" i="30"/>
  <c r="D1647" i="30"/>
  <c r="D1634" i="30"/>
  <c r="D1491" i="30"/>
  <c r="D1413" i="30"/>
  <c r="D1367" i="30"/>
  <c r="D1366" i="30"/>
  <c r="D1348" i="30"/>
  <c r="D304" i="30"/>
  <c r="D303" i="30"/>
  <c r="D98" i="30"/>
  <c r="D85" i="30"/>
  <c r="D72" i="30"/>
  <c r="D46" i="30"/>
  <c r="D33" i="30"/>
  <c r="D20" i="30"/>
  <c r="D7" i="30"/>
  <c r="D2799" i="30"/>
  <c r="D3200" i="30"/>
  <c r="D3174" i="30"/>
  <c r="D3141" i="30"/>
  <c r="D3088" i="30"/>
  <c r="D2985" i="30"/>
  <c r="D2953" i="30"/>
  <c r="D2913" i="30"/>
  <c r="D2912" i="30"/>
  <c r="D2725" i="30"/>
  <c r="D2633" i="30"/>
  <c r="D2568" i="30"/>
  <c r="D2496" i="30"/>
  <c r="D2495" i="30"/>
  <c r="D2373" i="30"/>
  <c r="D2283" i="30"/>
  <c r="D2237" i="30"/>
  <c r="D2236" i="30"/>
  <c r="D2199" i="30"/>
  <c r="D2173" i="30"/>
  <c r="D2133" i="30"/>
  <c r="D2132" i="30"/>
  <c r="D2069" i="30"/>
  <c r="D2043" i="30"/>
  <c r="D2017" i="30"/>
  <c r="D1991" i="30"/>
  <c r="D1965" i="30"/>
  <c r="D1939" i="30"/>
  <c r="D1913" i="30"/>
  <c r="D1887" i="30"/>
  <c r="D1861" i="30"/>
  <c r="D1835" i="30"/>
  <c r="D1809" i="30"/>
  <c r="D1783" i="30"/>
  <c r="D1757" i="30"/>
  <c r="D1731" i="30"/>
  <c r="D1692" i="30"/>
  <c r="D1666" i="30"/>
  <c r="D1575" i="30"/>
  <c r="D1535" i="30"/>
  <c r="D1534" i="30"/>
  <c r="D1444" i="30"/>
  <c r="D1443" i="30"/>
  <c r="D1393" i="30"/>
  <c r="D1279" i="30"/>
  <c r="D1278" i="30"/>
  <c r="D1277" i="30"/>
  <c r="D1141" i="30"/>
  <c r="D1140" i="30"/>
  <c r="D1139" i="30"/>
  <c r="D1138" i="30"/>
  <c r="D1137" i="30"/>
  <c r="D932" i="30"/>
  <c r="D931" i="30"/>
  <c r="D930" i="30"/>
  <c r="D929" i="30"/>
  <c r="D928" i="30"/>
  <c r="D927" i="30"/>
  <c r="D926" i="30"/>
  <c r="D799" i="30"/>
  <c r="D680" i="30"/>
  <c r="D679" i="30"/>
  <c r="D678" i="30"/>
  <c r="D677" i="30"/>
  <c r="D676" i="30"/>
  <c r="D505" i="30"/>
  <c r="D504" i="30"/>
  <c r="D501" i="30"/>
  <c r="D500" i="30"/>
  <c r="D415" i="30"/>
  <c r="D363" i="30"/>
  <c r="D260" i="30"/>
  <c r="D234" i="30"/>
  <c r="D208" i="30"/>
  <c r="D169" i="30"/>
  <c r="D143" i="30"/>
  <c r="D117" i="30"/>
  <c r="D2798" i="30"/>
  <c r="D2724" i="30"/>
  <c r="D2873" i="30"/>
  <c r="D2723" i="30"/>
  <c r="D2836" i="30"/>
  <c r="D2797" i="30"/>
  <c r="D2722" i="30"/>
  <c r="D2872" i="30"/>
  <c r="D2835" i="30"/>
  <c r="D2796" i="30"/>
  <c r="D2721" i="30"/>
  <c r="D2834" i="30"/>
  <c r="D2795" i="30"/>
  <c r="D2720" i="30"/>
  <c r="D2871" i="30"/>
  <c r="D2833" i="30"/>
  <c r="D3199" i="30"/>
  <c r="D3173" i="30"/>
  <c r="D3140" i="30"/>
  <c r="D3139" i="30"/>
  <c r="D3087" i="30"/>
  <c r="D3086" i="30"/>
  <c r="D3085" i="30"/>
  <c r="D3084" i="30"/>
  <c r="D3030" i="30"/>
  <c r="D3029" i="30"/>
  <c r="D3028" i="30"/>
  <c r="D3027" i="30"/>
  <c r="D2984" i="30"/>
  <c r="D2983" i="30"/>
  <c r="D2952" i="30"/>
  <c r="D2911" i="30"/>
  <c r="D2910" i="30"/>
  <c r="D2882" i="30"/>
  <c r="D2719" i="30"/>
  <c r="D2718" i="30"/>
  <c r="D2717" i="30"/>
  <c r="D2716" i="30"/>
  <c r="D2632" i="30"/>
  <c r="D2631" i="30"/>
  <c r="D2630" i="30"/>
  <c r="D2629" i="30"/>
  <c r="D2567" i="30"/>
  <c r="D2566" i="30"/>
  <c r="D2565" i="30"/>
  <c r="D2564" i="30"/>
  <c r="D2494" i="30"/>
  <c r="D2493" i="30"/>
  <c r="D2492" i="30"/>
  <c r="D2491" i="30"/>
  <c r="D2432" i="30"/>
  <c r="D2431" i="30"/>
  <c r="D2430" i="30"/>
  <c r="D2429" i="30"/>
  <c r="D2372" i="30"/>
  <c r="D2371" i="30"/>
  <c r="D2370" i="30"/>
  <c r="D2369" i="30"/>
  <c r="D2323" i="30"/>
  <c r="D2310" i="30"/>
  <c r="D2282" i="30"/>
  <c r="D2281" i="30"/>
  <c r="D2235" i="30"/>
  <c r="D2234" i="30"/>
  <c r="D2198" i="30"/>
  <c r="D2172" i="30"/>
  <c r="D2131" i="30"/>
  <c r="D2130" i="30"/>
  <c r="D2068" i="30"/>
  <c r="D2042" i="30"/>
  <c r="D2016" i="30"/>
  <c r="D1990" i="30"/>
  <c r="D1964" i="30"/>
  <c r="D1938" i="30"/>
  <c r="D1912" i="30"/>
  <c r="D1886" i="30"/>
  <c r="D1860" i="30"/>
  <c r="D1834" i="30"/>
  <c r="D1808" i="30"/>
  <c r="D1782" i="30"/>
  <c r="D1756" i="30"/>
  <c r="D1730" i="30"/>
  <c r="D1691" i="30"/>
  <c r="D1665" i="30"/>
  <c r="D1621" i="30"/>
  <c r="D1601" i="30"/>
  <c r="D1600" i="30"/>
  <c r="D1574" i="30"/>
  <c r="D1533" i="30"/>
  <c r="D1532" i="30"/>
  <c r="D1504" i="30"/>
  <c r="D1442" i="30"/>
  <c r="D1441" i="30"/>
  <c r="D1392" i="30"/>
  <c r="D1276" i="30"/>
  <c r="D1275" i="30"/>
  <c r="D1274" i="30"/>
  <c r="D1273" i="30"/>
  <c r="D1272" i="30"/>
  <c r="D1271" i="30"/>
  <c r="D1136" i="30"/>
  <c r="D1135" i="30"/>
  <c r="D1134" i="30"/>
  <c r="D1133" i="30"/>
  <c r="D1132" i="30"/>
  <c r="D1131" i="30"/>
  <c r="D1130" i="30"/>
  <c r="D1048" i="30"/>
  <c r="D1047" i="30"/>
  <c r="D1046" i="30"/>
  <c r="D925" i="30"/>
  <c r="D924" i="30"/>
  <c r="D923" i="30"/>
  <c r="D922" i="30"/>
  <c r="D921" i="30"/>
  <c r="D920" i="30"/>
  <c r="D919" i="30"/>
  <c r="D798" i="30"/>
  <c r="D797" i="30"/>
  <c r="D796" i="30"/>
  <c r="D795" i="30"/>
  <c r="D794" i="30"/>
  <c r="D793" i="30"/>
  <c r="D675" i="30"/>
  <c r="D674" i="30"/>
  <c r="D673" i="30"/>
  <c r="D672" i="30"/>
  <c r="D671" i="30"/>
  <c r="D670" i="30"/>
  <c r="D593" i="30"/>
  <c r="D592" i="30"/>
  <c r="D591" i="30"/>
  <c r="D499" i="30"/>
  <c r="D498" i="30"/>
  <c r="D497" i="30"/>
  <c r="D496" i="30"/>
  <c r="D495" i="30"/>
  <c r="D494" i="30"/>
  <c r="D414" i="30"/>
  <c r="D413" i="30"/>
  <c r="D412" i="30"/>
  <c r="D362" i="30"/>
  <c r="D361" i="30"/>
  <c r="D360" i="30"/>
  <c r="D302" i="30"/>
  <c r="D301" i="30"/>
  <c r="D300" i="30"/>
  <c r="D259" i="30"/>
  <c r="D233" i="30"/>
  <c r="D207" i="30"/>
  <c r="D189" i="30"/>
  <c r="D168" i="30"/>
  <c r="D142" i="30"/>
  <c r="D116" i="30"/>
  <c r="D2335" i="30"/>
  <c r="D2101" i="30"/>
  <c r="D2088" i="30"/>
  <c r="D1646" i="30"/>
  <c r="D1633" i="30"/>
  <c r="D1490" i="30"/>
  <c r="D1412" i="30"/>
  <c r="D1365" i="30"/>
  <c r="D1364" i="30"/>
  <c r="D1347" i="30"/>
  <c r="D299" i="30"/>
  <c r="D298" i="30"/>
  <c r="D97" i="30"/>
  <c r="D84" i="30"/>
  <c r="D71" i="30"/>
  <c r="D45" i="30"/>
  <c r="D32" i="30"/>
  <c r="D19" i="30"/>
  <c r="D6" i="30"/>
  <c r="D2794" i="30"/>
  <c r="D3198" i="30"/>
  <c r="D3172" i="30"/>
  <c r="D3138" i="30"/>
  <c r="D3083" i="30"/>
  <c r="D2982" i="30"/>
  <c r="D2951" i="30"/>
  <c r="D2909" i="30"/>
  <c r="D2908" i="30"/>
  <c r="D2715" i="30"/>
  <c r="D2628" i="30"/>
  <c r="D2563" i="30"/>
  <c r="D2490" i="30"/>
  <c r="D2489" i="30"/>
  <c r="D2368" i="30"/>
  <c r="D2280" i="30"/>
  <c r="D2233" i="30"/>
  <c r="D2232" i="30"/>
  <c r="D2197" i="30"/>
  <c r="D2171" i="30"/>
  <c r="D2129" i="30"/>
  <c r="D2128" i="30"/>
  <c r="D2067" i="30"/>
  <c r="D2041" i="30"/>
  <c r="D2015" i="30"/>
  <c r="D1989" i="30"/>
  <c r="D1963" i="30"/>
  <c r="D1937" i="30"/>
  <c r="D1911" i="30"/>
  <c r="D1885" i="30"/>
  <c r="D1859" i="30"/>
  <c r="D1833" i="30"/>
  <c r="D1807" i="30"/>
  <c r="D1781" i="30"/>
  <c r="D1755" i="30"/>
  <c r="D1729" i="30"/>
  <c r="D1690" i="30"/>
  <c r="D1664" i="30"/>
  <c r="D1573" i="30"/>
  <c r="D1531" i="30"/>
  <c r="D1530" i="30"/>
  <c r="D1440" i="30"/>
  <c r="D1439" i="30"/>
  <c r="D1391" i="30"/>
  <c r="D1270" i="30"/>
  <c r="D1269" i="30"/>
  <c r="D1268" i="30"/>
  <c r="D1129" i="30"/>
  <c r="D1128" i="30"/>
  <c r="D1127" i="30"/>
  <c r="D1126" i="30"/>
  <c r="D1125" i="30"/>
  <c r="D918" i="30"/>
  <c r="D917" i="30"/>
  <c r="D916" i="30"/>
  <c r="D915" i="30"/>
  <c r="D914" i="30"/>
  <c r="D913" i="30"/>
  <c r="D912" i="30"/>
  <c r="D792" i="30"/>
  <c r="D669" i="30"/>
  <c r="D668" i="30"/>
  <c r="D667" i="30"/>
  <c r="D666" i="30"/>
  <c r="D665" i="30"/>
  <c r="D493" i="30"/>
  <c r="D492" i="30"/>
  <c r="D491" i="30"/>
  <c r="D490" i="30"/>
  <c r="D411" i="30"/>
  <c r="D359" i="30"/>
  <c r="D258" i="30"/>
  <c r="D232" i="30"/>
  <c r="D206" i="30"/>
  <c r="D167" i="30"/>
  <c r="D141" i="30"/>
  <c r="D115" i="30"/>
  <c r="D2832" i="30"/>
  <c r="D2793" i="30"/>
  <c r="D2714" i="30"/>
  <c r="D2713" i="30"/>
  <c r="D2870" i="30"/>
  <c r="D2831" i="30"/>
  <c r="D2792" i="30"/>
  <c r="D2712" i="30"/>
  <c r="D2869" i="30"/>
  <c r="D2830" i="30"/>
  <c r="D2791" i="30"/>
  <c r="D2711" i="30"/>
  <c r="D2868" i="30"/>
  <c r="D2829" i="30"/>
  <c r="D2790" i="30"/>
  <c r="D2710" i="30"/>
  <c r="D3197" i="30"/>
  <c r="D3171" i="30"/>
  <c r="D3137" i="30"/>
  <c r="D3136" i="30"/>
  <c r="D3082" i="30"/>
  <c r="D3081" i="30"/>
  <c r="D3080" i="30"/>
  <c r="D3079" i="30"/>
  <c r="D3026" i="30"/>
  <c r="D3025" i="30"/>
  <c r="D3024" i="30"/>
  <c r="D3023" i="30"/>
  <c r="D2981" i="30"/>
  <c r="D2980" i="30"/>
  <c r="D2950" i="30"/>
  <c r="D2907" i="30"/>
  <c r="D2906" i="30"/>
  <c r="D2881" i="30"/>
  <c r="D2709" i="30"/>
  <c r="D2708" i="30"/>
  <c r="D2707" i="30"/>
  <c r="D2706" i="30"/>
  <c r="D2627" i="30"/>
  <c r="D2626" i="30"/>
  <c r="D2625" i="30"/>
  <c r="D2624" i="30"/>
  <c r="D2562" i="30"/>
  <c r="D2561" i="30"/>
  <c r="D2560" i="30"/>
  <c r="D2559" i="30"/>
  <c r="D2488" i="30"/>
  <c r="D2487" i="30"/>
  <c r="D2486" i="30"/>
  <c r="D2485" i="30"/>
  <c r="D2428" i="30"/>
  <c r="D2427" i="30"/>
  <c r="D2426" i="30"/>
  <c r="D2425" i="30"/>
  <c r="D2367" i="30"/>
  <c r="D2366" i="30"/>
  <c r="D2365" i="30"/>
  <c r="D2364" i="30"/>
  <c r="D2322" i="30"/>
  <c r="D2309" i="30"/>
  <c r="D2279" i="30"/>
  <c r="D2278" i="30"/>
  <c r="D2231" i="30"/>
  <c r="D2230" i="30"/>
  <c r="D2196" i="30"/>
  <c r="D2170" i="30"/>
  <c r="D2127" i="30"/>
  <c r="D2126" i="30"/>
  <c r="D2066" i="30"/>
  <c r="D2040" i="30"/>
  <c r="D2014" i="30"/>
  <c r="D1988" i="30"/>
  <c r="D1962" i="30"/>
  <c r="D1936" i="30"/>
  <c r="D1910" i="30"/>
  <c r="D1884" i="30"/>
  <c r="D1858" i="30"/>
  <c r="D1832" i="30"/>
  <c r="D1806" i="30"/>
  <c r="D1780" i="30"/>
  <c r="D1754" i="30"/>
  <c r="D1728" i="30"/>
  <c r="D1689" i="30"/>
  <c r="D1663" i="30"/>
  <c r="D1620" i="30"/>
  <c r="D1599" i="30"/>
  <c r="D1598" i="30"/>
  <c r="D1572" i="30"/>
  <c r="D1529" i="30"/>
  <c r="D1528" i="30"/>
  <c r="D1503" i="30"/>
  <c r="D1438" i="30"/>
  <c r="D1437" i="30"/>
  <c r="D1390" i="30"/>
  <c r="D1267" i="30"/>
  <c r="D1266" i="30"/>
  <c r="D1265" i="30"/>
  <c r="D1264" i="30"/>
  <c r="D1263" i="30"/>
  <c r="D1262" i="30"/>
  <c r="D1124" i="30"/>
  <c r="D1123" i="30"/>
  <c r="D1122" i="30"/>
  <c r="D1121" i="30"/>
  <c r="D1120" i="30"/>
  <c r="D1119" i="30"/>
  <c r="D1118" i="30"/>
  <c r="D1045" i="30"/>
  <c r="D1044" i="30"/>
  <c r="D1043" i="30"/>
  <c r="D911" i="30"/>
  <c r="D910" i="30"/>
  <c r="D909" i="30"/>
  <c r="D908" i="30"/>
  <c r="D907" i="30"/>
  <c r="D906" i="30"/>
  <c r="D905" i="30"/>
  <c r="D791" i="30"/>
  <c r="D790" i="30"/>
  <c r="D789" i="30"/>
  <c r="D788" i="30"/>
  <c r="D787" i="30"/>
  <c r="D786" i="30"/>
  <c r="D664" i="30"/>
  <c r="D663" i="30"/>
  <c r="D662" i="30"/>
  <c r="D661" i="30"/>
  <c r="D660" i="30"/>
  <c r="D659" i="30"/>
  <c r="D590" i="30"/>
  <c r="D589" i="30"/>
  <c r="D588" i="30"/>
  <c r="D489" i="30"/>
  <c r="D488" i="30"/>
  <c r="D487" i="30"/>
  <c r="D486" i="30"/>
  <c r="D485" i="30"/>
  <c r="D484" i="30"/>
  <c r="D410" i="30"/>
  <c r="D409" i="30"/>
  <c r="D408" i="30"/>
  <c r="D358" i="30"/>
  <c r="D357" i="30"/>
  <c r="D356" i="30"/>
  <c r="D297" i="30"/>
  <c r="D296" i="30"/>
  <c r="D295" i="30"/>
  <c r="D257" i="30"/>
  <c r="D231" i="30"/>
  <c r="D205" i="30"/>
  <c r="D188" i="30"/>
  <c r="D166" i="30"/>
  <c r="D140" i="30"/>
  <c r="D114" i="30"/>
  <c r="D2334" i="30"/>
  <c r="D2100" i="30"/>
  <c r="D2087" i="30"/>
  <c r="D1645" i="30"/>
  <c r="D1632" i="30"/>
  <c r="D1489" i="30"/>
  <c r="D1411" i="30"/>
  <c r="D1363" i="30"/>
  <c r="D1362" i="30"/>
  <c r="D1346" i="30"/>
  <c r="D294" i="30"/>
  <c r="D293" i="30"/>
  <c r="D96" i="30"/>
  <c r="D83" i="30"/>
  <c r="D70" i="30"/>
  <c r="D44" i="30"/>
  <c r="D31" i="30"/>
  <c r="D18" i="30"/>
  <c r="D5" i="30"/>
  <c r="D2867" i="30"/>
  <c r="D3196" i="30"/>
  <c r="D3170" i="30"/>
  <c r="D3135" i="30"/>
  <c r="D3078" i="30"/>
  <c r="D2979" i="30"/>
  <c r="D2949" i="30"/>
  <c r="D2905" i="30"/>
  <c r="D2904" i="30"/>
  <c r="D2705" i="30"/>
  <c r="D2623" i="30"/>
  <c r="D2558" i="30"/>
  <c r="D2484" i="30"/>
  <c r="D2483" i="30"/>
  <c r="D2363" i="30"/>
  <c r="D2277" i="30"/>
  <c r="D2229" i="30"/>
  <c r="D2228" i="30"/>
  <c r="D2195" i="30"/>
  <c r="D2169" i="30"/>
  <c r="D2125" i="30"/>
  <c r="D2124" i="30"/>
  <c r="D2065" i="30"/>
  <c r="D2039" i="30"/>
  <c r="D2013" i="30"/>
  <c r="D1987" i="30"/>
  <c r="D1961" i="30"/>
  <c r="D1935" i="30"/>
  <c r="D1909" i="30"/>
  <c r="D1883" i="30"/>
  <c r="D1857" i="30"/>
  <c r="D1831" i="30"/>
  <c r="D1805" i="30"/>
  <c r="D1779" i="30"/>
  <c r="D1753" i="30"/>
  <c r="D1727" i="30"/>
  <c r="D1688" i="30"/>
  <c r="D1662" i="30"/>
  <c r="D1571" i="30"/>
  <c r="D1527" i="30"/>
  <c r="D1526" i="30"/>
  <c r="D1436" i="30"/>
  <c r="D1435" i="30"/>
  <c r="D1389" i="30"/>
  <c r="D1261" i="30"/>
  <c r="D1260" i="30"/>
  <c r="D1259" i="30"/>
  <c r="D1117" i="30"/>
  <c r="D1116" i="30"/>
  <c r="D1115" i="30"/>
  <c r="D1114" i="30"/>
  <c r="D1113" i="30"/>
  <c r="D904" i="30"/>
  <c r="D903" i="30"/>
  <c r="D902" i="30"/>
  <c r="D901" i="30"/>
  <c r="D900" i="30"/>
  <c r="D899" i="30"/>
  <c r="D898" i="30"/>
  <c r="D785" i="30"/>
  <c r="D658" i="30"/>
  <c r="D657" i="30"/>
  <c r="D656" i="30"/>
  <c r="D655" i="30"/>
  <c r="D654" i="30"/>
  <c r="D483" i="30"/>
  <c r="D482" i="30"/>
  <c r="D481" i="30"/>
  <c r="D480" i="30"/>
  <c r="D407" i="30"/>
  <c r="D355" i="30"/>
  <c r="D256" i="30"/>
  <c r="D230" i="30"/>
  <c r="D204" i="30"/>
  <c r="D165" i="30"/>
  <c r="D139" i="30"/>
  <c r="D113" i="30"/>
  <c r="D2866" i="30"/>
  <c r="D2828" i="30"/>
  <c r="D2789" i="30"/>
  <c r="D2827" i="30"/>
  <c r="D2704" i="30"/>
  <c r="D2865" i="30"/>
  <c r="D2826" i="30"/>
  <c r="D2788" i="30"/>
  <c r="D2787" i="30"/>
  <c r="D2703" i="30"/>
  <c r="D2864" i="30"/>
  <c r="D2825" i="30"/>
  <c r="D2786" i="30"/>
  <c r="D2702" i="30"/>
  <c r="D2863" i="30"/>
  <c r="D2824" i="30"/>
  <c r="D3195" i="30"/>
  <c r="D3169" i="30"/>
  <c r="D3134" i="30"/>
  <c r="D3133" i="30"/>
  <c r="D3077" i="30"/>
  <c r="D3076" i="30"/>
  <c r="D3075" i="30"/>
  <c r="D3074" i="30"/>
  <c r="D3022" i="30"/>
  <c r="D3021" i="30"/>
  <c r="D3020" i="30"/>
  <c r="D3019" i="30"/>
  <c r="D2978" i="30"/>
  <c r="D2977" i="30"/>
  <c r="D2948" i="30"/>
  <c r="D2903" i="30"/>
  <c r="D2902" i="30"/>
  <c r="D2880" i="30"/>
  <c r="D2701" i="30"/>
  <c r="D2700" i="30"/>
  <c r="D2699" i="30"/>
  <c r="D2698" i="30"/>
  <c r="D2622" i="30"/>
  <c r="D2621" i="30"/>
  <c r="D2620" i="30"/>
  <c r="D2619" i="30"/>
  <c r="D2557" i="30"/>
  <c r="D2556" i="30"/>
  <c r="D2555" i="30"/>
  <c r="D2554" i="30"/>
  <c r="D2482" i="30"/>
  <c r="D2481" i="30"/>
  <c r="D2480" i="30"/>
  <c r="D2479" i="30"/>
  <c r="D2424" i="30"/>
  <c r="D2423" i="30"/>
  <c r="D2422" i="30"/>
  <c r="D2421" i="30"/>
  <c r="D2362" i="30"/>
  <c r="D2361" i="30"/>
  <c r="D2360" i="30"/>
  <c r="D2359" i="30"/>
  <c r="D2321" i="30"/>
  <c r="D2308" i="30"/>
  <c r="D2276" i="30"/>
  <c r="D2275" i="30"/>
  <c r="D2227" i="30"/>
  <c r="D2226" i="30"/>
  <c r="D2194" i="30"/>
  <c r="D2168" i="30"/>
  <c r="D2123" i="30"/>
  <c r="D2122" i="30"/>
  <c r="D2064" i="30"/>
  <c r="D2038" i="30"/>
  <c r="D2012" i="30"/>
  <c r="D1986" i="30"/>
  <c r="D1960" i="30"/>
  <c r="D1934" i="30"/>
  <c r="D1908" i="30"/>
  <c r="D1882" i="30"/>
  <c r="D1856" i="30"/>
  <c r="D1830" i="30"/>
  <c r="D1804" i="30"/>
  <c r="D1778" i="30"/>
  <c r="D1752" i="30"/>
  <c r="D1726" i="30"/>
  <c r="D1687" i="30"/>
  <c r="D1661" i="30"/>
  <c r="D1619" i="30"/>
  <c r="D1597" i="30"/>
  <c r="D1596" i="30"/>
  <c r="D1570" i="30"/>
  <c r="D1525" i="30"/>
  <c r="D1524" i="30"/>
  <c r="D1502" i="30"/>
  <c r="D1434" i="30"/>
  <c r="D1433" i="30"/>
  <c r="D1388" i="30"/>
  <c r="D1258" i="30"/>
  <c r="D1257" i="30"/>
  <c r="D1256" i="30"/>
  <c r="D1255" i="30"/>
  <c r="D1254" i="30"/>
  <c r="D1253" i="30"/>
  <c r="D1112" i="30"/>
  <c r="D1111" i="30"/>
  <c r="D1110" i="30"/>
  <c r="D1109" i="30"/>
  <c r="D1108" i="30"/>
  <c r="D1107" i="30"/>
  <c r="D1106" i="30"/>
  <c r="D1042" i="30"/>
  <c r="D1041" i="30"/>
  <c r="D1040" i="30"/>
  <c r="D897" i="30"/>
  <c r="D896" i="30"/>
  <c r="D895" i="30"/>
  <c r="D894" i="30"/>
  <c r="D893" i="30"/>
  <c r="D892" i="30"/>
  <c r="D891" i="30"/>
  <c r="D784" i="30"/>
  <c r="D783" i="30"/>
  <c r="D782" i="30"/>
  <c r="D781" i="30"/>
  <c r="D780" i="30"/>
  <c r="D779" i="30"/>
  <c r="D653" i="30"/>
  <c r="D652" i="30"/>
  <c r="D651" i="30"/>
  <c r="D650" i="30"/>
  <c r="D649" i="30"/>
  <c r="D648" i="30"/>
  <c r="D587" i="30"/>
  <c r="D586" i="30"/>
  <c r="D585" i="30"/>
  <c r="D479" i="30"/>
  <c r="D478" i="30"/>
  <c r="D477" i="30"/>
  <c r="D476" i="30"/>
  <c r="D475" i="30"/>
  <c r="D474" i="30"/>
  <c r="D406" i="30"/>
  <c r="D405" i="30"/>
  <c r="D404" i="30"/>
  <c r="D354" i="30"/>
  <c r="D353" i="30"/>
  <c r="D352" i="30"/>
  <c r="D292" i="30"/>
  <c r="D291" i="30"/>
  <c r="D290" i="30"/>
  <c r="D255" i="30"/>
  <c r="D229" i="30"/>
  <c r="D203" i="30"/>
  <c r="D187" i="30"/>
  <c r="D164" i="30"/>
  <c r="D138" i="30"/>
  <c r="D112" i="30"/>
  <c r="D2333" i="30"/>
  <c r="D2099" i="30"/>
  <c r="D2086" i="30"/>
  <c r="D1644" i="30"/>
  <c r="D1631" i="30"/>
  <c r="D1488" i="30"/>
  <c r="D1410" i="30"/>
  <c r="D1361" i="30"/>
  <c r="D1360" i="30"/>
  <c r="D1345" i="30"/>
  <c r="D289" i="30"/>
  <c r="D288" i="30"/>
  <c r="D95" i="30"/>
  <c r="D82" i="30"/>
  <c r="D69" i="30"/>
  <c r="D43" i="30"/>
  <c r="D30" i="30"/>
  <c r="D17" i="30"/>
  <c r="D4" i="30"/>
  <c r="D2785" i="30"/>
  <c r="D3194" i="30"/>
  <c r="D3168" i="30"/>
  <c r="D3132" i="30"/>
  <c r="D3073" i="30"/>
  <c r="D2976" i="30"/>
  <c r="D2947" i="30"/>
  <c r="D2901" i="30"/>
  <c r="D2900" i="30"/>
  <c r="D2697" i="30"/>
  <c r="D2618" i="30"/>
  <c r="D2553" i="30"/>
  <c r="D2478" i="30"/>
  <c r="D2477" i="30"/>
  <c r="D2358" i="30"/>
  <c r="D2274" i="30"/>
  <c r="D2225" i="30"/>
  <c r="D2224" i="30"/>
  <c r="D2193" i="30"/>
  <c r="D2167" i="30"/>
  <c r="D2121" i="30"/>
  <c r="D2120" i="30"/>
  <c r="D2063" i="30"/>
  <c r="D2037" i="30"/>
  <c r="D2011" i="30"/>
  <c r="D1985" i="30"/>
  <c r="D1959" i="30"/>
  <c r="D1933" i="30"/>
  <c r="D1907" i="30"/>
  <c r="D1881" i="30"/>
  <c r="D1855" i="30"/>
  <c r="D1829" i="30"/>
  <c r="D1803" i="30"/>
  <c r="D1777" i="30"/>
  <c r="D1751" i="30"/>
  <c r="D1725" i="30"/>
  <c r="D1686" i="30"/>
  <c r="D1660" i="30"/>
  <c r="D1569" i="30"/>
  <c r="D1523" i="30"/>
  <c r="D1522" i="30"/>
  <c r="D1432" i="30"/>
  <c r="D1431" i="30"/>
  <c r="D1387" i="30"/>
  <c r="D1252" i="30"/>
  <c r="D1251" i="30"/>
  <c r="D1250" i="30"/>
  <c r="D1105" i="30"/>
  <c r="D1104" i="30"/>
  <c r="D1103" i="30"/>
  <c r="D1102" i="30"/>
  <c r="D1101" i="30"/>
  <c r="D890" i="30"/>
  <c r="D889" i="30"/>
  <c r="D888" i="30"/>
  <c r="D887" i="30"/>
  <c r="D886" i="30"/>
  <c r="D885" i="30"/>
  <c r="D884" i="30"/>
  <c r="D778" i="30"/>
  <c r="D647" i="30"/>
  <c r="D646" i="30"/>
  <c r="D645" i="30"/>
  <c r="D644" i="30"/>
  <c r="D643" i="30"/>
  <c r="D473" i="30"/>
  <c r="D472" i="30"/>
  <c r="D471" i="30"/>
  <c r="D470" i="30"/>
  <c r="D403" i="30"/>
  <c r="D351" i="30"/>
  <c r="D254" i="30"/>
  <c r="D228" i="30"/>
  <c r="D202" i="30"/>
  <c r="D163" i="30"/>
  <c r="D137" i="30"/>
  <c r="D111" i="30"/>
  <c r="D2696" i="30"/>
  <c r="D2862" i="30"/>
  <c r="D2823" i="30"/>
  <c r="D2695" i="30"/>
  <c r="D2784" i="30"/>
  <c r="D2694" i="30"/>
  <c r="D2861" i="30"/>
  <c r="D2822" i="30"/>
  <c r="D2860" i="30"/>
  <c r="D2821" i="30"/>
  <c r="D2783" i="30"/>
  <c r="D2693" i="30"/>
  <c r="D2859" i="30"/>
  <c r="D2820" i="30"/>
  <c r="D2782" i="30"/>
  <c r="D2692" i="30"/>
  <c r="D3193" i="30"/>
  <c r="D3167" i="30"/>
  <c r="D3131" i="30"/>
  <c r="D3130" i="30"/>
  <c r="D3072" i="30"/>
  <c r="D3071" i="30"/>
  <c r="D3070" i="30"/>
  <c r="D3069" i="30"/>
  <c r="D3018" i="30"/>
  <c r="D3017" i="30"/>
  <c r="D3016" i="30"/>
  <c r="D3015" i="30"/>
  <c r="D2975" i="30"/>
  <c r="D2974" i="30"/>
  <c r="D2946" i="30"/>
  <c r="D2899" i="30"/>
  <c r="D2898" i="30"/>
  <c r="D2879" i="30"/>
  <c r="D2691" i="30"/>
  <c r="D2690" i="30"/>
  <c r="D2689" i="30"/>
  <c r="D2688" i="30"/>
  <c r="D2617" i="30"/>
  <c r="D2616" i="30"/>
  <c r="D2615" i="30"/>
  <c r="D2614" i="30"/>
  <c r="D2552" i="30"/>
  <c r="D2551" i="30"/>
  <c r="D2550" i="30"/>
  <c r="D2549" i="30"/>
  <c r="D2476" i="30"/>
  <c r="D2475" i="30"/>
  <c r="D2474" i="30"/>
  <c r="D2473" i="30"/>
  <c r="D2420" i="30"/>
  <c r="D2419" i="30"/>
  <c r="D2418" i="30"/>
  <c r="D2417" i="30"/>
  <c r="D2357" i="30"/>
  <c r="D2356" i="30"/>
  <c r="D2355" i="30"/>
  <c r="D2354" i="30"/>
  <c r="D2320" i="30"/>
  <c r="D2307" i="30"/>
  <c r="D2273" i="30"/>
  <c r="D2272" i="30"/>
  <c r="D2223" i="30"/>
  <c r="D2222" i="30"/>
  <c r="D2192" i="30"/>
  <c r="D2166" i="30"/>
  <c r="D2119" i="30"/>
  <c r="D2118" i="30"/>
  <c r="D2062" i="30"/>
  <c r="D2036" i="30"/>
  <c r="D2010" i="30"/>
  <c r="D1984" i="30"/>
  <c r="D1958" i="30"/>
  <c r="D1932" i="30"/>
  <c r="D1906" i="30"/>
  <c r="D1880" i="30"/>
  <c r="D1854" i="30"/>
  <c r="D1828" i="30"/>
  <c r="D1802" i="30"/>
  <c r="D1776" i="30"/>
  <c r="D1750" i="30"/>
  <c r="D1724" i="30"/>
  <c r="D1685" i="30"/>
  <c r="D1659" i="30"/>
  <c r="D1618" i="30"/>
  <c r="D1595" i="30"/>
  <c r="D1594" i="30"/>
  <c r="D1568" i="30"/>
  <c r="D1521" i="30"/>
  <c r="D1520" i="30"/>
  <c r="D1501" i="30"/>
  <c r="D1430" i="30"/>
  <c r="D1429" i="30"/>
  <c r="D1386" i="30"/>
  <c r="D1249" i="30"/>
  <c r="D1248" i="30"/>
  <c r="D1247" i="30"/>
  <c r="D1246" i="30"/>
  <c r="D1245" i="30"/>
  <c r="D1244" i="30"/>
  <c r="D1100" i="30"/>
  <c r="D1099" i="30"/>
  <c r="D1098" i="30"/>
  <c r="D1097" i="30"/>
  <c r="D1096" i="30"/>
  <c r="D1095" i="30"/>
  <c r="D1094" i="30"/>
  <c r="D1039" i="30"/>
  <c r="D1038" i="30"/>
  <c r="D1037" i="30"/>
  <c r="D883" i="30"/>
  <c r="D882" i="30"/>
  <c r="D881" i="30"/>
  <c r="D880" i="30"/>
  <c r="D879" i="30"/>
  <c r="D878" i="30"/>
  <c r="D877" i="30"/>
  <c r="D777" i="30"/>
  <c r="D776" i="30"/>
  <c r="D775" i="30"/>
  <c r="D774" i="30"/>
  <c r="D773" i="30"/>
  <c r="D772" i="30"/>
  <c r="D642" i="30"/>
  <c r="D641" i="30"/>
  <c r="D640" i="30"/>
  <c r="D639" i="30"/>
  <c r="D638" i="30"/>
  <c r="D637" i="30"/>
  <c r="D584" i="30"/>
  <c r="D583" i="30"/>
  <c r="D582" i="30"/>
  <c r="D469" i="30"/>
  <c r="D468" i="30"/>
  <c r="D467" i="30"/>
  <c r="D466" i="30"/>
  <c r="D465" i="30"/>
  <c r="D464" i="30"/>
  <c r="D402" i="30"/>
  <c r="D401" i="30"/>
  <c r="D400" i="30"/>
  <c r="D350" i="30"/>
  <c r="D349" i="30"/>
  <c r="D348" i="30"/>
  <c r="D287" i="30"/>
  <c r="D286" i="30"/>
  <c r="D285" i="30"/>
  <c r="D253" i="30"/>
  <c r="D227" i="30"/>
  <c r="D201" i="30"/>
  <c r="D186" i="30"/>
  <c r="D162" i="30"/>
  <c r="D136" i="30"/>
  <c r="D110" i="30"/>
  <c r="D503" i="30"/>
  <c r="D502" i="30"/>
  <c r="D2332" i="30"/>
  <c r="D2098" i="30"/>
  <c r="D2085" i="30"/>
  <c r="D1643" i="30"/>
  <c r="D1630" i="30"/>
  <c r="D1487" i="30"/>
  <c r="D1409" i="30"/>
  <c r="D1359" i="30"/>
  <c r="D1358" i="30"/>
  <c r="D1344" i="30"/>
  <c r="D284" i="30"/>
  <c r="D283" i="30"/>
  <c r="D94" i="30"/>
  <c r="D81" i="30"/>
  <c r="D68" i="30"/>
  <c r="D42" i="30"/>
  <c r="D29" i="30"/>
  <c r="D16" i="30"/>
  <c r="D3" i="30"/>
  <c r="D2858" i="30"/>
  <c r="D3192" i="30"/>
  <c r="D3166" i="30"/>
  <c r="D3129" i="30"/>
  <c r="D3068" i="30"/>
  <c r="D2973" i="30"/>
  <c r="D2945" i="30"/>
  <c r="D2897" i="30"/>
  <c r="D2896" i="30"/>
  <c r="D2687" i="30"/>
  <c r="D2613" i="30"/>
  <c r="D2548" i="30"/>
  <c r="D2472" i="30"/>
  <c r="D2471" i="30"/>
  <c r="D2353" i="30"/>
  <c r="D2271" i="30"/>
  <c r="D2221" i="30"/>
  <c r="D2220" i="30"/>
  <c r="D2191" i="30"/>
  <c r="D2165" i="30"/>
  <c r="D2117" i="30"/>
  <c r="D2116" i="30"/>
  <c r="D2061" i="30"/>
  <c r="D2035" i="30"/>
  <c r="D2009" i="30"/>
  <c r="D1983" i="30"/>
  <c r="D1957" i="30"/>
  <c r="D1931" i="30"/>
  <c r="D1905" i="30"/>
  <c r="D1879" i="30"/>
  <c r="D1853" i="30"/>
  <c r="D1827" i="30"/>
  <c r="D1801" i="30"/>
  <c r="D1775" i="30"/>
  <c r="D1749" i="30"/>
  <c r="D1723" i="30"/>
  <c r="D1684" i="30"/>
  <c r="D1658" i="30"/>
  <c r="D1567" i="30"/>
  <c r="D1519" i="30"/>
  <c r="D1518" i="30"/>
  <c r="D1428" i="30"/>
  <c r="D1427" i="30"/>
  <c r="D1385" i="30"/>
  <c r="D1243" i="30"/>
  <c r="D1242" i="30"/>
  <c r="D1241" i="30"/>
  <c r="D1093" i="30"/>
  <c r="D1092" i="30"/>
  <c r="D1091" i="30"/>
  <c r="D1090" i="30"/>
  <c r="D1089" i="30"/>
  <c r="D876" i="30"/>
  <c r="D875" i="30"/>
  <c r="D874" i="30"/>
  <c r="D873" i="30"/>
  <c r="D872" i="30"/>
  <c r="D871" i="30"/>
  <c r="D870" i="30"/>
  <c r="D771" i="30"/>
  <c r="D636" i="30"/>
  <c r="D635" i="30"/>
  <c r="D634" i="30"/>
  <c r="D633" i="30"/>
  <c r="D632" i="30"/>
  <c r="D463" i="30"/>
  <c r="D462" i="30"/>
  <c r="D461" i="30"/>
  <c r="D460" i="30"/>
  <c r="D399" i="30"/>
  <c r="D347" i="30"/>
  <c r="D252" i="30"/>
  <c r="D226" i="30"/>
  <c r="D200" i="30"/>
  <c r="D161" i="30"/>
  <c r="D135" i="30"/>
  <c r="D109" i="30"/>
  <c r="D2781" i="30"/>
  <c r="D2686" i="30"/>
  <c r="D2857" i="30"/>
  <c r="D2819" i="30"/>
  <c r="D2818" i="30"/>
  <c r="D2780" i="30"/>
  <c r="D2685" i="30"/>
  <c r="D2856" i="30"/>
  <c r="D2779" i="30"/>
  <c r="D2684" i="30"/>
  <c r="D2855" i="30"/>
  <c r="D2817" i="30"/>
  <c r="D2778" i="30"/>
  <c r="D2683" i="30"/>
  <c r="D2854" i="30"/>
  <c r="D2816" i="30"/>
  <c r="D3191" i="30"/>
  <c r="D3165" i="30"/>
  <c r="D3128" i="30"/>
  <c r="D3127" i="30"/>
  <c r="D3067" i="30"/>
  <c r="D3066" i="30"/>
  <c r="D3065" i="30"/>
  <c r="D3064" i="30"/>
  <c r="D3014" i="30"/>
  <c r="D3013" i="30"/>
  <c r="D3012" i="30"/>
  <c r="D3011" i="30"/>
  <c r="D2972" i="30"/>
  <c r="D2971" i="30"/>
  <c r="D2944" i="30"/>
  <c r="D2895" i="30"/>
  <c r="D2894" i="30"/>
  <c r="D2878" i="30"/>
  <c r="D2682" i="30"/>
  <c r="D2681" i="30"/>
  <c r="D2680" i="30"/>
  <c r="D2679" i="30"/>
  <c r="D2612" i="30"/>
  <c r="D2611" i="30"/>
  <c r="D2610" i="30"/>
  <c r="D2609" i="30"/>
  <c r="D2547" i="30"/>
  <c r="D2546" i="30"/>
  <c r="D2545" i="30"/>
  <c r="D2544" i="30"/>
  <c r="D2470" i="30"/>
  <c r="D2469" i="30"/>
  <c r="D2468" i="30"/>
  <c r="D2467" i="30"/>
  <c r="D2416" i="30"/>
  <c r="D2415" i="30"/>
  <c r="D2414" i="30"/>
  <c r="D2413" i="30"/>
  <c r="D2352" i="30"/>
  <c r="D2351" i="30"/>
  <c r="D2350" i="30"/>
  <c r="D2349" i="30"/>
  <c r="D2319" i="30"/>
  <c r="D2306" i="30"/>
  <c r="D2270" i="30"/>
  <c r="D2269" i="30"/>
  <c r="D2219" i="30"/>
  <c r="D2218" i="30"/>
  <c r="D2190" i="30"/>
  <c r="D2164" i="30"/>
  <c r="D2115" i="30"/>
  <c r="D2114" i="30"/>
  <c r="D2060" i="30"/>
  <c r="D2034" i="30"/>
  <c r="D2008" i="30"/>
  <c r="D1982" i="30"/>
  <c r="D1956" i="30"/>
  <c r="D1930" i="30"/>
  <c r="D1904" i="30"/>
  <c r="D1878" i="30"/>
  <c r="D1852" i="30"/>
  <c r="D1826" i="30"/>
  <c r="D1800" i="30"/>
  <c r="D1774" i="30"/>
  <c r="D1748" i="30"/>
  <c r="D1722" i="30"/>
  <c r="D1683" i="30"/>
  <c r="D1657" i="30"/>
  <c r="D1617" i="30"/>
  <c r="D1593" i="30"/>
  <c r="D1592" i="30"/>
  <c r="D1566" i="30"/>
  <c r="D1517" i="30"/>
  <c r="D1516" i="30"/>
  <c r="D1500" i="30"/>
  <c r="D1426" i="30"/>
  <c r="D1425" i="30"/>
  <c r="D1384" i="30"/>
  <c r="D1240" i="30"/>
  <c r="D1239" i="30"/>
  <c r="D1238" i="30"/>
  <c r="D1237" i="30"/>
  <c r="D1236" i="30"/>
  <c r="D1235" i="30"/>
  <c r="D1088" i="30"/>
  <c r="D1087" i="30"/>
  <c r="D1086" i="30"/>
  <c r="D1085" i="30"/>
  <c r="D1084" i="30"/>
  <c r="D1083" i="30"/>
  <c r="D1082" i="30"/>
  <c r="D1036" i="30"/>
  <c r="D1035" i="30"/>
  <c r="D1034" i="30"/>
  <c r="D869" i="30"/>
  <c r="D868" i="30"/>
  <c r="D867" i="30"/>
  <c r="D866" i="30"/>
  <c r="D865" i="30"/>
  <c r="D864" i="30"/>
  <c r="D863" i="30"/>
  <c r="D770" i="30"/>
  <c r="D769" i="30"/>
  <c r="D768" i="30"/>
  <c r="D767" i="30"/>
  <c r="D766" i="30"/>
  <c r="D765" i="30"/>
  <c r="D631" i="30"/>
  <c r="D630" i="30"/>
  <c r="D629" i="30"/>
  <c r="D628" i="30"/>
  <c r="D627" i="30"/>
  <c r="D626" i="30"/>
  <c r="D581" i="30"/>
  <c r="D580" i="30"/>
  <c r="D579" i="30"/>
  <c r="D459" i="30"/>
  <c r="D458" i="30"/>
  <c r="D457" i="30"/>
  <c r="D456" i="30"/>
  <c r="D455" i="30"/>
  <c r="D454" i="30"/>
  <c r="D398" i="30"/>
  <c r="D397" i="30"/>
  <c r="D396" i="30"/>
  <c r="D346" i="30"/>
  <c r="D345" i="30"/>
  <c r="D344" i="30"/>
  <c r="D282" i="30"/>
  <c r="D281" i="30"/>
  <c r="D280" i="30"/>
  <c r="D251" i="30"/>
  <c r="D225" i="30"/>
  <c r="D199" i="30"/>
  <c r="D185" i="30"/>
  <c r="D160" i="30"/>
  <c r="D134" i="30"/>
  <c r="D108" i="30"/>
  <c r="D2331" i="30"/>
  <c r="D2097" i="30"/>
  <c r="D2084" i="30"/>
  <c r="D1642" i="30"/>
  <c r="D1629" i="30"/>
  <c r="D1486" i="30"/>
  <c r="D1408" i="30"/>
  <c r="D1357" i="30"/>
  <c r="D1356" i="30"/>
  <c r="D1343" i="30"/>
  <c r="D279" i="30"/>
  <c r="D278" i="30"/>
  <c r="D93" i="30"/>
  <c r="D80" i="30"/>
  <c r="D67" i="30"/>
  <c r="D41" i="30"/>
  <c r="D28" i="30"/>
  <c r="D15" i="30"/>
  <c r="D2" i="30"/>
  <c r="D2777" i="30"/>
  <c r="D3190" i="30"/>
  <c r="D3164" i="30"/>
  <c r="D3126" i="30"/>
  <c r="D3063" i="30"/>
  <c r="D2970" i="30"/>
  <c r="D2943" i="30"/>
  <c r="D2893" i="30"/>
  <c r="D2892" i="30"/>
  <c r="D2678" i="30"/>
  <c r="D2608" i="30"/>
  <c r="D2543" i="30"/>
  <c r="D2466" i="30"/>
  <c r="D2465" i="30"/>
  <c r="D2348" i="30"/>
  <c r="D2268" i="30"/>
  <c r="D2217" i="30"/>
  <c r="D2216" i="30"/>
  <c r="D2189" i="30"/>
  <c r="D2163" i="30"/>
  <c r="D2113" i="30"/>
  <c r="D2112" i="30"/>
  <c r="D2059" i="30"/>
  <c r="D2033" i="30"/>
  <c r="D2007" i="30"/>
  <c r="D1981" i="30"/>
  <c r="D1955" i="30"/>
  <c r="D1929" i="30"/>
  <c r="D1903" i="30"/>
  <c r="D1877" i="30"/>
  <c r="D1851" i="30"/>
  <c r="D1825" i="30"/>
  <c r="D1799" i="30"/>
  <c r="D1773" i="30"/>
  <c r="D1747" i="30"/>
  <c r="D1721" i="30"/>
  <c r="D1682" i="30"/>
  <c r="D1656" i="30"/>
  <c r="D1565" i="30"/>
  <c r="D1515" i="30"/>
  <c r="D1514" i="30"/>
  <c r="D1424" i="30"/>
  <c r="D1423" i="30"/>
  <c r="D1383" i="30"/>
  <c r="D1234" i="30"/>
  <c r="D1233" i="30"/>
  <c r="D1232" i="30"/>
  <c r="D1081" i="30"/>
  <c r="D1080" i="30"/>
  <c r="D1079" i="30"/>
  <c r="D1078" i="30"/>
  <c r="D1077" i="30"/>
  <c r="D862" i="30"/>
  <c r="D861" i="30"/>
  <c r="D860" i="30"/>
  <c r="D859" i="30"/>
  <c r="D858" i="30"/>
  <c r="D857" i="30"/>
  <c r="D856" i="30"/>
  <c r="D764" i="30"/>
  <c r="D625" i="30"/>
  <c r="D624" i="30"/>
  <c r="D623" i="30"/>
  <c r="D622" i="30"/>
  <c r="D621" i="30"/>
  <c r="D453" i="30"/>
  <c r="D452" i="30"/>
  <c r="D451" i="30"/>
  <c r="D450" i="30"/>
  <c r="D395" i="30"/>
  <c r="D343" i="30"/>
  <c r="D250" i="30"/>
  <c r="D224" i="30"/>
  <c r="D198" i="30"/>
  <c r="D159" i="30"/>
  <c r="D133" i="30"/>
  <c r="D107" i="30"/>
  <c r="D2815" i="30"/>
  <c r="D2776" i="30"/>
  <c r="D2677" i="30"/>
  <c r="D2676" i="30"/>
  <c r="D2853" i="30"/>
  <c r="D2814" i="30"/>
  <c r="D2775" i="30"/>
  <c r="D2675" i="30"/>
  <c r="D2852" i="30"/>
  <c r="D2813" i="30"/>
  <c r="D2774" i="30"/>
  <c r="D2674" i="30"/>
  <c r="D2851" i="30"/>
  <c r="D2812" i="30"/>
  <c r="D2773" i="30"/>
  <c r="D2673" i="30"/>
  <c r="D3189" i="30"/>
  <c r="D3163" i="30"/>
  <c r="D3125" i="30"/>
  <c r="D3124" i="30"/>
  <c r="D3062" i="30"/>
  <c r="D3061" i="30"/>
  <c r="D3060" i="30"/>
  <c r="D3059" i="30"/>
  <c r="D3010" i="30"/>
  <c r="D3009" i="30"/>
  <c r="D3008" i="30"/>
  <c r="D3007" i="30"/>
  <c r="D2969" i="30"/>
  <c r="D2968" i="30"/>
  <c r="D2942" i="30"/>
  <c r="D2891" i="30"/>
  <c r="D2890" i="30"/>
  <c r="D2877" i="30"/>
  <c r="D2672" i="30"/>
  <c r="D2671" i="30"/>
  <c r="D2670" i="30"/>
  <c r="D2669" i="30"/>
  <c r="D2607" i="30"/>
  <c r="D2606" i="30"/>
  <c r="D2605" i="30"/>
  <c r="D2604" i="30"/>
  <c r="D2542" i="30"/>
  <c r="D2541" i="30"/>
  <c r="D2540" i="30"/>
  <c r="D2539" i="30"/>
  <c r="D2464" i="30"/>
  <c r="D2463" i="30"/>
  <c r="D2462" i="30"/>
  <c r="D2461" i="30"/>
  <c r="D2412" i="30"/>
  <c r="D2411" i="30"/>
  <c r="D2410" i="30"/>
  <c r="D2409" i="30"/>
  <c r="D2347" i="30"/>
  <c r="D2346" i="30"/>
  <c r="D2345" i="30"/>
  <c r="D2344" i="30"/>
  <c r="D2318" i="30"/>
  <c r="D2305" i="30"/>
  <c r="D2267" i="30"/>
  <c r="D2266" i="30"/>
  <c r="D2215" i="30"/>
  <c r="D2214" i="30"/>
  <c r="D2188" i="30"/>
  <c r="D2162" i="30"/>
  <c r="D2111" i="30"/>
  <c r="D2110" i="30"/>
  <c r="D2058" i="30"/>
  <c r="D2032" i="30"/>
  <c r="D2006" i="30"/>
  <c r="D1980" i="30"/>
  <c r="D1954" i="30"/>
  <c r="D1928" i="30"/>
  <c r="D1902" i="30"/>
  <c r="D1876" i="30"/>
  <c r="D1850" i="30"/>
  <c r="D1824" i="30"/>
  <c r="D1798" i="30"/>
  <c r="D1772" i="30"/>
  <c r="D1746" i="30"/>
  <c r="D1720" i="30"/>
  <c r="D1681" i="30"/>
  <c r="D1655" i="30"/>
  <c r="D1616" i="30"/>
  <c r="D1591" i="30"/>
  <c r="D1590" i="30"/>
  <c r="D1564" i="30"/>
  <c r="D1513" i="30"/>
  <c r="D1512" i="30"/>
  <c r="D1499" i="30"/>
  <c r="D1422" i="30"/>
  <c r="D1421" i="30"/>
  <c r="D1382" i="30"/>
  <c r="D1231" i="30"/>
  <c r="D1230" i="30"/>
  <c r="D1229" i="30"/>
  <c r="D1228" i="30"/>
  <c r="D1227" i="30"/>
  <c r="D1226" i="30"/>
  <c r="D1076" i="30"/>
  <c r="D1075" i="30"/>
  <c r="D1074" i="30"/>
  <c r="D1073" i="30"/>
  <c r="D1072" i="30"/>
  <c r="D1071" i="30"/>
  <c r="D1070" i="30"/>
  <c r="D1033" i="30"/>
  <c r="D1032" i="30"/>
  <c r="D1031" i="30"/>
  <c r="D855" i="30"/>
  <c r="D854" i="30"/>
  <c r="D853" i="30"/>
  <c r="D852" i="30"/>
  <c r="D851" i="30"/>
  <c r="D850" i="30"/>
  <c r="D849" i="30"/>
  <c r="D763" i="30"/>
  <c r="D762" i="30"/>
  <c r="D761" i="30"/>
  <c r="D760" i="30"/>
  <c r="D759" i="30"/>
  <c r="D758" i="30"/>
  <c r="D620" i="30"/>
  <c r="D619" i="30"/>
  <c r="D618" i="30"/>
  <c r="D617" i="30"/>
  <c r="D616" i="30"/>
  <c r="D615" i="30"/>
  <c r="D578" i="30"/>
  <c r="D577" i="30"/>
  <c r="D576" i="30"/>
  <c r="D449" i="30"/>
  <c r="D448" i="30"/>
  <c r="D447" i="30"/>
  <c r="D446" i="30"/>
  <c r="D445" i="30"/>
  <c r="D444" i="30"/>
  <c r="D394" i="30"/>
  <c r="D393" i="30"/>
  <c r="D392" i="30"/>
  <c r="D342" i="30"/>
  <c r="D341" i="30"/>
  <c r="D340" i="30"/>
  <c r="D277" i="30"/>
  <c r="D276" i="30"/>
  <c r="D275" i="30"/>
  <c r="D249" i="30"/>
  <c r="D223" i="30"/>
  <c r="D197" i="30"/>
  <c r="D184" i="30"/>
  <c r="D158" i="30"/>
  <c r="D132" i="30"/>
  <c r="D106" i="30"/>
  <c r="F46" i="27"/>
  <c r="F45" i="27"/>
  <c r="F43" i="27"/>
  <c r="F42" i="27"/>
  <c r="F40" i="27"/>
  <c r="F39" i="27"/>
  <c r="F38" i="27"/>
  <c r="F37" i="27"/>
  <c r="F36" i="27"/>
  <c r="K76" i="28"/>
  <c r="E124" i="28" s="1"/>
  <c r="H76" i="28"/>
  <c r="E121" i="28" s="1"/>
  <c r="E76" i="28"/>
  <c r="E118" i="28" s="1"/>
  <c r="B76" i="28"/>
  <c r="E115" i="28" s="1"/>
  <c r="N57" i="28"/>
  <c r="H127" i="28" s="1"/>
  <c r="M57" i="28"/>
  <c r="H126" i="28" s="1"/>
  <c r="L57" i="28"/>
  <c r="H125" i="28" s="1"/>
  <c r="K57" i="28"/>
  <c r="H124" i="28" s="1"/>
  <c r="J57" i="28"/>
  <c r="H123" i="28" s="1"/>
  <c r="I57" i="28"/>
  <c r="H122" i="28" s="1"/>
  <c r="G57" i="28"/>
  <c r="H120" i="28" s="1"/>
  <c r="F57" i="28"/>
  <c r="H119" i="28" s="1"/>
  <c r="D57" i="28"/>
  <c r="H117" i="28" s="1"/>
  <c r="C57" i="28"/>
  <c r="H116" i="28" s="1"/>
  <c r="H57" i="28"/>
  <c r="H121" i="28" s="1"/>
  <c r="E57" i="28"/>
  <c r="H118" i="28" s="1"/>
  <c r="B57" i="28"/>
  <c r="H115" i="28" s="1"/>
  <c r="G45" i="27"/>
  <c r="G42" i="27"/>
  <c r="G39" i="27"/>
  <c r="G37" i="27"/>
  <c r="E40" i="27" l="1"/>
  <c r="E42" i="27"/>
  <c r="E43" i="27"/>
  <c r="E39" i="27"/>
  <c r="E45" i="27"/>
  <c r="H45" i="27"/>
  <c r="E46" i="27"/>
  <c r="H46" i="27"/>
  <c r="E36" i="27"/>
  <c r="E37" i="27"/>
  <c r="H37" i="27"/>
  <c r="G127" i="28"/>
  <c r="H41" i="27"/>
  <c r="H36" i="27"/>
  <c r="H39" i="27"/>
  <c r="H40" i="27"/>
  <c r="H42" i="27"/>
  <c r="H43" i="27"/>
  <c r="H44" i="27"/>
  <c r="H38" i="27"/>
  <c r="H35" i="27"/>
  <c r="O55" i="27" s="1"/>
  <c r="H90" i="28"/>
  <c r="F121" i="28" s="1"/>
  <c r="C99" i="28"/>
  <c r="G99" i="28"/>
  <c r="K99" i="28"/>
  <c r="L99" i="28"/>
  <c r="M99" i="28"/>
  <c r="B99" i="28"/>
  <c r="N99" i="28"/>
  <c r="D99" i="28"/>
  <c r="E99" i="28"/>
  <c r="F99" i="28"/>
  <c r="B90" i="28"/>
  <c r="F115" i="28" s="1"/>
  <c r="H99" i="28"/>
  <c r="I99" i="28"/>
  <c r="K90" i="28"/>
  <c r="F124" i="28" s="1"/>
  <c r="J99" i="28"/>
  <c r="N90" i="28"/>
  <c r="F127" i="28" s="1"/>
  <c r="G115" i="28"/>
  <c r="G118" i="28"/>
  <c r="G121" i="28"/>
  <c r="G124" i="28"/>
  <c r="I47" i="27"/>
  <c r="I55" i="27" s="1"/>
  <c r="I115" i="28"/>
  <c r="O107" i="28"/>
  <c r="G92" i="28"/>
  <c r="I92" i="28"/>
  <c r="J92" i="28"/>
  <c r="L92" i="28"/>
  <c r="G40" i="27"/>
  <c r="M92" i="28"/>
  <c r="G43" i="27"/>
  <c r="C92" i="28"/>
  <c r="G46" i="27"/>
  <c r="D92" i="28"/>
  <c r="F92" i="28"/>
  <c r="G36" i="27"/>
  <c r="O57" i="28"/>
  <c r="H128" i="28" l="1"/>
  <c r="H47" i="27"/>
  <c r="H55" i="27" s="1"/>
  <c r="F41" i="27"/>
  <c r="E38" i="27"/>
  <c r="F44" i="27"/>
  <c r="G44" i="27"/>
  <c r="E44" i="27"/>
  <c r="G38" i="27"/>
  <c r="F35" i="27"/>
  <c r="M55" i="27" s="1"/>
  <c r="E41" i="27"/>
  <c r="E47" i="27"/>
  <c r="E55" i="27" s="1"/>
  <c r="G35" i="27"/>
  <c r="N55" i="27" s="1"/>
  <c r="O76" i="28"/>
  <c r="I102" i="28"/>
  <c r="F102" i="28"/>
  <c r="C102" i="28"/>
  <c r="E92" i="28"/>
  <c r="E102" i="28" s="1"/>
  <c r="M102" i="28"/>
  <c r="I128" i="28"/>
  <c r="I35" i="27"/>
  <c r="P55" i="27" s="1"/>
  <c r="L102" i="28"/>
  <c r="B92" i="28"/>
  <c r="B102" i="28" s="1"/>
  <c r="G102" i="28"/>
  <c r="J102" i="28"/>
  <c r="K92" i="28"/>
  <c r="K102" i="28" s="1"/>
  <c r="N92" i="28"/>
  <c r="N102" i="28" s="1"/>
  <c r="H92" i="28"/>
  <c r="H102" i="28" s="1"/>
  <c r="O90" i="28"/>
  <c r="D102" i="28"/>
  <c r="O21" i="28"/>
  <c r="F47" i="27" l="1"/>
  <c r="F55" i="27" s="1"/>
  <c r="F128" i="28"/>
  <c r="E128" i="28"/>
  <c r="E35" i="27"/>
  <c r="L55" i="27" s="1"/>
  <c r="G47" i="27"/>
  <c r="G55" i="27" s="1"/>
  <c r="G128" i="28"/>
  <c r="G41" i="27"/>
  <c r="O92" i="28"/>
  <c r="E133" i="27"/>
  <c r="E136" i="27" s="1"/>
  <c r="D133" i="27"/>
  <c r="C133" i="27"/>
  <c r="F132" i="27"/>
  <c r="F131" i="27"/>
  <c r="F130" i="27"/>
  <c r="F129" i="27"/>
  <c r="F128" i="27"/>
  <c r="F127" i="27"/>
  <c r="F126" i="27"/>
  <c r="F125" i="27"/>
  <c r="F124" i="27"/>
  <c r="F123" i="27"/>
  <c r="F122" i="27"/>
  <c r="F121" i="27"/>
  <c r="F120" i="27"/>
  <c r="E113" i="27"/>
  <c r="E112" i="27"/>
  <c r="D111" i="27"/>
  <c r="I110" i="27"/>
  <c r="I109" i="27"/>
  <c r="I108" i="27"/>
  <c r="I107" i="27"/>
  <c r="I106" i="27"/>
  <c r="I105" i="27"/>
  <c r="I111" i="27" s="1"/>
  <c r="A104" i="27"/>
  <c r="I99" i="27"/>
  <c r="E99" i="27"/>
  <c r="D99" i="27"/>
  <c r="C99" i="27"/>
  <c r="E98" i="27"/>
  <c r="E86" i="27"/>
  <c r="E79" i="27"/>
  <c r="E78" i="27"/>
  <c r="H76" i="27"/>
  <c r="G76" i="27"/>
  <c r="F76" i="27"/>
  <c r="E76" i="27"/>
  <c r="D76" i="27"/>
  <c r="C76" i="27"/>
  <c r="A63" i="27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I48" i="27"/>
  <c r="H48" i="27"/>
  <c r="I23" i="27"/>
  <c r="H23" i="27"/>
  <c r="E3" i="27"/>
  <c r="E80" i="27" s="1"/>
  <c r="E48" i="27" l="1"/>
  <c r="F136" i="28"/>
  <c r="F137" i="28" s="1"/>
  <c r="E136" i="28"/>
  <c r="E137" i="28" s="1"/>
  <c r="F48" i="27"/>
  <c r="G48" i="27"/>
  <c r="F133" i="27"/>
  <c r="E114" i="27"/>
  <c r="D110" i="25"/>
  <c r="E110" i="25"/>
  <c r="F110" i="25"/>
  <c r="G110" i="25"/>
  <c r="H110" i="25"/>
  <c r="I110" i="25"/>
  <c r="J110" i="25"/>
  <c r="K110" i="25"/>
  <c r="L110" i="25"/>
  <c r="M110" i="25"/>
  <c r="N110" i="25"/>
  <c r="D111" i="25"/>
  <c r="E111" i="25"/>
  <c r="F111" i="25"/>
  <c r="G111" i="25"/>
  <c r="H111" i="25"/>
  <c r="I111" i="25"/>
  <c r="J111" i="25"/>
  <c r="K111" i="25"/>
  <c r="L111" i="25"/>
  <c r="M111" i="25"/>
  <c r="N111" i="25"/>
  <c r="C111" i="25"/>
  <c r="C110" i="25"/>
  <c r="B111" i="25"/>
  <c r="B112" i="25" s="1"/>
  <c r="F117" i="25" s="1"/>
  <c r="G10" i="27" s="1"/>
  <c r="N28" i="27" s="1"/>
  <c r="H130" i="25"/>
  <c r="G130" i="25"/>
  <c r="H94" i="25"/>
  <c r="D103" i="25"/>
  <c r="E103" i="25"/>
  <c r="F103" i="25"/>
  <c r="G103" i="25"/>
  <c r="H103" i="25"/>
  <c r="I103" i="25"/>
  <c r="J103" i="25"/>
  <c r="K103" i="25"/>
  <c r="L103" i="25"/>
  <c r="M103" i="25"/>
  <c r="N103" i="25"/>
  <c r="D104" i="25"/>
  <c r="E104" i="25"/>
  <c r="F104" i="25"/>
  <c r="G104" i="25"/>
  <c r="H104" i="25"/>
  <c r="I104" i="25"/>
  <c r="J104" i="25"/>
  <c r="K104" i="25"/>
  <c r="L104" i="25"/>
  <c r="M104" i="25"/>
  <c r="N104" i="25"/>
  <c r="D105" i="25"/>
  <c r="E105" i="25"/>
  <c r="F105" i="25"/>
  <c r="G105" i="25"/>
  <c r="H105" i="25"/>
  <c r="I105" i="25"/>
  <c r="J105" i="25"/>
  <c r="K105" i="25"/>
  <c r="L105" i="25"/>
  <c r="M105" i="25"/>
  <c r="N105" i="25"/>
  <c r="C105" i="25"/>
  <c r="C104" i="25"/>
  <c r="C103" i="25"/>
  <c r="B105" i="25"/>
  <c r="B104" i="25"/>
  <c r="B103" i="25"/>
  <c r="H34" i="25"/>
  <c r="E34" i="25"/>
  <c r="B34" i="25"/>
  <c r="N23" i="25"/>
  <c r="K23" i="25"/>
  <c r="H23" i="25"/>
  <c r="E23" i="25"/>
  <c r="B23" i="25"/>
  <c r="N22" i="25"/>
  <c r="K22" i="25"/>
  <c r="H22" i="25"/>
  <c r="E22" i="25"/>
  <c r="B22" i="25"/>
  <c r="K18" i="25"/>
  <c r="H18" i="25"/>
  <c r="E18" i="25"/>
  <c r="B18" i="25"/>
  <c r="N17" i="25"/>
  <c r="K17" i="25"/>
  <c r="H17" i="25"/>
  <c r="E17" i="25"/>
  <c r="B17" i="25"/>
  <c r="N16" i="25"/>
  <c r="K16" i="25"/>
  <c r="H16" i="25"/>
  <c r="E16" i="25"/>
  <c r="B16" i="25"/>
  <c r="N15" i="25"/>
  <c r="K15" i="25"/>
  <c r="H15" i="25"/>
  <c r="E15" i="25"/>
  <c r="B15" i="25"/>
  <c r="N14" i="25"/>
  <c r="K14" i="25"/>
  <c r="H14" i="25"/>
  <c r="E14" i="25"/>
  <c r="B14" i="25"/>
  <c r="N13" i="25"/>
  <c r="K13" i="25"/>
  <c r="H13" i="25"/>
  <c r="E13" i="25"/>
  <c r="B13" i="25"/>
  <c r="N12" i="25"/>
  <c r="K12" i="25"/>
  <c r="H12" i="25"/>
  <c r="E12" i="25"/>
  <c r="B12" i="25"/>
  <c r="N11" i="25"/>
  <c r="K11" i="25"/>
  <c r="H11" i="25"/>
  <c r="E11" i="25"/>
  <c r="B11" i="25"/>
  <c r="N10" i="25"/>
  <c r="K10" i="25"/>
  <c r="H10" i="25"/>
  <c r="E10" i="25"/>
  <c r="B10" i="25"/>
  <c r="N9" i="25"/>
  <c r="K9" i="25"/>
  <c r="H9" i="25"/>
  <c r="E9" i="25"/>
  <c r="B9" i="25"/>
  <c r="N94" i="25"/>
  <c r="K94" i="25"/>
  <c r="B94" i="25"/>
  <c r="N93" i="25"/>
  <c r="K93" i="25"/>
  <c r="H93" i="25"/>
  <c r="B93" i="25"/>
  <c r="N90" i="25"/>
  <c r="N89" i="25"/>
  <c r="K89" i="25"/>
  <c r="H89" i="25"/>
  <c r="B89" i="25"/>
  <c r="N76" i="25"/>
  <c r="K76" i="25"/>
  <c r="H76" i="25"/>
  <c r="E76" i="25"/>
  <c r="I112" i="25" l="1"/>
  <c r="F124" i="25" s="1"/>
  <c r="G17" i="27" s="1"/>
  <c r="M112" i="25"/>
  <c r="F128" i="25" s="1"/>
  <c r="G21" i="27" s="1"/>
  <c r="K112" i="25"/>
  <c r="F126" i="25" s="1"/>
  <c r="G19" i="27" s="1"/>
  <c r="E112" i="25"/>
  <c r="F120" i="25" s="1"/>
  <c r="G13" i="27" s="1"/>
  <c r="D112" i="25"/>
  <c r="F119" i="25" s="1"/>
  <c r="G12" i="27" s="1"/>
  <c r="G112" i="25"/>
  <c r="F122" i="25" s="1"/>
  <c r="G15" i="27" s="1"/>
  <c r="F112" i="25"/>
  <c r="F121" i="25" s="1"/>
  <c r="G14" i="27" s="1"/>
  <c r="H112" i="25"/>
  <c r="F123" i="25" s="1"/>
  <c r="G16" i="27" s="1"/>
  <c r="L112" i="25"/>
  <c r="F127" i="25" s="1"/>
  <c r="G20" i="27" s="1"/>
  <c r="B106" i="25"/>
  <c r="F106" i="25"/>
  <c r="C112" i="25"/>
  <c r="F118" i="25" s="1"/>
  <c r="G11" i="27" s="1"/>
  <c r="N112" i="25"/>
  <c r="F129" i="25" s="1"/>
  <c r="J112" i="25"/>
  <c r="F125" i="25" s="1"/>
  <c r="G18" i="27" s="1"/>
  <c r="L106" i="25"/>
  <c r="M106" i="25"/>
  <c r="K106" i="25"/>
  <c r="H106" i="25"/>
  <c r="G106" i="25"/>
  <c r="E106" i="25"/>
  <c r="N106" i="25"/>
  <c r="I106" i="25"/>
  <c r="D106" i="25"/>
  <c r="J106" i="25"/>
  <c r="C106" i="25"/>
  <c r="C97" i="25"/>
  <c r="C118" i="25" s="1"/>
  <c r="D11" i="27" s="1"/>
  <c r="D97" i="25"/>
  <c r="C119" i="25" s="1"/>
  <c r="D12" i="27" s="1"/>
  <c r="E97" i="25"/>
  <c r="C120" i="25" s="1"/>
  <c r="D13" i="27" s="1"/>
  <c r="F97" i="25"/>
  <c r="C121" i="25" s="1"/>
  <c r="D14" i="27" s="1"/>
  <c r="G97" i="25"/>
  <c r="C122" i="25" s="1"/>
  <c r="D15" i="27" s="1"/>
  <c r="H97" i="25"/>
  <c r="C123" i="25" s="1"/>
  <c r="D16" i="27" s="1"/>
  <c r="I97" i="25"/>
  <c r="C124" i="25" s="1"/>
  <c r="D17" i="27" s="1"/>
  <c r="J97" i="25"/>
  <c r="C125" i="25" s="1"/>
  <c r="D18" i="27" s="1"/>
  <c r="K97" i="25"/>
  <c r="C126" i="25" s="1"/>
  <c r="D19" i="27" s="1"/>
  <c r="L97" i="25"/>
  <c r="C127" i="25" s="1"/>
  <c r="D20" i="27" s="1"/>
  <c r="M97" i="25"/>
  <c r="C128" i="25" s="1"/>
  <c r="D21" i="27" s="1"/>
  <c r="N97" i="25"/>
  <c r="C129" i="25" s="1"/>
  <c r="B97" i="25"/>
  <c r="C117" i="25" s="1"/>
  <c r="D10" i="27" s="1"/>
  <c r="K28" i="27" s="1"/>
  <c r="B118" i="25"/>
  <c r="C11" i="27" s="1"/>
  <c r="B119" i="25"/>
  <c r="C12" i="27" s="1"/>
  <c r="B120" i="25"/>
  <c r="C13" i="27" s="1"/>
  <c r="B121" i="25"/>
  <c r="C14" i="27" s="1"/>
  <c r="B122" i="25"/>
  <c r="C15" i="27" s="1"/>
  <c r="B123" i="25"/>
  <c r="C16" i="27" s="1"/>
  <c r="B124" i="25"/>
  <c r="C17" i="27" s="1"/>
  <c r="B125" i="25"/>
  <c r="C18" i="27" s="1"/>
  <c r="B126" i="25"/>
  <c r="C19" i="27" s="1"/>
  <c r="B127" i="25"/>
  <c r="C20" i="27" s="1"/>
  <c r="B128" i="25"/>
  <c r="C21" i="27" s="1"/>
  <c r="B129" i="25"/>
  <c r="B117" i="25"/>
  <c r="C10" i="27" s="1"/>
  <c r="J28" i="27" s="1"/>
  <c r="E118" i="25"/>
  <c r="F11" i="27" s="1"/>
  <c r="E119" i="25"/>
  <c r="F12" i="27" s="1"/>
  <c r="E121" i="25"/>
  <c r="F14" i="27" s="1"/>
  <c r="E122" i="25"/>
  <c r="F15" i="27" s="1"/>
  <c r="E123" i="25"/>
  <c r="F16" i="27" s="1"/>
  <c r="E124" i="25"/>
  <c r="F17" i="27" s="1"/>
  <c r="E125" i="25"/>
  <c r="F18" i="27" s="1"/>
  <c r="E126" i="25"/>
  <c r="F19" i="27" s="1"/>
  <c r="E127" i="25"/>
  <c r="F20" i="27" s="1"/>
  <c r="E128" i="25"/>
  <c r="F21" i="27" s="1"/>
  <c r="E129" i="25"/>
  <c r="E117" i="25"/>
  <c r="F10" i="27" s="1"/>
  <c r="M28" i="27" s="1"/>
  <c r="C24" i="25"/>
  <c r="D118" i="25" s="1"/>
  <c r="E11" i="27" s="1"/>
  <c r="D24" i="25"/>
  <c r="D119" i="25" s="1"/>
  <c r="E12" i="27" s="1"/>
  <c r="E24" i="25"/>
  <c r="F24" i="25"/>
  <c r="D121" i="25" s="1"/>
  <c r="E14" i="27" s="1"/>
  <c r="G24" i="25"/>
  <c r="D122" i="25" s="1"/>
  <c r="E15" i="27" s="1"/>
  <c r="H24" i="25"/>
  <c r="D123" i="25" s="1"/>
  <c r="E16" i="27" s="1"/>
  <c r="I24" i="25"/>
  <c r="D124" i="25" s="1"/>
  <c r="E17" i="27" s="1"/>
  <c r="J24" i="25"/>
  <c r="D125" i="25" s="1"/>
  <c r="E18" i="27" s="1"/>
  <c r="K24" i="25"/>
  <c r="D126" i="25" s="1"/>
  <c r="E19" i="27" s="1"/>
  <c r="L24" i="25"/>
  <c r="D127" i="25" s="1"/>
  <c r="E20" i="27" s="1"/>
  <c r="M24" i="25"/>
  <c r="D128" i="25" s="1"/>
  <c r="E21" i="27" s="1"/>
  <c r="N24" i="25"/>
  <c r="D129" i="25" s="1"/>
  <c r="B24" i="25"/>
  <c r="D117" i="25" s="1"/>
  <c r="E10" i="27" s="1"/>
  <c r="L28" i="27" s="1"/>
  <c r="K1224" i="23"/>
  <c r="K1223" i="23"/>
  <c r="K1222" i="23"/>
  <c r="K1221" i="23"/>
  <c r="K1220" i="23"/>
  <c r="K1219" i="23"/>
  <c r="K1218" i="23"/>
  <c r="K1217" i="23"/>
  <c r="K1216" i="23"/>
  <c r="K1215" i="23"/>
  <c r="K1214" i="23"/>
  <c r="K1213" i="23"/>
  <c r="K1212" i="23"/>
  <c r="K1211" i="23"/>
  <c r="K1210" i="23"/>
  <c r="K1209" i="23"/>
  <c r="K1208" i="23"/>
  <c r="K1207" i="23"/>
  <c r="K1206" i="23"/>
  <c r="K1205" i="23"/>
  <c r="K1204" i="23"/>
  <c r="K495" i="23"/>
  <c r="K494" i="23"/>
  <c r="K493" i="23"/>
  <c r="K492" i="23"/>
  <c r="K491" i="23"/>
  <c r="K490" i="23"/>
  <c r="K489" i="23"/>
  <c r="K488" i="23"/>
  <c r="K487" i="23"/>
  <c r="K486" i="23"/>
  <c r="K485" i="23"/>
  <c r="K484" i="23"/>
  <c r="K483" i="23"/>
  <c r="K482" i="23"/>
  <c r="K481" i="23"/>
  <c r="K480" i="23"/>
  <c r="K2058" i="23"/>
  <c r="K2057" i="23"/>
  <c r="K2056" i="23"/>
  <c r="K2055" i="23"/>
  <c r="K2054" i="23"/>
  <c r="K2053" i="23"/>
  <c r="K2052" i="23"/>
  <c r="K2051" i="23"/>
  <c r="K2050" i="23"/>
  <c r="K2049" i="23"/>
  <c r="K1538" i="23"/>
  <c r="K1537" i="23"/>
  <c r="K1536" i="23"/>
  <c r="K1535" i="23"/>
  <c r="K1534" i="23"/>
  <c r="K1533" i="23"/>
  <c r="K1532" i="23"/>
  <c r="K1531" i="23"/>
  <c r="K1733" i="23"/>
  <c r="K1732" i="23"/>
  <c r="K1731" i="23"/>
  <c r="K1730" i="23"/>
  <c r="K1729" i="23"/>
  <c r="K1728" i="23"/>
  <c r="K599" i="23"/>
  <c r="K598" i="23"/>
  <c r="K597" i="23"/>
  <c r="K596" i="23"/>
  <c r="K1203" i="23"/>
  <c r="K1202" i="23"/>
  <c r="K479" i="23"/>
  <c r="K478" i="23"/>
  <c r="K2048" i="23"/>
  <c r="K2047" i="23"/>
  <c r="K1328" i="23"/>
  <c r="K1327" i="23"/>
  <c r="K1326" i="23"/>
  <c r="K1201" i="23"/>
  <c r="K1200" i="23"/>
  <c r="K1199" i="23"/>
  <c r="K1198" i="23"/>
  <c r="K1197" i="23"/>
  <c r="K1196" i="23"/>
  <c r="K1195" i="23"/>
  <c r="K1194" i="23"/>
  <c r="K1193" i="23"/>
  <c r="K1192" i="23"/>
  <c r="K1191" i="23"/>
  <c r="K1190" i="23"/>
  <c r="K1189" i="23"/>
  <c r="K1188" i="23"/>
  <c r="K1187" i="23"/>
  <c r="K1186" i="23"/>
  <c r="K1185" i="23"/>
  <c r="K1184" i="23"/>
  <c r="K1183" i="23"/>
  <c r="K1182" i="23"/>
  <c r="K1181" i="23"/>
  <c r="K1180" i="23"/>
  <c r="K1179" i="23"/>
  <c r="K1178" i="23"/>
  <c r="K1177" i="23"/>
  <c r="K477" i="23"/>
  <c r="K476" i="23"/>
  <c r="K475" i="23"/>
  <c r="K474" i="23"/>
  <c r="K473" i="23"/>
  <c r="K472" i="23"/>
  <c r="K471" i="23"/>
  <c r="K470" i="23"/>
  <c r="K469" i="23"/>
  <c r="K468" i="23"/>
  <c r="K467" i="23"/>
  <c r="K466" i="23"/>
  <c r="K465" i="23"/>
  <c r="K464" i="23"/>
  <c r="K463" i="23"/>
  <c r="K462" i="23"/>
  <c r="K461" i="23"/>
  <c r="K460" i="23"/>
  <c r="K459" i="23"/>
  <c r="K458" i="23"/>
  <c r="K2046" i="23"/>
  <c r="K2045" i="23"/>
  <c r="K2044" i="23"/>
  <c r="K2043" i="23"/>
  <c r="K2042" i="23"/>
  <c r="K2041" i="23"/>
  <c r="K2040" i="23"/>
  <c r="K2039" i="23"/>
  <c r="K2038" i="23"/>
  <c r="K2037" i="23"/>
  <c r="K2036" i="23"/>
  <c r="K2035" i="23"/>
  <c r="K2034" i="23"/>
  <c r="K1530" i="23"/>
  <c r="K1529" i="23"/>
  <c r="K1528" i="23"/>
  <c r="K1527" i="23"/>
  <c r="K1526" i="23"/>
  <c r="K1525" i="23"/>
  <c r="K1524" i="23"/>
  <c r="K1523" i="23"/>
  <c r="K1727" i="23"/>
  <c r="K1726" i="23"/>
  <c r="K1725" i="23"/>
  <c r="K1724" i="23"/>
  <c r="K1723" i="23"/>
  <c r="K1722" i="23"/>
  <c r="K1721" i="23"/>
  <c r="K1720" i="23"/>
  <c r="K1719" i="23"/>
  <c r="K1325" i="23"/>
  <c r="K1324" i="23"/>
  <c r="K1323" i="23"/>
  <c r="K1322" i="23"/>
  <c r="K1321" i="23"/>
  <c r="K595" i="23"/>
  <c r="K594" i="23"/>
  <c r="K593" i="23"/>
  <c r="K592" i="23"/>
  <c r="K1176" i="23"/>
  <c r="K1175" i="23"/>
  <c r="K1174" i="23"/>
  <c r="K1173" i="23"/>
  <c r="K1172" i="23"/>
  <c r="K1171" i="23"/>
  <c r="K1170" i="23"/>
  <c r="K1169" i="23"/>
  <c r="K1168" i="23"/>
  <c r="K1167" i="23"/>
  <c r="K1166" i="23"/>
  <c r="K1165" i="23"/>
  <c r="K1164" i="23"/>
  <c r="K1163" i="23"/>
  <c r="K1162" i="23"/>
  <c r="K1161" i="23"/>
  <c r="K1160" i="23"/>
  <c r="K1159" i="23"/>
  <c r="K1158" i="23"/>
  <c r="K1157" i="23"/>
  <c r="K1156" i="23"/>
  <c r="K457" i="23"/>
  <c r="K456" i="23"/>
  <c r="K455" i="23"/>
  <c r="K454" i="23"/>
  <c r="K453" i="23"/>
  <c r="K452" i="23"/>
  <c r="K451" i="23"/>
  <c r="K450" i="23"/>
  <c r="K449" i="23"/>
  <c r="K448" i="23"/>
  <c r="K447" i="23"/>
  <c r="K446" i="23"/>
  <c r="K445" i="23"/>
  <c r="K444" i="23"/>
  <c r="K443" i="23"/>
  <c r="K442" i="23"/>
  <c r="K2033" i="23"/>
  <c r="K2032" i="23"/>
  <c r="K2031" i="23"/>
  <c r="K2030" i="23"/>
  <c r="K2029" i="23"/>
  <c r="K2028" i="23"/>
  <c r="K2027" i="23"/>
  <c r="K2026" i="23"/>
  <c r="K2025" i="23"/>
  <c r="K2024" i="23"/>
  <c r="K1522" i="23"/>
  <c r="K1521" i="23"/>
  <c r="K1520" i="23"/>
  <c r="K1519" i="23"/>
  <c r="K1518" i="23"/>
  <c r="K1517" i="23"/>
  <c r="K1516" i="23"/>
  <c r="K1515" i="23"/>
  <c r="K1718" i="23"/>
  <c r="K1717" i="23"/>
  <c r="K1716" i="23"/>
  <c r="K1715" i="23"/>
  <c r="K1714" i="23"/>
  <c r="K1713" i="23"/>
  <c r="K591" i="23"/>
  <c r="K590" i="23"/>
  <c r="K589" i="23"/>
  <c r="K588" i="23"/>
  <c r="K1155" i="23"/>
  <c r="K1154" i="23"/>
  <c r="K441" i="23"/>
  <c r="K440" i="23"/>
  <c r="K2023" i="23"/>
  <c r="K2022" i="23"/>
  <c r="K1320" i="23"/>
  <c r="K1319" i="23"/>
  <c r="K1318" i="23"/>
  <c r="K1153" i="23"/>
  <c r="K1152" i="23"/>
  <c r="K1151" i="23"/>
  <c r="K1150" i="23"/>
  <c r="K1149" i="23"/>
  <c r="K1148" i="23"/>
  <c r="K1147" i="23"/>
  <c r="K1146" i="23"/>
  <c r="K1145" i="23"/>
  <c r="K1144" i="23"/>
  <c r="K1143" i="23"/>
  <c r="K1142" i="23"/>
  <c r="K1141" i="23"/>
  <c r="K1140" i="23"/>
  <c r="K1139" i="23"/>
  <c r="K1138" i="23"/>
  <c r="K1137" i="23"/>
  <c r="K1136" i="23"/>
  <c r="K1135" i="23"/>
  <c r="K1134" i="23"/>
  <c r="K1133" i="23"/>
  <c r="K1132" i="23"/>
  <c r="K1131" i="23"/>
  <c r="K1130" i="23"/>
  <c r="K1129" i="23"/>
  <c r="K439" i="23"/>
  <c r="K438" i="23"/>
  <c r="K437" i="23"/>
  <c r="K436" i="23"/>
  <c r="K435" i="23"/>
  <c r="K434" i="23"/>
  <c r="K433" i="23"/>
  <c r="K432" i="23"/>
  <c r="K431" i="23"/>
  <c r="K430" i="23"/>
  <c r="K429" i="23"/>
  <c r="K428" i="23"/>
  <c r="K427" i="23"/>
  <c r="K426" i="23"/>
  <c r="K425" i="23"/>
  <c r="K424" i="23"/>
  <c r="K423" i="23"/>
  <c r="K422" i="23"/>
  <c r="K421" i="23"/>
  <c r="K420" i="23"/>
  <c r="K2021" i="23"/>
  <c r="K2020" i="23"/>
  <c r="K2019" i="23"/>
  <c r="K2018" i="23"/>
  <c r="K2017" i="23"/>
  <c r="K2016" i="23"/>
  <c r="K2015" i="23"/>
  <c r="K2014" i="23"/>
  <c r="K2013" i="23"/>
  <c r="K2012" i="23"/>
  <c r="K2011" i="23"/>
  <c r="K2010" i="23"/>
  <c r="K2009" i="23"/>
  <c r="K1514" i="23"/>
  <c r="K1513" i="23"/>
  <c r="K1512" i="23"/>
  <c r="K1511" i="23"/>
  <c r="K1510" i="23"/>
  <c r="K1509" i="23"/>
  <c r="K1508" i="23"/>
  <c r="K1507" i="23"/>
  <c r="K1712" i="23"/>
  <c r="K1711" i="23"/>
  <c r="K1710" i="23"/>
  <c r="K1709" i="23"/>
  <c r="K1708" i="23"/>
  <c r="K1707" i="23"/>
  <c r="K1706" i="23"/>
  <c r="K1705" i="23"/>
  <c r="K1704" i="23"/>
  <c r="K1317" i="23"/>
  <c r="K1316" i="23"/>
  <c r="K1315" i="23"/>
  <c r="K1314" i="23"/>
  <c r="K1313" i="23"/>
  <c r="K587" i="23"/>
  <c r="K586" i="23"/>
  <c r="K585" i="23"/>
  <c r="K584" i="23"/>
  <c r="K1128" i="23"/>
  <c r="K1127" i="23"/>
  <c r="K1126" i="23"/>
  <c r="K1125" i="23"/>
  <c r="K1124" i="23"/>
  <c r="K1123" i="23"/>
  <c r="K1122" i="23"/>
  <c r="K1121" i="23"/>
  <c r="K1120" i="23"/>
  <c r="K1119" i="23"/>
  <c r="K1118" i="23"/>
  <c r="K1117" i="23"/>
  <c r="K1116" i="23"/>
  <c r="K1115" i="23"/>
  <c r="K1114" i="23"/>
  <c r="K1113" i="23"/>
  <c r="K1112" i="23"/>
  <c r="K1111" i="23"/>
  <c r="K1110" i="23"/>
  <c r="K1109" i="23"/>
  <c r="K1108" i="23"/>
  <c r="K419" i="23"/>
  <c r="K418" i="23"/>
  <c r="K417" i="23"/>
  <c r="K416" i="23"/>
  <c r="K415" i="23"/>
  <c r="K414" i="23"/>
  <c r="K413" i="23"/>
  <c r="K412" i="23"/>
  <c r="K411" i="23"/>
  <c r="K410" i="23"/>
  <c r="K409" i="23"/>
  <c r="K408" i="23"/>
  <c r="K407" i="23"/>
  <c r="K406" i="23"/>
  <c r="K405" i="23"/>
  <c r="K404" i="23"/>
  <c r="K2008" i="23"/>
  <c r="K2007" i="23"/>
  <c r="K2006" i="23"/>
  <c r="K2005" i="23"/>
  <c r="K2004" i="23"/>
  <c r="K2003" i="23"/>
  <c r="K2002" i="23"/>
  <c r="K2001" i="23"/>
  <c r="K2000" i="23"/>
  <c r="K1999" i="23"/>
  <c r="K1506" i="23"/>
  <c r="K1505" i="23"/>
  <c r="K1504" i="23"/>
  <c r="K1503" i="23"/>
  <c r="K1502" i="23"/>
  <c r="K1501" i="23"/>
  <c r="K1500" i="23"/>
  <c r="K1499" i="23"/>
  <c r="K1703" i="23"/>
  <c r="K1702" i="23"/>
  <c r="K1701" i="23"/>
  <c r="K1700" i="23"/>
  <c r="K1699" i="23"/>
  <c r="K1698" i="23"/>
  <c r="K583" i="23"/>
  <c r="K582" i="23"/>
  <c r="K581" i="23"/>
  <c r="K580" i="23"/>
  <c r="K1107" i="23"/>
  <c r="K1106" i="23"/>
  <c r="K403" i="23"/>
  <c r="K402" i="23"/>
  <c r="K1998" i="23"/>
  <c r="K1997" i="23"/>
  <c r="K1312" i="23"/>
  <c r="K1311" i="23"/>
  <c r="K1310" i="23"/>
  <c r="K1105" i="23"/>
  <c r="K1104" i="23"/>
  <c r="K1103" i="23"/>
  <c r="K1102" i="23"/>
  <c r="K1101" i="23"/>
  <c r="K1100" i="23"/>
  <c r="K1099" i="23"/>
  <c r="K1098" i="23"/>
  <c r="K1097" i="23"/>
  <c r="K1096" i="23"/>
  <c r="K1095" i="23"/>
  <c r="K1094" i="23"/>
  <c r="K1093" i="23"/>
  <c r="K1092" i="23"/>
  <c r="K1091" i="23"/>
  <c r="K1090" i="23"/>
  <c r="K1089" i="23"/>
  <c r="K1088" i="23"/>
  <c r="K1087" i="23"/>
  <c r="K1086" i="23"/>
  <c r="K1085" i="23"/>
  <c r="K1084" i="23"/>
  <c r="K1083" i="23"/>
  <c r="K1082" i="23"/>
  <c r="K1081" i="23"/>
  <c r="K401" i="23"/>
  <c r="K400" i="23"/>
  <c r="K399" i="23"/>
  <c r="K398" i="23"/>
  <c r="K397" i="23"/>
  <c r="K396" i="23"/>
  <c r="K395" i="23"/>
  <c r="K394" i="23"/>
  <c r="K393" i="23"/>
  <c r="K392" i="23"/>
  <c r="K391" i="23"/>
  <c r="K390" i="23"/>
  <c r="K389" i="23"/>
  <c r="K388" i="23"/>
  <c r="K387" i="23"/>
  <c r="K386" i="23"/>
  <c r="K385" i="23"/>
  <c r="K384" i="23"/>
  <c r="K383" i="23"/>
  <c r="K382" i="23"/>
  <c r="K1996" i="23"/>
  <c r="K1995" i="23"/>
  <c r="K1994" i="23"/>
  <c r="K1993" i="23"/>
  <c r="K1992" i="23"/>
  <c r="K1991" i="23"/>
  <c r="K1990" i="23"/>
  <c r="K1989" i="23"/>
  <c r="K1988" i="23"/>
  <c r="K1987" i="23"/>
  <c r="K1986" i="23"/>
  <c r="K1985" i="23"/>
  <c r="K1984" i="23"/>
  <c r="K1498" i="23"/>
  <c r="K1497" i="23"/>
  <c r="K1496" i="23"/>
  <c r="K1495" i="23"/>
  <c r="K1494" i="23"/>
  <c r="K1493" i="23"/>
  <c r="K1492" i="23"/>
  <c r="K1491" i="23"/>
  <c r="K1697" i="23"/>
  <c r="K1696" i="23"/>
  <c r="K1695" i="23"/>
  <c r="K1694" i="23"/>
  <c r="K1693" i="23"/>
  <c r="K1692" i="23"/>
  <c r="K1691" i="23"/>
  <c r="K1690" i="23"/>
  <c r="K1689" i="23"/>
  <c r="K1309" i="23"/>
  <c r="K1308" i="23"/>
  <c r="K1307" i="23"/>
  <c r="K1306" i="23"/>
  <c r="K1305" i="23"/>
  <c r="K579" i="23"/>
  <c r="K578" i="23"/>
  <c r="K577" i="23"/>
  <c r="K576" i="23"/>
  <c r="K1080" i="23"/>
  <c r="K1079" i="23"/>
  <c r="K1078" i="23"/>
  <c r="K1077" i="23"/>
  <c r="K1076" i="23"/>
  <c r="K1075" i="23"/>
  <c r="K1074" i="23"/>
  <c r="K1073" i="23"/>
  <c r="K1072" i="23"/>
  <c r="K1071" i="23"/>
  <c r="K1070" i="23"/>
  <c r="K1069" i="23"/>
  <c r="K1068" i="23"/>
  <c r="K1067" i="23"/>
  <c r="K1066" i="23"/>
  <c r="K1065" i="23"/>
  <c r="K1064" i="23"/>
  <c r="K1063" i="23"/>
  <c r="K1062" i="23"/>
  <c r="K1061" i="23"/>
  <c r="K1060" i="23"/>
  <c r="K381" i="23"/>
  <c r="K380" i="23"/>
  <c r="K379" i="23"/>
  <c r="K378" i="23"/>
  <c r="K377" i="23"/>
  <c r="K376" i="23"/>
  <c r="K375" i="23"/>
  <c r="K374" i="23"/>
  <c r="K373" i="23"/>
  <c r="K372" i="23"/>
  <c r="K371" i="23"/>
  <c r="K370" i="23"/>
  <c r="K369" i="23"/>
  <c r="K368" i="23"/>
  <c r="K367" i="23"/>
  <c r="K366" i="23"/>
  <c r="K1983" i="23"/>
  <c r="K1982" i="23"/>
  <c r="K1981" i="23"/>
  <c r="K1980" i="23"/>
  <c r="K1979" i="23"/>
  <c r="K1978" i="23"/>
  <c r="K1977" i="23"/>
  <c r="K1976" i="23"/>
  <c r="K1975" i="23"/>
  <c r="K1974" i="23"/>
  <c r="K1490" i="23"/>
  <c r="K1489" i="23"/>
  <c r="K1488" i="23"/>
  <c r="K1487" i="23"/>
  <c r="K1486" i="23"/>
  <c r="K1485" i="23"/>
  <c r="K1484" i="23"/>
  <c r="K1483" i="23"/>
  <c r="K1688" i="23"/>
  <c r="K1687" i="23"/>
  <c r="K1686" i="23"/>
  <c r="K1685" i="23"/>
  <c r="K1684" i="23"/>
  <c r="K1683" i="23"/>
  <c r="K575" i="23"/>
  <c r="K574" i="23"/>
  <c r="K573" i="23"/>
  <c r="K572" i="23"/>
  <c r="K1059" i="23"/>
  <c r="K1058" i="23"/>
  <c r="K365" i="23"/>
  <c r="K364" i="23"/>
  <c r="K1973" i="23"/>
  <c r="K1972" i="23"/>
  <c r="K1304" i="23"/>
  <c r="K1303" i="23"/>
  <c r="K1302" i="23"/>
  <c r="K1057" i="23"/>
  <c r="K1056" i="23"/>
  <c r="K1055" i="23"/>
  <c r="K1054" i="23"/>
  <c r="K1053" i="23"/>
  <c r="K1052" i="23"/>
  <c r="K1051" i="23"/>
  <c r="K1050" i="23"/>
  <c r="K1049" i="23"/>
  <c r="K1048" i="23"/>
  <c r="K1047" i="23"/>
  <c r="K1046" i="23"/>
  <c r="K1045" i="23"/>
  <c r="K1044" i="23"/>
  <c r="K1043" i="23"/>
  <c r="K1042" i="23"/>
  <c r="K1041" i="23"/>
  <c r="K1040" i="23"/>
  <c r="K1039" i="23"/>
  <c r="K1038" i="23"/>
  <c r="K1037" i="23"/>
  <c r="K1036" i="23"/>
  <c r="K1035" i="23"/>
  <c r="K1034" i="23"/>
  <c r="K1033" i="23"/>
  <c r="K363" i="23"/>
  <c r="K362" i="23"/>
  <c r="K361" i="23"/>
  <c r="K360" i="23"/>
  <c r="K359" i="23"/>
  <c r="K358" i="23"/>
  <c r="K357" i="23"/>
  <c r="K356" i="23"/>
  <c r="K355" i="23"/>
  <c r="K354" i="23"/>
  <c r="K353" i="23"/>
  <c r="K352" i="23"/>
  <c r="K351" i="23"/>
  <c r="K350" i="23"/>
  <c r="K349" i="23"/>
  <c r="K348" i="23"/>
  <c r="K347" i="23"/>
  <c r="K346" i="23"/>
  <c r="K345" i="23"/>
  <c r="K344" i="23"/>
  <c r="K1971" i="23"/>
  <c r="K1970" i="23"/>
  <c r="K1969" i="23"/>
  <c r="K1968" i="23"/>
  <c r="K1967" i="23"/>
  <c r="K1966" i="23"/>
  <c r="K1965" i="23"/>
  <c r="K1964" i="23"/>
  <c r="K1963" i="23"/>
  <c r="K1962" i="23"/>
  <c r="K1961" i="23"/>
  <c r="K1960" i="23"/>
  <c r="K1959" i="23"/>
  <c r="K1482" i="23"/>
  <c r="K1481" i="23"/>
  <c r="K1480" i="23"/>
  <c r="K1479" i="23"/>
  <c r="K1478" i="23"/>
  <c r="K1477" i="23"/>
  <c r="K1476" i="23"/>
  <c r="K1475" i="23"/>
  <c r="K1682" i="23"/>
  <c r="K1681" i="23"/>
  <c r="K1680" i="23"/>
  <c r="K1679" i="23"/>
  <c r="K1678" i="23"/>
  <c r="K1677" i="23"/>
  <c r="K1676" i="23"/>
  <c r="K1675" i="23"/>
  <c r="K1674" i="23"/>
  <c r="K1301" i="23"/>
  <c r="K1300" i="23"/>
  <c r="K1299" i="23"/>
  <c r="K1298" i="23"/>
  <c r="K1297" i="23"/>
  <c r="K571" i="23"/>
  <c r="K570" i="23"/>
  <c r="K569" i="23"/>
  <c r="K568" i="23"/>
  <c r="K1032" i="23"/>
  <c r="K1031" i="23"/>
  <c r="K1030" i="23"/>
  <c r="K1029" i="23"/>
  <c r="K1028" i="23"/>
  <c r="K1027" i="23"/>
  <c r="K1026" i="23"/>
  <c r="K1025" i="23"/>
  <c r="K1024" i="23"/>
  <c r="K1023" i="23"/>
  <c r="K1022" i="23"/>
  <c r="K1021" i="23"/>
  <c r="K1020" i="23"/>
  <c r="K1019" i="23"/>
  <c r="K1018" i="23"/>
  <c r="K1017" i="23"/>
  <c r="K1016" i="23"/>
  <c r="K1015" i="23"/>
  <c r="K1014" i="23"/>
  <c r="K1013" i="23"/>
  <c r="K1012" i="23"/>
  <c r="K343" i="23"/>
  <c r="K342" i="23"/>
  <c r="K341" i="23"/>
  <c r="K340" i="23"/>
  <c r="K339" i="23"/>
  <c r="K338" i="23"/>
  <c r="K337" i="23"/>
  <c r="K336" i="23"/>
  <c r="K335" i="23"/>
  <c r="K334" i="23"/>
  <c r="K333" i="23"/>
  <c r="K332" i="23"/>
  <c r="K331" i="23"/>
  <c r="K330" i="23"/>
  <c r="K329" i="23"/>
  <c r="K328" i="23"/>
  <c r="K1958" i="23"/>
  <c r="K1957" i="23"/>
  <c r="K1956" i="23"/>
  <c r="K1955" i="23"/>
  <c r="K1954" i="23"/>
  <c r="K1953" i="23"/>
  <c r="K1952" i="23"/>
  <c r="K1951" i="23"/>
  <c r="K1950" i="23"/>
  <c r="K1949" i="23"/>
  <c r="K1474" i="23"/>
  <c r="K1473" i="23"/>
  <c r="K1472" i="23"/>
  <c r="K1471" i="23"/>
  <c r="K1470" i="23"/>
  <c r="K1469" i="23"/>
  <c r="K1468" i="23"/>
  <c r="K1467" i="23"/>
  <c r="K1673" i="23"/>
  <c r="K1672" i="23"/>
  <c r="K1671" i="23"/>
  <c r="K1670" i="23"/>
  <c r="K1669" i="23"/>
  <c r="K1668" i="23"/>
  <c r="K567" i="23"/>
  <c r="K566" i="23"/>
  <c r="K565" i="23"/>
  <c r="K564" i="23"/>
  <c r="K1011" i="23"/>
  <c r="K1010" i="23"/>
  <c r="K327" i="23"/>
  <c r="K326" i="23"/>
  <c r="K1948" i="23"/>
  <c r="K1947" i="23"/>
  <c r="K1296" i="23"/>
  <c r="K1295" i="23"/>
  <c r="K1294" i="23"/>
  <c r="K1009" i="23"/>
  <c r="K1008" i="23"/>
  <c r="K1007" i="23"/>
  <c r="K1006" i="23"/>
  <c r="K1005" i="23"/>
  <c r="K1004" i="23"/>
  <c r="K1003" i="23"/>
  <c r="K1002" i="23"/>
  <c r="K1001" i="23"/>
  <c r="K1000" i="23"/>
  <c r="K999" i="23"/>
  <c r="K998" i="23"/>
  <c r="K997" i="23"/>
  <c r="K996" i="23"/>
  <c r="K995" i="23"/>
  <c r="K994" i="23"/>
  <c r="K993" i="23"/>
  <c r="K992" i="23"/>
  <c r="K991" i="23"/>
  <c r="K990" i="23"/>
  <c r="K989" i="23"/>
  <c r="K988" i="23"/>
  <c r="K987" i="23"/>
  <c r="K986" i="23"/>
  <c r="K985" i="23"/>
  <c r="K325" i="23"/>
  <c r="K324" i="23"/>
  <c r="K323" i="23"/>
  <c r="K322" i="23"/>
  <c r="K321" i="23"/>
  <c r="K320" i="23"/>
  <c r="K319" i="23"/>
  <c r="K318" i="23"/>
  <c r="K317" i="23"/>
  <c r="K316" i="23"/>
  <c r="K315" i="23"/>
  <c r="K314" i="23"/>
  <c r="K313" i="23"/>
  <c r="K312" i="23"/>
  <c r="K311" i="23"/>
  <c r="K310" i="23"/>
  <c r="K309" i="23"/>
  <c r="K308" i="23"/>
  <c r="K307" i="23"/>
  <c r="K306" i="23"/>
  <c r="K1946" i="23"/>
  <c r="K1945" i="23"/>
  <c r="K1944" i="23"/>
  <c r="K1943" i="23"/>
  <c r="K1942" i="23"/>
  <c r="K1941" i="23"/>
  <c r="K1940" i="23"/>
  <c r="K1939" i="23"/>
  <c r="K1938" i="23"/>
  <c r="K1937" i="23"/>
  <c r="K1936" i="23"/>
  <c r="K1935" i="23"/>
  <c r="K1934" i="23"/>
  <c r="K1466" i="23"/>
  <c r="K1465" i="23"/>
  <c r="K1464" i="23"/>
  <c r="K1463" i="23"/>
  <c r="K1462" i="23"/>
  <c r="K1461" i="23"/>
  <c r="K1460" i="23"/>
  <c r="K1459" i="23"/>
  <c r="K1667" i="23"/>
  <c r="K1666" i="23"/>
  <c r="K1665" i="23"/>
  <c r="K1664" i="23"/>
  <c r="K1663" i="23"/>
  <c r="K1662" i="23"/>
  <c r="K1661" i="23"/>
  <c r="K1660" i="23"/>
  <c r="K1659" i="23"/>
  <c r="K1293" i="23"/>
  <c r="K1292" i="23"/>
  <c r="K1291" i="23"/>
  <c r="K1290" i="23"/>
  <c r="K1289" i="23"/>
  <c r="K563" i="23"/>
  <c r="K562" i="23"/>
  <c r="K561" i="23"/>
  <c r="K560" i="23"/>
  <c r="K984" i="23"/>
  <c r="K983" i="23"/>
  <c r="K982" i="23"/>
  <c r="K981" i="23"/>
  <c r="K980" i="23"/>
  <c r="K979" i="23"/>
  <c r="K978" i="23"/>
  <c r="K977" i="23"/>
  <c r="K976" i="23"/>
  <c r="K975" i="23"/>
  <c r="K974" i="23"/>
  <c r="K973" i="23"/>
  <c r="K972" i="23"/>
  <c r="K971" i="23"/>
  <c r="K970" i="23"/>
  <c r="K969" i="23"/>
  <c r="K968" i="23"/>
  <c r="K967" i="23"/>
  <c r="K966" i="23"/>
  <c r="K965" i="23"/>
  <c r="K964" i="23"/>
  <c r="K305" i="23"/>
  <c r="K304" i="23"/>
  <c r="K303" i="23"/>
  <c r="K302" i="23"/>
  <c r="K301" i="23"/>
  <c r="K300" i="23"/>
  <c r="K299" i="23"/>
  <c r="K298" i="23"/>
  <c r="K297" i="23"/>
  <c r="K296" i="23"/>
  <c r="K295" i="23"/>
  <c r="K294" i="23"/>
  <c r="K293" i="23"/>
  <c r="K292" i="23"/>
  <c r="K291" i="23"/>
  <c r="K290" i="23"/>
  <c r="K1933" i="23"/>
  <c r="K1932" i="23"/>
  <c r="K1931" i="23"/>
  <c r="K1930" i="23"/>
  <c r="K1929" i="23"/>
  <c r="K1928" i="23"/>
  <c r="K1927" i="23"/>
  <c r="K1926" i="23"/>
  <c r="K1925" i="23"/>
  <c r="K1924" i="23"/>
  <c r="K1458" i="23"/>
  <c r="K1457" i="23"/>
  <c r="K1456" i="23"/>
  <c r="K1455" i="23"/>
  <c r="K1454" i="23"/>
  <c r="K1453" i="23"/>
  <c r="K1452" i="23"/>
  <c r="K1451" i="23"/>
  <c r="K1658" i="23"/>
  <c r="K1657" i="23"/>
  <c r="K1656" i="23"/>
  <c r="K1655" i="23"/>
  <c r="K1654" i="23"/>
  <c r="K1653" i="23"/>
  <c r="K559" i="23"/>
  <c r="K558" i="23"/>
  <c r="K557" i="23"/>
  <c r="K556" i="23"/>
  <c r="K963" i="23"/>
  <c r="K962" i="23"/>
  <c r="K289" i="23"/>
  <c r="K288" i="23"/>
  <c r="K1923" i="23"/>
  <c r="K1922" i="23"/>
  <c r="K1288" i="23"/>
  <c r="K1287" i="23"/>
  <c r="K1286" i="23"/>
  <c r="K961" i="23"/>
  <c r="K960" i="23"/>
  <c r="K959" i="23"/>
  <c r="K958" i="23"/>
  <c r="K957" i="23"/>
  <c r="K956" i="23"/>
  <c r="K955" i="23"/>
  <c r="K954" i="23"/>
  <c r="K953" i="23"/>
  <c r="K952" i="23"/>
  <c r="K951" i="23"/>
  <c r="K950" i="23"/>
  <c r="K949" i="23"/>
  <c r="K948" i="23"/>
  <c r="K947" i="23"/>
  <c r="K946" i="23"/>
  <c r="K945" i="23"/>
  <c r="K944" i="23"/>
  <c r="K943" i="23"/>
  <c r="K942" i="23"/>
  <c r="K941" i="23"/>
  <c r="K940" i="23"/>
  <c r="K939" i="23"/>
  <c r="K938" i="23"/>
  <c r="K937" i="23"/>
  <c r="K287" i="23"/>
  <c r="K286" i="23"/>
  <c r="K285" i="23"/>
  <c r="K284" i="23"/>
  <c r="K283" i="23"/>
  <c r="K282" i="23"/>
  <c r="K281" i="23"/>
  <c r="K280" i="23"/>
  <c r="K279" i="23"/>
  <c r="K278" i="23"/>
  <c r="K277" i="23"/>
  <c r="K276" i="23"/>
  <c r="K275" i="23"/>
  <c r="K274" i="23"/>
  <c r="K273" i="23"/>
  <c r="K272" i="23"/>
  <c r="K271" i="23"/>
  <c r="K270" i="23"/>
  <c r="K269" i="23"/>
  <c r="K268" i="23"/>
  <c r="K1921" i="23"/>
  <c r="K1920" i="23"/>
  <c r="K1919" i="23"/>
  <c r="K1918" i="23"/>
  <c r="K1917" i="23"/>
  <c r="K1916" i="23"/>
  <c r="K1915" i="23"/>
  <c r="K1914" i="23"/>
  <c r="K1913" i="23"/>
  <c r="K1912" i="23"/>
  <c r="K1911" i="23"/>
  <c r="K1910" i="23"/>
  <c r="K1909" i="23"/>
  <c r="K1450" i="23"/>
  <c r="K1449" i="23"/>
  <c r="K1448" i="23"/>
  <c r="K1447" i="23"/>
  <c r="K1446" i="23"/>
  <c r="K1445" i="23"/>
  <c r="K1444" i="23"/>
  <c r="K1443" i="23"/>
  <c r="K1652" i="23"/>
  <c r="K1651" i="23"/>
  <c r="K1650" i="23"/>
  <c r="K1649" i="23"/>
  <c r="K1648" i="23"/>
  <c r="K1647" i="23"/>
  <c r="K1646" i="23"/>
  <c r="K1645" i="23"/>
  <c r="K1644" i="23"/>
  <c r="K1285" i="23"/>
  <c r="K1284" i="23"/>
  <c r="K1283" i="23"/>
  <c r="K1282" i="23"/>
  <c r="K1281" i="23"/>
  <c r="K555" i="23"/>
  <c r="K554" i="23"/>
  <c r="K553" i="23"/>
  <c r="K552" i="23"/>
  <c r="K936" i="23"/>
  <c r="K935" i="23"/>
  <c r="K934" i="23"/>
  <c r="K933" i="23"/>
  <c r="K932" i="23"/>
  <c r="K931" i="23"/>
  <c r="K930" i="23"/>
  <c r="K929" i="23"/>
  <c r="K928" i="23"/>
  <c r="K927" i="23"/>
  <c r="K926" i="23"/>
  <c r="K925" i="23"/>
  <c r="K924" i="23"/>
  <c r="K923" i="23"/>
  <c r="K922" i="23"/>
  <c r="K921" i="23"/>
  <c r="K920" i="23"/>
  <c r="K919" i="23"/>
  <c r="K918" i="23"/>
  <c r="K917" i="23"/>
  <c r="K916" i="23"/>
  <c r="K267" i="23"/>
  <c r="K266" i="23"/>
  <c r="K265" i="23"/>
  <c r="K264" i="23"/>
  <c r="K263" i="23"/>
  <c r="K262" i="23"/>
  <c r="K261" i="23"/>
  <c r="K260" i="23"/>
  <c r="K259" i="23"/>
  <c r="K258" i="23"/>
  <c r="K257" i="23"/>
  <c r="K256" i="23"/>
  <c r="K255" i="23"/>
  <c r="K254" i="23"/>
  <c r="K253" i="23"/>
  <c r="K252" i="23"/>
  <c r="K1908" i="23"/>
  <c r="K1907" i="23"/>
  <c r="K1906" i="23"/>
  <c r="K1905" i="23"/>
  <c r="K1904" i="23"/>
  <c r="K1903" i="23"/>
  <c r="K1902" i="23"/>
  <c r="K1901" i="23"/>
  <c r="K1900" i="23"/>
  <c r="K1899" i="23"/>
  <c r="K1442" i="23"/>
  <c r="K1441" i="23"/>
  <c r="K1440" i="23"/>
  <c r="K1439" i="23"/>
  <c r="K1438" i="23"/>
  <c r="K1437" i="23"/>
  <c r="K1436" i="23"/>
  <c r="K1435" i="23"/>
  <c r="K1643" i="23"/>
  <c r="K1642" i="23"/>
  <c r="K1641" i="23"/>
  <c r="K1640" i="23"/>
  <c r="K1639" i="23"/>
  <c r="K1638" i="23"/>
  <c r="K551" i="23"/>
  <c r="K550" i="23"/>
  <c r="K549" i="23"/>
  <c r="K548" i="23"/>
  <c r="K915" i="23"/>
  <c r="K914" i="23"/>
  <c r="K251" i="23"/>
  <c r="K250" i="23"/>
  <c r="K1898" i="23"/>
  <c r="K1897" i="23"/>
  <c r="K1280" i="23"/>
  <c r="K1279" i="23"/>
  <c r="K1278" i="23"/>
  <c r="K913" i="23"/>
  <c r="K912" i="23"/>
  <c r="K911" i="23"/>
  <c r="K910" i="23"/>
  <c r="K909" i="23"/>
  <c r="K908" i="23"/>
  <c r="K907" i="23"/>
  <c r="K906" i="23"/>
  <c r="K905" i="23"/>
  <c r="K904" i="23"/>
  <c r="K903" i="23"/>
  <c r="K902" i="23"/>
  <c r="K901" i="23"/>
  <c r="K900" i="23"/>
  <c r="K899" i="23"/>
  <c r="K898" i="23"/>
  <c r="K897" i="23"/>
  <c r="K896" i="23"/>
  <c r="K895" i="23"/>
  <c r="K894" i="23"/>
  <c r="K893" i="23"/>
  <c r="K892" i="23"/>
  <c r="K891" i="23"/>
  <c r="K890" i="23"/>
  <c r="K889" i="23"/>
  <c r="K249" i="23"/>
  <c r="K248" i="23"/>
  <c r="K247" i="23"/>
  <c r="K246" i="23"/>
  <c r="K245" i="23"/>
  <c r="K244" i="23"/>
  <c r="K243" i="23"/>
  <c r="K242" i="23"/>
  <c r="K241" i="23"/>
  <c r="K240" i="23"/>
  <c r="K239" i="23"/>
  <c r="K238" i="23"/>
  <c r="K237" i="23"/>
  <c r="K236" i="23"/>
  <c r="K235" i="23"/>
  <c r="K234" i="23"/>
  <c r="K233" i="23"/>
  <c r="K232" i="23"/>
  <c r="K231" i="23"/>
  <c r="K230" i="23"/>
  <c r="K1896" i="23"/>
  <c r="K1895" i="23"/>
  <c r="K1894" i="23"/>
  <c r="K1893" i="23"/>
  <c r="K1892" i="23"/>
  <c r="K1891" i="23"/>
  <c r="K1890" i="23"/>
  <c r="K1889" i="23"/>
  <c r="K1888" i="23"/>
  <c r="K1887" i="23"/>
  <c r="K1886" i="23"/>
  <c r="K1885" i="23"/>
  <c r="K1884" i="23"/>
  <c r="K1434" i="23"/>
  <c r="K1433" i="23"/>
  <c r="K1432" i="23"/>
  <c r="K1431" i="23"/>
  <c r="K1430" i="23"/>
  <c r="K1429" i="23"/>
  <c r="K1428" i="23"/>
  <c r="K1427" i="23"/>
  <c r="K1637" i="23"/>
  <c r="K1636" i="23"/>
  <c r="K1635" i="23"/>
  <c r="K1634" i="23"/>
  <c r="K1633" i="23"/>
  <c r="K1632" i="23"/>
  <c r="K1631" i="23"/>
  <c r="K1630" i="23"/>
  <c r="K1629" i="23"/>
  <c r="K1277" i="23"/>
  <c r="K1276" i="23"/>
  <c r="K1275" i="23"/>
  <c r="K1274" i="23"/>
  <c r="K1273" i="23"/>
  <c r="K547" i="23"/>
  <c r="K546" i="23"/>
  <c r="K545" i="23"/>
  <c r="K544" i="23"/>
  <c r="K888" i="23"/>
  <c r="K887" i="23"/>
  <c r="K886" i="23"/>
  <c r="K885" i="23"/>
  <c r="K884" i="23"/>
  <c r="K883" i="23"/>
  <c r="K882" i="23"/>
  <c r="K881" i="23"/>
  <c r="K880" i="23"/>
  <c r="K879" i="23"/>
  <c r="K878" i="23"/>
  <c r="K877" i="23"/>
  <c r="K876" i="23"/>
  <c r="K875" i="23"/>
  <c r="K874" i="23"/>
  <c r="K873" i="23"/>
  <c r="K872" i="23"/>
  <c r="K871" i="23"/>
  <c r="K870" i="23"/>
  <c r="K869" i="23"/>
  <c r="K868" i="23"/>
  <c r="K229" i="23"/>
  <c r="K228" i="23"/>
  <c r="K227" i="23"/>
  <c r="K226" i="23"/>
  <c r="K225" i="23"/>
  <c r="K224" i="23"/>
  <c r="K223" i="23"/>
  <c r="K222" i="23"/>
  <c r="K221" i="23"/>
  <c r="K220" i="23"/>
  <c r="K219" i="23"/>
  <c r="K218" i="23"/>
  <c r="K217" i="23"/>
  <c r="K216" i="23"/>
  <c r="K215" i="23"/>
  <c r="K214" i="23"/>
  <c r="K1883" i="23"/>
  <c r="K1882" i="23"/>
  <c r="K1881" i="23"/>
  <c r="K1880" i="23"/>
  <c r="K1879" i="23"/>
  <c r="K1878" i="23"/>
  <c r="K1877" i="23"/>
  <c r="K1876" i="23"/>
  <c r="K1875" i="23"/>
  <c r="K1874" i="23"/>
  <c r="K1426" i="23"/>
  <c r="K1425" i="23"/>
  <c r="K1424" i="23"/>
  <c r="K1423" i="23"/>
  <c r="K1422" i="23"/>
  <c r="K1421" i="23"/>
  <c r="K1420" i="23"/>
  <c r="K1419" i="23"/>
  <c r="K1628" i="23"/>
  <c r="K1627" i="23"/>
  <c r="K1626" i="23"/>
  <c r="K1625" i="23"/>
  <c r="K1624" i="23"/>
  <c r="K1623" i="23"/>
  <c r="K543" i="23"/>
  <c r="K542" i="23"/>
  <c r="K541" i="23"/>
  <c r="K540" i="23"/>
  <c r="K867" i="23"/>
  <c r="K866" i="23"/>
  <c r="K213" i="23"/>
  <c r="K212" i="23"/>
  <c r="K1873" i="23"/>
  <c r="K1872" i="23"/>
  <c r="K1272" i="23"/>
  <c r="K1271" i="23"/>
  <c r="K1270" i="23"/>
  <c r="K865" i="23"/>
  <c r="K864" i="23"/>
  <c r="K863" i="23"/>
  <c r="K862" i="23"/>
  <c r="K861" i="23"/>
  <c r="K860" i="23"/>
  <c r="K859" i="23"/>
  <c r="K858" i="23"/>
  <c r="K857" i="23"/>
  <c r="K856" i="23"/>
  <c r="K855" i="23"/>
  <c r="K854" i="23"/>
  <c r="K853" i="23"/>
  <c r="K852" i="23"/>
  <c r="K851" i="23"/>
  <c r="K850" i="23"/>
  <c r="K849" i="23"/>
  <c r="K848" i="23"/>
  <c r="K847" i="23"/>
  <c r="K846" i="23"/>
  <c r="K845" i="23"/>
  <c r="K844" i="23"/>
  <c r="K843" i="23"/>
  <c r="K842" i="23"/>
  <c r="K841" i="23"/>
  <c r="K211" i="23"/>
  <c r="K210" i="23"/>
  <c r="K209" i="23"/>
  <c r="K208" i="23"/>
  <c r="K207" i="23"/>
  <c r="K206" i="23"/>
  <c r="K205" i="23"/>
  <c r="K204" i="23"/>
  <c r="K203" i="23"/>
  <c r="K202" i="23"/>
  <c r="K201" i="23"/>
  <c r="K200" i="23"/>
  <c r="K199" i="23"/>
  <c r="K198" i="23"/>
  <c r="K197" i="23"/>
  <c r="K196" i="23"/>
  <c r="K195" i="23"/>
  <c r="K194" i="23"/>
  <c r="K193" i="23"/>
  <c r="K192" i="23"/>
  <c r="K1871" i="23"/>
  <c r="K1870" i="23"/>
  <c r="K1869" i="23"/>
  <c r="K1868" i="23"/>
  <c r="K1867" i="23"/>
  <c r="K1866" i="23"/>
  <c r="K1865" i="23"/>
  <c r="K1864" i="23"/>
  <c r="K1863" i="23"/>
  <c r="K1862" i="23"/>
  <c r="K1861" i="23"/>
  <c r="K1860" i="23"/>
  <c r="K1859" i="23"/>
  <c r="K1418" i="23"/>
  <c r="K1417" i="23"/>
  <c r="K1416" i="23"/>
  <c r="K1415" i="23"/>
  <c r="K1414" i="23"/>
  <c r="K1413" i="23"/>
  <c r="K1412" i="23"/>
  <c r="K1411" i="23"/>
  <c r="K1622" i="23"/>
  <c r="K1621" i="23"/>
  <c r="K1620" i="23"/>
  <c r="K1619" i="23"/>
  <c r="K1618" i="23"/>
  <c r="K1617" i="23"/>
  <c r="K1616" i="23"/>
  <c r="K1615" i="23"/>
  <c r="K1614" i="23"/>
  <c r="K1269" i="23"/>
  <c r="K1268" i="23"/>
  <c r="K1267" i="23"/>
  <c r="K1266" i="23"/>
  <c r="K1265" i="23"/>
  <c r="K539" i="23"/>
  <c r="K538" i="23"/>
  <c r="K537" i="23"/>
  <c r="K536" i="23"/>
  <c r="K840" i="23"/>
  <c r="K839" i="23"/>
  <c r="K838" i="23"/>
  <c r="K837" i="23"/>
  <c r="K836" i="23"/>
  <c r="K835" i="23"/>
  <c r="K834" i="23"/>
  <c r="K833" i="23"/>
  <c r="K832" i="23"/>
  <c r="K831" i="23"/>
  <c r="K830" i="23"/>
  <c r="K829" i="23"/>
  <c r="K828" i="23"/>
  <c r="K827" i="23"/>
  <c r="K826" i="23"/>
  <c r="K825" i="23"/>
  <c r="K824" i="23"/>
  <c r="K823" i="23"/>
  <c r="K822" i="23"/>
  <c r="K821" i="23"/>
  <c r="K820" i="23"/>
  <c r="K191" i="23"/>
  <c r="K190" i="23"/>
  <c r="K189" i="23"/>
  <c r="K188" i="23"/>
  <c r="K187" i="23"/>
  <c r="K186" i="23"/>
  <c r="K185" i="23"/>
  <c r="K184" i="23"/>
  <c r="K183" i="23"/>
  <c r="K182" i="23"/>
  <c r="K181" i="23"/>
  <c r="K180" i="23"/>
  <c r="K179" i="23"/>
  <c r="K178" i="23"/>
  <c r="K177" i="23"/>
  <c r="K176" i="23"/>
  <c r="K1858" i="23"/>
  <c r="K1857" i="23"/>
  <c r="K1856" i="23"/>
  <c r="K1855" i="23"/>
  <c r="K1854" i="23"/>
  <c r="K1853" i="23"/>
  <c r="K1852" i="23"/>
  <c r="K1851" i="23"/>
  <c r="K1850" i="23"/>
  <c r="K1849" i="23"/>
  <c r="K1410" i="23"/>
  <c r="K1409" i="23"/>
  <c r="K1408" i="23"/>
  <c r="K1407" i="23"/>
  <c r="K1406" i="23"/>
  <c r="K1405" i="23"/>
  <c r="K1404" i="23"/>
  <c r="K1403" i="23"/>
  <c r="K1613" i="23"/>
  <c r="K1612" i="23"/>
  <c r="K1611" i="23"/>
  <c r="K1610" i="23"/>
  <c r="K1609" i="23"/>
  <c r="K1608" i="23"/>
  <c r="K535" i="23"/>
  <c r="K534" i="23"/>
  <c r="K533" i="23"/>
  <c r="K532" i="23"/>
  <c r="K819" i="23"/>
  <c r="K818" i="23"/>
  <c r="K175" i="23"/>
  <c r="K174" i="23"/>
  <c r="K1848" i="23"/>
  <c r="K1847" i="23"/>
  <c r="K1264" i="23"/>
  <c r="K1263" i="23"/>
  <c r="K1262" i="23"/>
  <c r="K817" i="23"/>
  <c r="K816" i="23"/>
  <c r="K815" i="23"/>
  <c r="K814" i="23"/>
  <c r="K813" i="23"/>
  <c r="K812" i="23"/>
  <c r="K811" i="23"/>
  <c r="K810" i="23"/>
  <c r="K809" i="23"/>
  <c r="K808" i="23"/>
  <c r="K807" i="23"/>
  <c r="K806" i="23"/>
  <c r="K805" i="23"/>
  <c r="K804" i="23"/>
  <c r="K803" i="23"/>
  <c r="K802" i="23"/>
  <c r="K801" i="23"/>
  <c r="K800" i="23"/>
  <c r="K799" i="23"/>
  <c r="K798" i="23"/>
  <c r="K797" i="23"/>
  <c r="K796" i="23"/>
  <c r="K795" i="23"/>
  <c r="K794" i="23"/>
  <c r="K793" i="23"/>
  <c r="K173" i="23"/>
  <c r="K172" i="23"/>
  <c r="K171" i="23"/>
  <c r="K170" i="23"/>
  <c r="K169" i="23"/>
  <c r="K168" i="23"/>
  <c r="K167" i="23"/>
  <c r="K166" i="23"/>
  <c r="K165" i="23"/>
  <c r="K164" i="23"/>
  <c r="K163" i="23"/>
  <c r="K162" i="23"/>
  <c r="K161" i="23"/>
  <c r="K160" i="23"/>
  <c r="K159" i="23"/>
  <c r="K158" i="23"/>
  <c r="K157" i="23"/>
  <c r="K156" i="23"/>
  <c r="K155" i="23"/>
  <c r="K154" i="23"/>
  <c r="K1846" i="23"/>
  <c r="K1845" i="23"/>
  <c r="K1844" i="23"/>
  <c r="K1843" i="23"/>
  <c r="K1842" i="23"/>
  <c r="K1841" i="23"/>
  <c r="K1840" i="23"/>
  <c r="K1839" i="23"/>
  <c r="K1838" i="23"/>
  <c r="K1837" i="23"/>
  <c r="K1836" i="23"/>
  <c r="K1835" i="23"/>
  <c r="K1834" i="23"/>
  <c r="K1402" i="23"/>
  <c r="K1401" i="23"/>
  <c r="K1400" i="23"/>
  <c r="K1399" i="23"/>
  <c r="K1398" i="23"/>
  <c r="K1397" i="23"/>
  <c r="K1396" i="23"/>
  <c r="K1395" i="23"/>
  <c r="K1607" i="23"/>
  <c r="K1606" i="23"/>
  <c r="K1605" i="23"/>
  <c r="K1604" i="23"/>
  <c r="K1603" i="23"/>
  <c r="K1602" i="23"/>
  <c r="K1601" i="23"/>
  <c r="K1600" i="23"/>
  <c r="K1599" i="23"/>
  <c r="K1261" i="23"/>
  <c r="K1260" i="23"/>
  <c r="K1259" i="23"/>
  <c r="K1258" i="23"/>
  <c r="K1257" i="23"/>
  <c r="K531" i="23"/>
  <c r="K530" i="23"/>
  <c r="K529" i="23"/>
  <c r="K528" i="23"/>
  <c r="K792" i="23"/>
  <c r="K791" i="23"/>
  <c r="K790" i="23"/>
  <c r="K789" i="23"/>
  <c r="K788" i="23"/>
  <c r="K787" i="23"/>
  <c r="K786" i="23"/>
  <c r="K785" i="23"/>
  <c r="K784" i="23"/>
  <c r="K783" i="23"/>
  <c r="K782" i="23"/>
  <c r="K781" i="23"/>
  <c r="K780" i="23"/>
  <c r="K779" i="23"/>
  <c r="K778" i="23"/>
  <c r="K777" i="23"/>
  <c r="K776" i="23"/>
  <c r="K775" i="23"/>
  <c r="K774" i="23"/>
  <c r="K773" i="23"/>
  <c r="K772" i="23"/>
  <c r="K153" i="23"/>
  <c r="K152" i="23"/>
  <c r="K151" i="23"/>
  <c r="K150" i="23"/>
  <c r="K149" i="23"/>
  <c r="K148" i="23"/>
  <c r="K147" i="23"/>
  <c r="K146" i="23"/>
  <c r="K145" i="23"/>
  <c r="K144" i="23"/>
  <c r="K143" i="23"/>
  <c r="K142" i="23"/>
  <c r="K141" i="23"/>
  <c r="K140" i="23"/>
  <c r="K139" i="23"/>
  <c r="K138" i="23"/>
  <c r="K1833" i="23"/>
  <c r="K1832" i="23"/>
  <c r="K1831" i="23"/>
  <c r="K1830" i="23"/>
  <c r="K1829" i="23"/>
  <c r="K1828" i="23"/>
  <c r="K1827" i="23"/>
  <c r="K1826" i="23"/>
  <c r="K1825" i="23"/>
  <c r="K1824" i="23"/>
  <c r="K1394" i="23"/>
  <c r="K1393" i="23"/>
  <c r="K1392" i="23"/>
  <c r="K1391" i="23"/>
  <c r="K1390" i="23"/>
  <c r="K1389" i="23"/>
  <c r="K1388" i="23"/>
  <c r="K1387" i="23"/>
  <c r="K1598" i="23"/>
  <c r="K1597" i="23"/>
  <c r="K1596" i="23"/>
  <c r="K1595" i="23"/>
  <c r="K1594" i="23"/>
  <c r="K1593" i="23"/>
  <c r="K527" i="23"/>
  <c r="K526" i="23"/>
  <c r="K525" i="23"/>
  <c r="K524" i="23"/>
  <c r="K771" i="23"/>
  <c r="K770" i="23"/>
  <c r="K137" i="23"/>
  <c r="K136" i="23"/>
  <c r="K1823" i="23"/>
  <c r="K1822" i="23"/>
  <c r="K1256" i="23"/>
  <c r="K1255" i="23"/>
  <c r="K1254" i="23"/>
  <c r="K769" i="23"/>
  <c r="K768" i="23"/>
  <c r="K767" i="23"/>
  <c r="K766" i="23"/>
  <c r="K765" i="23"/>
  <c r="K764" i="23"/>
  <c r="K763" i="23"/>
  <c r="K762" i="23"/>
  <c r="K761" i="23"/>
  <c r="K760" i="23"/>
  <c r="K759" i="23"/>
  <c r="K758" i="23"/>
  <c r="K757" i="23"/>
  <c r="K756" i="23"/>
  <c r="K755" i="23"/>
  <c r="K754" i="23"/>
  <c r="K753" i="23"/>
  <c r="K752" i="23"/>
  <c r="K751" i="23"/>
  <c r="K750" i="23"/>
  <c r="K749" i="23"/>
  <c r="K748" i="23"/>
  <c r="K747" i="23"/>
  <c r="K746" i="23"/>
  <c r="K745" i="23"/>
  <c r="K135" i="23"/>
  <c r="K134" i="23"/>
  <c r="K133" i="23"/>
  <c r="K132" i="23"/>
  <c r="K131" i="23"/>
  <c r="K130" i="23"/>
  <c r="K129" i="23"/>
  <c r="K128" i="23"/>
  <c r="K127" i="23"/>
  <c r="K126" i="23"/>
  <c r="K125" i="23"/>
  <c r="K124" i="23"/>
  <c r="K123" i="23"/>
  <c r="K122" i="23"/>
  <c r="K121" i="23"/>
  <c r="K120" i="23"/>
  <c r="K119" i="23"/>
  <c r="K118" i="23"/>
  <c r="K117" i="23"/>
  <c r="K116" i="23"/>
  <c r="K1821" i="23"/>
  <c r="K1820" i="23"/>
  <c r="K1819" i="23"/>
  <c r="K1818" i="23"/>
  <c r="K1817" i="23"/>
  <c r="K1816" i="23"/>
  <c r="K1815" i="23"/>
  <c r="K1814" i="23"/>
  <c r="K1813" i="23"/>
  <c r="K1812" i="23"/>
  <c r="K1811" i="23"/>
  <c r="K1810" i="23"/>
  <c r="K1809" i="23"/>
  <c r="K1386" i="23"/>
  <c r="K1385" i="23"/>
  <c r="K1384" i="23"/>
  <c r="K1383" i="23"/>
  <c r="K1382" i="23"/>
  <c r="K1381" i="23"/>
  <c r="K1380" i="23"/>
  <c r="K1379" i="23"/>
  <c r="K1592" i="23"/>
  <c r="K1591" i="23"/>
  <c r="K1590" i="23"/>
  <c r="K1589" i="23"/>
  <c r="K1588" i="23"/>
  <c r="K1587" i="23"/>
  <c r="K1586" i="23"/>
  <c r="K1585" i="23"/>
  <c r="K1584" i="23"/>
  <c r="K1253" i="23"/>
  <c r="K1252" i="23"/>
  <c r="K1251" i="23"/>
  <c r="K1250" i="23"/>
  <c r="K1249" i="23"/>
  <c r="K523" i="23"/>
  <c r="K522" i="23"/>
  <c r="K521" i="23"/>
  <c r="K520" i="23"/>
  <c r="K744" i="23"/>
  <c r="K743" i="23"/>
  <c r="K742" i="23"/>
  <c r="K741" i="23"/>
  <c r="K740" i="23"/>
  <c r="K739" i="23"/>
  <c r="K738" i="23"/>
  <c r="K737" i="23"/>
  <c r="K736" i="23"/>
  <c r="K735" i="23"/>
  <c r="K734" i="23"/>
  <c r="K733" i="23"/>
  <c r="K732" i="23"/>
  <c r="K731" i="23"/>
  <c r="K730" i="23"/>
  <c r="K729" i="23"/>
  <c r="K728" i="23"/>
  <c r="K727" i="23"/>
  <c r="K726" i="23"/>
  <c r="K725" i="23"/>
  <c r="K724" i="23"/>
  <c r="K115" i="23"/>
  <c r="K114" i="23"/>
  <c r="K113" i="23"/>
  <c r="K112" i="23"/>
  <c r="K111" i="23"/>
  <c r="K110" i="23"/>
  <c r="K109" i="23"/>
  <c r="K108" i="23"/>
  <c r="K107" i="23"/>
  <c r="K106" i="23"/>
  <c r="K105" i="23"/>
  <c r="K104" i="23"/>
  <c r="K103" i="23"/>
  <c r="K102" i="23"/>
  <c r="K101" i="23"/>
  <c r="K100" i="23"/>
  <c r="K1808" i="23"/>
  <c r="K1807" i="23"/>
  <c r="K1806" i="23"/>
  <c r="K1805" i="23"/>
  <c r="K1804" i="23"/>
  <c r="K1803" i="23"/>
  <c r="K1802" i="23"/>
  <c r="K1801" i="23"/>
  <c r="K1800" i="23"/>
  <c r="K1799" i="23"/>
  <c r="K1378" i="23"/>
  <c r="K1377" i="23"/>
  <c r="K1376" i="23"/>
  <c r="K1375" i="23"/>
  <c r="K1374" i="23"/>
  <c r="K1373" i="23"/>
  <c r="K1372" i="23"/>
  <c r="K1371" i="23"/>
  <c r="K1583" i="23"/>
  <c r="K1582" i="23"/>
  <c r="K1581" i="23"/>
  <c r="K1580" i="23"/>
  <c r="K1579" i="23"/>
  <c r="K1578" i="23"/>
  <c r="K519" i="23"/>
  <c r="K518" i="23"/>
  <c r="K517" i="23"/>
  <c r="K516" i="23"/>
  <c r="K723" i="23"/>
  <c r="K722" i="23"/>
  <c r="K99" i="23"/>
  <c r="K98" i="23"/>
  <c r="K1798" i="23"/>
  <c r="K1797" i="23"/>
  <c r="K1248" i="23"/>
  <c r="K1247" i="23"/>
  <c r="K1246" i="23"/>
  <c r="K721" i="23"/>
  <c r="K720" i="23"/>
  <c r="K719" i="23"/>
  <c r="K718" i="23"/>
  <c r="K717" i="23"/>
  <c r="K716" i="23"/>
  <c r="K715" i="23"/>
  <c r="K714" i="23"/>
  <c r="K713" i="23"/>
  <c r="K712" i="23"/>
  <c r="K711" i="23"/>
  <c r="K710" i="23"/>
  <c r="K709" i="23"/>
  <c r="K708" i="23"/>
  <c r="K707" i="23"/>
  <c r="K706" i="23"/>
  <c r="K705" i="23"/>
  <c r="K704" i="23"/>
  <c r="K703" i="23"/>
  <c r="K702" i="23"/>
  <c r="K701" i="23"/>
  <c r="K700" i="23"/>
  <c r="K699" i="23"/>
  <c r="K698" i="23"/>
  <c r="K697" i="23"/>
  <c r="K97" i="23"/>
  <c r="K96" i="23"/>
  <c r="K95" i="23"/>
  <c r="K94" i="23"/>
  <c r="K93" i="23"/>
  <c r="K92" i="23"/>
  <c r="K91" i="23"/>
  <c r="K90" i="23"/>
  <c r="K89" i="23"/>
  <c r="K88" i="23"/>
  <c r="K87" i="23"/>
  <c r="K86" i="23"/>
  <c r="K85" i="23"/>
  <c r="K84" i="23"/>
  <c r="K83" i="23"/>
  <c r="K82" i="23"/>
  <c r="K81" i="23"/>
  <c r="K80" i="23"/>
  <c r="K79" i="23"/>
  <c r="K78" i="23"/>
  <c r="K1796" i="23"/>
  <c r="K1795" i="23"/>
  <c r="K1794" i="23"/>
  <c r="K1793" i="23"/>
  <c r="K1792" i="23"/>
  <c r="K1791" i="23"/>
  <c r="K1790" i="23"/>
  <c r="K1789" i="23"/>
  <c r="K1788" i="23"/>
  <c r="K1787" i="23"/>
  <c r="K1786" i="23"/>
  <c r="K1785" i="23"/>
  <c r="K1784" i="23"/>
  <c r="K1370" i="23"/>
  <c r="K1369" i="23"/>
  <c r="K1368" i="23"/>
  <c r="K1367" i="23"/>
  <c r="K1366" i="23"/>
  <c r="K1365" i="23"/>
  <c r="K1364" i="23"/>
  <c r="K1363" i="23"/>
  <c r="K1577" i="23"/>
  <c r="K1576" i="23"/>
  <c r="K1575" i="23"/>
  <c r="K1574" i="23"/>
  <c r="K1573" i="23"/>
  <c r="K1572" i="23"/>
  <c r="K1571" i="23"/>
  <c r="K1570" i="23"/>
  <c r="K1569" i="23"/>
  <c r="K1245" i="23"/>
  <c r="K1244" i="23"/>
  <c r="K1243" i="23"/>
  <c r="K1242" i="23"/>
  <c r="K1241" i="23"/>
  <c r="K515" i="23"/>
  <c r="K514" i="23"/>
  <c r="K513" i="23"/>
  <c r="K512" i="23"/>
  <c r="K696" i="23"/>
  <c r="K695" i="23"/>
  <c r="K694" i="23"/>
  <c r="K693" i="23"/>
  <c r="K692" i="23"/>
  <c r="K691" i="23"/>
  <c r="K690" i="23"/>
  <c r="K689" i="23"/>
  <c r="K688" i="23"/>
  <c r="K687" i="23"/>
  <c r="K686" i="23"/>
  <c r="K685" i="23"/>
  <c r="K684" i="23"/>
  <c r="K683" i="23"/>
  <c r="K682" i="23"/>
  <c r="K681" i="23"/>
  <c r="K680" i="23"/>
  <c r="K679" i="23"/>
  <c r="K678" i="23"/>
  <c r="K677" i="23"/>
  <c r="K676" i="23"/>
  <c r="K77" i="23"/>
  <c r="K76" i="23"/>
  <c r="K75" i="23"/>
  <c r="K74" i="23"/>
  <c r="K73" i="23"/>
  <c r="K72" i="23"/>
  <c r="K71" i="23"/>
  <c r="K70" i="23"/>
  <c r="K69" i="23"/>
  <c r="K68" i="23"/>
  <c r="K67" i="23"/>
  <c r="K66" i="23"/>
  <c r="K65" i="23"/>
  <c r="K64" i="23"/>
  <c r="K63" i="23"/>
  <c r="K62" i="23"/>
  <c r="K1783" i="23"/>
  <c r="K1782" i="23"/>
  <c r="K1781" i="23"/>
  <c r="K1780" i="23"/>
  <c r="K1779" i="23"/>
  <c r="K1778" i="23"/>
  <c r="K1777" i="23"/>
  <c r="K1776" i="23"/>
  <c r="K1775" i="23"/>
  <c r="K1774" i="23"/>
  <c r="K1362" i="23"/>
  <c r="K1361" i="23"/>
  <c r="K1360" i="23"/>
  <c r="K1359" i="23"/>
  <c r="K1358" i="23"/>
  <c r="K1357" i="23"/>
  <c r="K1356" i="23"/>
  <c r="K1355" i="23"/>
  <c r="K1568" i="23"/>
  <c r="K1567" i="23"/>
  <c r="K1566" i="23"/>
  <c r="K1565" i="23"/>
  <c r="K1564" i="23"/>
  <c r="K1563" i="23"/>
  <c r="K511" i="23"/>
  <c r="K510" i="23"/>
  <c r="K509" i="23"/>
  <c r="K508" i="23"/>
  <c r="K675" i="23"/>
  <c r="K674" i="23"/>
  <c r="K61" i="23"/>
  <c r="K60" i="23"/>
  <c r="K1773" i="23"/>
  <c r="K1772" i="23"/>
  <c r="K1240" i="23"/>
  <c r="K1239" i="23"/>
  <c r="K1238" i="23"/>
  <c r="K673" i="23"/>
  <c r="K672" i="23"/>
  <c r="K671" i="23"/>
  <c r="K670" i="23"/>
  <c r="K669" i="23"/>
  <c r="K668" i="23"/>
  <c r="K667" i="23"/>
  <c r="K666" i="23"/>
  <c r="K665" i="23"/>
  <c r="K664" i="23"/>
  <c r="K663" i="23"/>
  <c r="K662" i="23"/>
  <c r="K661" i="23"/>
  <c r="K660" i="23"/>
  <c r="K659" i="23"/>
  <c r="K658" i="23"/>
  <c r="K657" i="23"/>
  <c r="K656" i="23"/>
  <c r="K655" i="23"/>
  <c r="K654" i="23"/>
  <c r="K653" i="23"/>
  <c r="K652" i="23"/>
  <c r="K651" i="23"/>
  <c r="K650" i="23"/>
  <c r="K649" i="23"/>
  <c r="K59" i="23"/>
  <c r="K58" i="23"/>
  <c r="K57" i="23"/>
  <c r="K56" i="23"/>
  <c r="K55" i="23"/>
  <c r="K54" i="23"/>
  <c r="K53" i="23"/>
  <c r="K52" i="23"/>
  <c r="K51" i="23"/>
  <c r="K50" i="23"/>
  <c r="K49" i="23"/>
  <c r="K48" i="23"/>
  <c r="K47" i="23"/>
  <c r="K46" i="23"/>
  <c r="K45" i="23"/>
  <c r="K44" i="23"/>
  <c r="K43" i="23"/>
  <c r="K42" i="23"/>
  <c r="K41" i="23"/>
  <c r="K40" i="23"/>
  <c r="K1771" i="23"/>
  <c r="K1770" i="23"/>
  <c r="K1769" i="23"/>
  <c r="K1768" i="23"/>
  <c r="K1767" i="23"/>
  <c r="K1766" i="23"/>
  <c r="K1765" i="23"/>
  <c r="K1764" i="23"/>
  <c r="K1763" i="23"/>
  <c r="K1762" i="23"/>
  <c r="K1761" i="23"/>
  <c r="K1760" i="23"/>
  <c r="K1759" i="23"/>
  <c r="K1354" i="23"/>
  <c r="K1353" i="23"/>
  <c r="K1352" i="23"/>
  <c r="K1351" i="23"/>
  <c r="K1350" i="23"/>
  <c r="K1349" i="23"/>
  <c r="K1348" i="23"/>
  <c r="K1347" i="23"/>
  <c r="K1562" i="23"/>
  <c r="K1561" i="23"/>
  <c r="K1560" i="23"/>
  <c r="K1559" i="23"/>
  <c r="K1558" i="23"/>
  <c r="K1557" i="23"/>
  <c r="K1556" i="23"/>
  <c r="K1555" i="23"/>
  <c r="K1554" i="23"/>
  <c r="K1237" i="23"/>
  <c r="K1236" i="23"/>
  <c r="K1235" i="23"/>
  <c r="K1234" i="23"/>
  <c r="K1233" i="23"/>
  <c r="K507" i="23"/>
  <c r="K506" i="23"/>
  <c r="K505" i="23"/>
  <c r="K504" i="23"/>
  <c r="K1330" i="23"/>
  <c r="K1329" i="23"/>
  <c r="K648" i="23"/>
  <c r="K647" i="23"/>
  <c r="K646" i="23"/>
  <c r="K645" i="23"/>
  <c r="K644" i="23"/>
  <c r="K643" i="23"/>
  <c r="K642" i="23"/>
  <c r="K641" i="23"/>
  <c r="K640" i="23"/>
  <c r="K639" i="23"/>
  <c r="K638" i="23"/>
  <c r="K637" i="23"/>
  <c r="K636" i="23"/>
  <c r="K635" i="23"/>
  <c r="K634" i="23"/>
  <c r="K633" i="23"/>
  <c r="K632" i="23"/>
  <c r="K631" i="23"/>
  <c r="K630" i="23"/>
  <c r="K629" i="23"/>
  <c r="K628" i="23"/>
  <c r="K627" i="23"/>
  <c r="K39" i="23"/>
  <c r="K38" i="23"/>
  <c r="K37" i="23"/>
  <c r="K36" i="23"/>
  <c r="K35" i="23"/>
  <c r="K34" i="23"/>
  <c r="K33" i="23"/>
  <c r="K32" i="23"/>
  <c r="K31" i="23"/>
  <c r="K30" i="23"/>
  <c r="K29" i="23"/>
  <c r="K28" i="23"/>
  <c r="K27" i="23"/>
  <c r="K26" i="23"/>
  <c r="K25" i="23"/>
  <c r="K24" i="23"/>
  <c r="K1758" i="23"/>
  <c r="K1757" i="23"/>
  <c r="K1756" i="23"/>
  <c r="K1755" i="23"/>
  <c r="K1754" i="23"/>
  <c r="K1753" i="23"/>
  <c r="K1752" i="23"/>
  <c r="K1751" i="23"/>
  <c r="K1750" i="23"/>
  <c r="K1749" i="23"/>
  <c r="K1346" i="23"/>
  <c r="K1345" i="23"/>
  <c r="K1344" i="23"/>
  <c r="K1343" i="23"/>
  <c r="K1342" i="23"/>
  <c r="K1341" i="23"/>
  <c r="K1340" i="23"/>
  <c r="K1339" i="23"/>
  <c r="K1553" i="23"/>
  <c r="K1552" i="23"/>
  <c r="K1551" i="23"/>
  <c r="K1550" i="23"/>
  <c r="K1549" i="23"/>
  <c r="K1548" i="23"/>
  <c r="K503" i="23"/>
  <c r="K502" i="23"/>
  <c r="K501" i="23"/>
  <c r="K500" i="23"/>
  <c r="K626" i="23"/>
  <c r="K625" i="23"/>
  <c r="K23" i="23"/>
  <c r="K22" i="23"/>
  <c r="K1748" i="23"/>
  <c r="K1747" i="23"/>
  <c r="K1232" i="23"/>
  <c r="K1231" i="23"/>
  <c r="K1230" i="23"/>
  <c r="K624" i="23"/>
  <c r="K623" i="23"/>
  <c r="K622" i="23"/>
  <c r="K621" i="23"/>
  <c r="K620" i="23"/>
  <c r="K619" i="23"/>
  <c r="K618" i="23"/>
  <c r="K617" i="23"/>
  <c r="K616" i="23"/>
  <c r="K615" i="23"/>
  <c r="K614" i="23"/>
  <c r="K613" i="23"/>
  <c r="K612" i="23"/>
  <c r="K611" i="23"/>
  <c r="K610" i="23"/>
  <c r="K609" i="23"/>
  <c r="K608" i="23"/>
  <c r="K607" i="23"/>
  <c r="K606" i="23"/>
  <c r="K605" i="23"/>
  <c r="K604" i="23"/>
  <c r="K603" i="23"/>
  <c r="K602" i="23"/>
  <c r="K601" i="23"/>
  <c r="K600" i="23"/>
  <c r="K21" i="23"/>
  <c r="K20" i="23"/>
  <c r="K19" i="23"/>
  <c r="K18" i="23"/>
  <c r="K17" i="23"/>
  <c r="K16" i="23"/>
  <c r="K15" i="23"/>
  <c r="K14" i="23"/>
  <c r="K13" i="23"/>
  <c r="K12" i="23"/>
  <c r="K11" i="23"/>
  <c r="K10" i="23"/>
  <c r="K9" i="23"/>
  <c r="K8" i="23"/>
  <c r="K7" i="23"/>
  <c r="K6" i="23"/>
  <c r="K5" i="23"/>
  <c r="K4" i="23"/>
  <c r="K3" i="23"/>
  <c r="K2" i="23"/>
  <c r="K1746" i="23"/>
  <c r="K1745" i="23"/>
  <c r="K1744" i="23"/>
  <c r="K1743" i="23"/>
  <c r="K1742" i="23"/>
  <c r="K1741" i="23"/>
  <c r="K1740" i="23"/>
  <c r="K1739" i="23"/>
  <c r="K1738" i="23"/>
  <c r="K1737" i="23"/>
  <c r="K1736" i="23"/>
  <c r="K1735" i="23"/>
  <c r="K1734" i="23"/>
  <c r="K1338" i="23"/>
  <c r="K1337" i="23"/>
  <c r="K1336" i="23"/>
  <c r="K1335" i="23"/>
  <c r="K1334" i="23"/>
  <c r="K1333" i="23"/>
  <c r="K1332" i="23"/>
  <c r="K1331" i="23"/>
  <c r="K1547" i="23"/>
  <c r="K1546" i="23"/>
  <c r="K1545" i="23"/>
  <c r="K1544" i="23"/>
  <c r="K1543" i="23"/>
  <c r="K1542" i="23"/>
  <c r="K1541" i="23"/>
  <c r="K1540" i="23"/>
  <c r="K1539" i="23"/>
  <c r="K1229" i="23"/>
  <c r="K1228" i="23"/>
  <c r="K1227" i="23"/>
  <c r="K1226" i="23"/>
  <c r="K1225" i="23"/>
  <c r="K499" i="23"/>
  <c r="K498" i="23"/>
  <c r="K497" i="23"/>
  <c r="K496" i="23"/>
  <c r="C138" i="25" l="1"/>
  <c r="C139" i="25" s="1"/>
  <c r="F130" i="25"/>
  <c r="E22" i="27"/>
  <c r="E28" i="27" s="1"/>
  <c r="F22" i="27"/>
  <c r="F28" i="27" s="1"/>
  <c r="C22" i="27"/>
  <c r="C28" i="27" s="1"/>
  <c r="O112" i="25"/>
  <c r="D22" i="27"/>
  <c r="D28" i="27" s="1"/>
  <c r="G22" i="27"/>
  <c r="G28" i="27" s="1"/>
  <c r="B130" i="25"/>
  <c r="C130" i="25"/>
  <c r="J100" i="25"/>
  <c r="J108" i="25" s="1"/>
  <c r="I100" i="25"/>
  <c r="I108" i="25" s="1"/>
  <c r="G100" i="25"/>
  <c r="G108" i="25" s="1"/>
  <c r="F100" i="25"/>
  <c r="F108" i="25" s="1"/>
  <c r="E100" i="25"/>
  <c r="E108" i="25" s="1"/>
  <c r="D120" i="25"/>
  <c r="D100" i="25"/>
  <c r="D108" i="25" s="1"/>
  <c r="O58" i="25"/>
  <c r="E120" i="25"/>
  <c r="C100" i="25"/>
  <c r="C108" i="25" s="1"/>
  <c r="M100" i="25"/>
  <c r="M108" i="25" s="1"/>
  <c r="L100" i="25"/>
  <c r="L108" i="25" s="1"/>
  <c r="N100" i="25"/>
  <c r="N108" i="25" s="1"/>
  <c r="O24" i="25"/>
  <c r="H100" i="25"/>
  <c r="H108" i="25" s="1"/>
  <c r="O97" i="25"/>
  <c r="K100" i="25"/>
  <c r="K108" i="25" s="1"/>
  <c r="O80" i="25"/>
  <c r="B100" i="25"/>
  <c r="B108" i="25" s="1"/>
  <c r="G23" i="27" l="1"/>
  <c r="B138" i="25"/>
  <c r="B139" i="25" s="1"/>
  <c r="D23" i="27"/>
  <c r="C23" i="27"/>
  <c r="D130" i="25"/>
  <c r="E13" i="27"/>
  <c r="E23" i="27" s="1"/>
  <c r="E130" i="25"/>
  <c r="F13" i="27"/>
  <c r="F23" i="27" s="1"/>
  <c r="O100" i="25"/>
  <c r="C135" i="27" l="1"/>
  <c r="C136" i="27" s="1"/>
  <c r="D135" i="27" l="1"/>
  <c r="D136" i="27" s="1"/>
  <c r="F136" i="27" s="1"/>
</calcChain>
</file>

<file path=xl/sharedStrings.xml><?xml version="1.0" encoding="utf-8"?>
<sst xmlns="http://schemas.openxmlformats.org/spreadsheetml/2006/main" count="34294" uniqueCount="877">
  <si>
    <t>start_month</t>
  </si>
  <si>
    <t>end_month</t>
  </si>
  <si>
    <t>set_of_books</t>
  </si>
  <si>
    <t>company</t>
  </si>
  <si>
    <t>business_segment</t>
  </si>
  <si>
    <t>description</t>
  </si>
  <si>
    <t>func_class</t>
  </si>
  <si>
    <t>fc_sortid</t>
  </si>
  <si>
    <t>begin_bal</t>
  </si>
  <si>
    <t>additions</t>
  </si>
  <si>
    <t>retirements</t>
  </si>
  <si>
    <t>trans_adj</t>
  </si>
  <si>
    <t>end_bal</t>
  </si>
  <si>
    <t>12/2021</t>
  </si>
  <si>
    <t>SEC</t>
  </si>
  <si>
    <t>BH Colorado Electric Oper Co</t>
  </si>
  <si>
    <t>Non Regulated Common (850)</t>
  </si>
  <si>
    <t>106000 Completed Constr not Classfd</t>
  </si>
  <si>
    <t>General Plant - Electric</t>
  </si>
  <si>
    <t>139001 - Gen Plt-Str &amp; Improve-Own</t>
  </si>
  <si>
    <t>121000 Non-Utility Property</t>
  </si>
  <si>
    <t>Non-Utility Property</t>
  </si>
  <si>
    <t>631001 - Elec Steam- Land</t>
  </si>
  <si>
    <t>NonSpecific Product (999)</t>
  </si>
  <si>
    <t>101000 Plant In Service</t>
  </si>
  <si>
    <t>General Plant - Common</t>
  </si>
  <si>
    <t>339103 - Gen Plt-Computer Hardware</t>
  </si>
  <si>
    <t>339104 - Gen Plt-Software</t>
  </si>
  <si>
    <t>339105 - Gen Plt-Sys Dev</t>
  </si>
  <si>
    <t>339700 - Gen Plt-Communication Eqp</t>
  </si>
  <si>
    <t>339001 - Gen Plt-Str &amp; Improve-Own</t>
  </si>
  <si>
    <t>339800 - Gen Plt-Miscellaneous Eqp</t>
  </si>
  <si>
    <t>Power Services General (250)</t>
  </si>
  <si>
    <t>Regulated Electric (122)</t>
  </si>
  <si>
    <t>Intangible Plant - Electric</t>
  </si>
  <si>
    <t>130100 - Intang-Organization</t>
  </si>
  <si>
    <t>130201 - F&amp;C - Franchise</t>
  </si>
  <si>
    <t>130301 - IntangMisc - Easements</t>
  </si>
  <si>
    <t>130302 - IntangMisc - Trademarks</t>
  </si>
  <si>
    <t>130303 - IntangMisc - WorkForce</t>
  </si>
  <si>
    <t>Steam Generation Plant</t>
  </si>
  <si>
    <t>131001 - Elec Steam- Land</t>
  </si>
  <si>
    <t>131002 - Elec Stm-Ld Rt/ROW-NonDe</t>
  </si>
  <si>
    <t>131100 - Elec Steam-Struct&amp;Improve</t>
  </si>
  <si>
    <t>131201 - Elec Steam-Boiler Plnt Eqp</t>
  </si>
  <si>
    <t>131202 - Ele Steam-Boiler-Pollution</t>
  </si>
  <si>
    <t>131209 - Indus Stm-Boiler Plnt Eqp</t>
  </si>
  <si>
    <t>131400 - Ele Steam-Turbogen Units</t>
  </si>
  <si>
    <t>131500 - Ele Steam-Accessry Ele Eqp</t>
  </si>
  <si>
    <t>131600 - Ele Steam-Misc Plant Equip</t>
  </si>
  <si>
    <t>Other Generation Plant</t>
  </si>
  <si>
    <t>134001 - Ele Other-Land</t>
  </si>
  <si>
    <t>134003 - Ele Other-Ld Rt/ROW-Deprec</t>
  </si>
  <si>
    <t>134100 - Ele Oth-Structure&amp;Improve</t>
  </si>
  <si>
    <t>134200 - Ele Oth-Fuel Holder &amp; Acce</t>
  </si>
  <si>
    <t>134300 - Ele Oth-Prime Movers</t>
  </si>
  <si>
    <t>134410 - Ele Oth - Generators</t>
  </si>
  <si>
    <t>134500 - Ele Oth-Accessory Ele Eqp</t>
  </si>
  <si>
    <t>134600 - Ele Oth-Misc Plant Equip</t>
  </si>
  <si>
    <t>Transmission Plant - Electric</t>
  </si>
  <si>
    <t>135001 - Ele Trans-Land</t>
  </si>
  <si>
    <t>135002 - Ele Trans - Ld Rt/ROW-NonD</t>
  </si>
  <si>
    <t>135003 - Ele Trans - Ld Rt/ROW-Depr</t>
  </si>
  <si>
    <t>135200 - Ele Trans Sub-Str &amp; Improv</t>
  </si>
  <si>
    <t>135205 - Ele Trans Sub-Land Improve</t>
  </si>
  <si>
    <t>135259 - Ele Trans Sub-Str&amp;Im Amort</t>
  </si>
  <si>
    <t>135300 - Ele Trans Sub-Station Equi</t>
  </si>
  <si>
    <t>135301 - Ele Trans Sub-Stn Eq GSU</t>
  </si>
  <si>
    <t>135359 - Ele Trans Sub-StnEqp Amort</t>
  </si>
  <si>
    <t>135500 - Ele Trans-Poles &amp; Fixtures</t>
  </si>
  <si>
    <t>135600 - Ele Trans-OH Conductors</t>
  </si>
  <si>
    <t>135700 - Ele Trans-UG Conduit</t>
  </si>
  <si>
    <t>135800 - Ele Trans-UG Conductors</t>
  </si>
  <si>
    <t>Distribution Plant - Electric</t>
  </si>
  <si>
    <t>136001 - Ele Dist-Land</t>
  </si>
  <si>
    <t>136002 - Ele Dist- Ld Rt/ROW-Non-De</t>
  </si>
  <si>
    <t>136003 - Ele Dist- Ld Rt/ROW-Deprec</t>
  </si>
  <si>
    <t>136100 - Ele Dist Sub-Str &amp; Improve</t>
  </si>
  <si>
    <t>136105 - Ele Dist Sub-Land Improve</t>
  </si>
  <si>
    <t>136200 - Ele Dist Sub-Station Equip</t>
  </si>
  <si>
    <t>136400 - Ele Dist-Pole/Tower/Fixtur</t>
  </si>
  <si>
    <t>136500 - Ele Dist-OH Conductors</t>
  </si>
  <si>
    <t>136600 - Ele Dist-UG Conduit</t>
  </si>
  <si>
    <t>136700 - Ele Dist-UG Conductors</t>
  </si>
  <si>
    <t>136801 - Ele Dist-Ln Trans-Oth Eqp</t>
  </si>
  <si>
    <t>136802 - Ele Dist-Ln Trans-Conventn</t>
  </si>
  <si>
    <t>136803 - Ele Dist-Ln Trans-Padmount</t>
  </si>
  <si>
    <t>136901 - Ele Dist - OH Services</t>
  </si>
  <si>
    <t>136902 - Ele Dist - UG Services</t>
  </si>
  <si>
    <t>137001 - Ele Dist-Meters Other</t>
  </si>
  <si>
    <t>137002 - Ele Dist-Meters PURPA</t>
  </si>
  <si>
    <t>137004 - Ele Dist-Meters AMI</t>
  </si>
  <si>
    <t>137100 - Ele Dist-Instal Cst Prmise</t>
  </si>
  <si>
    <t>137300 - Ele Dist-Street Lighting</t>
  </si>
  <si>
    <t>138901 - Gen Plant-Land</t>
  </si>
  <si>
    <t>138902 - Gen Plant-Ld Rt/ROW-NonD</t>
  </si>
  <si>
    <t>139051 - Gen Plt-Str &amp; Imprve-Lease</t>
  </si>
  <si>
    <t>139101 - Gen Plt-Office Furn &amp; Eqp</t>
  </si>
  <si>
    <t>139103 - Gen Plt-Computer Hardware</t>
  </si>
  <si>
    <t>139104 - Gen Plt-Software</t>
  </si>
  <si>
    <t>139105 - Gen Plt-Sys Dev</t>
  </si>
  <si>
    <t>139107 - Gen Plt-iPad Hardware</t>
  </si>
  <si>
    <t>139159 - Gen Plt-OfficeFurn&amp;EqpAmor</t>
  </si>
  <si>
    <t>139201 - Gen Plt-Trans Eqp-Subunit</t>
  </si>
  <si>
    <t>139202 - Gen Plt-Trans Eqp-Cars</t>
  </si>
  <si>
    <t>139203 - Gen Plt-Trans Eqp-Lght Trk</t>
  </si>
  <si>
    <t>139204 - Gen Plt-Trans Eqp-Med Trck</t>
  </si>
  <si>
    <t>139205 - Gen Plt-Trans Eqp-Hvy Trck</t>
  </si>
  <si>
    <t>139206 - Gen Plt-Trans Eqp-Trailers</t>
  </si>
  <si>
    <t>139300 - Gen Plt-Stores Equipment</t>
  </si>
  <si>
    <t>139400 - Gen Plt-Tool/Shop/Garage</t>
  </si>
  <si>
    <t>139410 - Gen Plt-Veh-Tool/Shop</t>
  </si>
  <si>
    <t>139500 - Gen Plt-Lab Equipment</t>
  </si>
  <si>
    <t>139601 - Off Rd Pwr Eqp Short Life</t>
  </si>
  <si>
    <t>139602 - Off Rd Pwr Eqp Long Life</t>
  </si>
  <si>
    <t>139700 - Gen Plt-Communication Eqp</t>
  </si>
  <si>
    <t>139710-Communication Equip-Specif</t>
  </si>
  <si>
    <t>139800 - Gen Plt-Miscellaneous Eqp</t>
  </si>
  <si>
    <t>101001 Plant In-Service-Intangibles</t>
  </si>
  <si>
    <t>105000 Plant Held for Future Use</t>
  </si>
  <si>
    <t>134002 - Ele Other-Ld Rt/ROW-Non-D</t>
  </si>
  <si>
    <t>135400 - Ele Trans-Towers &amp; Fixtres</t>
  </si>
  <si>
    <t>12/2022</t>
  </si>
  <si>
    <t>11/2022</t>
  </si>
  <si>
    <t>10/2022</t>
  </si>
  <si>
    <t>09/2022</t>
  </si>
  <si>
    <t>08/2022</t>
  </si>
  <si>
    <t>07/2022</t>
  </si>
  <si>
    <t>06/2022</t>
  </si>
  <si>
    <t>05/2022</t>
  </si>
  <si>
    <t>04/2022</t>
  </si>
  <si>
    <t>03/2022</t>
  </si>
  <si>
    <t>02/2022</t>
  </si>
  <si>
    <t>01/2022</t>
  </si>
  <si>
    <t>Column Labels</t>
  </si>
  <si>
    <t>2021</t>
  </si>
  <si>
    <t>2022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</si>
  <si>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</si>
  <si>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</si>
  <si>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</si>
  <si>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</si>
  <si>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</si>
  <si>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</si>
  <si>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</si>
  <si>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</si>
  <si>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</si>
  <si>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</si>
  <si>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</si>
  <si>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</si>
  <si>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Sum of end_bal</t>
  </si>
  <si>
    <t>FERC</t>
  </si>
  <si>
    <t>Row Labels</t>
  </si>
  <si>
    <t>30100</t>
  </si>
  <si>
    <t>30201</t>
  </si>
  <si>
    <t>30301</t>
  </si>
  <si>
    <t>30302</t>
  </si>
  <si>
    <t>30303</t>
  </si>
  <si>
    <t>31001</t>
  </si>
  <si>
    <t>31002</t>
  </si>
  <si>
    <t>31100</t>
  </si>
  <si>
    <t>31201</t>
  </si>
  <si>
    <t>31202</t>
  </si>
  <si>
    <t>31209</t>
  </si>
  <si>
    <t>31400</t>
  </si>
  <si>
    <t>31500</t>
  </si>
  <si>
    <t>31600</t>
  </si>
  <si>
    <t>34001</t>
  </si>
  <si>
    <t>34002</t>
  </si>
  <si>
    <t>34003</t>
  </si>
  <si>
    <t>34100</t>
  </si>
  <si>
    <t>34200</t>
  </si>
  <si>
    <t>34300</t>
  </si>
  <si>
    <t>34410</t>
  </si>
  <si>
    <t>34500</t>
  </si>
  <si>
    <t>34600</t>
  </si>
  <si>
    <t>35001</t>
  </si>
  <si>
    <t>35002</t>
  </si>
  <si>
    <t>35003</t>
  </si>
  <si>
    <t>35200</t>
  </si>
  <si>
    <t>35205</t>
  </si>
  <si>
    <t>35259</t>
  </si>
  <si>
    <t>35300</t>
  </si>
  <si>
    <t>35301</t>
  </si>
  <si>
    <t>35359</t>
  </si>
  <si>
    <t>35400</t>
  </si>
  <si>
    <t>35500</t>
  </si>
  <si>
    <t>35600</t>
  </si>
  <si>
    <t>35700</t>
  </si>
  <si>
    <t>35800</t>
  </si>
  <si>
    <t>36001</t>
  </si>
  <si>
    <t>36002</t>
  </si>
  <si>
    <t>36003</t>
  </si>
  <si>
    <t>36100</t>
  </si>
  <si>
    <t>36105</t>
  </si>
  <si>
    <t>36200</t>
  </si>
  <si>
    <t>36400</t>
  </si>
  <si>
    <t>36500</t>
  </si>
  <si>
    <t>36600</t>
  </si>
  <si>
    <t>36700</t>
  </si>
  <si>
    <t>36801</t>
  </si>
  <si>
    <t>36802</t>
  </si>
  <si>
    <t>36803</t>
  </si>
  <si>
    <t>36901</t>
  </si>
  <si>
    <t>36902</t>
  </si>
  <si>
    <t>37001</t>
  </si>
  <si>
    <t>37002</t>
  </si>
  <si>
    <t>37004</t>
  </si>
  <si>
    <t>37100</t>
  </si>
  <si>
    <t>37300</t>
  </si>
  <si>
    <t>38901</t>
  </si>
  <si>
    <t>38902</t>
  </si>
  <si>
    <t>39001</t>
  </si>
  <si>
    <t>39051</t>
  </si>
  <si>
    <t>39101</t>
  </si>
  <si>
    <t>39103</t>
  </si>
  <si>
    <t>39104</t>
  </si>
  <si>
    <t>39105</t>
  </si>
  <si>
    <t>39107</t>
  </si>
  <si>
    <t>39159</t>
  </si>
  <si>
    <t>39201</t>
  </si>
  <si>
    <t>39202</t>
  </si>
  <si>
    <t>39203</t>
  </si>
  <si>
    <t>39204</t>
  </si>
  <si>
    <t>39205</t>
  </si>
  <si>
    <t>39206</t>
  </si>
  <si>
    <t>39300</t>
  </si>
  <si>
    <t>39400</t>
  </si>
  <si>
    <t>39410</t>
  </si>
  <si>
    <t>39500</t>
  </si>
  <si>
    <t>39601</t>
  </si>
  <si>
    <t>39602</t>
  </si>
  <si>
    <t>39700</t>
  </si>
  <si>
    <t>39710</t>
  </si>
  <si>
    <t>39800</t>
  </si>
  <si>
    <t>Balance Sheet - by Month - FERC Reporting Acct Detail</t>
  </si>
  <si>
    <t>Business Unit:  BH COLORADO ELEC UTILITY CO LP</t>
  </si>
  <si>
    <t>2022 (Jan - Dec)</t>
  </si>
  <si>
    <t>Run For:  All Products, All Resource Codes, All Allocation Types</t>
  </si>
  <si>
    <t>H-T-D(Jan)</t>
  </si>
  <si>
    <t>H-T-D(Feb)</t>
  </si>
  <si>
    <t>H-T-D(Mar)</t>
  </si>
  <si>
    <t>H-T-D(Apr)</t>
  </si>
  <si>
    <t>H-T-D(May)</t>
  </si>
  <si>
    <t>H-T-D(Jun)</t>
  </si>
  <si>
    <t>H-T-D(Jul)</t>
  </si>
  <si>
    <t>H-T-D(Aug)</t>
  </si>
  <si>
    <t>H-T-D(Sep)</t>
  </si>
  <si>
    <t>H-T-D(Oct)</t>
  </si>
  <si>
    <t>H-T-D(Nov)</t>
  </si>
  <si>
    <t>H-T-D(Dec)</t>
  </si>
  <si>
    <t>ASSETS:</t>
  </si>
  <si>
    <t>UTILITY PLANT:</t>
  </si>
  <si>
    <t>101000 PLANT IN SERVICE</t>
  </si>
  <si>
    <t>101001 PLANT IN SERVICE INTANGIBLES</t>
  </si>
  <si>
    <t>101110 RIGHT OF USE ASSET OPER LEASE</t>
  </si>
  <si>
    <t>101304 PLANT IN SERVICE ARO</t>
  </si>
  <si>
    <t>105000 PLANT HELD FOR FUTURE-USE</t>
  </si>
  <si>
    <t>106000 COMPLETE NOT CLASSIFIED IN CPR</t>
  </si>
  <si>
    <t>114000 PLANT ACQUISITION ADJUSTMENTS</t>
  </si>
  <si>
    <t>118993 SC UTILITY PLANT ALLOC CCA</t>
  </si>
  <si>
    <t>118999 COMMON UTILITY PLANT ALLOC</t>
  </si>
  <si>
    <t>UTILITY PLANT</t>
  </si>
  <si>
    <t>107000 CONSTRUCTION WORK IN-PROGRESS</t>
  </si>
  <si>
    <t>CWIP Construction Work In Progress</t>
  </si>
  <si>
    <t>TOTAL UTILITY PLANT</t>
  </si>
  <si>
    <t>108000 PLT IN SERV-ACCUM DEPREC-ORIG</t>
  </si>
  <si>
    <t>108001 RETIREMENT WORK IN PROGRESS</t>
  </si>
  <si>
    <t>108002 PLT IN SERV-ACCUM DEPR-REM COS</t>
  </si>
  <si>
    <t>108006 ACCUM AMORT - INTANGIBLES</t>
  </si>
  <si>
    <t>108200 RIGHT OF USE ASSET AMORTIZATION</t>
  </si>
  <si>
    <t>108304 ACCUMULATED DEPR-LEGAL ARO</t>
  </si>
  <si>
    <t>111000 PLT IN SERV-ACC AMORT -REGUTIL</t>
  </si>
  <si>
    <t>119993 SC ACCUM DEPR ALLOC CCA</t>
  </si>
  <si>
    <t>119998 UHC ACC DEPR CUR ALLOC</t>
  </si>
  <si>
    <t>119999 COMMON UTIL-ACC DEPR-ALLOC</t>
  </si>
  <si>
    <t>ACCUM DEPRECIATION</t>
  </si>
  <si>
    <t>NET UTILITY PLANT</t>
  </si>
  <si>
    <t>OTHER PROPERY AND INVESTMENTS:</t>
  </si>
  <si>
    <t>121000 NONUTILITY PROPERTY</t>
  </si>
  <si>
    <t>NON UTILITY PROPERTY</t>
  </si>
  <si>
    <t>TTL  OTH PROPERTY &amp; INVESTMENT</t>
  </si>
  <si>
    <t>CURRENT AND ACCRUED ASSETS:</t>
  </si>
  <si>
    <t>131038 CO BANKS ROCKY FORD</t>
  </si>
  <si>
    <t>131148 WELLS FARGO OPER CASH</t>
  </si>
  <si>
    <t>131149 WELLS FARGO OPER CASH - DISBUR</t>
  </si>
  <si>
    <t>131150 WELLS FARGO UTIL DEPOSITORY</t>
  </si>
  <si>
    <t>131152 WELLS FARGO WFED LOCK BOX</t>
  </si>
  <si>
    <t>131154 WF BHE RM</t>
  </si>
  <si>
    <t>131185 FIRST AM BANK WEBSTER CTY</t>
  </si>
  <si>
    <t>131221 WELLS FARGO PMT SVCS</t>
  </si>
  <si>
    <t>131230 WESTERN UNION</t>
  </si>
  <si>
    <t>131232 WELLS FARGO OTHER MANUAL</t>
  </si>
  <si>
    <t>131233 WELLS FARGO EFT/CHECKLINE</t>
  </si>
  <si>
    <t>131234 WELLS FARGO COLLECTION AGENCY</t>
  </si>
  <si>
    <t>CASH ACCOUNTS</t>
  </si>
  <si>
    <t>134500 RESTRICTED CASH</t>
  </si>
  <si>
    <t>SPECIAL DEPOSITS</t>
  </si>
  <si>
    <t>135002 WORKING FUNDS-PETTY CASH (OI)</t>
  </si>
  <si>
    <t>WORKING FUNDS WORKING DEPOSITS</t>
  </si>
  <si>
    <t>142000 CUSTOMER ACCTS RECEIVABLE CIS</t>
  </si>
  <si>
    <t>142002 CUSTOMER A/R MERC</t>
  </si>
  <si>
    <t>142006 CUSTOMER A/R INSTALL</t>
  </si>
  <si>
    <t>142009 TRANSMISSION STUDY AR</t>
  </si>
  <si>
    <t>142200 CUSTR A/R MANUAL OFF SYS SALES</t>
  </si>
  <si>
    <t>142210 CUST A/R WYGEN 3 MDU</t>
  </si>
  <si>
    <t>142999 CUSTOMER A/R OTHER</t>
  </si>
  <si>
    <t>CUST ACCT RECEIVABLE CUSTOMER ACCOUNTS RECEIVABLE</t>
  </si>
  <si>
    <t>143000 A/R MISCELLANEOUS</t>
  </si>
  <si>
    <t>143003 A/R CONTRIB IN AID OF CONSTRUC</t>
  </si>
  <si>
    <t>143005 A/R ACCRUALS</t>
  </si>
  <si>
    <t>143008 A/R DAMAGE CLAIMS</t>
  </si>
  <si>
    <t>143012 A/R OTHER EMPLOYEE LOANS</t>
  </si>
  <si>
    <t>143060 A/R SHORT TERM NEG BAL RECLASS</t>
  </si>
  <si>
    <t>143100 A/R PEOPLESOFT SUBLEDGER</t>
  </si>
  <si>
    <t>143990 A/R ACCRUED OTHER</t>
  </si>
  <si>
    <t>OTHER ACCTS RECVBL OTHER ACCOUNTS RECEIVABLE</t>
  </si>
  <si>
    <t>144000 ACCUM PROV FOR UNCOLL ACCTS</t>
  </si>
  <si>
    <t>ACCUM PROV-UNCOLL ACCUM PROV FOR UNCOLLECTIBLE</t>
  </si>
  <si>
    <t>145000 I/C NOTES RECEIVABLE FROM UMP</t>
  </si>
  <si>
    <t>145100 I/C INTEREST REC FROM UMP</t>
  </si>
  <si>
    <t>NOTES REC  INTER CO NOTES RECEIVABLE INTER COMPANY</t>
  </si>
  <si>
    <t>146000 I/C ACCOUNTS RECEIVABLE</t>
  </si>
  <si>
    <t>ACCTS REC INTER CO ACCTS RECEIVABLE INTER COMPANY</t>
  </si>
  <si>
    <t>151006 FUEL STOCK-NATURAL GAS</t>
  </si>
  <si>
    <t>151008 FUEL STOCK-DIESEL</t>
  </si>
  <si>
    <t>FUEL STOCKS FUEL STOCK</t>
  </si>
  <si>
    <t>154000 MATERIALS AND SUPPLIES GENERAL</t>
  </si>
  <si>
    <t>154003 INVENTORY MANUAL</t>
  </si>
  <si>
    <t>154007 INVENTORY-TRANSFERS IN TRANSIT</t>
  </si>
  <si>
    <t>PLANT MATERIAL &amp; OP PLANT MATERIALS &amp; OP SUPPLIES</t>
  </si>
  <si>
    <t>163000 STORES EXPENSE UNDISTRIBUTED-</t>
  </si>
  <si>
    <t>STORES EXP UNDIST STORES EXPENSE UNDISTRIBUTED</t>
  </si>
  <si>
    <t>165002 PREPAID INSURANCE</t>
  </si>
  <si>
    <t>165004 PREPAID MAINTENANCE</t>
  </si>
  <si>
    <t>165007 PREPAID FEDERAL TAXES</t>
  </si>
  <si>
    <t>165012 PREPAID OTHR</t>
  </si>
  <si>
    <t>165020 PREPAID DUES AND SUBSCRIPTIONS</t>
  </si>
  <si>
    <t>165180 PREPAID STATE TAXES</t>
  </si>
  <si>
    <t>PREPAYMENTS</t>
  </si>
  <si>
    <t>173000 ACCRUED UNBILLED REVENUES</t>
  </si>
  <si>
    <t>ACCD UTILITY REVENUE ACCRUED UTILITY REVENUES</t>
  </si>
  <si>
    <t>174000 EXCHANGE GAS RECEIVABLE</t>
  </si>
  <si>
    <t>MISC CRNT ACCD ASSTS MISC CURRENT &amp; ACCURED ASSETS</t>
  </si>
  <si>
    <t>TTL CURRENT &amp; ACCRUED ASSETS</t>
  </si>
  <si>
    <t>DEFFERRED DEBITS:</t>
  </si>
  <si>
    <t>182342 REG ASSET ECA 2021 STORM</t>
  </si>
  <si>
    <t>182389 REG ASSET ECA 2021 STORM LT</t>
  </si>
  <si>
    <t>182300 REG ASSET OTHER</t>
  </si>
  <si>
    <t>182305 REG ASSET ARO</t>
  </si>
  <si>
    <t>182310 REG ASSET PENSION PRIOR SVC</t>
  </si>
  <si>
    <t>182313 REGULATORY ASSSET - COMP ABS</t>
  </si>
  <si>
    <t>182316 REG ASSET PENSION</t>
  </si>
  <si>
    <t>182318 BHE ASSISTANCE PROGRAM ST</t>
  </si>
  <si>
    <t>182319 RENEWABLE ENERGY STANDARD ADJUSTMENT</t>
  </si>
  <si>
    <t>182322 REG ASST PCA MONTHLY ACCRUAL</t>
  </si>
  <si>
    <t>182333 REG ASSET ENERGY EFFICIENCY ST</t>
  </si>
  <si>
    <t>182361 REG ASSET ST RECLASS</t>
  </si>
  <si>
    <t>182385 REG ASSETS LT RETIREE HC INC TAX</t>
  </si>
  <si>
    <t>182390 REG ASSET AFUDC</t>
  </si>
  <si>
    <t>182392 REG FLWBCK EXCESS DEF TAX</t>
  </si>
  <si>
    <t>OTHER REG ASSETS OTHER REGULATORY ASSETS</t>
  </si>
  <si>
    <t>183200 PRELIM SURVEY CHARGES GENERAL</t>
  </si>
  <si>
    <t>PRELIM SURV &amp; INVEST PRELIM SURVEY &amp; INVESTIGATION</t>
  </si>
  <si>
    <t>184000 FLEET/TRANSPORTATION CLEARING</t>
  </si>
  <si>
    <t>184001 ADMIN &amp; GENERAL CLEARING</t>
  </si>
  <si>
    <t>184003 FIELD ENGINEERING CLEARING</t>
  </si>
  <si>
    <t>184004 Field Eng Clearing Transmission</t>
  </si>
  <si>
    <t>184015 CIS ENERGY ASSISTANCE</t>
  </si>
  <si>
    <t>184040 CIS+ TRANSACTION CLEARING</t>
  </si>
  <si>
    <t>184045 LEASE CLEARING</t>
  </si>
  <si>
    <t>184999 OTHER CLEARING</t>
  </si>
  <si>
    <t>CLEARING ACCOUNTS</t>
  </si>
  <si>
    <t>186001 MISC DEFERRED DEBITS-IN PROCES</t>
  </si>
  <si>
    <t>186002 DEFERRED RATE CASE EXPENSES</t>
  </si>
  <si>
    <t>186998 DEFERRED ASSETS - OTHER</t>
  </si>
  <si>
    <t>MISC DEFERRED DEBITS</t>
  </si>
  <si>
    <t>190300 Deferred Tax Asset - Include</t>
  </si>
  <si>
    <t>190301 Deferred Tax Asset - Exclude</t>
  </si>
  <si>
    <t>190998 DEF TAX ASSET LT ST FERC</t>
  </si>
  <si>
    <t>ACCUM DEF INC TAXES ACCUM DEFERRED INCOME TAXES</t>
  </si>
  <si>
    <t>DEFERRED DEBITS</t>
  </si>
  <si>
    <t>TOTAL_SUSPENSE_ACCTS TOTAL SUSPENSE ACCOUNTS</t>
  </si>
  <si>
    <t>TOTAL ASSETS</t>
  </si>
  <si>
    <t>LIABILITIES AND SHAREHOLDERS EQUITY:</t>
  </si>
  <si>
    <t>PROPRIETARY CAPITAL:</t>
  </si>
  <si>
    <t>211001 ADDL PAID IN CAPITAL</t>
  </si>
  <si>
    <t>OTH PAID IN CAPITAL OTHER PAID IN CAPITAL</t>
  </si>
  <si>
    <t>216000 RETAINED EARNINGS GENERAL</t>
  </si>
  <si>
    <t>216020 CUM EFFECT ACCOUNTING ADJ</t>
  </si>
  <si>
    <t>RETAINED EARNINGS</t>
  </si>
  <si>
    <t>TOTAL PROPRIETARY CAPITAL</t>
  </si>
  <si>
    <t>LONG-TERM DEBT:</t>
  </si>
  <si>
    <t>223000 I/C LT NOTES PAYABLE</t>
  </si>
  <si>
    <t>ADV FROM INTER COMP ADVANCES FROM ASSOC COMPANIES</t>
  </si>
  <si>
    <t>TOTAL LONG TERM DEBT</t>
  </si>
  <si>
    <t>OTHER NON-CURRENT LIABILITIES:</t>
  </si>
  <si>
    <t>227100 OPERATING LEASE OBLIGATIONS</t>
  </si>
  <si>
    <t>OBLIG UNDR CAP LEASE OBLIGATION UNDER CAPITAL LEASE</t>
  </si>
  <si>
    <t>228202 RESERVE WORKERS' COMPENSATION</t>
  </si>
  <si>
    <t>228203 RESERVE AUTO LIABILITY</t>
  </si>
  <si>
    <t>228204 RESERVE MEDICAL</t>
  </si>
  <si>
    <t>ACCUM PROV INJRY DAM ACCUM PROV INJURIES &amp; DAMAGES</t>
  </si>
  <si>
    <t>228300 BENEFITS ACCRUAL RETIREE HEALTH CARE</t>
  </si>
  <si>
    <t>228302 BENEFITS ACCRUAL PENSION</t>
  </si>
  <si>
    <t>ACCUM PROV PEN &amp; BEN ACCUM PROV PENSIONS &amp; BENFITS</t>
  </si>
  <si>
    <t>229001 BILLINGS COLL SUBJECT TO REFUN</t>
  </si>
  <si>
    <t>ACCUM PROV RATE RFND ACCUM PROV FOR RATE REFUNDS</t>
  </si>
  <si>
    <t>230304 ACCUM RESV OBLIGATION ARO</t>
  </si>
  <si>
    <t>ASSET RETIRE OBLIG ASSET RETIREMENT OBLIGATIONS</t>
  </si>
  <si>
    <t>TTL OTR NONCRNT LIAB TTL OTHER NONCRNT LIABILITIES</t>
  </si>
  <si>
    <t>CURRENT AND ACCRUED LIABILITIES:</t>
  </si>
  <si>
    <t>232000 AP PEOPLESOFT SUBLEDGER</t>
  </si>
  <si>
    <t>232001 A/P INVENTORY ACCRUAL</t>
  </si>
  <si>
    <t>232004 A/P POWER PURCHASES GENERAL 1</t>
  </si>
  <si>
    <t>232005 A/P PO ACCRUAL</t>
  </si>
  <si>
    <t>232006 A/P GAS PURCHASES ESTIMATED</t>
  </si>
  <si>
    <t>232009 A/P MANUAL</t>
  </si>
  <si>
    <t>232014 A/P WH FLEX 125 DEPENDENT</t>
  </si>
  <si>
    <t>232016 A/P WH HEALTH INSURANCE</t>
  </si>
  <si>
    <t>232017 A/P WH PAC</t>
  </si>
  <si>
    <t>232019 A/P WH UNION DUES</t>
  </si>
  <si>
    <t>232021 A/P WH EMPL DONATIONS</t>
  </si>
  <si>
    <t>232022 A/P WH GARNISHMENTS</t>
  </si>
  <si>
    <t>232023 A/P WH LIFE INSURANCE</t>
  </si>
  <si>
    <t>232024 A/P EMPLOYEE WH OTHER</t>
  </si>
  <si>
    <t>232026 A/P CUSTOMER CARE</t>
  </si>
  <si>
    <t>232037 A/P GENERAL</t>
  </si>
  <si>
    <t>232044 A/P WH LONG TERM CARE INSURANC</t>
  </si>
  <si>
    <t>ACCTS PAYABLE ACCOUNTS PAYABLE</t>
  </si>
  <si>
    <t>233000 I/C NOTES PAYABLE TO UMP</t>
  </si>
  <si>
    <t>233053 I/C NOTES PAYABLE AFFILIATE</t>
  </si>
  <si>
    <t>233100 I/C INTEREST PAYABLE TO UMP</t>
  </si>
  <si>
    <t>233153 I/C INTEREST PAYABLE AFFILIATE</t>
  </si>
  <si>
    <t>NOTE PAY INTER CO NOTES PAYABLE INTER COMPANY</t>
  </si>
  <si>
    <t>234000 I/C ACCOUNTS PAYABLE</t>
  </si>
  <si>
    <t>234222 CIS+ ACCOUNT BALANCE TRANSFERS</t>
  </si>
  <si>
    <t>234999 CIS+ CUSTOMER DEPOSIT TRANSFER</t>
  </si>
  <si>
    <t>ACCT PAY INTER CO ACCOUNTS PAYABLE INTER COMPANY</t>
  </si>
  <si>
    <t>235000 CUSTOMER DEPOSITS-</t>
  </si>
  <si>
    <t>235050 TRANSMISSION DEPOSITS</t>
  </si>
  <si>
    <t>CUSTOMER DEPOSITS</t>
  </si>
  <si>
    <t>236000 ACCRUED INCOME TAXES FEDERAL</t>
  </si>
  <si>
    <t>236001 ACCRUED INCOME TAXES STATE</t>
  </si>
  <si>
    <t>236003 ACCRUED TAXES SALES/USE</t>
  </si>
  <si>
    <t>236004 ACCRUED PROPERTY TAXES</t>
  </si>
  <si>
    <t>236010 ACCRUED FICA TAX EMPLOYER</t>
  </si>
  <si>
    <t>236011 ACCRUED FUTA TAX</t>
  </si>
  <si>
    <t>236012 ACCRUED SUTA TAX</t>
  </si>
  <si>
    <t>TAXES ACCRUED</t>
  </si>
  <si>
    <t>237002 ACCRUED INT CUSTOMER DEPO</t>
  </si>
  <si>
    <t>INTEREST ACCRUED</t>
  </si>
  <si>
    <t>241000 FICA WITHHOLDING TAXES PAYABLE</t>
  </si>
  <si>
    <t>241001 FEDERAL WITHHOLDING TAXES PAYB</t>
  </si>
  <si>
    <t>241002 TAX COLLECTION PAY CITY FRANCH</t>
  </si>
  <si>
    <t>241004 STATE SALES AND USE TAX</t>
  </si>
  <si>
    <t>241005 TAX COLLECT PAY ST SLS PS A/R</t>
  </si>
  <si>
    <t>241006 STATE WITHHOLDING TAXES PAYABL</t>
  </si>
  <si>
    <t>241008 FUEL ASSIST COLLECTIONS PYBL</t>
  </si>
  <si>
    <t>TAX COLLECTED PAY TAX COLLECTIONS PAYABLE</t>
  </si>
  <si>
    <t>242003 ACCRUED BENEFITS COMP ABSENCES</t>
  </si>
  <si>
    <t>242009 ACCRUED BENEFITS RETIREE HC CURRENT</t>
  </si>
  <si>
    <t>242013 ACCRUED BENEFITS 401K</t>
  </si>
  <si>
    <t>242014 ACCRUED BONUS OTHER</t>
  </si>
  <si>
    <t>242019 ACCRUED ENERGY AID ASSISTANCE</t>
  </si>
  <si>
    <t>242028 ACCRD UNCL CHECKS/ESCHEATS</t>
  </si>
  <si>
    <t>242041 ACCRUED INCENTIVE</t>
  </si>
  <si>
    <t>242045 ACCRUED PAYROLL</t>
  </si>
  <si>
    <t>242046 ACCRUED EE REIMBURSED EXP</t>
  </si>
  <si>
    <t>242052 ACCRUED LT PERFORMANCE PLAN</t>
  </si>
  <si>
    <t>242500 ACCRUED LONG TERM LIABILITIES</t>
  </si>
  <si>
    <t>242560 ACCRD LIAB ST NEG BAL RECLASS</t>
  </si>
  <si>
    <t>242999 ACCRUED OTHER</t>
  </si>
  <si>
    <t>MISC CRNT ACCD LIAB MISC CURRENT &amp; ACCRUED LIAB</t>
  </si>
  <si>
    <t>243100 OPERATING LEASE OBLIGATIION - ST</t>
  </si>
  <si>
    <t>243000 OBLIG UNDER CAP LEASES CURRENT</t>
  </si>
  <si>
    <t>OBLIG CAP LEASE CRNT OBLIG UNDER CAP LEASE CURRENT</t>
  </si>
  <si>
    <t>TOTAL CURRENT &amp; ACCRUED LIAB</t>
  </si>
  <si>
    <t>DEFFERED CREDITS:</t>
  </si>
  <si>
    <t>252000 CUSTOMER ADVANCES FOR CONST</t>
  </si>
  <si>
    <t>252001 CUST ADVANCE FOR CONST CURRENT</t>
  </si>
  <si>
    <t>252500 CUST ADV FOR CONSTR-UG FEE</t>
  </si>
  <si>
    <t>CUST ADV FOR CONSTR CUSTOMER ADVANCE CONSTRUCTION</t>
  </si>
  <si>
    <t>255000 ACCUM DEFERRED ITC</t>
  </si>
  <si>
    <t>ACCUM DEF INV TAX CR ACCUM DEFER INVEST TAX CREDITS</t>
  </si>
  <si>
    <t>253001 OTH DEF CR CONTRACTOR RETAINAG</t>
  </si>
  <si>
    <t>253002 CONTRACTOR RETAINAGE CURRENT</t>
  </si>
  <si>
    <t>253011 ACCRUED GROUP INS RETIREE LT</t>
  </si>
  <si>
    <t>253015 OTH DEF CR UNEARNED REVENUE</t>
  </si>
  <si>
    <t>253134 STATE FIN48 LIABILITY</t>
  </si>
  <si>
    <t>253520 FIN 48 LIABILITY</t>
  </si>
  <si>
    <t>253700 OTH DEF CR ENERGY ASST PRGM</t>
  </si>
  <si>
    <t>253999 OTH DEF CR OTHER</t>
  </si>
  <si>
    <t>OTH DEFERRED CREDITS OTHER DEFERRED CREDITS</t>
  </si>
  <si>
    <t>254998 SVC CO REG LIAB EXCESS DEFTX</t>
  </si>
  <si>
    <t>254005 REG LIAB RESA RIDER</t>
  </si>
  <si>
    <t>254010 REG LIAB POWER PLANT MAINT</t>
  </si>
  <si>
    <t>254014 REG LIAB FAS 109 ITC</t>
  </si>
  <si>
    <t>254015 REG LIAB FLOWBACK EXCESS DEFTX</t>
  </si>
  <si>
    <t>254060 REG LIAB ST NEG BAL RECLASS</t>
  </si>
  <si>
    <t>254100 REG LIAB LT RETIREE HC INC TAX</t>
  </si>
  <si>
    <t>254200 REG LIABILITY LT PENSION INC TAX</t>
  </si>
  <si>
    <t>254385 REG LIAB LT RETIREE HC</t>
  </si>
  <si>
    <t>OTH REGULATORY LIAB OTHER REGULATORY LIABILITIES</t>
  </si>
  <si>
    <t>282300 Deferred Tax Liability Property - Include</t>
  </si>
  <si>
    <t>282301 Deferred Tax Liability Property - Exclude</t>
  </si>
  <si>
    <t>282302 Deferred Tax Liability Property - Flow Through</t>
  </si>
  <si>
    <t>282998 GAAP TO FERC-DEFTAX-ACCEL DEPR</t>
  </si>
  <si>
    <t>ACCUM DEF INC TAX PR ACCUM DEF INCOME TAXES PROPTY</t>
  </si>
  <si>
    <t>283300 Deferred Tax Liability - Include</t>
  </si>
  <si>
    <t>283301 Deferred Tax Liability - Exclude</t>
  </si>
  <si>
    <t>283302 Deferred Tax Liability - Flow through</t>
  </si>
  <si>
    <t>ACCUM DEF INC TAX OT ACCUM DEF INCOME TAX OTHER</t>
  </si>
  <si>
    <t>TOTAL DEFERRED CREDITS</t>
  </si>
  <si>
    <t>UNDIST YTD NET INCOME</t>
  </si>
  <si>
    <t>TOTAL LIABILITIES AND SHAREHOLDERS EQUITY:</t>
  </si>
  <si>
    <t>Report: Balance Sheet - Jan - Dec for FERC Rpt Detail               Page: 1 of 1</t>
  </si>
  <si>
    <t>Data from the PSGLFERC Essbase Cube</t>
  </si>
  <si>
    <t>(Multiple Items)</t>
  </si>
  <si>
    <t>13 Month Avg.</t>
  </si>
  <si>
    <t>2021 (Jan - Dec) 13 Mth Avg  Scenario</t>
  </si>
  <si>
    <t>242570 ACCRD LIAB LT NEG BAL RECLASS</t>
  </si>
  <si>
    <t>Report: Balance Sheet - Jan - Dec &amp; 13Mth Avg  FERC Rpt Detail               Page: 1 of 1</t>
  </si>
  <si>
    <t>Printed: Jan 10, 2022 09:58 AM</t>
  </si>
  <si>
    <t>Printed: Mar 31, 2023 01:41 PM</t>
  </si>
  <si>
    <t>Function</t>
  </si>
  <si>
    <t>Distribution</t>
  </si>
  <si>
    <t>General &amp; Intagible</t>
  </si>
  <si>
    <t>Generation</t>
  </si>
  <si>
    <t>Transmission</t>
  </si>
  <si>
    <t>Period</t>
  </si>
  <si>
    <t>Total Transmission</t>
  </si>
  <si>
    <t>Total General &amp; Intangible</t>
  </si>
  <si>
    <t>Total Distribution</t>
  </si>
  <si>
    <t>Total</t>
  </si>
  <si>
    <t>Pending Retirements</t>
  </si>
  <si>
    <t>Variance</t>
  </si>
  <si>
    <t>Production</t>
  </si>
  <si>
    <t>Total Production</t>
  </si>
  <si>
    <t>Month</t>
  </si>
  <si>
    <t>General &amp; Intangible</t>
  </si>
  <si>
    <t>Common</t>
  </si>
  <si>
    <t>CWIP (Note C)</t>
  </si>
  <si>
    <t>Land Held for Future Use</t>
  </si>
  <si>
    <t>(a)</t>
  </si>
  <si>
    <t>(b)</t>
  </si>
  <si>
    <t>(c)</t>
  </si>
  <si>
    <t>(d)</t>
  </si>
  <si>
    <t>(e)</t>
  </si>
  <si>
    <t>(f)</t>
  </si>
  <si>
    <t>(g)</t>
  </si>
  <si>
    <t>(h)</t>
  </si>
  <si>
    <t>FN1 Reference for Dec</t>
  </si>
  <si>
    <t>205.46.g (Note K) Excluding ARO</t>
  </si>
  <si>
    <t>207.58.g (Note K) Excluding ARO</t>
  </si>
  <si>
    <t>207.75.g (Note K) Excluding ARO</t>
  </si>
  <si>
    <t>205.5.g &amp; 207.99.g (Note K) Excluding ARO</t>
  </si>
  <si>
    <t>201.8.e,f,g,h (Note I) (Note K) Excluding ARO</t>
  </si>
  <si>
    <t>216.x.b</t>
  </si>
  <si>
    <t>214.x.d</t>
  </si>
  <si>
    <t>December Prior Year</t>
  </si>
  <si>
    <t>January</t>
  </si>
  <si>
    <t>February</t>
  </si>
  <si>
    <t xml:space="preserve">March </t>
  </si>
  <si>
    <t>April</t>
  </si>
  <si>
    <t>June</t>
  </si>
  <si>
    <t>July</t>
  </si>
  <si>
    <t xml:space="preserve">August </t>
  </si>
  <si>
    <t>September</t>
  </si>
  <si>
    <t>October</t>
  </si>
  <si>
    <t>November</t>
  </si>
  <si>
    <t xml:space="preserve">December </t>
  </si>
  <si>
    <t xml:space="preserve">Average of the 13 Monthly Balances </t>
  </si>
  <si>
    <t>Total Common Plant</t>
  </si>
  <si>
    <t>Worksheet A4</t>
  </si>
  <si>
    <t>Rate Base Worksheet</t>
  </si>
  <si>
    <t>Page 1 of 3</t>
  </si>
  <si>
    <t xml:space="preserve">Gross Plant In Service </t>
  </si>
  <si>
    <t>CWIP</t>
  </si>
  <si>
    <t>LHFFU</t>
  </si>
  <si>
    <t>Line No</t>
  </si>
  <si>
    <t xml:space="preserve">Accumulated Depreciation </t>
  </si>
  <si>
    <t>reserved</t>
  </si>
  <si>
    <t>219.20-24.c  Excluding ARO</t>
  </si>
  <si>
    <t>219.25.c Excluding ARO</t>
  </si>
  <si>
    <t>219.26.c Excluding ARO</t>
  </si>
  <si>
    <t>219.28.c &amp; 200.21.c Excluding ARO</t>
  </si>
  <si>
    <t>201.14.e,f,g,h (Note I) Excluding ARO</t>
  </si>
  <si>
    <t>Plant in Service ARO</t>
  </si>
  <si>
    <t>Accumulated Depreciation - ARO</t>
  </si>
  <si>
    <t>Finance Lease Asset</t>
  </si>
  <si>
    <t>Accum. Depreciation - Finance Lease</t>
  </si>
  <si>
    <t>Right of Use Asset Operating Lease</t>
  </si>
  <si>
    <t>Accum Amortization - Right of Use Asset</t>
  </si>
  <si>
    <t>(Note J)</t>
  </si>
  <si>
    <t>Page 2 of 3</t>
  </si>
  <si>
    <t>Adjustments to Rate Base</t>
  </si>
  <si>
    <t xml:space="preserve">Unamortized Regulatory Asset </t>
  </si>
  <si>
    <t xml:space="preserve">Unamortized Abandoned Plant  </t>
  </si>
  <si>
    <t xml:space="preserve">Account No. 281
Accumulated Deferred Income Taxes </t>
  </si>
  <si>
    <t xml:space="preserve">Account No. 282
Accumulated Deferred Income Taxes </t>
  </si>
  <si>
    <t xml:space="preserve">Account No. 283
Accumulated Deferred Income Taxes </t>
  </si>
  <si>
    <t xml:space="preserve">Account No. 190
Accumulated Deferred Income Taxes </t>
  </si>
  <si>
    <t>Account No. 165
Prepayments</t>
  </si>
  <si>
    <t>Notes A &amp; E</t>
  </si>
  <si>
    <t>Note B</t>
  </si>
  <si>
    <t>Note D</t>
  </si>
  <si>
    <t>Average of the 13 Monthly Balances -</t>
  </si>
  <si>
    <t>(Except ADIT which is average of Beg. &amp; End Balances)</t>
  </si>
  <si>
    <t>Unfunded Reserves    (Note G)</t>
  </si>
  <si>
    <t>List of all reserves:</t>
  </si>
  <si>
    <t>Amount 
(Enter the negative of amount reflected in the FERC Form 1)</t>
  </si>
  <si>
    <t xml:space="preserve">Enter 1 if NOT in a trust or reserved account, enter zero (0) if included in a trust or reserved account </t>
  </si>
  <si>
    <t>Enter 1 if the accrual account is included in the formula rate, enter zero (0) if the accrual account is NOT included in the formula rate</t>
  </si>
  <si>
    <t xml:space="preserve">Enter the percentage paid for by customers, 1 less the percent associated with an offsetting liability on the balance sheet </t>
  </si>
  <si>
    <t xml:space="preserve">Allocation (Plant or Labor Allocator) </t>
  </si>
  <si>
    <t>Amount Allocated, col. (c) x col. (d) x col. (e) x col. (f) x col. (g)</t>
  </si>
  <si>
    <t>Reserve 1</t>
  </si>
  <si>
    <t>Reserve 2</t>
  </si>
  <si>
    <t>Reserve 3</t>
  </si>
  <si>
    <t>Reserve 4</t>
  </si>
  <si>
    <t>…</t>
  </si>
  <si>
    <t>Page 3 of 3</t>
  </si>
  <si>
    <t>Materials &amp; Supplies</t>
  </si>
  <si>
    <t>Deferred Tax Items</t>
  </si>
  <si>
    <t xml:space="preserve">  Materials &amp; Supplies: Transmission Plant</t>
  </si>
  <si>
    <t xml:space="preserve">  Materials &amp; Supplies: Stores Expense Undistributed</t>
  </si>
  <si>
    <t xml:space="preserve">  Materials &amp; Supplies: Construction</t>
  </si>
  <si>
    <t xml:space="preserve">  Materials &amp; Supplies</t>
  </si>
  <si>
    <t>227.8.c</t>
  </si>
  <si>
    <t>227.16.c</t>
  </si>
  <si>
    <t>227.5.c</t>
  </si>
  <si>
    <t>Total (Note E)</t>
  </si>
  <si>
    <t>Allocator</t>
  </si>
  <si>
    <t>TP</t>
  </si>
  <si>
    <t>W/S</t>
  </si>
  <si>
    <t>NA</t>
  </si>
  <si>
    <t>Allocator Value (Note H)</t>
  </si>
  <si>
    <t>Avg of 13 Month Balances - Allocated</t>
  </si>
  <si>
    <t>Per Balance Sheet</t>
  </si>
  <si>
    <t>external_account_code</t>
  </si>
  <si>
    <t>depr_group</t>
  </si>
  <si>
    <t>provision</t>
  </si>
  <si>
    <t>cost_of_removal</t>
  </si>
  <si>
    <t>salv_credits</t>
  </si>
  <si>
    <t>transfers</t>
  </si>
  <si>
    <t>gain_loss</t>
  </si>
  <si>
    <t>BHCOE - 131100 - Electric - Prod -</t>
  </si>
  <si>
    <t>108000</t>
  </si>
  <si>
    <t>BHCOE - 131201 - Electric - Prod</t>
  </si>
  <si>
    <t>BHCOE - 131202 - Electric - Prod</t>
  </si>
  <si>
    <t>BHCOE - 131209 - Indus Stm-Boiler P</t>
  </si>
  <si>
    <t>BHCOE - 131400 - Electric - Prod -</t>
  </si>
  <si>
    <t>BHCOE - 131500 - Electric - Prod</t>
  </si>
  <si>
    <t>BHCOE - 131600 - Electric - Prod</t>
  </si>
  <si>
    <t>BHCOE - 134001 - PAGS 1&amp;2 COMMON</t>
  </si>
  <si>
    <t>BHCOE - 134001 - PAGS UNIT 1</t>
  </si>
  <si>
    <t>BHCOE - 134001 - PAGS UNIT 2</t>
  </si>
  <si>
    <t>BHCOE - 134002 - PAGS 1&amp;2 COMMON</t>
  </si>
  <si>
    <t>BHCOE - 134002 - PAGS UNIT 1</t>
  </si>
  <si>
    <t>BHCOE - 134002 - PAGS UNIT 2</t>
  </si>
  <si>
    <t>BHCOE - 134003 - PAGS 1&amp;2 COMMON</t>
  </si>
  <si>
    <t>BHCOE - 134003 - PAGS UNIT 1</t>
  </si>
  <si>
    <t>BHCOE - 134003 - PAGS UNIT 2</t>
  </si>
  <si>
    <t>BHCOE - 134100 - Electric - Prod</t>
  </si>
  <si>
    <t>BHCOE - 134100 - Electric - Wind</t>
  </si>
  <si>
    <t>BHCOE - 134100 - PAGS 1&amp;2 COMMON</t>
  </si>
  <si>
    <t>BHCOE - 134100 - PAGS UNIT 1</t>
  </si>
  <si>
    <t>BHCOE - 134100 - PAGS UNIT 2</t>
  </si>
  <si>
    <t>BHCOE - 134100 - PAGS UNIT 3</t>
  </si>
  <si>
    <t>BHCOE - 134105 - PAGS 1&amp;2 COMMON</t>
  </si>
  <si>
    <t>BHCOE - 134105 - PAGS UNIT 1</t>
  </si>
  <si>
    <t>BHCOE - 134105 - PAGS UNIT 2</t>
  </si>
  <si>
    <t>BHCOE - 134200 - Electric - Prod</t>
  </si>
  <si>
    <t>BHCOE - 134200 - Electric - Wind</t>
  </si>
  <si>
    <t>BHCOE - 134200 - PAGS 1&amp;2 COMMON</t>
  </si>
  <si>
    <t>BHCOE - 134200 - PAGS UNIT 1</t>
  </si>
  <si>
    <t>BHCOE - 134200 - PAGS UNIT 2</t>
  </si>
  <si>
    <t>BHCOE - 134200 - PAGS UNIT 3</t>
  </si>
  <si>
    <t>BHCOE - 134300 - Elect -Prod-Other</t>
  </si>
  <si>
    <t>BHCOE - 134300 - Electric - Wind</t>
  </si>
  <si>
    <t>BHCOE - 134300 - PAGS 1&amp;2 COMMON</t>
  </si>
  <si>
    <t>BHCOE - 134300 - PAGS UNIT 1</t>
  </si>
  <si>
    <t>BHCOE - 134300 - PAGS UNIT 2</t>
  </si>
  <si>
    <t>BHCOE - 134300 - PAGS UNIT 3</t>
  </si>
  <si>
    <t>BHCOE - 134410 - Electric - Prod</t>
  </si>
  <si>
    <t>BHCOE - 134410 - Electric - Wind</t>
  </si>
  <si>
    <t>BHCOE - 134410 - Elec-Wind-Peak Vie</t>
  </si>
  <si>
    <t>BHCOE - 134410 - PAGS 1&amp;2 COMMON</t>
  </si>
  <si>
    <t>BHCOE - 134410 - PAGS UNIT 1</t>
  </si>
  <si>
    <t>BHCOE - 134410 - PAGS UNIT 2</t>
  </si>
  <si>
    <t>BHCOE - 134410 - PAGS UNIT 3</t>
  </si>
  <si>
    <t>BHCOE - 134451 - PAGS 1&amp;2 COMMON</t>
  </si>
  <si>
    <t>BHCOE - 134451 - PAGS UNIT 1</t>
  </si>
  <si>
    <t>BHCOE - 134451 - PAGS UNIT 2</t>
  </si>
  <si>
    <t>BHCOE - 134500 - Electric - Prod</t>
  </si>
  <si>
    <t>BHCOE - 134500 - Electric - Wind</t>
  </si>
  <si>
    <t>BHCOE - 134500 - Elec-Wind-Peak Vie</t>
  </si>
  <si>
    <t>BHCOE - 134500 - PAGS 1&amp;2 COMMON</t>
  </si>
  <si>
    <t>BHCOE - 134500 - PAGS UNIT 1</t>
  </si>
  <si>
    <t>BHCOE - 134500 - PAGS UNIT 2</t>
  </si>
  <si>
    <t>BHCOE - 134500 - PAGS UNIT 3</t>
  </si>
  <si>
    <t>BHCOE - 134600 - Electric - Prod</t>
  </si>
  <si>
    <t>BHCOE - 134600 - Electric - Wind</t>
  </si>
  <si>
    <t>BHCOE - 134600 - PAGS 1&amp;2 COMMON</t>
  </si>
  <si>
    <t>BHCOE - 134600 - PAGS UNIT 1</t>
  </si>
  <si>
    <t>BHCOE - 134600 - PAGS UNIT 2</t>
  </si>
  <si>
    <t>BHCOE - 134600 - PAGS UNIT 3</t>
  </si>
  <si>
    <t>BHCOE - 135200 - Electric - Tran -</t>
  </si>
  <si>
    <t>BHCOE - 135300 - Elec-Peak View</t>
  </si>
  <si>
    <t>BHCOE - 135300 - Electric - Tran -</t>
  </si>
  <si>
    <t>BHCOE - 135400 - Electric - Tran -</t>
  </si>
  <si>
    <t>BHCOE - 135500 - Elec-Peak View</t>
  </si>
  <si>
    <t>BHCOE - 135500 - Electric - Tran -</t>
  </si>
  <si>
    <t>BHCOE - 135600 - Electric - Tran -</t>
  </si>
  <si>
    <t>BHCOE - 135700 - Electric - Tran -</t>
  </si>
  <si>
    <t>BHCOE - 135700 - Electric-Tran-UG</t>
  </si>
  <si>
    <t>BHCOE - 135800 - Electric - Tran -</t>
  </si>
  <si>
    <t>BHCOE - 136100 - Electric - Dist -</t>
  </si>
  <si>
    <t>BHCOE - 136200 - Electric - Dist -</t>
  </si>
  <si>
    <t>BHCOE - 136400 - Electric - Dist -</t>
  </si>
  <si>
    <t>BHCOE - 136500 - Electric - Dist -</t>
  </si>
  <si>
    <t>BHCOE - 136600 - Electric - Dist -</t>
  </si>
  <si>
    <t>BHCOE - 136700 - Electric - Dist -</t>
  </si>
  <si>
    <t>BHCOE - 136801 - Electric - Dist -</t>
  </si>
  <si>
    <t>BHCOE - 136802 - Electric - Dist -</t>
  </si>
  <si>
    <t>BHCOE - 136803 - Electric - Dist -</t>
  </si>
  <si>
    <t>BHCOE - 136901 - Electric - Dist -</t>
  </si>
  <si>
    <t>BHCOE - 136902 - Electric - Dist -</t>
  </si>
  <si>
    <t>BHCOE - 137001 - Electric - Dist -</t>
  </si>
  <si>
    <t>BHCOE - 137002 - Electric - Dist -</t>
  </si>
  <si>
    <t>BHCOE - 137004 - ED - Meters - AMI</t>
  </si>
  <si>
    <t>BHCOE - 137100 - Electric - Dist -</t>
  </si>
  <si>
    <t>BHCOE - 137300 - Electric - Dist -</t>
  </si>
  <si>
    <t>BHCOE - 139001 - Elect - 850</t>
  </si>
  <si>
    <t>BHCOE - 139001 - Electric - Gen -</t>
  </si>
  <si>
    <t>BHCOE - 139051 - Electric - Gen -</t>
  </si>
  <si>
    <t>BHCOE - 139101 - Electric - Gen -</t>
  </si>
  <si>
    <t>BHCOE - 139103 - Electric - Gen -</t>
  </si>
  <si>
    <t>BHCOE - 139103 - Electric-Gen-Prod</t>
  </si>
  <si>
    <t>BHCOE - 139104 - Electric - Gen -</t>
  </si>
  <si>
    <t>BHCOE - 139104 - Electric-Gen-Prod</t>
  </si>
  <si>
    <t>BHCOE - 139105 - Electric - Gen -</t>
  </si>
  <si>
    <t>BHCOE - 139107 - Electric - Gen -</t>
  </si>
  <si>
    <t>BHCOE - 139201 - Electric - Gen -</t>
  </si>
  <si>
    <t>BHCOE - 139201 - Electric - Prod</t>
  </si>
  <si>
    <t>BHCOE - 139201-Electric - Gen - -PT</t>
  </si>
  <si>
    <t>BHCOE - 139201-Electric - Prod-PT</t>
  </si>
  <si>
    <t>BHCOE - 139202 - Electric - Gen -</t>
  </si>
  <si>
    <t>BHCOE - 139202 - Electric - Prod</t>
  </si>
  <si>
    <t>BHCOE - 139202-Electric - Gen - -PT</t>
  </si>
  <si>
    <t>BHCOE - 139202-Electric - Prod-PT</t>
  </si>
  <si>
    <t>BHCOE - 139203 - Electric - Gen -</t>
  </si>
  <si>
    <t>BHCOE - 139203 - Electric - Prod</t>
  </si>
  <si>
    <t>BHCOE - 139203-Electric - Gen - -PT</t>
  </si>
  <si>
    <t>BHCOE - 139203-Electric - Prod-PT</t>
  </si>
  <si>
    <t>BHCOE - 139204 - Electric - Gen -</t>
  </si>
  <si>
    <t>BHCOE - 139204 - Electric - Prod</t>
  </si>
  <si>
    <t>BHCOE - 139204-Electric - Gen - -PT</t>
  </si>
  <si>
    <t>BHCOE - 139204-Electric - Prod-PT</t>
  </si>
  <si>
    <t>BHCOE - 139205 - Electric - Gen -</t>
  </si>
  <si>
    <t>BHCOE - 139205 - Electric - Prod</t>
  </si>
  <si>
    <t>BHCOE - 139205-Electric - Gen - -PT</t>
  </si>
  <si>
    <t>BHCOE - 139205-Electric - Prod-PT</t>
  </si>
  <si>
    <t>BHCOE - 139206 - Electric - Gen -</t>
  </si>
  <si>
    <t>BHCOE - 139206 - Electric - Prod</t>
  </si>
  <si>
    <t>BHCOE - 139206-Electric - Gen - -PT</t>
  </si>
  <si>
    <t>BHCOE - 139206-Electric - Prod-PT</t>
  </si>
  <si>
    <t>BHCOE - 139300 - Electric - Gen -</t>
  </si>
  <si>
    <t>BHCOE - 139400 - Electric - Gen -</t>
  </si>
  <si>
    <t>BHCOE - 139400 - Electric-Gen-Prod</t>
  </si>
  <si>
    <t>BHCOE - 139410 - Electric - Gen -</t>
  </si>
  <si>
    <t>BHCOE - 139500 - Electric - Gen -</t>
  </si>
  <si>
    <t>BHCOE - 139500 - Electric-Gen-Prod</t>
  </si>
  <si>
    <t>BHCOE - 139601 - Electric - Gen -</t>
  </si>
  <si>
    <t>BHCOE - 139601 - Electric-Gen-Prod</t>
  </si>
  <si>
    <t>BHCOE - 139601-Electric - Gen - -PT</t>
  </si>
  <si>
    <t>BHCOE - 139601-Electric-Gen-Prod-PT</t>
  </si>
  <si>
    <t>BHCOE - 139602 - Electric - Gen -</t>
  </si>
  <si>
    <t>BHCOE - 139602 - Electric-Gen-Prod</t>
  </si>
  <si>
    <t>BHCOE - 139602-Electric - Gen - -PT</t>
  </si>
  <si>
    <t>BHCOE - 139602-Electric-Gen-Prod-PT</t>
  </si>
  <si>
    <t>BHCOE - 139700 - Electric - Gen -</t>
  </si>
  <si>
    <t>BHCOE - 139700 - Electric-Gen-Prod</t>
  </si>
  <si>
    <t>BHCOE - 139710 - Electric - Gen -</t>
  </si>
  <si>
    <t>BHCOE - 139800 - Electric - Gen -</t>
  </si>
  <si>
    <t>BHCOE - Gen Prod 139206</t>
  </si>
  <si>
    <t>BHCOE - Gen Prod 139207</t>
  </si>
  <si>
    <t>BHCOE - Gen Prod 139208</t>
  </si>
  <si>
    <t>BHCOE - Gen Prod 139209</t>
  </si>
  <si>
    <t>BHCOE - T&amp;D 139206</t>
  </si>
  <si>
    <t>BHCOE - T&amp;D 139207</t>
  </si>
  <si>
    <t>BHCOE - T&amp;D 139208</t>
  </si>
  <si>
    <t>BHCOE - T&amp;D 139209</t>
  </si>
  <si>
    <t>108002</t>
  </si>
  <si>
    <t>BHCOE - 130100 - Electric - Intang</t>
  </si>
  <si>
    <t>108006</t>
  </si>
  <si>
    <t>BHCOE - 130201 - F&amp;C - Franchise</t>
  </si>
  <si>
    <t>BHCOE - 130301 - Intang - Easements</t>
  </si>
  <si>
    <t>BHCOE - 130302 - Intang - Trademark</t>
  </si>
  <si>
    <t>BHCOE - 130303 - IntangMisc - WorkF</t>
  </si>
  <si>
    <t>BHCOE - 131001 - Electric - Prod</t>
  </si>
  <si>
    <t>111000</t>
  </si>
  <si>
    <t>BHCOE - 131002 - Electric - Prod</t>
  </si>
  <si>
    <t>BHCOE - 134001 - Electric - Prod</t>
  </si>
  <si>
    <t>BHCOE - 134001 - Elec-Wind-Peak Vie</t>
  </si>
  <si>
    <t>BHCOE - 135001 - Electric - Gen</t>
  </si>
  <si>
    <t>BHCOE - 135002 - Elec - Peak View</t>
  </si>
  <si>
    <t>BHCOE - 135002 - Electric - Gen</t>
  </si>
  <si>
    <t>BHCOE - 135259-Electric-CnCity West</t>
  </si>
  <si>
    <t>BHCOE - 135359-Electric-CnCity West</t>
  </si>
  <si>
    <t>BHCOE - 136001 - Electric - Gen</t>
  </si>
  <si>
    <t>BHCOE - 136002 - Electric - Gen</t>
  </si>
  <si>
    <t>BHCOE - 138901 - Electric - Gen</t>
  </si>
  <si>
    <t>BHCOE - 138902 - Electric - Gen</t>
  </si>
  <si>
    <t>BHCOE - 139159-Electric-CnCity West</t>
  </si>
  <si>
    <t>BHCOE - 631001 - Non-Reg -</t>
  </si>
  <si>
    <t>122200</t>
  </si>
  <si>
    <t>BHCOE - 631001 - Non-Reg - zero</t>
  </si>
  <si>
    <t>BHCOE - General 139206</t>
  </si>
  <si>
    <t>BHCOE - General 139207</t>
  </si>
  <si>
    <t>BHCOE - General 139208</t>
  </si>
  <si>
    <t>BHCOE-136200-Electric-Dist-Non-Dep</t>
  </si>
  <si>
    <t>BHCOE - NEXT - Electric - Next - De</t>
  </si>
  <si>
    <t>BHCOE-135300-Electric-Tran-Non-Dep</t>
  </si>
  <si>
    <t>BHCOE - Unspecified - Prod</t>
  </si>
  <si>
    <t>BHCOE-130302- IntangMisc-Trademarks</t>
  </si>
  <si>
    <t>Tran &amp; Dist</t>
  </si>
  <si>
    <t>General</t>
  </si>
  <si>
    <t>nspec</t>
  </si>
  <si>
    <t>34451</t>
  </si>
  <si>
    <t>34105</t>
  </si>
  <si>
    <t>EXT -</t>
  </si>
  <si>
    <t>39208</t>
  </si>
  <si>
    <t>39207</t>
  </si>
  <si>
    <t>39209</t>
  </si>
  <si>
    <t>#N/A</t>
  </si>
  <si>
    <t>139602 - Power Operating Equipment - Long Life</t>
  </si>
  <si>
    <t>Steam Production Plant</t>
  </si>
  <si>
    <t>Intangible Plant</t>
  </si>
  <si>
    <t>Total Excluding Intangible</t>
  </si>
  <si>
    <t>Generation Plant</t>
  </si>
  <si>
    <t>(Box #1) 108001 Allocation:</t>
  </si>
  <si>
    <t>(Box #2) 108304 Allocation:</t>
  </si>
  <si>
    <t>This is ARO - included in FF1 but needs to be removed from the A4-Rate Base Accumulated Depreciation figures</t>
  </si>
  <si>
    <t>(Box #3) 111000 Allocation:</t>
  </si>
  <si>
    <t>Accounts not in PowerPlant, but included in FF1 totals (these need to be allocated among functional classes):</t>
  </si>
  <si>
    <t>Business Unit:  COE CAP LEASE</t>
  </si>
  <si>
    <t>2022 (Jan - Dec) 13 Mth Avg  Actual Data</t>
  </si>
  <si>
    <t>101100 FIXED ASSET CAP LEASE</t>
  </si>
  <si>
    <t>227200 I/C CAP LEASE OBLIGATION - LT</t>
  </si>
  <si>
    <t>Printed: May 18, 2023 09:14 AM</t>
  </si>
  <si>
    <t>Less Cap. Lease</t>
  </si>
  <si>
    <t>Less Op. Lease</t>
  </si>
  <si>
    <t>Less ARO</t>
  </si>
  <si>
    <t>Total PIS</t>
  </si>
  <si>
    <t>Total PIS on Rate Base Tab</t>
  </si>
  <si>
    <t>Total Accum</t>
  </si>
  <si>
    <t>Total Accum on Rate Base Tab</t>
  </si>
  <si>
    <t>Per FERC Form 1 p201.14b (12/31/22)</t>
  </si>
  <si>
    <t>FERC Form 1 p227.5c</t>
  </si>
  <si>
    <t>FERC Form 1 p227.8c</t>
  </si>
  <si>
    <t>FERC Form 1 p227.7c</t>
  </si>
  <si>
    <t>FERC Form 1 p227.9c</t>
  </si>
  <si>
    <t>FERC Form 1 p227.11c</t>
  </si>
  <si>
    <t>FERC Form 1 p227.16c</t>
  </si>
  <si>
    <t>Per FERC Form 1</t>
  </si>
  <si>
    <t>ARO</t>
  </si>
  <si>
    <t>Generation Allocator</t>
  </si>
  <si>
    <t>General Plant Allocator</t>
  </si>
  <si>
    <t>Less Right of Use Asset</t>
  </si>
  <si>
    <t>Per FERC Form 1 p201.8b</t>
  </si>
  <si>
    <t>Per FF1 pg111.57</t>
  </si>
  <si>
    <t>Less Finance Lease</t>
  </si>
  <si>
    <t>Per FF1</t>
  </si>
  <si>
    <t>Per FF1 227.8c</t>
  </si>
  <si>
    <t>Per FF1 227.16c</t>
  </si>
  <si>
    <t>Per FF1 227.5c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</si>
</sst>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_(* #,##0.00000_);_(* \(#,##0.00000\);_(* &quot;-&quot;??_);_(@_)"/>
    <numFmt numFmtId="167" formatCode="#,##0.00000000"/>
    <numFmt numFmtId="168" formatCode="0.000%"/>
  </numFmts>
  <fonts count="4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3.8"/>
      <color theme="1"/>
      <name val="Microsoft Sans Serif"/>
      <family val="2"/>
    </font>
    <font>
      <sz val="13.8"/>
      <color theme="1"/>
      <name val="Tahoma"/>
      <family val="2"/>
    </font>
    <font>
      <sz val="5.8"/>
      <color theme="1"/>
      <name val="Tahoma"/>
      <family val="2"/>
    </font>
    <font>
      <b/>
      <sz val="8"/>
      <color theme="1"/>
      <name val="Microsoft Sans Serif"/>
      <family val="2"/>
    </font>
    <font>
      <b/>
      <u/>
      <sz val="10"/>
      <color theme="1"/>
      <name val="Microsoft Sans Serif"/>
      <family val="2"/>
    </font>
    <font>
      <b/>
      <u/>
      <sz val="8"/>
      <color theme="1"/>
      <name val="Microsoft Sans Serif"/>
      <family val="2"/>
    </font>
    <font>
      <sz val="8"/>
      <color theme="1"/>
      <name val="Microsoft Sans Serif"/>
      <family val="2"/>
    </font>
    <font>
      <sz val="8"/>
      <color rgb="FFFF0000"/>
      <name val="Microsoft Sans Serif"/>
      <family val="2"/>
    </font>
    <font>
      <sz val="7.8"/>
      <color theme="1"/>
      <name val="Comic Sans MS"/>
      <family val="4"/>
    </font>
    <font>
      <sz val="10"/>
      <name val="Arial Unicode MS"/>
      <family val="2"/>
    </font>
    <font>
      <b/>
      <sz val="10"/>
      <name val="Times New Roman"/>
      <family val="1"/>
    </font>
    <font>
      <sz val="12"/>
      <name val="Arial MT"/>
    </font>
    <font>
      <sz val="10"/>
      <name val="Times New Roman"/>
      <family val="1"/>
    </font>
    <font>
      <sz val="10"/>
      <color indexed="40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trike/>
      <sz val="10"/>
      <name val="Times New Roman"/>
      <family val="1"/>
    </font>
    <font>
      <sz val="10"/>
      <name val="Arial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</font>
    <font>
      <sz val="13.8"/>
      <color theme="1"/>
      <name val="Microsoft Sans Serif"/>
      <family val="2"/>
    </font>
    <font>
      <sz val="13.8"/>
      <color theme="1"/>
      <name val="Tahoma"/>
      <family val="2"/>
    </font>
    <font>
      <sz val="5.8"/>
      <color theme="1"/>
      <name val="Tahoma"/>
      <family val="2"/>
    </font>
    <font>
      <b/>
      <sz val="8"/>
      <color theme="1"/>
      <name val="Microsoft Sans Serif"/>
      <family val="2"/>
    </font>
    <font>
      <b/>
      <u/>
      <sz val="10"/>
      <color theme="1"/>
      <name val="Microsoft Sans Serif"/>
      <family val="2"/>
    </font>
    <font>
      <b/>
      <u/>
      <sz val="8"/>
      <color theme="1"/>
      <name val="Microsoft Sans Serif"/>
      <family val="2"/>
    </font>
    <font>
      <sz val="8"/>
      <color theme="1"/>
      <name val="Microsoft Sans Serif"/>
      <family val="2"/>
    </font>
    <font>
      <sz val="8"/>
      <color rgb="FFFF0000"/>
      <name val="Microsoft Sans Serif"/>
      <family val="2"/>
    </font>
    <font>
      <b/>
      <u/>
      <sz val="8"/>
      <color rgb="FFFF0000"/>
      <name val="Microsoft Sans Serif"/>
      <family val="2"/>
    </font>
    <font>
      <sz val="7.8"/>
      <color theme="1"/>
      <name val="Comic Sans MS"/>
      <family val="4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43" fontId="2" fillId="0" borderId="0" applyFont="0" applyFill="0" applyBorder="0" applyAlignment="0" applyProtection="0"/>
    <xf numFmtId="0" fontId="5" fillId="0" borderId="0"/>
    <xf numFmtId="0" fontId="15" fillId="0" borderId="0"/>
    <xf numFmtId="0" fontId="4" fillId="0" borderId="0"/>
    <xf numFmtId="0" fontId="5" fillId="0" borderId="0"/>
    <xf numFmtId="0" fontId="2" fillId="0" borderId="0"/>
    <xf numFmtId="0" fontId="17" fillId="0" borderId="0" applyProtection="0"/>
    <xf numFmtId="43" fontId="2" fillId="0" borderId="0" applyFont="0" applyFill="0" applyBorder="0" applyAlignment="0" applyProtection="0"/>
    <xf numFmtId="165" fontId="17" fillId="0" borderId="0" applyProtection="0"/>
    <xf numFmtId="165" fontId="17" fillId="0" borderId="0" applyProtection="0"/>
    <xf numFmtId="165" fontId="17" fillId="0" borderId="0" applyProtection="0"/>
    <xf numFmtId="165" fontId="17" fillId="0" borderId="0" applyProtection="0"/>
    <xf numFmtId="0" fontId="1" fillId="0" borderId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9" fillId="0" borderId="0"/>
  </cellStyleXfs>
  <cellXfs count="344">
    <xf numFmtId="0" fontId="0" fillId="0" borderId="0" xfId="0"/>
    <xf numFmtId="14" fontId="0" fillId="0" borderId="0" xfId="0" applyNumberForma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0" fillId="0" borderId="0" xfId="0" pivotButton="1"/>
    <xf numFmtId="0" fontId="3" fillId="2" borderId="1" xfId="0" applyFont="1" applyFill="1" applyBorder="1"/>
    <xf numFmtId="0" fontId="0" fillId="0" borderId="0" xfId="0" applyAlignment="1">
      <alignment horizontal="left"/>
    </xf>
    <xf numFmtId="164" fontId="0" fillId="0" borderId="0" xfId="0" applyNumberFormat="1"/>
    <xf numFmtId="43" fontId="0" fillId="0" borderId="0" xfId="1" applyFont="1"/>
    <xf numFmtId="164" fontId="0" fillId="0" borderId="0" xfId="1" applyNumberFormat="1" applyFont="1"/>
    <xf numFmtId="0" fontId="5" fillId="0" borderId="0" xfId="2"/>
    <xf numFmtId="0" fontId="5" fillId="3" borderId="0" xfId="2" applyFill="1" applyAlignment="1">
      <alignment horizontal="center" wrapText="1"/>
    </xf>
    <xf numFmtId="0" fontId="9" fillId="3" borderId="2" xfId="2" applyFont="1" applyFill="1" applyBorder="1" applyAlignment="1">
      <alignment horizontal="right" wrapText="1"/>
    </xf>
    <xf numFmtId="0" fontId="5" fillId="3" borderId="3" xfId="2" applyFill="1" applyBorder="1" applyAlignment="1">
      <alignment horizontal="right" wrapText="1"/>
    </xf>
    <xf numFmtId="0" fontId="5" fillId="3" borderId="3" xfId="2" applyFill="1" applyBorder="1" applyAlignment="1">
      <alignment horizontal="center" wrapText="1"/>
    </xf>
    <xf numFmtId="0" fontId="5" fillId="3" borderId="3" xfId="2" applyFill="1" applyBorder="1" applyAlignment="1">
      <alignment horizontal="left" wrapText="1"/>
    </xf>
    <xf numFmtId="17" fontId="3" fillId="0" borderId="1" xfId="0" applyNumberFormat="1" applyFont="1" applyBorder="1"/>
    <xf numFmtId="0" fontId="0" fillId="0" borderId="0" xfId="0" applyAlignment="1">
      <alignment horizontal="left" indent="1"/>
    </xf>
    <xf numFmtId="0" fontId="3" fillId="0" borderId="4" xfId="0" applyFont="1" applyBorder="1"/>
    <xf numFmtId="0" fontId="3" fillId="0" borderId="5" xfId="0" applyFont="1" applyBorder="1"/>
    <xf numFmtId="164" fontId="3" fillId="0" borderId="0" xfId="0" applyNumberFormat="1" applyFont="1"/>
    <xf numFmtId="0" fontId="9" fillId="3" borderId="6" xfId="2" applyFont="1" applyFill="1" applyBorder="1" applyAlignment="1">
      <alignment horizontal="right" wrapText="1"/>
    </xf>
    <xf numFmtId="0" fontId="10" fillId="3" borderId="3" xfId="4" applyFont="1" applyFill="1" applyBorder="1" applyAlignment="1">
      <alignment horizontal="center" wrapText="1"/>
    </xf>
    <xf numFmtId="0" fontId="4" fillId="3" borderId="3" xfId="4" applyFill="1" applyBorder="1" applyAlignment="1">
      <alignment horizontal="center" wrapText="1"/>
    </xf>
    <xf numFmtId="0" fontId="11" fillId="3" borderId="3" xfId="4" applyFont="1" applyFill="1" applyBorder="1" applyAlignment="1">
      <alignment horizontal="center" wrapText="1"/>
    </xf>
    <xf numFmtId="0" fontId="4" fillId="3" borderId="3" xfId="4" applyFill="1" applyBorder="1" applyAlignment="1">
      <alignment horizontal="right" wrapText="1"/>
    </xf>
    <xf numFmtId="0" fontId="12" fillId="3" borderId="3" xfId="4" applyFont="1" applyFill="1" applyBorder="1" applyAlignment="1">
      <alignment horizontal="left" wrapText="1" indent="2"/>
    </xf>
    <xf numFmtId="37" fontId="12" fillId="3" borderId="3" xfId="4" applyNumberFormat="1" applyFont="1" applyFill="1" applyBorder="1" applyAlignment="1">
      <alignment horizontal="right" wrapText="1"/>
    </xf>
    <xf numFmtId="0" fontId="12" fillId="3" borderId="3" xfId="4" applyFont="1" applyFill="1" applyBorder="1" applyAlignment="1">
      <alignment horizontal="left" wrapText="1" indent="1"/>
    </xf>
    <xf numFmtId="0" fontId="12" fillId="3" borderId="3" xfId="4" applyFont="1" applyFill="1" applyBorder="1" applyAlignment="1">
      <alignment horizontal="left" wrapText="1"/>
    </xf>
    <xf numFmtId="37" fontId="13" fillId="3" borderId="3" xfId="4" applyNumberFormat="1" applyFont="1" applyFill="1" applyBorder="1" applyAlignment="1">
      <alignment horizontal="right" wrapText="1"/>
    </xf>
    <xf numFmtId="0" fontId="9" fillId="3" borderId="3" xfId="4" applyFont="1" applyFill="1" applyBorder="1" applyAlignment="1">
      <alignment horizontal="right" wrapText="1"/>
    </xf>
    <xf numFmtId="37" fontId="11" fillId="3" borderId="3" xfId="4" applyNumberFormat="1" applyFont="1" applyFill="1" applyBorder="1" applyAlignment="1">
      <alignment horizontal="right" wrapText="1"/>
    </xf>
    <xf numFmtId="0" fontId="9" fillId="3" borderId="3" xfId="4" applyFont="1" applyFill="1" applyBorder="1" applyAlignment="1">
      <alignment horizontal="left" wrapText="1"/>
    </xf>
    <xf numFmtId="0" fontId="4" fillId="3" borderId="0" xfId="4" applyFill="1" applyAlignment="1">
      <alignment horizontal="right" wrapText="1"/>
    </xf>
    <xf numFmtId="0" fontId="4" fillId="0" borderId="0" xfId="4"/>
    <xf numFmtId="0" fontId="5" fillId="0" borderId="0" xfId="5"/>
    <xf numFmtId="0" fontId="5" fillId="3" borderId="0" xfId="5" applyFill="1" applyAlignment="1">
      <alignment horizontal="center" wrapText="1"/>
    </xf>
    <xf numFmtId="0" fontId="9" fillId="3" borderId="2" xfId="5" applyFont="1" applyFill="1" applyBorder="1" applyAlignment="1">
      <alignment horizontal="right" wrapText="1"/>
    </xf>
    <xf numFmtId="0" fontId="5" fillId="3" borderId="3" xfId="5" applyFill="1" applyBorder="1" applyAlignment="1">
      <alignment horizontal="right" wrapText="1"/>
    </xf>
    <xf numFmtId="0" fontId="5" fillId="3" borderId="3" xfId="5" applyFill="1" applyBorder="1" applyAlignment="1">
      <alignment horizontal="center" wrapText="1"/>
    </xf>
    <xf numFmtId="0" fontId="5" fillId="3" borderId="3" xfId="5" applyFill="1" applyBorder="1" applyAlignment="1">
      <alignment horizontal="left" wrapText="1"/>
    </xf>
    <xf numFmtId="0" fontId="10" fillId="3" borderId="3" xfId="5" applyFont="1" applyFill="1" applyBorder="1" applyAlignment="1">
      <alignment horizontal="center" wrapText="1"/>
    </xf>
    <xf numFmtId="0" fontId="11" fillId="3" borderId="3" xfId="5" applyFont="1" applyFill="1" applyBorder="1" applyAlignment="1">
      <alignment horizontal="center" wrapText="1"/>
    </xf>
    <xf numFmtId="0" fontId="12" fillId="3" borderId="3" xfId="5" applyFont="1" applyFill="1" applyBorder="1" applyAlignment="1">
      <alignment horizontal="left" wrapText="1" indent="2"/>
    </xf>
    <xf numFmtId="37" fontId="12" fillId="3" borderId="3" xfId="5" applyNumberFormat="1" applyFont="1" applyFill="1" applyBorder="1" applyAlignment="1">
      <alignment horizontal="right" wrapText="1"/>
    </xf>
    <xf numFmtId="0" fontId="12" fillId="3" borderId="3" xfId="5" applyFont="1" applyFill="1" applyBorder="1" applyAlignment="1">
      <alignment horizontal="left" wrapText="1" indent="1"/>
    </xf>
    <xf numFmtId="0" fontId="12" fillId="3" borderId="3" xfId="5" applyFont="1" applyFill="1" applyBorder="1" applyAlignment="1">
      <alignment horizontal="left" wrapText="1"/>
    </xf>
    <xf numFmtId="37" fontId="13" fillId="3" borderId="3" xfId="5" applyNumberFormat="1" applyFont="1" applyFill="1" applyBorder="1" applyAlignment="1">
      <alignment horizontal="right" wrapText="1"/>
    </xf>
    <xf numFmtId="0" fontId="9" fillId="3" borderId="3" xfId="5" applyFont="1" applyFill="1" applyBorder="1" applyAlignment="1">
      <alignment horizontal="right" wrapText="1"/>
    </xf>
    <xf numFmtId="37" fontId="11" fillId="3" borderId="3" xfId="5" applyNumberFormat="1" applyFont="1" applyFill="1" applyBorder="1" applyAlignment="1">
      <alignment horizontal="right" wrapText="1"/>
    </xf>
    <xf numFmtId="0" fontId="9" fillId="3" borderId="3" xfId="5" applyFont="1" applyFill="1" applyBorder="1" applyAlignment="1">
      <alignment horizontal="left" wrapText="1"/>
    </xf>
    <xf numFmtId="0" fontId="5" fillId="3" borderId="0" xfId="5" applyFill="1" applyAlignment="1">
      <alignment horizontal="right" wrapText="1"/>
    </xf>
    <xf numFmtId="0" fontId="12" fillId="4" borderId="3" xfId="4" applyFont="1" applyFill="1" applyBorder="1" applyAlignment="1">
      <alignment horizontal="left" wrapText="1" indent="2"/>
    </xf>
    <xf numFmtId="37" fontId="12" fillId="4" borderId="3" xfId="4" applyNumberFormat="1" applyFont="1" applyFill="1" applyBorder="1" applyAlignment="1">
      <alignment horizontal="right" wrapText="1"/>
    </xf>
    <xf numFmtId="37" fontId="12" fillId="5" borderId="3" xfId="5" applyNumberFormat="1" applyFont="1" applyFill="1" applyBorder="1" applyAlignment="1">
      <alignment horizontal="right" wrapText="1"/>
    </xf>
    <xf numFmtId="0" fontId="12" fillId="5" borderId="3" xfId="5" applyFont="1" applyFill="1" applyBorder="1" applyAlignment="1">
      <alignment horizontal="left" wrapText="1" indent="2"/>
    </xf>
    <xf numFmtId="0" fontId="12" fillId="4" borderId="3" xfId="5" applyFont="1" applyFill="1" applyBorder="1" applyAlignment="1">
      <alignment horizontal="left" wrapText="1" indent="2"/>
    </xf>
    <xf numFmtId="37" fontId="12" fillId="4" borderId="3" xfId="5" applyNumberFormat="1" applyFont="1" applyFill="1" applyBorder="1" applyAlignment="1">
      <alignment horizontal="right" wrapText="1"/>
    </xf>
    <xf numFmtId="14" fontId="0" fillId="0" borderId="0" xfId="0" applyNumberFormat="1"/>
    <xf numFmtId="164" fontId="3" fillId="0" borderId="5" xfId="1" applyNumberFormat="1" applyFont="1" applyBorder="1"/>
    <xf numFmtId="0" fontId="3" fillId="0" borderId="1" xfId="0" applyFont="1" applyBorder="1" applyAlignment="1">
      <alignment horizontal="right"/>
    </xf>
    <xf numFmtId="164" fontId="0" fillId="4" borderId="0" xfId="1" applyNumberFormat="1" applyFont="1" applyFill="1"/>
    <xf numFmtId="164" fontId="0" fillId="0" borderId="0" xfId="1" applyNumberFormat="1" applyFont="1" applyFill="1"/>
    <xf numFmtId="0" fontId="12" fillId="0" borderId="3" xfId="4" applyFont="1" applyBorder="1" applyAlignment="1">
      <alignment horizontal="left" wrapText="1" indent="2"/>
    </xf>
    <xf numFmtId="37" fontId="12" fillId="0" borderId="3" xfId="4" applyNumberFormat="1" applyFont="1" applyBorder="1" applyAlignment="1">
      <alignment horizontal="right" wrapText="1"/>
    </xf>
    <xf numFmtId="0" fontId="12" fillId="0" borderId="3" xfId="4" applyFont="1" applyBorder="1" applyAlignment="1">
      <alignment horizontal="left" wrapText="1" indent="1"/>
    </xf>
    <xf numFmtId="37" fontId="0" fillId="0" borderId="0" xfId="0" applyNumberFormat="1"/>
    <xf numFmtId="0" fontId="0" fillId="0" borderId="1" xfId="0" applyBorder="1"/>
    <xf numFmtId="37" fontId="0" fillId="0" borderId="1" xfId="0" applyNumberFormat="1" applyBorder="1"/>
    <xf numFmtId="43" fontId="3" fillId="0" borderId="0" xfId="1" applyFont="1"/>
    <xf numFmtId="164" fontId="0" fillId="6" borderId="0" xfId="1" applyNumberFormat="1" applyFont="1" applyFill="1"/>
    <xf numFmtId="0" fontId="16" fillId="0" borderId="7" xfId="6" applyFont="1" applyBorder="1" applyAlignment="1">
      <alignment horizontal="center" wrapText="1"/>
    </xf>
    <xf numFmtId="0" fontId="16" fillId="0" borderId="8" xfId="6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6" fillId="0" borderId="9" xfId="6" applyFont="1" applyBorder="1" applyAlignment="1">
      <alignment horizontal="center" wrapText="1"/>
    </xf>
    <xf numFmtId="0" fontId="16" fillId="0" borderId="10" xfId="6" applyFont="1" applyBorder="1" applyAlignment="1">
      <alignment horizontal="center"/>
    </xf>
    <xf numFmtId="0" fontId="16" fillId="0" borderId="0" xfId="6" applyFont="1" applyAlignment="1">
      <alignment horizontal="center"/>
    </xf>
    <xf numFmtId="0" fontId="16" fillId="0" borderId="0" xfId="6" applyFont="1" applyAlignment="1">
      <alignment horizontal="center" wrapText="1"/>
    </xf>
    <xf numFmtId="0" fontId="16" fillId="0" borderId="11" xfId="7" applyFont="1" applyBorder="1" applyAlignment="1">
      <alignment horizontal="center" wrapText="1"/>
    </xf>
    <xf numFmtId="0" fontId="18" fillId="0" borderId="10" xfId="6" applyFont="1" applyBorder="1" applyAlignment="1">
      <alignment horizontal="left"/>
    </xf>
    <xf numFmtId="0" fontId="16" fillId="0" borderId="11" xfId="6" applyFont="1" applyBorder="1" applyAlignment="1">
      <alignment horizontal="center"/>
    </xf>
    <xf numFmtId="0" fontId="18" fillId="0" borderId="10" xfId="6" quotePrefix="1" applyFont="1" applyBorder="1" applyAlignment="1">
      <alignment horizontal="left"/>
    </xf>
    <xf numFmtId="41" fontId="18" fillId="7" borderId="0" xfId="6" applyNumberFormat="1" applyFont="1" applyFill="1"/>
    <xf numFmtId="41" fontId="18" fillId="7" borderId="11" xfId="6" applyNumberFormat="1" applyFont="1" applyFill="1" applyBorder="1"/>
    <xf numFmtId="0" fontId="18" fillId="0" borderId="10" xfId="6" applyFont="1" applyBorder="1"/>
    <xf numFmtId="0" fontId="18" fillId="0" borderId="12" xfId="6" applyFont="1" applyBorder="1" applyAlignment="1">
      <alignment horizontal="right"/>
    </xf>
    <xf numFmtId="164" fontId="18" fillId="0" borderId="13" xfId="8" applyNumberFormat="1" applyFont="1" applyBorder="1"/>
    <xf numFmtId="164" fontId="18" fillId="0" borderId="14" xfId="8" applyNumberFormat="1" applyFont="1" applyBorder="1"/>
    <xf numFmtId="37" fontId="4" fillId="3" borderId="3" xfId="4" applyNumberFormat="1" applyFill="1" applyBorder="1" applyAlignment="1">
      <alignment horizontal="center" wrapText="1"/>
    </xf>
    <xf numFmtId="0" fontId="12" fillId="0" borderId="3" xfId="5" applyFont="1" applyBorder="1" applyAlignment="1">
      <alignment horizontal="left" wrapText="1" indent="2"/>
    </xf>
    <xf numFmtId="37" fontId="12" fillId="0" borderId="3" xfId="5" applyNumberFormat="1" applyFont="1" applyBorder="1" applyAlignment="1">
      <alignment horizontal="right" wrapText="1"/>
    </xf>
    <xf numFmtId="0" fontId="12" fillId="0" borderId="3" xfId="5" applyFont="1" applyBorder="1" applyAlignment="1">
      <alignment horizontal="left" wrapText="1" indent="1"/>
    </xf>
    <xf numFmtId="37" fontId="13" fillId="0" borderId="3" xfId="5" applyNumberFormat="1" applyFont="1" applyBorder="1" applyAlignment="1">
      <alignment horizontal="right" wrapText="1"/>
    </xf>
    <xf numFmtId="0" fontId="12" fillId="0" borderId="3" xfId="5" applyFont="1" applyBorder="1" applyAlignment="1">
      <alignment horizontal="left" wrapText="1"/>
    </xf>
    <xf numFmtId="0" fontId="9" fillId="0" borderId="3" xfId="5" applyFont="1" applyBorder="1" applyAlignment="1">
      <alignment horizontal="right" wrapText="1"/>
    </xf>
    <xf numFmtId="37" fontId="11" fillId="0" borderId="3" xfId="5" applyNumberFormat="1" applyFont="1" applyBorder="1" applyAlignment="1">
      <alignment horizontal="right" wrapText="1"/>
    </xf>
    <xf numFmtId="0" fontId="5" fillId="0" borderId="3" xfId="5" applyBorder="1" applyAlignment="1">
      <alignment horizontal="right" wrapText="1"/>
    </xf>
    <xf numFmtId="0" fontId="5" fillId="0" borderId="3" xfId="5" applyBorder="1" applyAlignment="1">
      <alignment horizontal="center" wrapText="1"/>
    </xf>
    <xf numFmtId="0" fontId="11" fillId="0" borderId="3" xfId="5" applyFont="1" applyBorder="1" applyAlignment="1">
      <alignment horizontal="center" wrapText="1"/>
    </xf>
    <xf numFmtId="164" fontId="3" fillId="0" borderId="0" xfId="1" applyNumberFormat="1" applyFont="1" applyBorder="1"/>
    <xf numFmtId="3" fontId="0" fillId="0" borderId="0" xfId="0" applyNumberFormat="1"/>
    <xf numFmtId="0" fontId="18" fillId="0" borderId="0" xfId="6" applyFont="1"/>
    <xf numFmtId="164" fontId="0" fillId="0" borderId="1" xfId="1" applyNumberFormat="1" applyFont="1" applyBorder="1"/>
    <xf numFmtId="0" fontId="19" fillId="0" borderId="0" xfId="9" applyNumberFormat="1" applyFont="1" applyAlignment="1">
      <alignment horizontal="center"/>
    </xf>
    <xf numFmtId="165" fontId="18" fillId="0" borderId="0" xfId="9" applyFont="1"/>
    <xf numFmtId="0" fontId="16" fillId="0" borderId="0" xfId="10" applyNumberFormat="1" applyFont="1" applyAlignment="1" applyProtection="1">
      <alignment horizontal="center"/>
      <protection locked="0"/>
    </xf>
    <xf numFmtId="0" fontId="18" fillId="0" borderId="0" xfId="9" applyNumberFormat="1" applyFont="1" applyAlignment="1">
      <alignment horizontal="center"/>
    </xf>
    <xf numFmtId="165" fontId="18" fillId="0" borderId="0" xfId="9" applyFont="1" applyAlignment="1">
      <alignment horizontal="right"/>
    </xf>
    <xf numFmtId="49" fontId="16" fillId="0" borderId="0" xfId="11" applyNumberFormat="1" applyFont="1" applyAlignment="1">
      <alignment horizontal="center"/>
    </xf>
    <xf numFmtId="0" fontId="18" fillId="0" borderId="0" xfId="10" applyNumberFormat="1" applyFont="1" applyAlignment="1" applyProtection="1">
      <alignment horizontal="right"/>
      <protection locked="0"/>
    </xf>
    <xf numFmtId="0" fontId="16" fillId="0" borderId="0" xfId="6" applyFont="1" applyAlignment="1">
      <alignment horizontal="centerContinuous"/>
    </xf>
    <xf numFmtId="0" fontId="16" fillId="0" borderId="17" xfId="6" applyFont="1" applyBorder="1" applyAlignment="1">
      <alignment horizontal="center"/>
    </xf>
    <xf numFmtId="0" fontId="18" fillId="0" borderId="0" xfId="9" applyNumberFormat="1" applyFont="1" applyAlignment="1">
      <alignment horizontal="center" wrapText="1"/>
    </xf>
    <xf numFmtId="165" fontId="16" fillId="0" borderId="0" xfId="9" applyFont="1" applyAlignment="1">
      <alignment horizontal="center" wrapText="1"/>
    </xf>
    <xf numFmtId="165" fontId="18" fillId="0" borderId="0" xfId="9" applyFont="1" applyAlignment="1">
      <alignment wrapText="1"/>
    </xf>
    <xf numFmtId="0" fontId="16" fillId="0" borderId="0" xfId="7" applyFont="1" applyAlignment="1">
      <alignment horizontal="center" wrapText="1"/>
    </xf>
    <xf numFmtId="165" fontId="19" fillId="0" borderId="0" xfId="9" applyFont="1"/>
    <xf numFmtId="0" fontId="18" fillId="0" borderId="0" xfId="6" applyFont="1" applyAlignment="1">
      <alignment horizontal="left"/>
    </xf>
    <xf numFmtId="0" fontId="18" fillId="0" borderId="0" xfId="6" quotePrefix="1" applyFont="1" applyAlignment="1">
      <alignment horizontal="left"/>
    </xf>
    <xf numFmtId="0" fontId="18" fillId="0" borderId="0" xfId="6" applyFont="1" applyAlignment="1">
      <alignment horizontal="right"/>
    </xf>
    <xf numFmtId="164" fontId="18" fillId="0" borderId="18" xfId="8" applyNumberFormat="1" applyFont="1" applyBorder="1"/>
    <xf numFmtId="37" fontId="18" fillId="0" borderId="0" xfId="6" applyNumberFormat="1" applyFont="1"/>
    <xf numFmtId="165" fontId="18" fillId="0" borderId="0" xfId="12" applyFont="1"/>
    <xf numFmtId="0" fontId="16" fillId="0" borderId="17" xfId="6" applyFont="1" applyBorder="1"/>
    <xf numFmtId="0" fontId="16" fillId="0" borderId="16" xfId="6" applyFont="1" applyBorder="1"/>
    <xf numFmtId="0" fontId="20" fillId="0" borderId="0" xfId="6" applyFont="1" applyAlignment="1">
      <alignment horizontal="center" wrapText="1"/>
    </xf>
    <xf numFmtId="0" fontId="18" fillId="0" borderId="0" xfId="13" applyFont="1" applyAlignment="1">
      <alignment horizontal="center"/>
    </xf>
    <xf numFmtId="0" fontId="18" fillId="0" borderId="0" xfId="13" applyFont="1"/>
    <xf numFmtId="0" fontId="21" fillId="0" borderId="0" xfId="13" applyFont="1"/>
    <xf numFmtId="0" fontId="22" fillId="0" borderId="0" xfId="13" applyFont="1" applyAlignment="1">
      <alignment horizontal="center"/>
    </xf>
    <xf numFmtId="0" fontId="22" fillId="0" borderId="0" xfId="6" applyFont="1" applyAlignment="1">
      <alignment horizontal="center" wrapText="1"/>
    </xf>
    <xf numFmtId="165" fontId="22" fillId="0" borderId="0" xfId="9" applyFont="1"/>
    <xf numFmtId="0" fontId="20" fillId="0" borderId="0" xfId="6" applyFont="1" applyAlignment="1">
      <alignment horizontal="center"/>
    </xf>
    <xf numFmtId="0" fontId="22" fillId="0" borderId="0" xfId="7" applyFont="1" applyAlignment="1">
      <alignment horizontal="center" wrapText="1"/>
    </xf>
    <xf numFmtId="0" fontId="22" fillId="0" borderId="0" xfId="6" applyFont="1" applyAlignment="1">
      <alignment horizontal="left"/>
    </xf>
    <xf numFmtId="0" fontId="22" fillId="0" borderId="0" xfId="13" applyFont="1"/>
    <xf numFmtId="0" fontId="22" fillId="0" borderId="0" xfId="6" applyFont="1"/>
    <xf numFmtId="41" fontId="22" fillId="7" borderId="0" xfId="6" applyNumberFormat="1" applyFont="1" applyFill="1"/>
    <xf numFmtId="164" fontId="22" fillId="0" borderId="18" xfId="8" applyNumberFormat="1" applyFont="1" applyBorder="1"/>
    <xf numFmtId="49" fontId="16" fillId="0" borderId="0" xfId="6" applyNumberFormat="1" applyFont="1" applyAlignment="1">
      <alignment horizontal="center"/>
    </xf>
    <xf numFmtId="0" fontId="16" fillId="0" borderId="0" xfId="6" applyFont="1" applyAlignment="1">
      <alignment horizontal="centerContinuous" wrapText="1"/>
    </xf>
    <xf numFmtId="164" fontId="18" fillId="8" borderId="0" xfId="14" applyNumberFormat="1" applyFont="1" applyFill="1" applyAlignment="1"/>
    <xf numFmtId="41" fontId="18" fillId="9" borderId="0" xfId="6" applyNumberFormat="1" applyFont="1" applyFill="1"/>
    <xf numFmtId="43" fontId="18" fillId="0" borderId="18" xfId="8" applyFont="1" applyBorder="1"/>
    <xf numFmtId="164" fontId="18" fillId="8" borderId="18" xfId="14" applyNumberFormat="1" applyFont="1" applyFill="1" applyBorder="1" applyAlignment="1"/>
    <xf numFmtId="164" fontId="18" fillId="0" borderId="18" xfId="8" applyNumberFormat="1" applyFont="1" applyFill="1" applyBorder="1"/>
    <xf numFmtId="165" fontId="18" fillId="10" borderId="0" xfId="9" applyFont="1" applyFill="1"/>
    <xf numFmtId="165" fontId="18" fillId="0" borderId="0" xfId="9" applyFont="1" applyAlignment="1">
      <alignment horizontal="center"/>
    </xf>
    <xf numFmtId="44" fontId="18" fillId="0" borderId="0" xfId="9" applyNumberFormat="1" applyFont="1"/>
    <xf numFmtId="165" fontId="16" fillId="0" borderId="0" xfId="9" applyFont="1" applyAlignment="1">
      <alignment horizontal="center"/>
    </xf>
    <xf numFmtId="0" fontId="18" fillId="0" borderId="0" xfId="15" applyFont="1"/>
    <xf numFmtId="0" fontId="18" fillId="0" borderId="0" xfId="15" applyFont="1" applyAlignment="1">
      <alignment horizontal="center"/>
    </xf>
    <xf numFmtId="3" fontId="18" fillId="0" borderId="0" xfId="15" applyNumberFormat="1" applyFont="1" applyAlignment="1">
      <alignment horizontal="center" wrapText="1"/>
    </xf>
    <xf numFmtId="0" fontId="18" fillId="0" borderId="0" xfId="15" applyFont="1" applyAlignment="1">
      <alignment horizontal="center" wrapText="1"/>
    </xf>
    <xf numFmtId="0" fontId="18" fillId="11" borderId="0" xfId="15" applyFont="1" applyFill="1"/>
    <xf numFmtId="164" fontId="18" fillId="11" borderId="0" xfId="8" applyNumberFormat="1" applyFont="1" applyFill="1" applyBorder="1" applyAlignment="1">
      <alignment horizontal="center"/>
    </xf>
    <xf numFmtId="164" fontId="18" fillId="0" borderId="0" xfId="8" applyNumberFormat="1" applyFont="1" applyFill="1" applyBorder="1" applyAlignment="1">
      <alignment horizontal="center" wrapText="1"/>
    </xf>
    <xf numFmtId="164" fontId="18" fillId="11" borderId="0" xfId="8" applyNumberFormat="1" applyFont="1" applyFill="1" applyBorder="1"/>
    <xf numFmtId="165" fontId="19" fillId="11" borderId="0" xfId="9" applyFont="1" applyFill="1"/>
    <xf numFmtId="0" fontId="18" fillId="11" borderId="1" xfId="15" applyFont="1" applyFill="1" applyBorder="1"/>
    <xf numFmtId="164" fontId="18" fillId="11" borderId="1" xfId="8" applyNumberFormat="1" applyFont="1" applyFill="1" applyBorder="1"/>
    <xf numFmtId="164" fontId="18" fillId="11" borderId="1" xfId="8" applyNumberFormat="1" applyFont="1" applyFill="1" applyBorder="1" applyAlignment="1">
      <alignment horizontal="center"/>
    </xf>
    <xf numFmtId="165" fontId="19" fillId="11" borderId="1" xfId="9" applyFont="1" applyFill="1" applyBorder="1"/>
    <xf numFmtId="164" fontId="18" fillId="0" borderId="1" xfId="8" applyNumberFormat="1" applyFont="1" applyFill="1" applyBorder="1" applyAlignment="1">
      <alignment horizontal="center" wrapText="1"/>
    </xf>
    <xf numFmtId="164" fontId="18" fillId="0" borderId="0" xfId="8" applyNumberFormat="1" applyFont="1" applyFill="1" applyBorder="1"/>
    <xf numFmtId="164" fontId="18" fillId="0" borderId="0" xfId="8" applyNumberFormat="1" applyFont="1" applyFill="1" applyBorder="1" applyAlignment="1">
      <alignment horizontal="center"/>
    </xf>
    <xf numFmtId="165" fontId="17" fillId="0" borderId="0" xfId="9"/>
    <xf numFmtId="165" fontId="16" fillId="0" borderId="17" xfId="9" applyFont="1" applyBorder="1" applyAlignment="1">
      <alignment horizontal="center"/>
    </xf>
    <xf numFmtId="0" fontId="18" fillId="0" borderId="0" xfId="6" applyFont="1" applyAlignment="1">
      <alignment horizontal="center" wrapText="1"/>
    </xf>
    <xf numFmtId="0" fontId="18" fillId="0" borderId="0" xfId="6" applyFont="1" applyAlignment="1">
      <alignment horizontal="center"/>
    </xf>
    <xf numFmtId="41" fontId="18" fillId="0" borderId="0" xfId="6" applyNumberFormat="1" applyFont="1"/>
    <xf numFmtId="41" fontId="18" fillId="11" borderId="0" xfId="6" applyNumberFormat="1" applyFont="1" applyFill="1"/>
    <xf numFmtId="164" fontId="18" fillId="0" borderId="4" xfId="8" applyNumberFormat="1" applyFont="1" applyBorder="1"/>
    <xf numFmtId="164" fontId="18" fillId="0" borderId="0" xfId="8" applyNumberFormat="1" applyFont="1" applyBorder="1" applyAlignment="1">
      <alignment horizontal="right"/>
    </xf>
    <xf numFmtId="164" fontId="18" fillId="0" borderId="0" xfId="8" applyNumberFormat="1" applyFont="1" applyBorder="1"/>
    <xf numFmtId="166" fontId="18" fillId="0" borderId="0" xfId="8" applyNumberFormat="1" applyFont="1" applyBorder="1"/>
    <xf numFmtId="44" fontId="23" fillId="0" borderId="0" xfId="9" applyNumberFormat="1" applyFont="1"/>
    <xf numFmtId="0" fontId="3" fillId="0" borderId="1" xfId="15" applyFont="1" applyBorder="1"/>
    <xf numFmtId="17" fontId="3" fillId="0" borderId="1" xfId="15" applyNumberFormat="1" applyFont="1" applyBorder="1"/>
    <xf numFmtId="0" fontId="3" fillId="0" borderId="1" xfId="15" applyFont="1" applyBorder="1" applyAlignment="1">
      <alignment horizontal="right"/>
    </xf>
    <xf numFmtId="0" fontId="2" fillId="0" borderId="0" xfId="15"/>
    <xf numFmtId="0" fontId="3" fillId="0" borderId="4" xfId="15" applyFont="1" applyBorder="1"/>
    <xf numFmtId="0" fontId="3" fillId="0" borderId="5" xfId="15" applyFont="1" applyBorder="1"/>
    <xf numFmtId="164" fontId="3" fillId="0" borderId="0" xfId="1" applyNumberFormat="1" applyFont="1"/>
    <xf numFmtId="164" fontId="2" fillId="6" borderId="0" xfId="1" applyNumberFormat="1" applyFont="1" applyFill="1"/>
    <xf numFmtId="0" fontId="3" fillId="0" borderId="0" xfId="15" applyFont="1"/>
    <xf numFmtId="164" fontId="3" fillId="0" borderId="0" xfId="15" applyNumberFormat="1" applyFont="1"/>
    <xf numFmtId="0" fontId="2" fillId="0" borderId="5" xfId="15" applyBorder="1"/>
    <xf numFmtId="37" fontId="2" fillId="0" borderId="0" xfId="15" applyNumberFormat="1"/>
    <xf numFmtId="0" fontId="3" fillId="2" borderId="1" xfId="15" applyFont="1" applyFill="1" applyBorder="1"/>
    <xf numFmtId="14" fontId="2" fillId="0" borderId="0" xfId="15" applyNumberFormat="1" applyAlignment="1">
      <alignment horizontal="left"/>
    </xf>
    <xf numFmtId="0" fontId="2" fillId="0" borderId="1" xfId="15" applyBorder="1"/>
    <xf numFmtId="0" fontId="2" fillId="0" borderId="0" xfId="17"/>
    <xf numFmtId="164" fontId="2" fillId="0" borderId="0" xfId="1" applyNumberFormat="1" applyFont="1"/>
    <xf numFmtId="37" fontId="2" fillId="0" borderId="1" xfId="15" applyNumberFormat="1" applyBorder="1"/>
    <xf numFmtId="37" fontId="3" fillId="0" borderId="0" xfId="15" applyNumberFormat="1" applyFont="1"/>
    <xf numFmtId="164" fontId="2" fillId="0" borderId="0" xfId="1" applyNumberFormat="1"/>
    <xf numFmtId="43" fontId="2" fillId="0" borderId="0" xfId="1" applyFont="1"/>
    <xf numFmtId="0" fontId="25" fillId="0" borderId="0" xfId="15" applyFont="1"/>
    <xf numFmtId="37" fontId="5" fillId="0" borderId="0" xfId="5" applyNumberFormat="1"/>
    <xf numFmtId="0" fontId="0" fillId="0" borderId="0" xfId="0" applyAlignment="1">
      <alignment horizontal="right"/>
    </xf>
    <xf numFmtId="0" fontId="16" fillId="0" borderId="0" xfId="7" applyFont="1" applyAlignment="1">
      <alignment horizontal="center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right"/>
    </xf>
    <xf numFmtId="10" fontId="0" fillId="0" borderId="0" xfId="19" applyNumberFormat="1" applyFont="1"/>
    <xf numFmtId="0" fontId="3" fillId="4" borderId="0" xfId="0" applyFont="1" applyFill="1" applyAlignment="1">
      <alignment horizontal="right"/>
    </xf>
    <xf numFmtId="164" fontId="3" fillId="4" borderId="0" xfId="1" applyNumberFormat="1" applyFont="1" applyFill="1"/>
    <xf numFmtId="164" fontId="2" fillId="0" borderId="0" xfId="15" applyNumberFormat="1"/>
    <xf numFmtId="43" fontId="2" fillId="0" borderId="0" xfId="1"/>
    <xf numFmtId="164" fontId="18" fillId="0" borderId="0" xfId="1" applyNumberFormat="1" applyFont="1"/>
    <xf numFmtId="41" fontId="2" fillId="0" borderId="0" xfId="15" applyNumberFormat="1"/>
    <xf numFmtId="9" fontId="3" fillId="0" borderId="0" xfId="19" applyFont="1"/>
    <xf numFmtId="0" fontId="2" fillId="0" borderId="19" xfId="0" applyFont="1" applyBorder="1"/>
    <xf numFmtId="0" fontId="0" fillId="0" borderId="5" xfId="0" applyBorder="1"/>
    <xf numFmtId="0" fontId="0" fillId="0" borderId="20" xfId="0" applyBorder="1"/>
    <xf numFmtId="0" fontId="0" fillId="0" borderId="21" xfId="0" applyBorder="1"/>
    <xf numFmtId="164" fontId="0" fillId="12" borderId="1" xfId="0" applyNumberFormat="1" applyFill="1" applyBorder="1"/>
    <xf numFmtId="164" fontId="0" fillId="12" borderId="22" xfId="0" applyNumberFormat="1" applyFill="1" applyBorder="1"/>
    <xf numFmtId="0" fontId="26" fillId="0" borderId="19" xfId="0" applyFont="1" applyBorder="1"/>
    <xf numFmtId="0" fontId="27" fillId="0" borderId="5" xfId="0" applyFont="1" applyBorder="1"/>
    <xf numFmtId="164" fontId="0" fillId="0" borderId="1" xfId="0" applyNumberFormat="1" applyBorder="1"/>
    <xf numFmtId="0" fontId="28" fillId="0" borderId="0" xfId="0" applyFont="1"/>
    <xf numFmtId="43" fontId="2" fillId="0" borderId="0" xfId="15" applyNumberFormat="1"/>
    <xf numFmtId="0" fontId="29" fillId="0" borderId="0" xfId="20"/>
    <xf numFmtId="0" fontId="29" fillId="3" borderId="0" xfId="20" applyFill="1" applyAlignment="1">
      <alignment horizontal="center" wrapText="1"/>
    </xf>
    <xf numFmtId="0" fontId="33" fillId="3" borderId="2" xfId="20" applyFont="1" applyFill="1" applyBorder="1" applyAlignment="1">
      <alignment horizontal="right" wrapText="1"/>
    </xf>
    <xf numFmtId="0" fontId="33" fillId="3" borderId="6" xfId="20" applyFont="1" applyFill="1" applyBorder="1" applyAlignment="1">
      <alignment horizontal="right" wrapText="1"/>
    </xf>
    <xf numFmtId="0" fontId="29" fillId="3" borderId="3" xfId="20" applyFill="1" applyBorder="1" applyAlignment="1">
      <alignment horizontal="right" wrapText="1"/>
    </xf>
    <xf numFmtId="0" fontId="29" fillId="3" borderId="3" xfId="20" applyFill="1" applyBorder="1" applyAlignment="1">
      <alignment horizontal="center" wrapText="1"/>
    </xf>
    <xf numFmtId="0" fontId="29" fillId="3" borderId="3" xfId="20" applyFill="1" applyBorder="1" applyAlignment="1">
      <alignment horizontal="left" wrapText="1"/>
    </xf>
    <xf numFmtId="0" fontId="34" fillId="3" borderId="3" xfId="20" applyFont="1" applyFill="1" applyBorder="1" applyAlignment="1">
      <alignment horizontal="center" wrapText="1"/>
    </xf>
    <xf numFmtId="0" fontId="35" fillId="3" borderId="3" xfId="20" applyFont="1" applyFill="1" applyBorder="1" applyAlignment="1">
      <alignment horizontal="center" wrapText="1"/>
    </xf>
    <xf numFmtId="0" fontId="36" fillId="3" borderId="3" xfId="20" applyFont="1" applyFill="1" applyBorder="1" applyAlignment="1">
      <alignment horizontal="left" wrapText="1" indent="2"/>
    </xf>
    <xf numFmtId="37" fontId="36" fillId="3" borderId="3" xfId="20" applyNumberFormat="1" applyFont="1" applyFill="1" applyBorder="1" applyAlignment="1">
      <alignment horizontal="right" wrapText="1"/>
    </xf>
    <xf numFmtId="0" fontId="36" fillId="3" borderId="3" xfId="20" applyFont="1" applyFill="1" applyBorder="1" applyAlignment="1">
      <alignment horizontal="left" wrapText="1" indent="1"/>
    </xf>
    <xf numFmtId="0" fontId="36" fillId="3" borderId="3" xfId="20" applyFont="1" applyFill="1" applyBorder="1" applyAlignment="1">
      <alignment horizontal="left" wrapText="1"/>
    </xf>
    <xf numFmtId="37" fontId="37" fillId="3" borderId="3" xfId="20" applyNumberFormat="1" applyFont="1" applyFill="1" applyBorder="1" applyAlignment="1">
      <alignment horizontal="right" wrapText="1"/>
    </xf>
    <xf numFmtId="0" fontId="33" fillId="3" borderId="3" xfId="20" applyFont="1" applyFill="1" applyBorder="1" applyAlignment="1">
      <alignment horizontal="right" wrapText="1"/>
    </xf>
    <xf numFmtId="37" fontId="35" fillId="3" borderId="3" xfId="20" applyNumberFormat="1" applyFont="1" applyFill="1" applyBorder="1" applyAlignment="1">
      <alignment horizontal="right" wrapText="1"/>
    </xf>
    <xf numFmtId="37" fontId="38" fillId="3" borderId="3" xfId="20" applyNumberFormat="1" applyFont="1" applyFill="1" applyBorder="1" applyAlignment="1">
      <alignment horizontal="right" wrapText="1"/>
    </xf>
    <xf numFmtId="0" fontId="33" fillId="3" borderId="3" xfId="20" applyFont="1" applyFill="1" applyBorder="1" applyAlignment="1">
      <alignment horizontal="left" wrapText="1"/>
    </xf>
    <xf numFmtId="0" fontId="29" fillId="3" borderId="0" xfId="20" applyFill="1" applyAlignment="1">
      <alignment horizontal="right" wrapText="1"/>
    </xf>
    <xf numFmtId="37" fontId="36" fillId="4" borderId="3" xfId="20" applyNumberFormat="1" applyFont="1" applyFill="1" applyBorder="1" applyAlignment="1">
      <alignment horizontal="right" wrapText="1"/>
    </xf>
    <xf numFmtId="37" fontId="37" fillId="4" borderId="3" xfId="20" applyNumberFormat="1" applyFont="1" applyFill="1" applyBorder="1" applyAlignment="1">
      <alignment horizontal="right" wrapText="1"/>
    </xf>
    <xf numFmtId="41" fontId="0" fillId="0" borderId="0" xfId="0" applyNumberFormat="1"/>
    <xf numFmtId="164" fontId="0" fillId="0" borderId="0" xfId="1" applyNumberFormat="1" applyFont="1" applyBorder="1"/>
    <xf numFmtId="43" fontId="3" fillId="0" borderId="0" xfId="0" applyNumberFormat="1" applyFont="1"/>
    <xf numFmtId="3" fontId="0" fillId="0" borderId="1" xfId="0" applyNumberFormat="1" applyBorder="1"/>
    <xf numFmtId="0" fontId="2" fillId="0" borderId="0" xfId="0" applyFont="1"/>
    <xf numFmtId="0" fontId="2" fillId="0" borderId="1" xfId="0" applyFont="1" applyBorder="1" applyAlignment="1">
      <alignment horizontal="right"/>
    </xf>
    <xf numFmtId="43" fontId="0" fillId="0" borderId="0" xfId="0" applyNumberFormat="1"/>
    <xf numFmtId="0" fontId="0" fillId="5" borderId="0" xfId="0" applyFill="1" applyAlignment="1">
      <alignment horizontal="left"/>
    </xf>
    <xf numFmtId="164" fontId="0" fillId="5" borderId="0" xfId="1" applyNumberFormat="1" applyFont="1" applyFill="1"/>
    <xf numFmtId="167" fontId="0" fillId="0" borderId="0" xfId="0" applyNumberFormat="1"/>
    <xf numFmtId="164" fontId="18" fillId="0" borderId="0" xfId="1" applyNumberFormat="1" applyFont="1" applyBorder="1"/>
    <xf numFmtId="164" fontId="18" fillId="13" borderId="1" xfId="1" applyNumberFormat="1" applyFont="1" applyFill="1" applyBorder="1"/>
    <xf numFmtId="164" fontId="18" fillId="13" borderId="0" xfId="1" applyNumberFormat="1" applyFont="1" applyFill="1" applyBorder="1"/>
    <xf numFmtId="164" fontId="18" fillId="13" borderId="23" xfId="1" applyNumberFormat="1" applyFont="1" applyFill="1" applyBorder="1"/>
    <xf numFmtId="164" fontId="18" fillId="13" borderId="24" xfId="1" applyNumberFormat="1" applyFont="1" applyFill="1" applyBorder="1"/>
    <xf numFmtId="0" fontId="18" fillId="13" borderId="10" xfId="6" applyFont="1" applyFill="1" applyBorder="1"/>
    <xf numFmtId="164" fontId="18" fillId="13" borderId="11" xfId="1" applyNumberFormat="1" applyFont="1" applyFill="1" applyBorder="1"/>
    <xf numFmtId="164" fontId="18" fillId="13" borderId="25" xfId="1" applyNumberFormat="1" applyFont="1" applyFill="1" applyBorder="1"/>
    <xf numFmtId="0" fontId="16" fillId="13" borderId="12" xfId="6" applyFont="1" applyFill="1" applyBorder="1"/>
    <xf numFmtId="164" fontId="16" fillId="13" borderId="26" xfId="1" applyNumberFormat="1" applyFont="1" applyFill="1" applyBorder="1"/>
    <xf numFmtId="164" fontId="16" fillId="13" borderId="27" xfId="1" applyNumberFormat="1" applyFont="1" applyFill="1" applyBorder="1"/>
    <xf numFmtId="165" fontId="18" fillId="13" borderId="28" xfId="9" applyFont="1" applyFill="1" applyBorder="1"/>
    <xf numFmtId="0" fontId="16" fillId="13" borderId="29" xfId="6" applyFont="1" applyFill="1" applyBorder="1"/>
    <xf numFmtId="0" fontId="0" fillId="5" borderId="0" xfId="0" applyFill="1"/>
    <xf numFmtId="37" fontId="3" fillId="5" borderId="0" xfId="15" applyNumberFormat="1" applyFont="1" applyFill="1"/>
    <xf numFmtId="164" fontId="3" fillId="5" borderId="0" xfId="1" applyNumberFormat="1" applyFont="1" applyFill="1"/>
    <xf numFmtId="164" fontId="0" fillId="12" borderId="0" xfId="0" applyNumberFormat="1" applyFill="1"/>
    <xf numFmtId="168" fontId="0" fillId="0" borderId="0" xfId="19" applyNumberFormat="1" applyFont="1" applyBorder="1"/>
    <xf numFmtId="168" fontId="0" fillId="0" borderId="0" xfId="19" applyNumberFormat="1" applyFont="1"/>
    <xf numFmtId="164" fontId="18" fillId="0" borderId="0" xfId="1" applyNumberFormat="1" applyFont="1" applyFill="1"/>
    <xf numFmtId="17" fontId="3" fillId="0" borderId="23" xfId="0" applyNumberFormat="1" applyFont="1" applyBorder="1"/>
    <xf numFmtId="17" fontId="3" fillId="0" borderId="24" xfId="0" applyNumberFormat="1" applyFont="1" applyBorder="1"/>
    <xf numFmtId="0" fontId="18" fillId="0" borderId="28" xfId="6" applyFont="1" applyBorder="1"/>
    <xf numFmtId="3" fontId="0" fillId="0" borderId="25" xfId="0" applyNumberFormat="1" applyBorder="1"/>
    <xf numFmtId="3" fontId="28" fillId="0" borderId="10" xfId="0" applyNumberFormat="1" applyFont="1" applyBorder="1"/>
    <xf numFmtId="164" fontId="0" fillId="0" borderId="11" xfId="1" applyNumberFormat="1" applyFont="1" applyBorder="1"/>
    <xf numFmtId="164" fontId="0" fillId="0" borderId="25" xfId="1" applyNumberFormat="1" applyFont="1" applyBorder="1"/>
    <xf numFmtId="3" fontId="2" fillId="0" borderId="10" xfId="0" applyNumberFormat="1" applyFont="1" applyBorder="1"/>
    <xf numFmtId="3" fontId="0" fillId="0" borderId="11" xfId="0" applyNumberFormat="1" applyBorder="1"/>
    <xf numFmtId="3" fontId="3" fillId="0" borderId="12" xfId="0" applyNumberFormat="1" applyFont="1" applyBorder="1"/>
    <xf numFmtId="43" fontId="0" fillId="0" borderId="26" xfId="1" applyFont="1" applyBorder="1"/>
    <xf numFmtId="43" fontId="0" fillId="0" borderId="27" xfId="1" applyFont="1" applyBorder="1"/>
    <xf numFmtId="0" fontId="3" fillId="0" borderId="29" xfId="0" applyFont="1" applyBorder="1"/>
    <xf numFmtId="165" fontId="16" fillId="0" borderId="29" xfId="9" applyFont="1" applyBorder="1"/>
    <xf numFmtId="3" fontId="28" fillId="0" borderId="28" xfId="0" applyNumberFormat="1" applyFont="1" applyBorder="1"/>
    <xf numFmtId="3" fontId="2" fillId="0" borderId="28" xfId="0" applyNumberFormat="1" applyFont="1" applyBorder="1"/>
    <xf numFmtId="0" fontId="0" fillId="0" borderId="7" xfId="0" applyBorder="1" applyAlignment="1">
      <alignment horizontal="right"/>
    </xf>
    <xf numFmtId="164" fontId="0" fillId="0" borderId="23" xfId="1" applyNumberFormat="1" applyFont="1" applyBorder="1"/>
    <xf numFmtId="0" fontId="0" fillId="0" borderId="8" xfId="0" applyBorder="1"/>
    <xf numFmtId="164" fontId="0" fillId="0" borderId="24" xfId="1" applyNumberFormat="1" applyFont="1" applyBorder="1"/>
    <xf numFmtId="0" fontId="0" fillId="0" borderId="26" xfId="0" applyBorder="1"/>
    <xf numFmtId="0" fontId="3" fillId="0" borderId="12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164" fontId="3" fillId="0" borderId="26" xfId="0" applyNumberFormat="1" applyFont="1" applyBorder="1"/>
    <xf numFmtId="164" fontId="3" fillId="0" borderId="27" xfId="1" applyNumberFormat="1" applyFont="1" applyBorder="1"/>
    <xf numFmtId="0" fontId="0" fillId="0" borderId="7" xfId="0" applyBorder="1"/>
    <xf numFmtId="0" fontId="3" fillId="0" borderId="8" xfId="0" applyFont="1" applyBorder="1" applyAlignment="1">
      <alignment horizontal="right"/>
    </xf>
    <xf numFmtId="164" fontId="3" fillId="0" borderId="8" xfId="1" applyNumberFormat="1" applyFont="1" applyBorder="1"/>
    <xf numFmtId="164" fontId="3" fillId="0" borderId="9" xfId="1" applyNumberFormat="1" applyFont="1" applyBorder="1"/>
    <xf numFmtId="0" fontId="0" fillId="0" borderId="10" xfId="0" applyBorder="1"/>
    <xf numFmtId="164" fontId="0" fillId="0" borderId="0" xfId="1" applyNumberFormat="1" applyFont="1" applyFill="1" applyBorder="1"/>
    <xf numFmtId="164" fontId="0" fillId="0" borderId="11" xfId="1" applyNumberFormat="1" applyFont="1" applyFill="1" applyBorder="1"/>
    <xf numFmtId="0" fontId="0" fillId="0" borderId="12" xfId="0" applyBorder="1"/>
    <xf numFmtId="164" fontId="3" fillId="0" borderId="27" xfId="0" applyNumberFormat="1" applyFont="1" applyBorder="1"/>
    <xf numFmtId="0" fontId="0" fillId="0" borderId="28" xfId="0" applyBorder="1"/>
    <xf numFmtId="0" fontId="3" fillId="0" borderId="0" xfId="0" applyFont="1" applyAlignment="1">
      <alignment horizontal="right"/>
    </xf>
    <xf numFmtId="164" fontId="3" fillId="0" borderId="11" xfId="1" applyNumberFormat="1" applyFont="1" applyBorder="1"/>
    <xf numFmtId="164" fontId="3" fillId="0" borderId="26" xfId="1" applyNumberFormat="1" applyFont="1" applyBorder="1"/>
    <xf numFmtId="43" fontId="3" fillId="0" borderId="26" xfId="1" applyFont="1" applyBorder="1"/>
    <xf numFmtId="43" fontId="3" fillId="0" borderId="27" xfId="1" applyFont="1" applyBorder="1"/>
    <xf numFmtId="0" fontId="16" fillId="14" borderId="31" xfId="7" applyFont="1" applyFill="1" applyBorder="1" applyAlignment="1">
      <alignment horizontal="center" wrapText="1"/>
    </xf>
    <xf numFmtId="41" fontId="18" fillId="14" borderId="7" xfId="6" applyNumberFormat="1" applyFont="1" applyFill="1" applyBorder="1"/>
    <xf numFmtId="41" fontId="18" fillId="14" borderId="10" xfId="6" applyNumberFormat="1" applyFont="1" applyFill="1" applyBorder="1"/>
    <xf numFmtId="41" fontId="18" fillId="14" borderId="12" xfId="6" applyNumberFormat="1" applyFont="1" applyFill="1" applyBorder="1"/>
    <xf numFmtId="0" fontId="16" fillId="14" borderId="30" xfId="7" applyFont="1" applyFill="1" applyBorder="1" applyAlignment="1">
      <alignment horizontal="center" wrapText="1"/>
    </xf>
    <xf numFmtId="41" fontId="18" fillId="14" borderId="33" xfId="6" applyNumberFormat="1" applyFont="1" applyFill="1" applyBorder="1"/>
    <xf numFmtId="41" fontId="18" fillId="14" borderId="34" xfId="6" applyNumberFormat="1" applyFont="1" applyFill="1" applyBorder="1"/>
    <xf numFmtId="41" fontId="18" fillId="14" borderId="35" xfId="6" applyNumberFormat="1" applyFont="1" applyFill="1" applyBorder="1"/>
    <xf numFmtId="0" fontId="16" fillId="0" borderId="15" xfId="6" applyFont="1" applyBorder="1" applyAlignment="1">
      <alignment horizontal="center"/>
    </xf>
    <xf numFmtId="0" fontId="16" fillId="0" borderId="4" xfId="6" applyFont="1" applyBorder="1" applyAlignment="1">
      <alignment horizontal="center"/>
    </xf>
    <xf numFmtId="0" fontId="16" fillId="0" borderId="16" xfId="6" applyFont="1" applyBorder="1" applyAlignment="1">
      <alignment horizontal="center"/>
    </xf>
    <xf numFmtId="165" fontId="16" fillId="0" borderId="15" xfId="9" applyFont="1" applyBorder="1" applyAlignment="1">
      <alignment horizontal="center"/>
    </xf>
    <xf numFmtId="165" fontId="16" fillId="0" borderId="4" xfId="9" applyFont="1" applyBorder="1" applyAlignment="1">
      <alignment horizontal="center"/>
    </xf>
    <xf numFmtId="165" fontId="16" fillId="0" borderId="16" xfId="9" applyFont="1" applyBorder="1" applyAlignment="1">
      <alignment horizontal="center"/>
    </xf>
    <xf numFmtId="17" fontId="16" fillId="0" borderId="31" xfId="9" applyNumberFormat="1" applyFont="1" applyBorder="1" applyAlignment="1">
      <alignment horizontal="center"/>
    </xf>
    <xf numFmtId="0" fontId="16" fillId="0" borderId="36" xfId="9" applyNumberFormat="1" applyFont="1" applyBorder="1" applyAlignment="1">
      <alignment horizontal="center"/>
    </xf>
    <xf numFmtId="0" fontId="16" fillId="0" borderId="32" xfId="9" applyNumberFormat="1" applyFont="1" applyBorder="1" applyAlignment="1">
      <alignment horizontal="center"/>
    </xf>
    <xf numFmtId="0" fontId="14" fillId="3" borderId="0" xfId="4" applyFont="1" applyFill="1" applyAlignment="1">
      <alignment horizontal="left"/>
    </xf>
    <xf numFmtId="0" fontId="6" fillId="3" borderId="0" xfId="2" applyFont="1" applyFill="1" applyAlignment="1">
      <alignment horizontal="left"/>
    </xf>
    <xf numFmtId="0" fontId="7" fillId="3" borderId="0" xfId="2" applyFont="1" applyFill="1" applyAlignment="1">
      <alignment horizontal="left"/>
    </xf>
    <xf numFmtId="0" fontId="8" fillId="3" borderId="0" xfId="2" applyFont="1" applyFill="1" applyAlignment="1">
      <alignment horizontal="left"/>
    </xf>
    <xf numFmtId="0" fontId="14" fillId="3" borderId="0" xfId="5" applyFont="1" applyFill="1" applyAlignment="1">
      <alignment horizontal="left"/>
    </xf>
    <xf numFmtId="0" fontId="6" fillId="3" borderId="0" xfId="5" applyFont="1" applyFill="1" applyAlignment="1">
      <alignment horizontal="left"/>
    </xf>
    <xf numFmtId="0" fontId="7" fillId="3" borderId="0" xfId="5" applyFont="1" applyFill="1" applyAlignment="1">
      <alignment horizontal="left"/>
    </xf>
    <xf numFmtId="0" fontId="8" fillId="3" borderId="0" xfId="5" applyFont="1" applyFill="1" applyAlignment="1">
      <alignment horizontal="left"/>
    </xf>
    <xf numFmtId="0" fontId="39" fillId="3" borderId="0" xfId="20" applyFont="1" applyFill="1" applyAlignment="1">
      <alignment horizontal="left"/>
    </xf>
    <xf numFmtId="0" fontId="30" fillId="3" borderId="0" xfId="20" applyFont="1" applyFill="1" applyAlignment="1">
      <alignment horizontal="left"/>
    </xf>
    <xf numFmtId="0" fontId="31" fillId="3" borderId="0" xfId="20" applyFont="1" applyFill="1" applyAlignment="1">
      <alignment horizontal="left"/>
    </xf>
    <xf numFmtId="0" fontId="32" fillId="3" borderId="0" xfId="20" applyFont="1" applyFill="1" applyAlignment="1">
      <alignment horizontal="left"/>
    </xf>
  </cellXfs>
  <cellStyles count="21">
    <cellStyle name="Comma" xfId="1" builtinId="3"/>
    <cellStyle name="Comma 10" xfId="8" xr:uid="{F7D5A0A3-3DCF-4530-B249-D616C03D83F7}"/>
    <cellStyle name="Comma 2" xfId="14" xr:uid="{39D0646E-AD79-46B5-AF72-B9C881087C07}"/>
    <cellStyle name="Comma 2 2" xfId="18" xr:uid="{563BA401-2439-48EB-876A-7B2321F98B2B}"/>
    <cellStyle name="Normal" xfId="0" builtinId="0"/>
    <cellStyle name="Normal 12" xfId="3" xr:uid="{A8343EF9-F6AA-40BC-A985-C676BF4C9E9F}"/>
    <cellStyle name="Normal 2" xfId="2" xr:uid="{06D39D42-B354-4849-B7FE-0D83320EC6C7}"/>
    <cellStyle name="Normal 2 2" xfId="5" xr:uid="{D64B4580-8AA2-427A-B92A-B700A2ABEE31}"/>
    <cellStyle name="Normal 2 3" xfId="17" xr:uid="{9B44D55C-6D33-4739-82A1-9F42E6A793CC}"/>
    <cellStyle name="Normal 3" xfId="4" xr:uid="{A35B1E3C-A013-43A2-B6D8-75AF7CCBD172}"/>
    <cellStyle name="Normal 3 2" xfId="13" xr:uid="{C035C5D6-DF93-4FE9-B224-ACC3234B7CED}"/>
    <cellStyle name="Normal 3 2 4" xfId="15" xr:uid="{17C13C5E-D5C1-4BAB-9F10-E5C8B2FA144C}"/>
    <cellStyle name="Normal 3_Attach O, GG, Support -New Method 2-14-11" xfId="16" xr:uid="{D03A1015-648F-4B46-9020-9561BD569D60}"/>
    <cellStyle name="Normal 4" xfId="9" xr:uid="{A7BF0ABE-D4E0-4032-A282-9ADE5C5CD45A}"/>
    <cellStyle name="Normal 5" xfId="20" xr:uid="{1BB955AE-0C16-4B64-829B-7F059B130910}"/>
    <cellStyle name="Normal 7 7" xfId="10" xr:uid="{6CD94214-10F7-4981-80AB-93F02E1C6307}"/>
    <cellStyle name="Normal_21 Exh B" xfId="7" xr:uid="{43593418-D73D-43A0-BE2A-3B8BDFDECDE2}"/>
    <cellStyle name="Normal_ATC Projected 2008 Monthly Plant Balances for Attachment O 2 (2)" xfId="12" xr:uid="{EFCDF6B2-6991-4F74-BE3B-BDD2D4621D7D}"/>
    <cellStyle name="Normal_Attachment Os for 2002 True-up" xfId="11" xr:uid="{D694C1DE-4A27-42D2-8556-EFF4EE1A8A55}"/>
    <cellStyle name="Normal_Schedule O Info for Mike" xfId="6" xr:uid="{ACAE298A-C858-4538-83B6-65FAC2E2B9D3}"/>
    <cellStyle name="Percent" xfId="19" builtinId="5"/>
  </cellStyles>
  <dxfs count="10"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pivotCacheDefinition" Target="pivotCache/pivotCacheDefinition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1137286</xdr:colOff>
      <xdr:row>0</xdr:row>
      <xdr:rowOff>0</xdr:rowOff>
    </xdr:from>
    <xdr:to>
      <xdr:col>19</xdr:col>
      <xdr:colOff>759619</xdr:colOff>
      <xdr:row>27</xdr:row>
      <xdr:rowOff>132324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EB6E6A-F549-AC3C-2C8F-E20E79896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9974" y="0"/>
          <a:ext cx="11673363" cy="45195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SIMPSON\AppData\Local\Microsoft\Windows\Temporary%20Internet%20Files\Content.Outlook\8RHS3ING\Projects\BHCRates\PSCModels\2005.04.14\Clean\CAS%20Electric%20f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BHCRates\PSCModels\2005.04.14\Clean\CAS%20Electric%20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HP\2005\Rate%20Case\BHP%20Cost%20of%20Service%20Model%20(Excel)%203.07.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\Black%20Hills%20Power,%20Inc\Rate%20Case\2012-%20BHP%20-%20SD\Master%20Rate%20Filing%20Statement-July%2008%20-%20June%2009-%2052%25-%20AS%20FIL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SIMPSON\AppData\Local\Microsoft\Windows\Temporary%20Internet%20Files\Content.Outlook\8RHS3ING\Documents%20and%20Settings\ckilpatr\My%20Documents\Rate%20Class%20Info\COS%20Exercise%206%20with%20answer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\Archive\Cheyenne%20Light,%20Fuel%20&amp;%20Power\Rate%20Case\2015%20Rate%20Case%20-%20never%20filed\Revenue%20Requirement%20Model\CLFP%20Electric%20Revenue%20Requirement%2003.24.15%20-%20Public%20final%20model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2\True%20Up\BHCOE-206%20Populated%20Template%20(2022%20True%20Up).xlsx" TargetMode="External"/><Relationship Id="rId1" Type="http://schemas.openxmlformats.org/officeDocument/2006/relationships/externalLinkPath" Target="file:///N:\BHSC\BHC\Rates\BHE%20COE\FERC\Transmission%20Formula%20Rate\COE%20Trans%20Form%20Rates%202022\True%20Up\BHCOE-206%20Populated%20Template%20(2022%20True%20Up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oc. Factors"/>
      <sheetName val="C.A. Model"/>
      <sheetName val="Services Study (inputs)"/>
      <sheetName val="Meters Study (inputs)"/>
      <sheetName val="Cust. Acct. Study (inputs)"/>
      <sheetName val="Func. Plt. RRF - With Earnings"/>
      <sheetName val="Expenses RRF - With Earnings"/>
      <sheetName val="Rev. Cred. RRF - With Earnings"/>
      <sheetName val="Rate Design-Non Lighting"/>
      <sheetName val="2 Rate Design-Lights-Summary"/>
      <sheetName val="3 Rate Design-Lights-Components"/>
      <sheetName val="4 Lights-Investments"/>
      <sheetName val="5 Lights-Cap &amp; Maint."/>
      <sheetName val="6 Lights-Facility"/>
      <sheetName val="7 Lights-Proforma Rev (inputs)"/>
      <sheetName val="8 Lights-Proposed Rev (inputs)"/>
      <sheetName val="9 Lights-Proposed Incr"/>
      <sheetName val="Rate Compare"/>
      <sheetName val="Index"/>
      <sheetName val="Rate Class (inputs)"/>
      <sheetName val="Total Co. (inputs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oc. Factors"/>
      <sheetName val="C.A. Model"/>
      <sheetName val="Services Study (inputs)"/>
      <sheetName val="Meters Study (inputs)"/>
      <sheetName val="Cust. Acct. Study (inputs)"/>
      <sheetName val="Func. Plt. RRF - With Earnings"/>
      <sheetName val="Expenses RRF - With Earnings"/>
      <sheetName val="Rev. Cred. RRF - With Earnings"/>
      <sheetName val="Rate Design-Non Lighting"/>
      <sheetName val="2 Rate Design-Lights-Summary"/>
      <sheetName val="3 Rate Design-Lights-Components"/>
      <sheetName val="4 Lights-Investments"/>
      <sheetName val="5 Lights-Cap &amp; Maint."/>
      <sheetName val="6 Lights-Facility"/>
      <sheetName val="7 Lights-Proforma Rev (inputs)"/>
      <sheetName val="8 Lights-Proposed Rev (inputs)"/>
      <sheetName val="9 Lights-Proposed Incr"/>
      <sheetName val="Rate Compare"/>
      <sheetName val="Index"/>
      <sheetName val="Rate Class (inputs)"/>
      <sheetName val="Total Co. (inputs)"/>
      <sheetName val="M-1 (Other RB)"/>
      <sheetName val="Driver"/>
      <sheetName val="List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 Summary"/>
      <sheetName val="Customer Impact"/>
      <sheetName val="MEAN"/>
      <sheetName val="Marketing"/>
      <sheetName val="Allocation Summary"/>
      <sheetName val="1"/>
      <sheetName val="2"/>
      <sheetName val="Adjusted Exp &amp; Rate Base"/>
      <sheetName val="Known Measurable"/>
      <sheetName val="Statement P"/>
      <sheetName val="Property Avg"/>
      <sheetName val="accdep"/>
      <sheetName val="Other Rate Base Reductions"/>
      <sheetName val="Debt Costs"/>
      <sheetName val="Balanc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Header"/>
      <sheetName val="Check Figures"/>
      <sheetName val="Stmt A pg1"/>
      <sheetName val="Stmt A pg2"/>
      <sheetName val="Stmt B"/>
      <sheetName val="Stmt C"/>
      <sheetName val="Stmt D pg1"/>
      <sheetName val="Stmt D pg2"/>
      <sheetName val="Sched D-1"/>
      <sheetName val="Sched D-2"/>
      <sheetName val="Sched D-3"/>
      <sheetName val="Sched D-4 2001"/>
      <sheetName val="Sched D-4 2002"/>
      <sheetName val="Sched D-4 2003"/>
      <sheetName val="Sched D-4 2004"/>
      <sheetName val="Sched D-4 2005"/>
      <sheetName val="Sched D-4 2006"/>
      <sheetName val="Sched D-4 2007"/>
      <sheetName val="Sched D-4 2008"/>
      <sheetName val="Sched D-5"/>
      <sheetName val="Sched D-6"/>
      <sheetName val="Sched D-7"/>
      <sheetName val="Sched D-8"/>
      <sheetName val="Sched D-9"/>
      <sheetName val="Sched D-10"/>
      <sheetName val="Sched D-11"/>
      <sheetName val="Stmt E"/>
      <sheetName val="Sched E-1"/>
      <sheetName val="Sched E-2"/>
      <sheetName val="Sched E-3"/>
      <sheetName val="Stmt F"/>
      <sheetName val="Sched F-1"/>
      <sheetName val="Sched F-2"/>
      <sheetName val="Sched F-3 pg1"/>
      <sheetName val="Sched F-3 pg2"/>
      <sheetName val="Sched F-4"/>
      <sheetName val="Stmt G pg1"/>
      <sheetName val="Stmt G pg2"/>
      <sheetName val="Stmt G pg3"/>
      <sheetName val="Stmt G pg4"/>
      <sheetName val="Stmt G pg5"/>
      <sheetName val="Sched G-1"/>
      <sheetName val="Sched G-2"/>
      <sheetName val="Sched G-3"/>
      <sheetName val="Sched G-4"/>
      <sheetName val="Stmt H"/>
      <sheetName val="Sched H-1"/>
      <sheetName val="Sched H-2"/>
      <sheetName val="Sched H-3 pg1"/>
      <sheetName val="Sched H-3 pg2"/>
      <sheetName val="Sched H-4"/>
      <sheetName val="Sched H-5"/>
      <sheetName val="Sched H-6"/>
      <sheetName val="Sched H-7"/>
      <sheetName val="Sched H-8"/>
      <sheetName val="Sched H-9"/>
      <sheetName val="Sched H-10"/>
      <sheetName val="Sched H-11"/>
      <sheetName val="Sched H-12"/>
      <sheetName val="Sched H-13"/>
      <sheetName val="Sched H-14"/>
      <sheetName val="Sched H-15"/>
      <sheetName val="Stmt I pg1"/>
      <sheetName val="Stmt I pg2"/>
      <sheetName val="Stmt I pg3"/>
      <sheetName val="Sched I-1 pg1"/>
      <sheetName val="Sched I-1 pg2"/>
      <sheetName val="Sched I-1 pg3"/>
      <sheetName val="Sched I-1 pg4"/>
      <sheetName val="Sched I-1 pg5"/>
      <sheetName val="Sched I-1 pg6"/>
      <sheetName val="Sched I-1 pg7"/>
      <sheetName val="Sched I-1 pg8"/>
      <sheetName val="Sched I-1 pg9"/>
      <sheetName val="Sched I-1 pg10"/>
      <sheetName val="Sched I-1 pg11"/>
      <sheetName val="Stmt J"/>
      <sheetName val="Sched J-1"/>
      <sheetName val="Stmt K pg1,2"/>
      <sheetName val="Stmt K pg3"/>
      <sheetName val="Stmt K pg4"/>
      <sheetName val="Sched K-1"/>
      <sheetName val="Sched K-1-Confidential"/>
      <sheetName val="Sched K-2"/>
      <sheetName val="Sched K-3"/>
      <sheetName val="Sched K-3 Confidential"/>
      <sheetName val="Sched K-4"/>
      <sheetName val="Sched K-5"/>
      <sheetName val="Stmt L"/>
      <sheetName val="Sched L-1"/>
      <sheetName val="Stmt M"/>
      <sheetName val="Sched M-1"/>
      <sheetName val="Sched M-2"/>
      <sheetName val="Stmt N"/>
      <sheetName val="Sched N-1"/>
      <sheetName val="Stmt O"/>
      <sheetName val="Sched O-1"/>
      <sheetName val="Stmt P pg1"/>
      <sheetName val="Stmt P pg2"/>
      <sheetName val="Stmt P pg3"/>
      <sheetName val="Stmt Q"/>
      <sheetName val="Stmt R pg1"/>
      <sheetName val="Stmt R pg2"/>
      <sheetName val="Stmt R pg3"/>
      <sheetName val="Stmt R pg4"/>
      <sheetName val="Stmt R pg5"/>
      <sheetName val="Stmt R pg6"/>
      <sheetName val="WP-1"/>
      <sheetName val="WP-2"/>
      <sheetName val="WP-3 2005"/>
      <sheetName val="WP-3"/>
      <sheetName val="WP-4"/>
      <sheetName val="Section 3 pg 1"/>
    </sheetNames>
    <sheetDataSet>
      <sheetData sheetId="0"/>
      <sheetData sheetId="1">
        <row r="2">
          <cell r="B2" t="str">
            <v>BLACK HILLS POWER, INC.</v>
          </cell>
        </row>
      </sheetData>
      <sheetData sheetId="2"/>
      <sheetData sheetId="3"/>
      <sheetData sheetId="4">
        <row r="10">
          <cell r="J10">
            <v>23416396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tional Unbundling"/>
      <sheetName val="Prod"/>
      <sheetName val="Trans"/>
      <sheetName val="Dist"/>
      <sheetName val="Cust"/>
      <sheetName val="COS"/>
      <sheetName val="WACC &amp; IT"/>
      <sheetName val="Exercise No.1"/>
      <sheetName val="Exercise No. 2"/>
      <sheetName val="Exercise No. 3"/>
      <sheetName val="Exercise No. 4"/>
      <sheetName val="Exercise No. 5"/>
      <sheetName val="Exercise No. 6"/>
      <sheetName val="Prod AFs"/>
      <sheetName val="Trans AFs"/>
      <sheetName val="Cust AFs"/>
      <sheetName val="EX3_Dist AFs"/>
    </sheetNames>
    <sheetDataSet>
      <sheetData sheetId="0"/>
      <sheetData sheetId="1"/>
      <sheetData sheetId="2"/>
      <sheetData sheetId="3"/>
      <sheetData sheetId="4"/>
      <sheetData sheetId="5"/>
      <sheetData sheetId="6">
        <row r="21">
          <cell r="I21">
            <v>3.5499999999999997E-2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mt N"/>
      <sheetName val="Stmt O"/>
      <sheetName val="Stmt Q"/>
      <sheetName val="Header"/>
      <sheetName val="Stmt A pg1"/>
      <sheetName val="Stmt A pg2"/>
      <sheetName val="Stmt A pg3"/>
      <sheetName val="Sched A-1"/>
      <sheetName val="Stmt B pg1"/>
      <sheetName val="Stmt B pg2"/>
      <sheetName val="Sched B-1"/>
      <sheetName val="Stmt C"/>
      <sheetName val="Stmt D - Page 1"/>
      <sheetName val="Stmt D - Page 2"/>
      <sheetName val="Sched D-1"/>
      <sheetName val="Sched D-2"/>
      <sheetName val="Sched D-3"/>
      <sheetName val="Sched D-4"/>
      <sheetName val="Stmt E pg 1"/>
      <sheetName val="Stmt E pg 2"/>
      <sheetName val="Stmt F"/>
      <sheetName val="Sched F-1"/>
      <sheetName val="Sched F-2"/>
      <sheetName val="Sched F-3"/>
      <sheetName val="Sched F-4"/>
      <sheetName val="Stmt G"/>
      <sheetName val="Sched G-1"/>
      <sheetName val="Stmt H"/>
      <sheetName val="Sched H-1 Pg 1 "/>
      <sheetName val="Sched H-1 Pg 2 "/>
      <sheetName val="Sched H-2"/>
      <sheetName val="Sched H-3 pg 1"/>
      <sheetName val="Sched H-3 pg 2"/>
      <sheetName val="Sched H-4 pg 1"/>
      <sheetName val="Sched H-4 pg 2"/>
      <sheetName val="Sched H-5"/>
      <sheetName val="Sched H-6 "/>
      <sheetName val="Sched H-7 "/>
      <sheetName val="Sched H-8"/>
      <sheetName val="Sched H-9"/>
      <sheetName val="Sched H-10"/>
      <sheetName val="Sched H-11 Pg 1"/>
      <sheetName val="Sched H-11 Pg 2"/>
      <sheetName val="Sched H-12"/>
      <sheetName val="Sched H-13"/>
      <sheetName val="Sched H-14"/>
      <sheetName val="Sched H-15"/>
      <sheetName val="Sched H-16"/>
      <sheetName val="Sched H-17"/>
      <sheetName val="Stmt I Pg 1"/>
      <sheetName val="Stmt I Pg 2"/>
      <sheetName val="Sched I-1"/>
      <sheetName val="Sched I-2"/>
      <sheetName val="Stmt J"/>
      <sheetName val="Stmt K Pg 1"/>
      <sheetName val="Stmt K Pg 2"/>
      <sheetName val="Stmt K Pg 3"/>
      <sheetName val="Sched K-1"/>
      <sheetName val="Stmt L"/>
      <sheetName val="Sched L-1"/>
      <sheetName val="Stmt M"/>
      <sheetName val="Sched M - 1 "/>
      <sheetName val="Sched M - 2"/>
      <sheetName val="Stmt P"/>
      <sheetName val="Stmt R pg1"/>
      <sheetName val="Stmt R pg2"/>
      <sheetName val="Stmt R pg3"/>
      <sheetName val="Stmt R pg4"/>
      <sheetName val="Stmt R pg5"/>
      <sheetName val="Stmt R pg6"/>
      <sheetName val="WP-1"/>
      <sheetName val="Side by Side"/>
      <sheetName val="PB v PF"/>
      <sheetName val="Input Tab"/>
    </sheetNames>
    <sheetDataSet>
      <sheetData sheetId="0"/>
      <sheetData sheetId="1"/>
      <sheetData sheetId="2"/>
      <sheetData sheetId="3">
        <row r="2">
          <cell r="B2" t="str">
            <v>CHEYENNE LIGHT, FUEL AND POWER COMPANY</v>
          </cell>
        </row>
      </sheetData>
      <sheetData sheetId="4"/>
      <sheetData sheetId="5"/>
      <sheetData sheetId="6"/>
      <sheetData sheetId="7">
        <row r="14">
          <cell r="L14">
            <v>0.81200000000000006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of Contents"/>
      <sheetName val="Act Att-H"/>
      <sheetName val="A1-RevCred"/>
      <sheetName val="A2-A&amp;G"/>
      <sheetName val="A3-ADIT"/>
      <sheetName val="A3.1-EDIT-DDIT"/>
      <sheetName val="A3.2-EDIT-DDIT.dtl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7">
          <cell r="C7" t="str">
            <v>Black Hills Colorado Electric, LLC</v>
          </cell>
        </row>
        <row r="174">
          <cell r="I174">
            <v>0.93124420194583424</v>
          </cell>
        </row>
        <row r="191">
          <cell r="I191">
            <v>0.12706661096257854</v>
          </cell>
        </row>
      </sheetData>
      <sheetData sheetId="2"/>
      <sheetData sheetId="3"/>
      <sheetData sheetId="4">
        <row r="12">
          <cell r="D12">
            <v>0</v>
          </cell>
          <cell r="E12">
            <v>0</v>
          </cell>
          <cell r="F12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ver, Henry" refreshedDate="45054.542160763885" createdVersion="8" refreshedVersion="8" minRefreshableVersion="3" recordCount="2057" xr:uid="{DFC8F037-60F4-491A-83B6-0D7F66A21C34}">
  <cacheSource type="worksheet">
    <worksheetSource ref="A1:P2058" sheet="PIS Data"/>
  </cacheSource>
  <cacheFields count="17">
    <cacheField name="start_month" numFmtId="14">
      <sharedItems containsSemiMixedTypes="0" containsNonDate="0" containsDate="1" containsString="0" minDate="2021-12-01T00:00:00" maxDate="2022-12-02T00:00:00" count="13"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1-12-01T00:00:00"/>
      </sharedItems>
      <fieldGroup par="16" base="0">
        <rangePr groupBy="months" startDate="2021-12-01T00:00:00" endDate="2022-12-02T00:00:00"/>
        <groupItems count="14">
          <s v="&lt;12/1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2"/>
        </groupItems>
      </fieldGroup>
    </cacheField>
    <cacheField name="end_month" numFmtId="0">
      <sharedItems/>
    </cacheField>
    <cacheField name="set_of_books" numFmtId="0">
      <sharedItems/>
    </cacheField>
    <cacheField name="company" numFmtId="0">
      <sharedItems/>
    </cacheField>
    <cacheField name="business_segment" numFmtId="0">
      <sharedItems/>
    </cacheField>
    <cacheField name="description" numFmtId="0">
      <sharedItems count="5">
        <s v="101000 Plant In Service"/>
        <s v="105000 Plant Held for Future Use"/>
        <s v="106000 Completed Constr not Classfd"/>
        <s v="121000 Non-Utility Property"/>
        <s v="101001 Plant In-Service-Intangibles"/>
      </sharedItems>
    </cacheField>
    <cacheField name="func_class" numFmtId="0">
      <sharedItems/>
    </cacheField>
    <cacheField name="Function" numFmtId="0">
      <sharedItems count="5">
        <s v="Distribution"/>
        <s v="General &amp; Intagible"/>
        <s v="Non-Utility"/>
        <s v="Generation"/>
        <s v="Transmission"/>
      </sharedItems>
    </cacheField>
    <cacheField name="fc_sortid" numFmtId="0">
      <sharedItems containsSemiMixedTypes="0" containsString="0" containsNumber="1" containsInteger="1" minValue="1" maxValue="20"/>
    </cacheField>
    <cacheField name="description2" numFmtId="0">
      <sharedItems/>
    </cacheField>
    <cacheField name="FERC" numFmtId="0">
      <sharedItems count="82">
        <s v="36001"/>
        <s v="36002"/>
        <s v="36003"/>
        <s v="36100"/>
        <s v="36105"/>
        <s v="36200"/>
        <s v="36400"/>
        <s v="36500"/>
        <s v="36600"/>
        <s v="36700"/>
        <s v="36801"/>
        <s v="36802"/>
        <s v="36803"/>
        <s v="36901"/>
        <s v="36902"/>
        <s v="37001"/>
        <s v="37002"/>
        <s v="37004"/>
        <s v="37100"/>
        <s v="37300"/>
        <s v="39103"/>
        <s v="39104"/>
        <s v="39105"/>
        <s v="39700"/>
        <s v="39001"/>
        <s v="39800"/>
        <s v="38901"/>
        <s v="38902"/>
        <s v="39051"/>
        <s v="39101"/>
        <s v="39107"/>
        <s v="39159"/>
        <s v="39201"/>
        <s v="39202"/>
        <s v="39203"/>
        <s v="39204"/>
        <s v="39205"/>
        <s v="39206"/>
        <s v="39300"/>
        <s v="39400"/>
        <s v="39410"/>
        <s v="39500"/>
        <s v="39601"/>
        <s v="39602"/>
        <s v="39710"/>
        <s v="30100"/>
        <s v="30201"/>
        <s v="30301"/>
        <s v="30302"/>
        <s v="30303"/>
        <s v="31001"/>
        <s v="34001"/>
        <s v="34003"/>
        <s v="34100"/>
        <s v="34200"/>
        <s v="34300"/>
        <s v="34410"/>
        <s v="34500"/>
        <s v="34600"/>
        <s v="34002"/>
        <s v="31002"/>
        <s v="31100"/>
        <s v="31201"/>
        <s v="31202"/>
        <s v="31209"/>
        <s v="31400"/>
        <s v="31500"/>
        <s v="31600"/>
        <s v="35001"/>
        <s v="35002"/>
        <s v="35003"/>
        <s v="35200"/>
        <s v="35205"/>
        <s v="35259"/>
        <s v="35300"/>
        <s v="35301"/>
        <s v="35359"/>
        <s v="35500"/>
        <s v="35600"/>
        <s v="35700"/>
        <s v="35800"/>
        <s v="35400"/>
      </sharedItems>
    </cacheField>
    <cacheField name="begin_bal" numFmtId="0">
      <sharedItems containsSemiMixedTypes="0" containsString="0" containsNumber="1" minValue="-6050.01" maxValue="370270346.66000003"/>
    </cacheField>
    <cacheField name="additions" numFmtId="0">
      <sharedItems containsSemiMixedTypes="0" containsString="0" containsNumber="1" minValue="-8686580.6500000004" maxValue="9501884.0099999998"/>
    </cacheField>
    <cacheField name="retirements" numFmtId="0">
      <sharedItems containsSemiMixedTypes="0" containsString="0" containsNumber="1" minValue="-5375162.8799999999" maxValue="24042.11"/>
    </cacheField>
    <cacheField name="trans_adj" numFmtId="0">
      <sharedItems containsSemiMixedTypes="0" containsString="0" containsNumber="1" minValue="-362462.11" maxValue="362462.11"/>
    </cacheField>
    <cacheField name="end_bal" numFmtId="0">
      <sharedItems containsSemiMixedTypes="0" containsString="0" containsNumber="1" minValue="-6050.01" maxValue="370270346.66000003"/>
    </cacheField>
    <cacheField name="Years" numFmtId="0" databaseField="0">
      <fieldGroup base="0">
        <rangePr groupBy="years" startDate="2021-12-01T00:00:00" endDate="2022-12-02T00:00:00"/>
        <groupItems count="4">
          <s v="&lt;12/1/2021"/>
          <s v="2021"/>
          <s v="2022"/>
          <s v="&gt;12/2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ver, Henry" refreshedDate="45063.533084027775" createdVersion="8" refreshedVersion="8" minRefreshableVersion="3" recordCount="3252" xr:uid="{352BC4D7-BA92-4F14-80CB-E2E1CE861E19}">
  <cacheSource type="worksheet">
    <worksheetSource ref="A1:O3253" sheet="Accum Data"/>
  </cacheSource>
  <cacheFields count="17">
    <cacheField name="start_month" numFmtId="14">
      <sharedItems containsSemiMixedTypes="0" containsNonDate="0" containsDate="1" containsString="0" minDate="2021-12-01T00:00:00" maxDate="2022-12-02T00:00:00" count="13"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</sharedItems>
      <fieldGroup par="16" base="0">
        <rangePr groupBy="months" startDate="2021-12-01T00:00:00" endDate="2022-12-02T00:00:00"/>
        <groupItems count="14">
          <s v="&lt;12/1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2"/>
        </groupItems>
      </fieldGroup>
    </cacheField>
    <cacheField name="end_month" numFmtId="0">
      <sharedItems/>
    </cacheField>
    <cacheField name="depr_group" numFmtId="0">
      <sharedItems/>
    </cacheField>
    <cacheField name="FERC" numFmtId="0">
      <sharedItems count="84">
        <s v="30100"/>
        <s v="30201"/>
        <s v="30301"/>
        <s v="30302"/>
        <s v="30303"/>
        <s v="31001"/>
        <s v="31002"/>
        <s v="31100"/>
        <s v="31201"/>
        <s v="31202"/>
        <s v="31209"/>
        <s v="31400"/>
        <s v="31500"/>
        <s v="31600"/>
        <s v="34001"/>
        <s v="34002"/>
        <s v="34003"/>
        <s v="34100"/>
        <s v="34105"/>
        <s v="34200"/>
        <s v="34300"/>
        <s v="34410"/>
        <s v="34451"/>
        <s v="34500"/>
        <s v="34600"/>
        <s v="35001"/>
        <s v="35002"/>
        <s v="35200"/>
        <s v="35259"/>
        <s v="35300"/>
        <s v="35359"/>
        <s v="35400"/>
        <s v="35500"/>
        <s v="35600"/>
        <s v="35700"/>
        <s v="35800"/>
        <s v="36001"/>
        <s v="36002"/>
        <s v="36100"/>
        <s v="36200"/>
        <s v="36400"/>
        <s v="36500"/>
        <s v="36600"/>
        <s v="36700"/>
        <s v="36801"/>
        <s v="36802"/>
        <s v="36803"/>
        <s v="36901"/>
        <s v="36902"/>
        <s v="37001"/>
        <s v="37002"/>
        <s v="37004"/>
        <s v="37100"/>
        <s v="37300"/>
        <s v="38901"/>
        <s v="38902"/>
        <s v="39001"/>
        <s v="39051"/>
        <s v="39101"/>
        <s v="39103"/>
        <s v="39104"/>
        <s v="39105"/>
        <s v="39107"/>
        <s v="39159"/>
        <s v="39201"/>
        <s v="39202"/>
        <s v="39203"/>
        <s v="39204"/>
        <s v="39205"/>
        <s v="39206"/>
        <s v="39207"/>
        <s v="39208"/>
        <s v="39209"/>
        <s v="39300"/>
        <s v="39400"/>
        <s v="39410"/>
        <s v="39500"/>
        <s v="39601"/>
        <s v="39602"/>
        <s v="39700"/>
        <s v="39710"/>
        <s v="39800"/>
        <s v="EXT -"/>
        <s v="nspec"/>
      </sharedItems>
    </cacheField>
    <cacheField name="Function" numFmtId="0">
      <sharedItems count="5">
        <s v="General &amp; Intagible"/>
        <s v="Generation"/>
        <e v="#N/A"/>
        <s v="Transmission"/>
        <s v="Distribution"/>
      </sharedItems>
    </cacheField>
    <cacheField name="company" numFmtId="0">
      <sharedItems/>
    </cacheField>
    <cacheField name="set_of_books" numFmtId="0">
      <sharedItems/>
    </cacheField>
    <cacheField name="external_account_code" numFmtId="0">
      <sharedItems count="5">
        <s v="108006"/>
        <s v="108000"/>
        <s v="111000"/>
        <s v="108002"/>
        <s v="122200"/>
      </sharedItems>
    </cacheField>
    <cacheField name="begin_bal" numFmtId="43">
      <sharedItems containsSemiMixedTypes="0" containsString="0" containsNumber="1" minValue="-2583535.84" maxValue="31047585.07"/>
    </cacheField>
    <cacheField name="provision" numFmtId="43">
      <sharedItems containsSemiMixedTypes="0" containsString="0" containsNumber="1" minValue="0" maxValue="328410.44"/>
    </cacheField>
    <cacheField name="retirements" numFmtId="43">
      <sharedItems containsSemiMixedTypes="0" containsString="0" containsNumber="1" minValue="-5375162.8799999999" maxValue="24042.11"/>
    </cacheField>
    <cacheField name="cost_of_removal" numFmtId="43">
      <sharedItems containsSemiMixedTypes="0" containsString="0" containsNumber="1" minValue="-622484.13" maxValue="604.41999999999996"/>
    </cacheField>
    <cacheField name="salv_credits" numFmtId="43">
      <sharedItems containsSemiMixedTypes="0" containsString="0" containsNumber="1" minValue="-2420.6799999999998" maxValue="2576810.08"/>
    </cacheField>
    <cacheField name="transfers" numFmtId="43">
      <sharedItems containsSemiMixedTypes="0" containsString="0" containsNumber="1" minValue="-14330.62" maxValue="147396.58000000002"/>
    </cacheField>
    <cacheField name="gain_loss" numFmtId="43">
      <sharedItems containsSemiMixedTypes="0" containsString="0" containsNumber="1" minValue="-1594022.25" maxValue="0"/>
    </cacheField>
    <cacheField name="end_bal" numFmtId="43">
      <sharedItems containsSemiMixedTypes="0" containsString="0" containsNumber="1" minValue="-2583535.84" maxValue="31172089.579999998"/>
    </cacheField>
    <cacheField name="Years" numFmtId="0" databaseField="0">
      <fieldGroup base="0">
        <rangePr groupBy="years" startDate="2021-12-01T00:00:00" endDate="2022-12-02T00:00:00"/>
        <groupItems count="4">
          <s v="&lt;12/1/2021"/>
          <s v="2021"/>
          <s v="2022"/>
          <s v="&gt;12/2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57">
  <r>
    <x v="0"/>
    <s v="01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0"/>
    <s v="01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0"/>
    <s v="01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0"/>
    <s v="01/2022"/>
    <s v="SEC"/>
    <s v="BH Colorado Electric Oper Co"/>
    <s v="Regulated Electric (122)"/>
    <x v="0"/>
    <s v="Distribution Plant - Electric"/>
    <x v="0"/>
    <n v="7"/>
    <s v="136100 - Ele Dist Sub-Str &amp; Improve"/>
    <x v="3"/>
    <n v="625227.14"/>
    <n v="15612.92"/>
    <n v="0"/>
    <n v="0"/>
    <n v="640840.06000000006"/>
  </r>
  <r>
    <x v="0"/>
    <s v="01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0"/>
    <s v="01/2022"/>
    <s v="SEC"/>
    <s v="BH Colorado Electric Oper Co"/>
    <s v="Regulated Electric (122)"/>
    <x v="0"/>
    <s v="Distribution Plant - Electric"/>
    <x v="0"/>
    <n v="7"/>
    <s v="136200 - Ele Dist Sub-Station Equip"/>
    <x v="5"/>
    <n v="51184216.350000001"/>
    <n v="132207.51"/>
    <n v="-72559.59"/>
    <n v="0"/>
    <n v="51243864.270000003"/>
  </r>
  <r>
    <x v="0"/>
    <s v="01/2022"/>
    <s v="SEC"/>
    <s v="BH Colorado Electric Oper Co"/>
    <s v="Regulated Electric (122)"/>
    <x v="0"/>
    <s v="Distribution Plant - Electric"/>
    <x v="0"/>
    <n v="7"/>
    <s v="136400 - Ele Dist-Pole/Tower/Fixtur"/>
    <x v="6"/>
    <n v="80007379.019999996"/>
    <n v="538000.02"/>
    <n v="-172259.95"/>
    <n v="0"/>
    <n v="80373119.090000004"/>
  </r>
  <r>
    <x v="0"/>
    <s v="01/2022"/>
    <s v="SEC"/>
    <s v="BH Colorado Electric Oper Co"/>
    <s v="Regulated Electric (122)"/>
    <x v="0"/>
    <s v="Distribution Plant - Electric"/>
    <x v="0"/>
    <n v="7"/>
    <s v="136500 - Ele Dist-OH Conductors"/>
    <x v="7"/>
    <n v="53728448.700000003"/>
    <n v="60722.91"/>
    <n v="-26253.21"/>
    <n v="0"/>
    <n v="53762918.399999999"/>
  </r>
  <r>
    <x v="0"/>
    <s v="01/2022"/>
    <s v="SEC"/>
    <s v="BH Colorado Electric Oper Co"/>
    <s v="Regulated Electric (122)"/>
    <x v="0"/>
    <s v="Distribution Plant - Electric"/>
    <x v="0"/>
    <n v="7"/>
    <s v="136600 - Ele Dist-UG Conduit"/>
    <x v="8"/>
    <n v="14181879.23"/>
    <n v="93566.47"/>
    <n v="0"/>
    <n v="0"/>
    <n v="14275445.699999999"/>
  </r>
  <r>
    <x v="0"/>
    <s v="01/2022"/>
    <s v="SEC"/>
    <s v="BH Colorado Electric Oper Co"/>
    <s v="Regulated Electric (122)"/>
    <x v="0"/>
    <s v="Distribution Plant - Electric"/>
    <x v="0"/>
    <n v="7"/>
    <s v="136700 - Ele Dist-UG Conductors"/>
    <x v="9"/>
    <n v="27661992.420000002"/>
    <n v="246840.76"/>
    <n v="-24241.48"/>
    <n v="0"/>
    <n v="27884591.699999999"/>
  </r>
  <r>
    <x v="0"/>
    <s v="01/2022"/>
    <s v="SEC"/>
    <s v="BH Colorado Electric Oper Co"/>
    <s v="Regulated Electric (122)"/>
    <x v="0"/>
    <s v="Distribution Plant - Electric"/>
    <x v="0"/>
    <n v="7"/>
    <s v="136801 - Ele Dist-Ln Trans-Oth Eqp"/>
    <x v="10"/>
    <n v="9646307.5"/>
    <n v="34217.1"/>
    <n v="-1353.23"/>
    <n v="0"/>
    <n v="9679171.3699999992"/>
  </r>
  <r>
    <x v="0"/>
    <s v="01/2022"/>
    <s v="SEC"/>
    <s v="BH Colorado Electric Oper Co"/>
    <s v="Regulated Electric (122)"/>
    <x v="0"/>
    <s v="Distribution Plant - Electric"/>
    <x v="0"/>
    <n v="7"/>
    <s v="136802 - Ele Dist-Ln Trans-Conventn"/>
    <x v="11"/>
    <n v="30573043.670000002"/>
    <n v="17191.32"/>
    <n v="-6022.7300000000005"/>
    <n v="0"/>
    <n v="30584212.260000002"/>
  </r>
  <r>
    <x v="0"/>
    <s v="01/2022"/>
    <s v="SEC"/>
    <s v="BH Colorado Electric Oper Co"/>
    <s v="Regulated Electric (122)"/>
    <x v="0"/>
    <s v="Distribution Plant - Electric"/>
    <x v="0"/>
    <n v="7"/>
    <s v="136803 - Ele Dist-Ln Trans-Padmount"/>
    <x v="12"/>
    <n v="24842274.73"/>
    <n v="52057.57"/>
    <n v="0"/>
    <n v="0"/>
    <n v="24894332.300000001"/>
  </r>
  <r>
    <x v="0"/>
    <s v="01/2022"/>
    <s v="SEC"/>
    <s v="BH Colorado Electric Oper Co"/>
    <s v="Regulated Electric (122)"/>
    <x v="0"/>
    <s v="Distribution Plant - Electric"/>
    <x v="0"/>
    <n v="7"/>
    <s v="136901 - Ele Dist - OH Services"/>
    <x v="13"/>
    <n v="9997671.5299999993"/>
    <n v="2669.4"/>
    <n v="0"/>
    <n v="0"/>
    <n v="10000340.93"/>
  </r>
  <r>
    <x v="0"/>
    <s v="01/2022"/>
    <s v="SEC"/>
    <s v="BH Colorado Electric Oper Co"/>
    <s v="Regulated Electric (122)"/>
    <x v="0"/>
    <s v="Distribution Plant - Electric"/>
    <x v="0"/>
    <n v="7"/>
    <s v="136902 - Ele Dist - UG Services"/>
    <x v="14"/>
    <n v="13286053.220000001"/>
    <n v="15921.77"/>
    <n v="0"/>
    <n v="0"/>
    <n v="13301974.99"/>
  </r>
  <r>
    <x v="0"/>
    <s v="01/2022"/>
    <s v="SEC"/>
    <s v="BH Colorado Electric Oper Co"/>
    <s v="Regulated Electric (122)"/>
    <x v="0"/>
    <s v="Distribution Plant - Electric"/>
    <x v="0"/>
    <n v="7"/>
    <s v="137001 - Ele Dist-Meters Other"/>
    <x v="15"/>
    <n v="1708201.54"/>
    <n v="0"/>
    <n v="0"/>
    <n v="0"/>
    <n v="1708201.54"/>
  </r>
  <r>
    <x v="0"/>
    <s v="01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0"/>
    <s v="01/2022"/>
    <s v="SEC"/>
    <s v="BH Colorado Electric Oper Co"/>
    <s v="Regulated Electric (122)"/>
    <x v="0"/>
    <s v="Distribution Plant - Electric"/>
    <x v="0"/>
    <n v="7"/>
    <s v="137004 - Ele Dist-Meters AMI"/>
    <x v="17"/>
    <n v="17449111.399999999"/>
    <n v="0"/>
    <n v="-381198.79"/>
    <n v="0"/>
    <n v="17067912.609999999"/>
  </r>
  <r>
    <x v="0"/>
    <s v="01/2022"/>
    <s v="SEC"/>
    <s v="BH Colorado Electric Oper Co"/>
    <s v="Regulated Electric (122)"/>
    <x v="0"/>
    <s v="Distribution Plant - Electric"/>
    <x v="0"/>
    <n v="7"/>
    <s v="137100 - Ele Dist-Instal Cst Prmise"/>
    <x v="18"/>
    <n v="2499128.34"/>
    <n v="362.06"/>
    <n v="0"/>
    <n v="0"/>
    <n v="2499490.4"/>
  </r>
  <r>
    <x v="0"/>
    <s v="01/2022"/>
    <s v="SEC"/>
    <s v="BH Colorado Electric Oper Co"/>
    <s v="Regulated Electric (122)"/>
    <x v="0"/>
    <s v="Distribution Plant - Electric"/>
    <x v="0"/>
    <n v="7"/>
    <s v="137300 - Ele Dist-Street Lighting"/>
    <x v="19"/>
    <n v="10120509.859999999"/>
    <n v="98741.440000000002"/>
    <n v="0"/>
    <n v="0"/>
    <n v="10219251.300000001"/>
  </r>
  <r>
    <x v="0"/>
    <s v="01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0"/>
    <s v="01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0"/>
    <s v="01/2022"/>
    <s v="SEC"/>
    <s v="BH Colorado Electric Oper Co"/>
    <s v="Regulated Electric (122)"/>
    <x v="2"/>
    <s v="Distribution Plant - Electric"/>
    <x v="0"/>
    <n v="7"/>
    <s v="136001 - Ele Dist-Land"/>
    <x v="0"/>
    <n v="0"/>
    <n v="0"/>
    <n v="0"/>
    <n v="0"/>
    <n v="0"/>
  </r>
  <r>
    <x v="0"/>
    <s v="01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0"/>
    <s v="01/2022"/>
    <s v="SEC"/>
    <s v="BH Colorado Electric Oper Co"/>
    <s v="Regulated Electric (122)"/>
    <x v="2"/>
    <s v="Distribution Plant - Electric"/>
    <x v="0"/>
    <n v="7"/>
    <s v="136200 - Ele Dist Sub-Station Equip"/>
    <x v="5"/>
    <n v="71277.290000000008"/>
    <n v="-63037.18"/>
    <n v="0"/>
    <n v="0"/>
    <n v="8240.11"/>
  </r>
  <r>
    <x v="0"/>
    <s v="01/2022"/>
    <s v="SEC"/>
    <s v="BH Colorado Electric Oper Co"/>
    <s v="Regulated Electric (122)"/>
    <x v="2"/>
    <s v="Distribution Plant - Electric"/>
    <x v="0"/>
    <n v="7"/>
    <s v="136400 - Ele Dist-Pole/Tower/Fixtur"/>
    <x v="6"/>
    <n v="17899936.170000002"/>
    <n v="-270132.8"/>
    <n v="0"/>
    <n v="0"/>
    <n v="17629803.370000001"/>
  </r>
  <r>
    <x v="0"/>
    <s v="01/2022"/>
    <s v="SEC"/>
    <s v="BH Colorado Electric Oper Co"/>
    <s v="Regulated Electric (122)"/>
    <x v="2"/>
    <s v="Distribution Plant - Electric"/>
    <x v="0"/>
    <n v="7"/>
    <s v="136500 - Ele Dist-OH Conductors"/>
    <x v="7"/>
    <n v="4133813.37"/>
    <n v="143703.04000000001"/>
    <n v="0"/>
    <n v="0"/>
    <n v="4277516.41"/>
  </r>
  <r>
    <x v="0"/>
    <s v="01/2022"/>
    <s v="SEC"/>
    <s v="BH Colorado Electric Oper Co"/>
    <s v="Regulated Electric (122)"/>
    <x v="2"/>
    <s v="Distribution Plant - Electric"/>
    <x v="0"/>
    <n v="7"/>
    <s v="136600 - Ele Dist-UG Conduit"/>
    <x v="8"/>
    <n v="1605078.69"/>
    <n v="109519.5"/>
    <n v="0"/>
    <n v="0"/>
    <n v="1714598.19"/>
  </r>
  <r>
    <x v="0"/>
    <s v="01/2022"/>
    <s v="SEC"/>
    <s v="BH Colorado Electric Oper Co"/>
    <s v="Regulated Electric (122)"/>
    <x v="2"/>
    <s v="Distribution Plant - Electric"/>
    <x v="0"/>
    <n v="7"/>
    <s v="136700 - Ele Dist-UG Conductors"/>
    <x v="9"/>
    <n v="5926290.6200000001"/>
    <n v="-315405.33"/>
    <n v="0"/>
    <n v="0"/>
    <n v="5610885.29"/>
  </r>
  <r>
    <x v="0"/>
    <s v="01/2022"/>
    <s v="SEC"/>
    <s v="BH Colorado Electric Oper Co"/>
    <s v="Regulated Electric (122)"/>
    <x v="2"/>
    <s v="Distribution Plant - Electric"/>
    <x v="0"/>
    <n v="7"/>
    <s v="136801 - Ele Dist-Ln Trans-Oth Eqp"/>
    <x v="10"/>
    <n v="654656.78"/>
    <n v="20572.12"/>
    <n v="0"/>
    <n v="0"/>
    <n v="675228.9"/>
  </r>
  <r>
    <x v="0"/>
    <s v="01/2022"/>
    <s v="SEC"/>
    <s v="BH Colorado Electric Oper Co"/>
    <s v="Regulated Electric (122)"/>
    <x v="2"/>
    <s v="Distribution Plant - Electric"/>
    <x v="0"/>
    <n v="7"/>
    <s v="136802 - Ele Dist-Ln Trans-Conventn"/>
    <x v="11"/>
    <n v="1040099.6"/>
    <n v="46287.6"/>
    <n v="0"/>
    <n v="0"/>
    <n v="1086387.2"/>
  </r>
  <r>
    <x v="0"/>
    <s v="01/2022"/>
    <s v="SEC"/>
    <s v="BH Colorado Electric Oper Co"/>
    <s v="Regulated Electric (122)"/>
    <x v="2"/>
    <s v="Distribution Plant - Electric"/>
    <x v="0"/>
    <n v="7"/>
    <s v="136803 - Ele Dist-Ln Trans-Padmount"/>
    <x v="12"/>
    <n v="687033.92"/>
    <n v="77068.22"/>
    <n v="0"/>
    <n v="0"/>
    <n v="764102.14"/>
  </r>
  <r>
    <x v="0"/>
    <s v="01/2022"/>
    <s v="SEC"/>
    <s v="BH Colorado Electric Oper Co"/>
    <s v="Regulated Electric (122)"/>
    <x v="2"/>
    <s v="Distribution Plant - Electric"/>
    <x v="0"/>
    <n v="7"/>
    <s v="136901 - Ele Dist - OH Services"/>
    <x v="13"/>
    <n v="569908.97"/>
    <n v="55824.28"/>
    <n v="0"/>
    <n v="0"/>
    <n v="625733.25"/>
  </r>
  <r>
    <x v="0"/>
    <s v="01/2022"/>
    <s v="SEC"/>
    <s v="BH Colorado Electric Oper Co"/>
    <s v="Regulated Electric (122)"/>
    <x v="2"/>
    <s v="Distribution Plant - Electric"/>
    <x v="0"/>
    <n v="7"/>
    <s v="136902 - Ele Dist - UG Services"/>
    <x v="14"/>
    <n v="818178.64"/>
    <n v="38226.450000000004"/>
    <n v="0"/>
    <n v="0"/>
    <n v="856405.09"/>
  </r>
  <r>
    <x v="0"/>
    <s v="01/2022"/>
    <s v="SEC"/>
    <s v="BH Colorado Electric Oper Co"/>
    <s v="Regulated Electric (122)"/>
    <x v="2"/>
    <s v="Distribution Plant - Electric"/>
    <x v="0"/>
    <n v="7"/>
    <s v="137001 - Ele Dist-Meters Other"/>
    <x v="15"/>
    <n v="1991.88"/>
    <n v="2614.94"/>
    <n v="0"/>
    <n v="0"/>
    <n v="4606.82"/>
  </r>
  <r>
    <x v="0"/>
    <s v="01/2022"/>
    <s v="SEC"/>
    <s v="BH Colorado Electric Oper Co"/>
    <s v="Regulated Electric (122)"/>
    <x v="2"/>
    <s v="Distribution Plant - Electric"/>
    <x v="0"/>
    <n v="7"/>
    <s v="137004 - Ele Dist-Meters AMI"/>
    <x v="17"/>
    <n v="1991.88"/>
    <n v="2614.9700000000003"/>
    <n v="0"/>
    <n v="0"/>
    <n v="4606.8500000000004"/>
  </r>
  <r>
    <x v="0"/>
    <s v="01/2022"/>
    <s v="SEC"/>
    <s v="BH Colorado Electric Oper Co"/>
    <s v="Regulated Electric (122)"/>
    <x v="2"/>
    <s v="Distribution Plant - Electric"/>
    <x v="0"/>
    <n v="7"/>
    <s v="137100 - Ele Dist-Instal Cst Prmise"/>
    <x v="18"/>
    <n v="145289.51999999999"/>
    <n v="3020.94"/>
    <n v="0"/>
    <n v="0"/>
    <n v="148310.46"/>
  </r>
  <r>
    <x v="0"/>
    <s v="01/2022"/>
    <s v="SEC"/>
    <s v="BH Colorado Electric Oper Co"/>
    <s v="Regulated Electric (122)"/>
    <x v="2"/>
    <s v="Distribution Plant - Electric"/>
    <x v="0"/>
    <n v="7"/>
    <s v="137300 - Ele Dist-Street Lighting"/>
    <x v="19"/>
    <n v="837960.55"/>
    <n v="-19032.52"/>
    <n v="0"/>
    <n v="0"/>
    <n v="818928.03"/>
  </r>
  <r>
    <x v="1"/>
    <s v="02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1"/>
    <s v="02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1"/>
    <s v="02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1"/>
    <s v="02/2022"/>
    <s v="SEC"/>
    <s v="BH Colorado Electric Oper Co"/>
    <s v="Regulated Electric (122)"/>
    <x v="0"/>
    <s v="Distribution Plant - Electric"/>
    <x v="0"/>
    <n v="7"/>
    <s v="136100 - Ele Dist Sub-Str &amp; Improve"/>
    <x v="3"/>
    <n v="640840.06000000006"/>
    <n v="6460.27"/>
    <n v="-3322.1800000000003"/>
    <n v="0"/>
    <n v="643978.15"/>
  </r>
  <r>
    <x v="1"/>
    <s v="02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1"/>
    <s v="02/2022"/>
    <s v="SEC"/>
    <s v="BH Colorado Electric Oper Co"/>
    <s v="Regulated Electric (122)"/>
    <x v="0"/>
    <s v="Distribution Plant - Electric"/>
    <x v="0"/>
    <n v="7"/>
    <s v="136200 - Ele Dist Sub-Station Equip"/>
    <x v="5"/>
    <n v="51243864.270000003"/>
    <n v="0"/>
    <n v="0"/>
    <n v="0"/>
    <n v="51243864.270000003"/>
  </r>
  <r>
    <x v="1"/>
    <s v="02/2022"/>
    <s v="SEC"/>
    <s v="BH Colorado Electric Oper Co"/>
    <s v="Regulated Electric (122)"/>
    <x v="0"/>
    <s v="Distribution Plant - Electric"/>
    <x v="0"/>
    <n v="7"/>
    <s v="136400 - Ele Dist-Pole/Tower/Fixtur"/>
    <x v="6"/>
    <n v="80373119.090000004"/>
    <n v="311038.91000000003"/>
    <n v="-34663.699999999997"/>
    <n v="0"/>
    <n v="80649494.299999997"/>
  </r>
  <r>
    <x v="1"/>
    <s v="02/2022"/>
    <s v="SEC"/>
    <s v="BH Colorado Electric Oper Co"/>
    <s v="Regulated Electric (122)"/>
    <x v="0"/>
    <s v="Distribution Plant - Electric"/>
    <x v="0"/>
    <n v="7"/>
    <s v="136500 - Ele Dist-OH Conductors"/>
    <x v="7"/>
    <n v="53762918.399999999"/>
    <n v="45550.25"/>
    <n v="-4299.82"/>
    <n v="0"/>
    <n v="53804168.829999998"/>
  </r>
  <r>
    <x v="1"/>
    <s v="02/2022"/>
    <s v="SEC"/>
    <s v="BH Colorado Electric Oper Co"/>
    <s v="Regulated Electric (122)"/>
    <x v="0"/>
    <s v="Distribution Plant - Electric"/>
    <x v="0"/>
    <n v="7"/>
    <s v="136600 - Ele Dist-UG Conduit"/>
    <x v="8"/>
    <n v="14275445.699999999"/>
    <n v="21676.3"/>
    <n v="-57.2"/>
    <n v="0"/>
    <n v="14297064.800000001"/>
  </r>
  <r>
    <x v="1"/>
    <s v="02/2022"/>
    <s v="SEC"/>
    <s v="BH Colorado Electric Oper Co"/>
    <s v="Regulated Electric (122)"/>
    <x v="0"/>
    <s v="Distribution Plant - Electric"/>
    <x v="0"/>
    <n v="7"/>
    <s v="136700 - Ele Dist-UG Conductors"/>
    <x v="9"/>
    <n v="27884591.699999999"/>
    <n v="121261.98"/>
    <n v="-728.36"/>
    <n v="0"/>
    <n v="28005125.32"/>
  </r>
  <r>
    <x v="1"/>
    <s v="02/2022"/>
    <s v="SEC"/>
    <s v="BH Colorado Electric Oper Co"/>
    <s v="Regulated Electric (122)"/>
    <x v="0"/>
    <s v="Distribution Plant - Electric"/>
    <x v="0"/>
    <n v="7"/>
    <s v="136801 - Ele Dist-Ln Trans-Oth Eqp"/>
    <x v="10"/>
    <n v="9679171.3699999992"/>
    <n v="26694.95"/>
    <n v="-1508.89"/>
    <n v="0"/>
    <n v="9704357.4299999997"/>
  </r>
  <r>
    <x v="1"/>
    <s v="02/2022"/>
    <s v="SEC"/>
    <s v="BH Colorado Electric Oper Co"/>
    <s v="Regulated Electric (122)"/>
    <x v="0"/>
    <s v="Distribution Plant - Electric"/>
    <x v="0"/>
    <n v="7"/>
    <s v="136802 - Ele Dist-Ln Trans-Conventn"/>
    <x v="11"/>
    <n v="30584212.260000002"/>
    <n v="-1818.23"/>
    <n v="-444.18"/>
    <n v="0"/>
    <n v="30581949.850000001"/>
  </r>
  <r>
    <x v="1"/>
    <s v="02/2022"/>
    <s v="SEC"/>
    <s v="BH Colorado Electric Oper Co"/>
    <s v="Regulated Electric (122)"/>
    <x v="0"/>
    <s v="Distribution Plant - Electric"/>
    <x v="0"/>
    <n v="7"/>
    <s v="136803 - Ele Dist-Ln Trans-Padmount"/>
    <x v="12"/>
    <n v="24894332.300000001"/>
    <n v="26442.28"/>
    <n v="179.94"/>
    <n v="0"/>
    <n v="24920954.52"/>
  </r>
  <r>
    <x v="1"/>
    <s v="02/2022"/>
    <s v="SEC"/>
    <s v="BH Colorado Electric Oper Co"/>
    <s v="Regulated Electric (122)"/>
    <x v="0"/>
    <s v="Distribution Plant - Electric"/>
    <x v="0"/>
    <n v="7"/>
    <s v="136901 - Ele Dist - OH Services"/>
    <x v="13"/>
    <n v="10000340.93"/>
    <n v="-200.58"/>
    <n v="0"/>
    <n v="0"/>
    <n v="10000140.35"/>
  </r>
  <r>
    <x v="1"/>
    <s v="02/2022"/>
    <s v="SEC"/>
    <s v="BH Colorado Electric Oper Co"/>
    <s v="Regulated Electric (122)"/>
    <x v="0"/>
    <s v="Distribution Plant - Electric"/>
    <x v="0"/>
    <n v="7"/>
    <s v="136902 - Ele Dist - UG Services"/>
    <x v="14"/>
    <n v="13301974.99"/>
    <n v="8114.74"/>
    <n v="-265.58"/>
    <n v="0"/>
    <n v="13309824.15"/>
  </r>
  <r>
    <x v="1"/>
    <s v="02/2022"/>
    <s v="SEC"/>
    <s v="BH Colorado Electric Oper Co"/>
    <s v="Regulated Electric (122)"/>
    <x v="0"/>
    <s v="Distribution Plant - Electric"/>
    <x v="0"/>
    <n v="7"/>
    <s v="137001 - Ele Dist-Meters Other"/>
    <x v="15"/>
    <n v="1708201.54"/>
    <n v="0"/>
    <n v="0"/>
    <n v="5349.46"/>
    <n v="1713551"/>
  </r>
  <r>
    <x v="1"/>
    <s v="02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1"/>
    <s v="02/2022"/>
    <s v="SEC"/>
    <s v="BH Colorado Electric Oper Co"/>
    <s v="Regulated Electric (122)"/>
    <x v="0"/>
    <s v="Distribution Plant - Electric"/>
    <x v="0"/>
    <n v="7"/>
    <s v="137004 - Ele Dist-Meters AMI"/>
    <x v="17"/>
    <n v="17067912.609999999"/>
    <n v="0"/>
    <n v="-52255.98"/>
    <n v="5607.97"/>
    <n v="17021264.600000001"/>
  </r>
  <r>
    <x v="1"/>
    <s v="02/2022"/>
    <s v="SEC"/>
    <s v="BH Colorado Electric Oper Co"/>
    <s v="Regulated Electric (122)"/>
    <x v="0"/>
    <s v="Distribution Plant - Electric"/>
    <x v="0"/>
    <n v="7"/>
    <s v="137100 - Ele Dist-Instal Cst Prmise"/>
    <x v="18"/>
    <n v="2499490.4"/>
    <n v="817.55000000000007"/>
    <n v="0"/>
    <n v="0"/>
    <n v="2500307.9500000002"/>
  </r>
  <r>
    <x v="1"/>
    <s v="02/2022"/>
    <s v="SEC"/>
    <s v="BH Colorado Electric Oper Co"/>
    <s v="Regulated Electric (122)"/>
    <x v="0"/>
    <s v="Distribution Plant - Electric"/>
    <x v="0"/>
    <n v="7"/>
    <s v="137300 - Ele Dist-Street Lighting"/>
    <x v="19"/>
    <n v="10219251.300000001"/>
    <n v="0.38"/>
    <n v="0"/>
    <n v="0"/>
    <n v="10219251.68"/>
  </r>
  <r>
    <x v="1"/>
    <s v="02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1"/>
    <s v="02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1"/>
    <s v="02/2022"/>
    <s v="SEC"/>
    <s v="BH Colorado Electric Oper Co"/>
    <s v="Regulated Electric (122)"/>
    <x v="2"/>
    <s v="Distribution Plant - Electric"/>
    <x v="0"/>
    <n v="7"/>
    <s v="136001 - Ele Dist-Land"/>
    <x v="0"/>
    <n v="0"/>
    <n v="0"/>
    <n v="0"/>
    <n v="0"/>
    <n v="0"/>
  </r>
  <r>
    <x v="1"/>
    <s v="02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1"/>
    <s v="02/2022"/>
    <s v="SEC"/>
    <s v="BH Colorado Electric Oper Co"/>
    <s v="Regulated Electric (122)"/>
    <x v="2"/>
    <s v="Distribution Plant - Electric"/>
    <x v="0"/>
    <n v="7"/>
    <s v="136200 - Ele Dist Sub-Station Equip"/>
    <x v="5"/>
    <n v="8240.11"/>
    <n v="71145.84"/>
    <n v="0"/>
    <n v="0"/>
    <n v="79385.95"/>
  </r>
  <r>
    <x v="1"/>
    <s v="02/2022"/>
    <s v="SEC"/>
    <s v="BH Colorado Electric Oper Co"/>
    <s v="Regulated Electric (122)"/>
    <x v="2"/>
    <s v="Distribution Plant - Electric"/>
    <x v="0"/>
    <n v="7"/>
    <s v="136400 - Ele Dist-Pole/Tower/Fixtur"/>
    <x v="6"/>
    <n v="17629803.370000001"/>
    <n v="314527.52"/>
    <n v="0"/>
    <n v="0"/>
    <n v="17944330.890000001"/>
  </r>
  <r>
    <x v="1"/>
    <s v="02/2022"/>
    <s v="SEC"/>
    <s v="BH Colorado Electric Oper Co"/>
    <s v="Regulated Electric (122)"/>
    <x v="2"/>
    <s v="Distribution Plant - Electric"/>
    <x v="0"/>
    <n v="7"/>
    <s v="136500 - Ele Dist-OH Conductors"/>
    <x v="7"/>
    <n v="4277516.41"/>
    <n v="146156.92000000001"/>
    <n v="0"/>
    <n v="0"/>
    <n v="4423673.33"/>
  </r>
  <r>
    <x v="1"/>
    <s v="02/2022"/>
    <s v="SEC"/>
    <s v="BH Colorado Electric Oper Co"/>
    <s v="Regulated Electric (122)"/>
    <x v="2"/>
    <s v="Distribution Plant - Electric"/>
    <x v="0"/>
    <n v="7"/>
    <s v="136600 - Ele Dist-UG Conduit"/>
    <x v="8"/>
    <n v="1714598.19"/>
    <n v="244847.94"/>
    <n v="0"/>
    <n v="0"/>
    <n v="1959446.13"/>
  </r>
  <r>
    <x v="1"/>
    <s v="02/2022"/>
    <s v="SEC"/>
    <s v="BH Colorado Electric Oper Co"/>
    <s v="Regulated Electric (122)"/>
    <x v="2"/>
    <s v="Distribution Plant - Electric"/>
    <x v="0"/>
    <n v="7"/>
    <s v="136700 - Ele Dist-UG Conductors"/>
    <x v="9"/>
    <n v="5610885.29"/>
    <n v="380823.02"/>
    <n v="0"/>
    <n v="0"/>
    <n v="5991708.3100000005"/>
  </r>
  <r>
    <x v="1"/>
    <s v="02/2022"/>
    <s v="SEC"/>
    <s v="BH Colorado Electric Oper Co"/>
    <s v="Regulated Electric (122)"/>
    <x v="2"/>
    <s v="Distribution Plant - Electric"/>
    <x v="0"/>
    <n v="7"/>
    <s v="136801 - Ele Dist-Ln Trans-Oth Eqp"/>
    <x v="10"/>
    <n v="675228.9"/>
    <n v="27253.52"/>
    <n v="0"/>
    <n v="0"/>
    <n v="702482.42"/>
  </r>
  <r>
    <x v="1"/>
    <s v="02/2022"/>
    <s v="SEC"/>
    <s v="BH Colorado Electric Oper Co"/>
    <s v="Regulated Electric (122)"/>
    <x v="2"/>
    <s v="Distribution Plant - Electric"/>
    <x v="0"/>
    <n v="7"/>
    <s v="136802 - Ele Dist-Ln Trans-Conventn"/>
    <x v="11"/>
    <n v="1086387.2"/>
    <n v="105309.54000000001"/>
    <n v="0"/>
    <n v="0"/>
    <n v="1191696.74"/>
  </r>
  <r>
    <x v="1"/>
    <s v="02/2022"/>
    <s v="SEC"/>
    <s v="BH Colorado Electric Oper Co"/>
    <s v="Regulated Electric (122)"/>
    <x v="2"/>
    <s v="Distribution Plant - Electric"/>
    <x v="0"/>
    <n v="7"/>
    <s v="136803 - Ele Dist-Ln Trans-Padmount"/>
    <x v="12"/>
    <n v="764102.14"/>
    <n v="65304.14"/>
    <n v="0"/>
    <n v="0"/>
    <n v="829406.28"/>
  </r>
  <r>
    <x v="1"/>
    <s v="02/2022"/>
    <s v="SEC"/>
    <s v="BH Colorado Electric Oper Co"/>
    <s v="Regulated Electric (122)"/>
    <x v="2"/>
    <s v="Distribution Plant - Electric"/>
    <x v="0"/>
    <n v="7"/>
    <s v="136901 - Ele Dist - OH Services"/>
    <x v="13"/>
    <n v="625733.25"/>
    <n v="57506.49"/>
    <n v="0"/>
    <n v="0"/>
    <n v="683239.74"/>
  </r>
  <r>
    <x v="1"/>
    <s v="02/2022"/>
    <s v="SEC"/>
    <s v="BH Colorado Electric Oper Co"/>
    <s v="Regulated Electric (122)"/>
    <x v="2"/>
    <s v="Distribution Plant - Electric"/>
    <x v="0"/>
    <n v="7"/>
    <s v="136902 - Ele Dist - UG Services"/>
    <x v="14"/>
    <n v="856405.09"/>
    <n v="104640.23"/>
    <n v="0"/>
    <n v="0"/>
    <n v="961045.32000000007"/>
  </r>
  <r>
    <x v="1"/>
    <s v="02/2022"/>
    <s v="SEC"/>
    <s v="BH Colorado Electric Oper Co"/>
    <s v="Regulated Electric (122)"/>
    <x v="2"/>
    <s v="Distribution Plant - Electric"/>
    <x v="0"/>
    <n v="7"/>
    <s v="137001 - Ele Dist-Meters Other"/>
    <x v="15"/>
    <n v="4606.82"/>
    <n v="4175.84"/>
    <n v="0"/>
    <n v="0"/>
    <n v="8782.66"/>
  </r>
  <r>
    <x v="1"/>
    <s v="02/2022"/>
    <s v="SEC"/>
    <s v="BH Colorado Electric Oper Co"/>
    <s v="Regulated Electric (122)"/>
    <x v="2"/>
    <s v="Distribution Plant - Electric"/>
    <x v="0"/>
    <n v="7"/>
    <s v="137004 - Ele Dist-Meters AMI"/>
    <x v="17"/>
    <n v="4606.8500000000004"/>
    <n v="4175.8599999999997"/>
    <n v="0"/>
    <n v="0"/>
    <n v="8782.7100000000009"/>
  </r>
  <r>
    <x v="1"/>
    <s v="02/2022"/>
    <s v="SEC"/>
    <s v="BH Colorado Electric Oper Co"/>
    <s v="Regulated Electric (122)"/>
    <x v="2"/>
    <s v="Distribution Plant - Electric"/>
    <x v="0"/>
    <n v="7"/>
    <s v="137100 - Ele Dist-Instal Cst Prmise"/>
    <x v="18"/>
    <n v="148310.46"/>
    <n v="1594.88"/>
    <n v="0"/>
    <n v="0"/>
    <n v="149905.34"/>
  </r>
  <r>
    <x v="1"/>
    <s v="02/2022"/>
    <s v="SEC"/>
    <s v="BH Colorado Electric Oper Co"/>
    <s v="Regulated Electric (122)"/>
    <x v="2"/>
    <s v="Distribution Plant - Electric"/>
    <x v="0"/>
    <n v="7"/>
    <s v="137300 - Ele Dist-Street Lighting"/>
    <x v="19"/>
    <n v="818928.03"/>
    <n v="326618.93"/>
    <n v="0"/>
    <n v="0"/>
    <n v="1145546.96"/>
  </r>
  <r>
    <x v="2"/>
    <s v="03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2"/>
    <s v="03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2"/>
    <s v="03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2"/>
    <s v="03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2"/>
    <s v="03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2"/>
    <s v="03/2022"/>
    <s v="SEC"/>
    <s v="BH Colorado Electric Oper Co"/>
    <s v="Regulated Electric (122)"/>
    <x v="0"/>
    <s v="Distribution Plant - Electric"/>
    <x v="0"/>
    <n v="7"/>
    <s v="136200 - Ele Dist Sub-Station Equip"/>
    <x v="5"/>
    <n v="51243864.270000003"/>
    <n v="0"/>
    <n v="0"/>
    <n v="0"/>
    <n v="51243864.270000003"/>
  </r>
  <r>
    <x v="2"/>
    <s v="03/2022"/>
    <s v="SEC"/>
    <s v="BH Colorado Electric Oper Co"/>
    <s v="Regulated Electric (122)"/>
    <x v="0"/>
    <s v="Distribution Plant - Electric"/>
    <x v="0"/>
    <n v="7"/>
    <s v="136400 - Ele Dist-Pole/Tower/Fixtur"/>
    <x v="6"/>
    <n v="80649494.299999997"/>
    <n v="160386.34"/>
    <n v="-5569.38"/>
    <n v="0"/>
    <n v="80804311.260000005"/>
  </r>
  <r>
    <x v="2"/>
    <s v="03/2022"/>
    <s v="SEC"/>
    <s v="BH Colorado Electric Oper Co"/>
    <s v="Regulated Electric (122)"/>
    <x v="0"/>
    <s v="Distribution Plant - Electric"/>
    <x v="0"/>
    <n v="7"/>
    <s v="136500 - Ele Dist-OH Conductors"/>
    <x v="7"/>
    <n v="53804168.829999998"/>
    <n v="110597.69"/>
    <n v="-1030.1300000000001"/>
    <n v="-2063.8200000000002"/>
    <n v="53911672.57"/>
  </r>
  <r>
    <x v="2"/>
    <s v="03/2022"/>
    <s v="SEC"/>
    <s v="BH Colorado Electric Oper Co"/>
    <s v="Regulated Electric (122)"/>
    <x v="0"/>
    <s v="Distribution Plant - Electric"/>
    <x v="0"/>
    <n v="7"/>
    <s v="136600 - Ele Dist-UG Conduit"/>
    <x v="8"/>
    <n v="14297064.800000001"/>
    <n v="149133.76000000001"/>
    <n v="-2333.67"/>
    <n v="0"/>
    <n v="14443864.890000001"/>
  </r>
  <r>
    <x v="2"/>
    <s v="03/2022"/>
    <s v="SEC"/>
    <s v="BH Colorado Electric Oper Co"/>
    <s v="Regulated Electric (122)"/>
    <x v="0"/>
    <s v="Distribution Plant - Electric"/>
    <x v="0"/>
    <n v="7"/>
    <s v="136700 - Ele Dist-UG Conductors"/>
    <x v="9"/>
    <n v="28005125.32"/>
    <n v="268546.45"/>
    <n v="-35314.61"/>
    <n v="0"/>
    <n v="28238357.16"/>
  </r>
  <r>
    <x v="2"/>
    <s v="03/2022"/>
    <s v="SEC"/>
    <s v="BH Colorado Electric Oper Co"/>
    <s v="Regulated Electric (122)"/>
    <x v="0"/>
    <s v="Distribution Plant - Electric"/>
    <x v="0"/>
    <n v="7"/>
    <s v="136801 - Ele Dist-Ln Trans-Oth Eqp"/>
    <x v="10"/>
    <n v="9704357.4299999997"/>
    <n v="36110.47"/>
    <n v="-2043.06"/>
    <n v="0"/>
    <n v="9738424.8399999999"/>
  </r>
  <r>
    <x v="2"/>
    <s v="03/2022"/>
    <s v="SEC"/>
    <s v="BH Colorado Electric Oper Co"/>
    <s v="Regulated Electric (122)"/>
    <x v="0"/>
    <s v="Distribution Plant - Electric"/>
    <x v="0"/>
    <n v="7"/>
    <s v="136802 - Ele Dist-Ln Trans-Conventn"/>
    <x v="11"/>
    <n v="30581949.850000001"/>
    <n v="515576.9"/>
    <n v="-540.48"/>
    <n v="-11316.300000000001"/>
    <n v="31085669.969999999"/>
  </r>
  <r>
    <x v="2"/>
    <s v="03/2022"/>
    <s v="SEC"/>
    <s v="BH Colorado Electric Oper Co"/>
    <s v="Regulated Electric (122)"/>
    <x v="0"/>
    <s v="Distribution Plant - Electric"/>
    <x v="0"/>
    <n v="7"/>
    <s v="136803 - Ele Dist-Ln Trans-Padmount"/>
    <x v="12"/>
    <n v="24920954.52"/>
    <n v="1276185.3900000001"/>
    <n v="-101.17"/>
    <n v="0"/>
    <n v="26197038.739999998"/>
  </r>
  <r>
    <x v="2"/>
    <s v="03/2022"/>
    <s v="SEC"/>
    <s v="BH Colorado Electric Oper Co"/>
    <s v="Regulated Electric (122)"/>
    <x v="0"/>
    <s v="Distribution Plant - Electric"/>
    <x v="0"/>
    <n v="7"/>
    <s v="136901 - Ele Dist - OH Services"/>
    <x v="13"/>
    <n v="10000140.35"/>
    <n v="4689.72"/>
    <n v="-2718.13"/>
    <n v="0"/>
    <n v="10002111.939999999"/>
  </r>
  <r>
    <x v="2"/>
    <s v="03/2022"/>
    <s v="SEC"/>
    <s v="BH Colorado Electric Oper Co"/>
    <s v="Regulated Electric (122)"/>
    <x v="0"/>
    <s v="Distribution Plant - Electric"/>
    <x v="0"/>
    <n v="7"/>
    <s v="136902 - Ele Dist - UG Services"/>
    <x v="14"/>
    <n v="13309824.15"/>
    <n v="17412.21"/>
    <n v="-318.54000000000002"/>
    <n v="0"/>
    <n v="13326917.82"/>
  </r>
  <r>
    <x v="2"/>
    <s v="03/2022"/>
    <s v="SEC"/>
    <s v="BH Colorado Electric Oper Co"/>
    <s v="Regulated Electric (122)"/>
    <x v="0"/>
    <s v="Distribution Plant - Electric"/>
    <x v="0"/>
    <n v="7"/>
    <s v="137001 - Ele Dist-Meters Other"/>
    <x v="15"/>
    <n v="1713551"/>
    <n v="3987.54"/>
    <n v="0"/>
    <n v="0"/>
    <n v="1717538.54"/>
  </r>
  <r>
    <x v="2"/>
    <s v="03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2"/>
    <s v="03/2022"/>
    <s v="SEC"/>
    <s v="BH Colorado Electric Oper Co"/>
    <s v="Regulated Electric (122)"/>
    <x v="0"/>
    <s v="Distribution Plant - Electric"/>
    <x v="0"/>
    <n v="7"/>
    <s v="137004 - Ele Dist-Meters AMI"/>
    <x v="17"/>
    <n v="17021264.600000001"/>
    <n v="16926"/>
    <n v="0"/>
    <n v="0"/>
    <n v="17038190.600000001"/>
  </r>
  <r>
    <x v="2"/>
    <s v="03/2022"/>
    <s v="SEC"/>
    <s v="BH Colorado Electric Oper Co"/>
    <s v="Regulated Electric (122)"/>
    <x v="0"/>
    <s v="Distribution Plant - Electric"/>
    <x v="0"/>
    <n v="7"/>
    <s v="137100 - Ele Dist-Instal Cst Prmise"/>
    <x v="18"/>
    <n v="2500307.9500000002"/>
    <n v="0"/>
    <n v="-125.82000000000001"/>
    <n v="0"/>
    <n v="2500182.13"/>
  </r>
  <r>
    <x v="2"/>
    <s v="03/2022"/>
    <s v="SEC"/>
    <s v="BH Colorado Electric Oper Co"/>
    <s v="Regulated Electric (122)"/>
    <x v="0"/>
    <s v="Distribution Plant - Electric"/>
    <x v="0"/>
    <n v="7"/>
    <s v="137300 - Ele Dist-Street Lighting"/>
    <x v="19"/>
    <n v="10219251.68"/>
    <n v="7330.31"/>
    <n v="-557.98"/>
    <n v="0"/>
    <n v="10226024.01"/>
  </r>
  <r>
    <x v="2"/>
    <s v="03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2"/>
    <s v="03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2"/>
    <s v="03/2022"/>
    <s v="SEC"/>
    <s v="BH Colorado Electric Oper Co"/>
    <s v="Regulated Electric (122)"/>
    <x v="2"/>
    <s v="Distribution Plant - Electric"/>
    <x v="0"/>
    <n v="7"/>
    <s v="136001 - Ele Dist-Land"/>
    <x v="0"/>
    <n v="0"/>
    <n v="1555.58"/>
    <n v="0"/>
    <n v="0"/>
    <n v="1555.58"/>
  </r>
  <r>
    <x v="2"/>
    <s v="03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2"/>
    <s v="03/2022"/>
    <s v="SEC"/>
    <s v="BH Colorado Electric Oper Co"/>
    <s v="Regulated Electric (122)"/>
    <x v="2"/>
    <s v="Distribution Plant - Electric"/>
    <x v="0"/>
    <n v="7"/>
    <s v="136200 - Ele Dist Sub-Station Equip"/>
    <x v="5"/>
    <n v="79385.95"/>
    <n v="46072.21"/>
    <n v="0"/>
    <n v="0"/>
    <n v="125458.16"/>
  </r>
  <r>
    <x v="2"/>
    <s v="03/2022"/>
    <s v="SEC"/>
    <s v="BH Colorado Electric Oper Co"/>
    <s v="Regulated Electric (122)"/>
    <x v="2"/>
    <s v="Distribution Plant - Electric"/>
    <x v="0"/>
    <n v="7"/>
    <s v="136400 - Ele Dist-Pole/Tower/Fixtur"/>
    <x v="6"/>
    <n v="17944330.890000001"/>
    <n v="89489.540000000008"/>
    <n v="0"/>
    <n v="0"/>
    <n v="18033820.43"/>
  </r>
  <r>
    <x v="2"/>
    <s v="03/2022"/>
    <s v="SEC"/>
    <s v="BH Colorado Electric Oper Co"/>
    <s v="Regulated Electric (122)"/>
    <x v="2"/>
    <s v="Distribution Plant - Electric"/>
    <x v="0"/>
    <n v="7"/>
    <s v="136500 - Ele Dist-OH Conductors"/>
    <x v="7"/>
    <n v="4423673.33"/>
    <n v="-419475.37"/>
    <n v="0"/>
    <n v="0"/>
    <n v="4004197.96"/>
  </r>
  <r>
    <x v="2"/>
    <s v="03/2022"/>
    <s v="SEC"/>
    <s v="BH Colorado Electric Oper Co"/>
    <s v="Regulated Electric (122)"/>
    <x v="2"/>
    <s v="Distribution Plant - Electric"/>
    <x v="0"/>
    <n v="7"/>
    <s v="136600 - Ele Dist-UG Conduit"/>
    <x v="8"/>
    <n v="1959446.13"/>
    <n v="-225593.63"/>
    <n v="0"/>
    <n v="0"/>
    <n v="1733852.5"/>
  </r>
  <r>
    <x v="2"/>
    <s v="03/2022"/>
    <s v="SEC"/>
    <s v="BH Colorado Electric Oper Co"/>
    <s v="Regulated Electric (122)"/>
    <x v="2"/>
    <s v="Distribution Plant - Electric"/>
    <x v="0"/>
    <n v="7"/>
    <s v="136700 - Ele Dist-UG Conductors"/>
    <x v="9"/>
    <n v="5991708.3100000005"/>
    <n v="-441553.64"/>
    <n v="0"/>
    <n v="0"/>
    <n v="5550154.6699999999"/>
  </r>
  <r>
    <x v="2"/>
    <s v="03/2022"/>
    <s v="SEC"/>
    <s v="BH Colorado Electric Oper Co"/>
    <s v="Regulated Electric (122)"/>
    <x v="2"/>
    <s v="Distribution Plant - Electric"/>
    <x v="0"/>
    <n v="7"/>
    <s v="136801 - Ele Dist-Ln Trans-Oth Eqp"/>
    <x v="10"/>
    <n v="702482.42"/>
    <n v="-193226.83000000002"/>
    <n v="0"/>
    <n v="0"/>
    <n v="509255.59"/>
  </r>
  <r>
    <x v="2"/>
    <s v="03/2022"/>
    <s v="SEC"/>
    <s v="BH Colorado Electric Oper Co"/>
    <s v="Regulated Electric (122)"/>
    <x v="2"/>
    <s v="Distribution Plant - Electric"/>
    <x v="0"/>
    <n v="7"/>
    <s v="136802 - Ele Dist-Ln Trans-Conventn"/>
    <x v="11"/>
    <n v="1191696.74"/>
    <n v="-168664.37"/>
    <n v="0"/>
    <n v="0"/>
    <n v="1023032.37"/>
  </r>
  <r>
    <x v="2"/>
    <s v="03/2022"/>
    <s v="SEC"/>
    <s v="BH Colorado Electric Oper Co"/>
    <s v="Regulated Electric (122)"/>
    <x v="2"/>
    <s v="Distribution Plant - Electric"/>
    <x v="0"/>
    <n v="7"/>
    <s v="136803 - Ele Dist-Ln Trans-Padmount"/>
    <x v="12"/>
    <n v="829406.28"/>
    <n v="-194181.82"/>
    <n v="0"/>
    <n v="0"/>
    <n v="635224.46"/>
  </r>
  <r>
    <x v="2"/>
    <s v="03/2022"/>
    <s v="SEC"/>
    <s v="BH Colorado Electric Oper Co"/>
    <s v="Regulated Electric (122)"/>
    <x v="2"/>
    <s v="Distribution Plant - Electric"/>
    <x v="0"/>
    <n v="7"/>
    <s v="136901 - Ele Dist - OH Services"/>
    <x v="13"/>
    <n v="683239.74"/>
    <n v="5025.05"/>
    <n v="0"/>
    <n v="0"/>
    <n v="688264.79"/>
  </r>
  <r>
    <x v="2"/>
    <s v="03/2022"/>
    <s v="SEC"/>
    <s v="BH Colorado Electric Oper Co"/>
    <s v="Regulated Electric (122)"/>
    <x v="2"/>
    <s v="Distribution Plant - Electric"/>
    <x v="0"/>
    <n v="7"/>
    <s v="136902 - Ele Dist - UG Services"/>
    <x v="14"/>
    <n v="961045.32000000007"/>
    <n v="28908.850000000002"/>
    <n v="0"/>
    <n v="0"/>
    <n v="989954.17"/>
  </r>
  <r>
    <x v="2"/>
    <s v="03/2022"/>
    <s v="SEC"/>
    <s v="BH Colorado Electric Oper Co"/>
    <s v="Regulated Electric (122)"/>
    <x v="2"/>
    <s v="Distribution Plant - Electric"/>
    <x v="0"/>
    <n v="7"/>
    <s v="137001 - Ele Dist-Meters Other"/>
    <x v="15"/>
    <n v="8782.66"/>
    <n v="-6558.3"/>
    <n v="0"/>
    <n v="0"/>
    <n v="2224.36"/>
  </r>
  <r>
    <x v="2"/>
    <s v="03/2022"/>
    <s v="SEC"/>
    <s v="BH Colorado Electric Oper Co"/>
    <s v="Regulated Electric (122)"/>
    <x v="2"/>
    <s v="Distribution Plant - Electric"/>
    <x v="0"/>
    <n v="7"/>
    <s v="137004 - Ele Dist-Meters AMI"/>
    <x v="17"/>
    <n v="8782.7100000000009"/>
    <n v="-6558.39"/>
    <n v="0"/>
    <n v="0"/>
    <n v="2224.3200000000002"/>
  </r>
  <r>
    <x v="2"/>
    <s v="03/2022"/>
    <s v="SEC"/>
    <s v="BH Colorado Electric Oper Co"/>
    <s v="Regulated Electric (122)"/>
    <x v="2"/>
    <s v="Distribution Plant - Electric"/>
    <x v="0"/>
    <n v="7"/>
    <s v="137100 - Ele Dist-Instal Cst Prmise"/>
    <x v="18"/>
    <n v="149905.34"/>
    <n v="4061.4700000000003"/>
    <n v="0"/>
    <n v="0"/>
    <n v="153966.81"/>
  </r>
  <r>
    <x v="2"/>
    <s v="03/2022"/>
    <s v="SEC"/>
    <s v="BH Colorado Electric Oper Co"/>
    <s v="Regulated Electric (122)"/>
    <x v="2"/>
    <s v="Distribution Plant - Electric"/>
    <x v="0"/>
    <n v="7"/>
    <s v="137300 - Ele Dist-Street Lighting"/>
    <x v="19"/>
    <n v="1145546.96"/>
    <n v="2043.8300000000002"/>
    <n v="0"/>
    <n v="0"/>
    <n v="1147590.79"/>
  </r>
  <r>
    <x v="3"/>
    <s v="04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3"/>
    <s v="04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3"/>
    <s v="04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3"/>
    <s v="04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3"/>
    <s v="04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3"/>
    <s v="04/2022"/>
    <s v="SEC"/>
    <s v="BH Colorado Electric Oper Co"/>
    <s v="Regulated Electric (122)"/>
    <x v="0"/>
    <s v="Distribution Plant - Electric"/>
    <x v="0"/>
    <n v="7"/>
    <s v="136200 - Ele Dist Sub-Station Equip"/>
    <x v="5"/>
    <n v="51243864.270000003"/>
    <n v="0"/>
    <n v="0"/>
    <n v="0"/>
    <n v="51243864.270000003"/>
  </r>
  <r>
    <x v="3"/>
    <s v="04/2022"/>
    <s v="SEC"/>
    <s v="BH Colorado Electric Oper Co"/>
    <s v="Regulated Electric (122)"/>
    <x v="0"/>
    <s v="Distribution Plant - Electric"/>
    <x v="0"/>
    <n v="7"/>
    <s v="136400 - Ele Dist-Pole/Tower/Fixtur"/>
    <x v="6"/>
    <n v="80804311.260000005"/>
    <n v="661145.27"/>
    <n v="-18859.55"/>
    <n v="0"/>
    <n v="81446596.980000004"/>
  </r>
  <r>
    <x v="3"/>
    <s v="04/2022"/>
    <s v="SEC"/>
    <s v="BH Colorado Electric Oper Co"/>
    <s v="Regulated Electric (122)"/>
    <x v="0"/>
    <s v="Distribution Plant - Electric"/>
    <x v="0"/>
    <n v="7"/>
    <s v="136500 - Ele Dist-OH Conductors"/>
    <x v="7"/>
    <n v="53911672.57"/>
    <n v="191440.17"/>
    <n v="-7753.41"/>
    <n v="0"/>
    <n v="54095359.329999998"/>
  </r>
  <r>
    <x v="3"/>
    <s v="04/2022"/>
    <s v="SEC"/>
    <s v="BH Colorado Electric Oper Co"/>
    <s v="Regulated Electric (122)"/>
    <x v="0"/>
    <s v="Distribution Plant - Electric"/>
    <x v="0"/>
    <n v="7"/>
    <s v="136600 - Ele Dist-UG Conduit"/>
    <x v="8"/>
    <n v="14443864.890000001"/>
    <n v="679373.69000000006"/>
    <n v="-526.99"/>
    <n v="0"/>
    <n v="15122711.59"/>
  </r>
  <r>
    <x v="3"/>
    <s v="04/2022"/>
    <s v="SEC"/>
    <s v="BH Colorado Electric Oper Co"/>
    <s v="Regulated Electric (122)"/>
    <x v="0"/>
    <s v="Distribution Plant - Electric"/>
    <x v="0"/>
    <n v="7"/>
    <s v="136700 - Ele Dist-UG Conductors"/>
    <x v="9"/>
    <n v="28238357.16"/>
    <n v="374771.77"/>
    <n v="-6557.9000000000005"/>
    <n v="0"/>
    <n v="28606571.030000001"/>
  </r>
  <r>
    <x v="3"/>
    <s v="04/2022"/>
    <s v="SEC"/>
    <s v="BH Colorado Electric Oper Co"/>
    <s v="Regulated Electric (122)"/>
    <x v="0"/>
    <s v="Distribution Plant - Electric"/>
    <x v="0"/>
    <n v="7"/>
    <s v="136801 - Ele Dist-Ln Trans-Oth Eqp"/>
    <x v="10"/>
    <n v="9738424.8399999999"/>
    <n v="77271.45"/>
    <n v="-5423.26"/>
    <n v="0"/>
    <n v="9810273.0299999993"/>
  </r>
  <r>
    <x v="3"/>
    <s v="04/2022"/>
    <s v="SEC"/>
    <s v="BH Colorado Electric Oper Co"/>
    <s v="Regulated Electric (122)"/>
    <x v="0"/>
    <s v="Distribution Plant - Electric"/>
    <x v="0"/>
    <n v="7"/>
    <s v="136802 - Ele Dist-Ln Trans-Conventn"/>
    <x v="11"/>
    <n v="31085669.969999999"/>
    <n v="252327.74000000002"/>
    <n v="24042.11"/>
    <n v="0"/>
    <n v="31362039.82"/>
  </r>
  <r>
    <x v="3"/>
    <s v="04/2022"/>
    <s v="SEC"/>
    <s v="BH Colorado Electric Oper Co"/>
    <s v="Regulated Electric (122)"/>
    <x v="0"/>
    <s v="Distribution Plant - Electric"/>
    <x v="0"/>
    <n v="7"/>
    <s v="136803 - Ele Dist-Ln Trans-Padmount"/>
    <x v="12"/>
    <n v="26197038.739999998"/>
    <n v="387213"/>
    <n v="-0.59"/>
    <n v="0"/>
    <n v="26584251.149999999"/>
  </r>
  <r>
    <x v="3"/>
    <s v="04/2022"/>
    <s v="SEC"/>
    <s v="BH Colorado Electric Oper Co"/>
    <s v="Regulated Electric (122)"/>
    <x v="0"/>
    <s v="Distribution Plant - Electric"/>
    <x v="0"/>
    <n v="7"/>
    <s v="136901 - Ele Dist - OH Services"/>
    <x v="13"/>
    <n v="10002111.939999999"/>
    <n v="27018.690000000002"/>
    <n v="-544.70000000000005"/>
    <n v="0"/>
    <n v="10028585.93"/>
  </r>
  <r>
    <x v="3"/>
    <s v="04/2022"/>
    <s v="SEC"/>
    <s v="BH Colorado Electric Oper Co"/>
    <s v="Regulated Electric (122)"/>
    <x v="0"/>
    <s v="Distribution Plant - Electric"/>
    <x v="0"/>
    <n v="7"/>
    <s v="136902 - Ele Dist - UG Services"/>
    <x v="14"/>
    <n v="13326917.82"/>
    <n v="571038.34"/>
    <n v="-682.29"/>
    <n v="0"/>
    <n v="13897273.869999999"/>
  </r>
  <r>
    <x v="3"/>
    <s v="04/2022"/>
    <s v="SEC"/>
    <s v="BH Colorado Electric Oper Co"/>
    <s v="Regulated Electric (122)"/>
    <x v="0"/>
    <s v="Distribution Plant - Electric"/>
    <x v="0"/>
    <n v="7"/>
    <s v="137001 - Ele Dist-Meters Other"/>
    <x v="15"/>
    <n v="1717538.54"/>
    <n v="0"/>
    <n v="0"/>
    <n v="6635.8600000000006"/>
    <n v="1724174.4"/>
  </r>
  <r>
    <x v="3"/>
    <s v="04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3"/>
    <s v="04/2022"/>
    <s v="SEC"/>
    <s v="BH Colorado Electric Oper Co"/>
    <s v="Regulated Electric (122)"/>
    <x v="0"/>
    <s v="Distribution Plant - Electric"/>
    <x v="0"/>
    <n v="7"/>
    <s v="137004 - Ele Dist-Meters AMI"/>
    <x v="17"/>
    <n v="17038190.600000001"/>
    <n v="0"/>
    <n v="504.43"/>
    <n v="52679.75"/>
    <n v="17091374.780000001"/>
  </r>
  <r>
    <x v="3"/>
    <s v="04/2022"/>
    <s v="SEC"/>
    <s v="BH Colorado Electric Oper Co"/>
    <s v="Regulated Electric (122)"/>
    <x v="0"/>
    <s v="Distribution Plant - Electric"/>
    <x v="0"/>
    <n v="7"/>
    <s v="137100 - Ele Dist-Instal Cst Prmise"/>
    <x v="18"/>
    <n v="2500182.13"/>
    <n v="0"/>
    <n v="-2595.65"/>
    <n v="0"/>
    <n v="2497586.48"/>
  </r>
  <r>
    <x v="3"/>
    <s v="04/2022"/>
    <s v="SEC"/>
    <s v="BH Colorado Electric Oper Co"/>
    <s v="Regulated Electric (122)"/>
    <x v="0"/>
    <s v="Distribution Plant - Electric"/>
    <x v="0"/>
    <n v="7"/>
    <s v="137300 - Ele Dist-Street Lighting"/>
    <x v="19"/>
    <n v="10226024.01"/>
    <n v="35273.89"/>
    <n v="-670.62"/>
    <n v="0"/>
    <n v="10260627.279999999"/>
  </r>
  <r>
    <x v="3"/>
    <s v="04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3"/>
    <s v="04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3"/>
    <s v="04/2022"/>
    <s v="SEC"/>
    <s v="BH Colorado Electric Oper Co"/>
    <s v="Regulated Electric (122)"/>
    <x v="2"/>
    <s v="Distribution Plant - Electric"/>
    <x v="0"/>
    <n v="7"/>
    <s v="136001 - Ele Dist-Land"/>
    <x v="0"/>
    <n v="1555.58"/>
    <n v="14831.78"/>
    <n v="0"/>
    <n v="0"/>
    <n v="16387.36"/>
  </r>
  <r>
    <x v="3"/>
    <s v="04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3"/>
    <s v="04/2022"/>
    <s v="SEC"/>
    <s v="BH Colorado Electric Oper Co"/>
    <s v="Regulated Electric (122)"/>
    <x v="2"/>
    <s v="Distribution Plant - Electric"/>
    <x v="0"/>
    <n v="7"/>
    <s v="136200 - Ele Dist Sub-Station Equip"/>
    <x v="5"/>
    <n v="125458.16"/>
    <n v="4389340.47"/>
    <n v="0"/>
    <n v="0"/>
    <n v="4514798.63"/>
  </r>
  <r>
    <x v="3"/>
    <s v="04/2022"/>
    <s v="SEC"/>
    <s v="BH Colorado Electric Oper Co"/>
    <s v="Regulated Electric (122)"/>
    <x v="2"/>
    <s v="Distribution Plant - Electric"/>
    <x v="0"/>
    <n v="7"/>
    <s v="136400 - Ele Dist-Pole/Tower/Fixtur"/>
    <x v="6"/>
    <n v="18033820.43"/>
    <n v="-605930.41"/>
    <n v="0"/>
    <n v="0"/>
    <n v="17427890.02"/>
  </r>
  <r>
    <x v="3"/>
    <s v="04/2022"/>
    <s v="SEC"/>
    <s v="BH Colorado Electric Oper Co"/>
    <s v="Regulated Electric (122)"/>
    <x v="2"/>
    <s v="Distribution Plant - Electric"/>
    <x v="0"/>
    <n v="7"/>
    <s v="136500 - Ele Dist-OH Conductors"/>
    <x v="7"/>
    <n v="4004197.96"/>
    <n v="-34290.620000000003"/>
    <n v="0"/>
    <n v="0"/>
    <n v="3969907.34"/>
  </r>
  <r>
    <x v="3"/>
    <s v="04/2022"/>
    <s v="SEC"/>
    <s v="BH Colorado Electric Oper Co"/>
    <s v="Regulated Electric (122)"/>
    <x v="2"/>
    <s v="Distribution Plant - Electric"/>
    <x v="0"/>
    <n v="7"/>
    <s v="136600 - Ele Dist-UG Conduit"/>
    <x v="8"/>
    <n v="1733852.5"/>
    <n v="-414800.63"/>
    <n v="0"/>
    <n v="0"/>
    <n v="1319051.8700000001"/>
  </r>
  <r>
    <x v="3"/>
    <s v="04/2022"/>
    <s v="SEC"/>
    <s v="BH Colorado Electric Oper Co"/>
    <s v="Regulated Electric (122)"/>
    <x v="2"/>
    <s v="Distribution Plant - Electric"/>
    <x v="0"/>
    <n v="7"/>
    <s v="136700 - Ele Dist-UG Conductors"/>
    <x v="9"/>
    <n v="5550154.6699999999"/>
    <n v="-601075.65"/>
    <n v="0"/>
    <n v="0"/>
    <n v="4949079.0199999996"/>
  </r>
  <r>
    <x v="3"/>
    <s v="04/2022"/>
    <s v="SEC"/>
    <s v="BH Colorado Electric Oper Co"/>
    <s v="Regulated Electric (122)"/>
    <x v="2"/>
    <s v="Distribution Plant - Electric"/>
    <x v="0"/>
    <n v="7"/>
    <s v="136801 - Ele Dist-Ln Trans-Oth Eqp"/>
    <x v="10"/>
    <n v="509255.59"/>
    <n v="-41582.370000000003"/>
    <n v="0"/>
    <n v="0"/>
    <n v="467673.22000000003"/>
  </r>
  <r>
    <x v="3"/>
    <s v="04/2022"/>
    <s v="SEC"/>
    <s v="BH Colorado Electric Oper Co"/>
    <s v="Regulated Electric (122)"/>
    <x v="2"/>
    <s v="Distribution Plant - Electric"/>
    <x v="0"/>
    <n v="7"/>
    <s v="136802 - Ele Dist-Ln Trans-Conventn"/>
    <x v="11"/>
    <n v="1023032.37"/>
    <n v="-2197.42"/>
    <n v="0"/>
    <n v="0"/>
    <n v="1020834.95"/>
  </r>
  <r>
    <x v="3"/>
    <s v="04/2022"/>
    <s v="SEC"/>
    <s v="BH Colorado Electric Oper Co"/>
    <s v="Regulated Electric (122)"/>
    <x v="2"/>
    <s v="Distribution Plant - Electric"/>
    <x v="0"/>
    <n v="7"/>
    <s v="136803 - Ele Dist-Ln Trans-Padmount"/>
    <x v="12"/>
    <n v="635224.46"/>
    <n v="-64827.1"/>
    <n v="0"/>
    <n v="0"/>
    <n v="570397.36"/>
  </r>
  <r>
    <x v="3"/>
    <s v="04/2022"/>
    <s v="SEC"/>
    <s v="BH Colorado Electric Oper Co"/>
    <s v="Regulated Electric (122)"/>
    <x v="2"/>
    <s v="Distribution Plant - Electric"/>
    <x v="0"/>
    <n v="7"/>
    <s v="136901 - Ele Dist - OH Services"/>
    <x v="13"/>
    <n v="688264.79"/>
    <n v="10342.18"/>
    <n v="0"/>
    <n v="0"/>
    <n v="698606.97"/>
  </r>
  <r>
    <x v="3"/>
    <s v="04/2022"/>
    <s v="SEC"/>
    <s v="BH Colorado Electric Oper Co"/>
    <s v="Regulated Electric (122)"/>
    <x v="2"/>
    <s v="Distribution Plant - Electric"/>
    <x v="0"/>
    <n v="7"/>
    <s v="136902 - Ele Dist - UG Services"/>
    <x v="14"/>
    <n v="989954.17"/>
    <n v="-460409.79000000004"/>
    <n v="0"/>
    <n v="0"/>
    <n v="529544.38"/>
  </r>
  <r>
    <x v="3"/>
    <s v="04/2022"/>
    <s v="SEC"/>
    <s v="BH Colorado Electric Oper Co"/>
    <s v="Regulated Electric (122)"/>
    <x v="2"/>
    <s v="Distribution Plant - Electric"/>
    <x v="0"/>
    <n v="7"/>
    <s v="137001 - Ele Dist-Meters Other"/>
    <x v="15"/>
    <n v="2224.36"/>
    <n v="4894.08"/>
    <n v="0"/>
    <n v="0"/>
    <n v="7118.4400000000005"/>
  </r>
  <r>
    <x v="3"/>
    <s v="04/2022"/>
    <s v="SEC"/>
    <s v="BH Colorado Electric Oper Co"/>
    <s v="Regulated Electric (122)"/>
    <x v="2"/>
    <s v="Distribution Plant - Electric"/>
    <x v="0"/>
    <n v="7"/>
    <s v="137004 - Ele Dist-Meters AMI"/>
    <x v="17"/>
    <n v="2224.3200000000002"/>
    <n v="4893.99"/>
    <n v="0"/>
    <n v="0"/>
    <n v="7118.31"/>
  </r>
  <r>
    <x v="3"/>
    <s v="04/2022"/>
    <s v="SEC"/>
    <s v="BH Colorado Electric Oper Co"/>
    <s v="Regulated Electric (122)"/>
    <x v="2"/>
    <s v="Distribution Plant - Electric"/>
    <x v="0"/>
    <n v="7"/>
    <s v="137100 - Ele Dist-Instal Cst Prmise"/>
    <x v="18"/>
    <n v="153966.81"/>
    <n v="-2529.06"/>
    <n v="0"/>
    <n v="0"/>
    <n v="151437.75"/>
  </r>
  <r>
    <x v="3"/>
    <s v="04/2022"/>
    <s v="SEC"/>
    <s v="BH Colorado Electric Oper Co"/>
    <s v="Regulated Electric (122)"/>
    <x v="2"/>
    <s v="Distribution Plant - Electric"/>
    <x v="0"/>
    <n v="7"/>
    <s v="137300 - Ele Dist-Street Lighting"/>
    <x v="19"/>
    <n v="1147590.79"/>
    <n v="5507.57"/>
    <n v="0"/>
    <n v="0"/>
    <n v="1153098.3600000001"/>
  </r>
  <r>
    <x v="4"/>
    <s v="05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4"/>
    <s v="05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4"/>
    <s v="05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4"/>
    <s v="05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4"/>
    <s v="05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4"/>
    <s v="05/2022"/>
    <s v="SEC"/>
    <s v="BH Colorado Electric Oper Co"/>
    <s v="Regulated Electric (122)"/>
    <x v="0"/>
    <s v="Distribution Plant - Electric"/>
    <x v="0"/>
    <n v="7"/>
    <s v="136200 - Ele Dist Sub-Station Equip"/>
    <x v="5"/>
    <n v="51243864.270000003"/>
    <n v="0"/>
    <n v="-2766.44"/>
    <n v="-11131.77"/>
    <n v="51229966.060000002"/>
  </r>
  <r>
    <x v="4"/>
    <s v="05/2022"/>
    <s v="SEC"/>
    <s v="BH Colorado Electric Oper Co"/>
    <s v="Regulated Electric (122)"/>
    <x v="0"/>
    <s v="Distribution Plant - Electric"/>
    <x v="0"/>
    <n v="7"/>
    <s v="136400 - Ele Dist-Pole/Tower/Fixtur"/>
    <x v="6"/>
    <n v="81446596.980000004"/>
    <n v="1158297.45"/>
    <n v="-45898.239999999998"/>
    <n v="0"/>
    <n v="82558996.189999998"/>
  </r>
  <r>
    <x v="4"/>
    <s v="05/2022"/>
    <s v="SEC"/>
    <s v="BH Colorado Electric Oper Co"/>
    <s v="Regulated Electric (122)"/>
    <x v="0"/>
    <s v="Distribution Plant - Electric"/>
    <x v="0"/>
    <n v="7"/>
    <s v="136500 - Ele Dist-OH Conductors"/>
    <x v="7"/>
    <n v="54095359.329999998"/>
    <n v="241196.2"/>
    <n v="-4636.5600000000004"/>
    <n v="-4365.6499999999996"/>
    <n v="54327553.32"/>
  </r>
  <r>
    <x v="4"/>
    <s v="05/2022"/>
    <s v="SEC"/>
    <s v="BH Colorado Electric Oper Co"/>
    <s v="Regulated Electric (122)"/>
    <x v="0"/>
    <s v="Distribution Plant - Electric"/>
    <x v="0"/>
    <n v="7"/>
    <s v="136600 - Ele Dist-UG Conduit"/>
    <x v="8"/>
    <n v="15122711.59"/>
    <n v="76953.919999999998"/>
    <n v="0"/>
    <n v="0"/>
    <n v="15199665.51"/>
  </r>
  <r>
    <x v="4"/>
    <s v="05/2022"/>
    <s v="SEC"/>
    <s v="BH Colorado Electric Oper Co"/>
    <s v="Regulated Electric (122)"/>
    <x v="0"/>
    <s v="Distribution Plant - Electric"/>
    <x v="0"/>
    <n v="7"/>
    <s v="136700 - Ele Dist-UG Conductors"/>
    <x v="9"/>
    <n v="28606571.030000001"/>
    <n v="219740.14"/>
    <n v="-8094.93"/>
    <n v="0"/>
    <n v="28818216.239999998"/>
  </r>
  <r>
    <x v="4"/>
    <s v="05/2022"/>
    <s v="SEC"/>
    <s v="BH Colorado Electric Oper Co"/>
    <s v="Regulated Electric (122)"/>
    <x v="0"/>
    <s v="Distribution Plant - Electric"/>
    <x v="0"/>
    <n v="7"/>
    <s v="136801 - Ele Dist-Ln Trans-Oth Eqp"/>
    <x v="10"/>
    <n v="9810273.0299999993"/>
    <n v="149400.49"/>
    <n v="-6779.91"/>
    <n v="0"/>
    <n v="9952893.6099999994"/>
  </r>
  <r>
    <x v="4"/>
    <s v="05/2022"/>
    <s v="SEC"/>
    <s v="BH Colorado Electric Oper Co"/>
    <s v="Regulated Electric (122)"/>
    <x v="0"/>
    <s v="Distribution Plant - Electric"/>
    <x v="0"/>
    <n v="7"/>
    <s v="136802 - Ele Dist-Ln Trans-Conventn"/>
    <x v="11"/>
    <n v="31362039.82"/>
    <n v="32767.81"/>
    <n v="-532.44000000000005"/>
    <n v="0"/>
    <n v="31394275.190000001"/>
  </r>
  <r>
    <x v="4"/>
    <s v="05/2022"/>
    <s v="SEC"/>
    <s v="BH Colorado Electric Oper Co"/>
    <s v="Regulated Electric (122)"/>
    <x v="0"/>
    <s v="Distribution Plant - Electric"/>
    <x v="0"/>
    <n v="7"/>
    <s v="136803 - Ele Dist-Ln Trans-Padmount"/>
    <x v="12"/>
    <n v="26584251.149999999"/>
    <n v="43399.87"/>
    <n v="-28.900000000000002"/>
    <n v="0"/>
    <n v="26627622.120000001"/>
  </r>
  <r>
    <x v="4"/>
    <s v="05/2022"/>
    <s v="SEC"/>
    <s v="BH Colorado Electric Oper Co"/>
    <s v="Regulated Electric (122)"/>
    <x v="0"/>
    <s v="Distribution Plant - Electric"/>
    <x v="0"/>
    <n v="7"/>
    <s v="136901 - Ele Dist - OH Services"/>
    <x v="13"/>
    <n v="10028585.93"/>
    <n v="3782.91"/>
    <n v="-145.95000000000002"/>
    <n v="0"/>
    <n v="10032222.890000001"/>
  </r>
  <r>
    <x v="4"/>
    <s v="05/2022"/>
    <s v="SEC"/>
    <s v="BH Colorado Electric Oper Co"/>
    <s v="Regulated Electric (122)"/>
    <x v="0"/>
    <s v="Distribution Plant - Electric"/>
    <x v="0"/>
    <n v="7"/>
    <s v="136902 - Ele Dist - UG Services"/>
    <x v="14"/>
    <n v="13897273.869999999"/>
    <n v="18883.11"/>
    <n v="-205.34"/>
    <n v="0"/>
    <n v="13915951.640000001"/>
  </r>
  <r>
    <x v="4"/>
    <s v="05/2022"/>
    <s v="SEC"/>
    <s v="BH Colorado Electric Oper Co"/>
    <s v="Regulated Electric (122)"/>
    <x v="0"/>
    <s v="Distribution Plant - Electric"/>
    <x v="0"/>
    <n v="7"/>
    <s v="137001 - Ele Dist-Meters Other"/>
    <x v="15"/>
    <n v="1724174.4"/>
    <n v="0"/>
    <n v="0"/>
    <n v="3414.26"/>
    <n v="1727588.6600000001"/>
  </r>
  <r>
    <x v="4"/>
    <s v="05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4"/>
    <s v="05/2022"/>
    <s v="SEC"/>
    <s v="BH Colorado Electric Oper Co"/>
    <s v="Regulated Electric (122)"/>
    <x v="0"/>
    <s v="Distribution Plant - Electric"/>
    <x v="0"/>
    <n v="7"/>
    <s v="137004 - Ele Dist-Meters AMI"/>
    <x v="17"/>
    <n v="17091374.780000001"/>
    <n v="0"/>
    <n v="0"/>
    <n v="1644.52"/>
    <n v="17093019.300000001"/>
  </r>
  <r>
    <x v="4"/>
    <s v="05/2022"/>
    <s v="SEC"/>
    <s v="BH Colorado Electric Oper Co"/>
    <s v="Regulated Electric (122)"/>
    <x v="0"/>
    <s v="Distribution Plant - Electric"/>
    <x v="0"/>
    <n v="7"/>
    <s v="137100 - Ele Dist-Instal Cst Prmise"/>
    <x v="18"/>
    <n v="2497586.48"/>
    <n v="0"/>
    <n v="-2013.18"/>
    <n v="0"/>
    <n v="2495573.2999999998"/>
  </r>
  <r>
    <x v="4"/>
    <s v="05/2022"/>
    <s v="SEC"/>
    <s v="BH Colorado Electric Oper Co"/>
    <s v="Regulated Electric (122)"/>
    <x v="0"/>
    <s v="Distribution Plant - Electric"/>
    <x v="0"/>
    <n v="7"/>
    <s v="137300 - Ele Dist-Street Lighting"/>
    <x v="19"/>
    <n v="10260627.279999999"/>
    <n v="86744.94"/>
    <n v="-2765.38"/>
    <n v="0"/>
    <n v="10344606.84"/>
  </r>
  <r>
    <x v="4"/>
    <s v="05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4"/>
    <s v="05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4"/>
    <s v="05/2022"/>
    <s v="SEC"/>
    <s v="BH Colorado Electric Oper Co"/>
    <s v="Regulated Electric (122)"/>
    <x v="2"/>
    <s v="Distribution Plant - Electric"/>
    <x v="0"/>
    <n v="7"/>
    <s v="136001 - Ele Dist-Land"/>
    <x v="0"/>
    <n v="16387.36"/>
    <n v="-10.32"/>
    <n v="0"/>
    <n v="0"/>
    <n v="16377.04"/>
  </r>
  <r>
    <x v="4"/>
    <s v="05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4"/>
    <s v="05/2022"/>
    <s v="SEC"/>
    <s v="BH Colorado Electric Oper Co"/>
    <s v="Regulated Electric (122)"/>
    <x v="2"/>
    <s v="Distribution Plant - Electric"/>
    <x v="0"/>
    <n v="7"/>
    <s v="136200 - Ele Dist Sub-Station Equip"/>
    <x v="5"/>
    <n v="4514798.63"/>
    <n v="21060.12"/>
    <n v="0"/>
    <n v="0"/>
    <n v="4535858.75"/>
  </r>
  <r>
    <x v="4"/>
    <s v="05/2022"/>
    <s v="SEC"/>
    <s v="BH Colorado Electric Oper Co"/>
    <s v="Regulated Electric (122)"/>
    <x v="2"/>
    <s v="Distribution Plant - Electric"/>
    <x v="0"/>
    <n v="7"/>
    <s v="136400 - Ele Dist-Pole/Tower/Fixtur"/>
    <x v="6"/>
    <n v="17427890.02"/>
    <n v="544555.25"/>
    <n v="0"/>
    <n v="0"/>
    <n v="17972445.27"/>
  </r>
  <r>
    <x v="4"/>
    <s v="05/2022"/>
    <s v="SEC"/>
    <s v="BH Colorado Electric Oper Co"/>
    <s v="Regulated Electric (122)"/>
    <x v="2"/>
    <s v="Distribution Plant - Electric"/>
    <x v="0"/>
    <n v="7"/>
    <s v="136500 - Ele Dist-OH Conductors"/>
    <x v="7"/>
    <n v="3969907.34"/>
    <n v="12249.62"/>
    <n v="0"/>
    <n v="0"/>
    <n v="3982156.96"/>
  </r>
  <r>
    <x v="4"/>
    <s v="05/2022"/>
    <s v="SEC"/>
    <s v="BH Colorado Electric Oper Co"/>
    <s v="Regulated Electric (122)"/>
    <x v="2"/>
    <s v="Distribution Plant - Electric"/>
    <x v="0"/>
    <n v="7"/>
    <s v="136600 - Ele Dist-UG Conduit"/>
    <x v="8"/>
    <n v="1319051.8700000001"/>
    <n v="-43788.55"/>
    <n v="0"/>
    <n v="0"/>
    <n v="1275263.32"/>
  </r>
  <r>
    <x v="4"/>
    <s v="05/2022"/>
    <s v="SEC"/>
    <s v="BH Colorado Electric Oper Co"/>
    <s v="Regulated Electric (122)"/>
    <x v="2"/>
    <s v="Distribution Plant - Electric"/>
    <x v="0"/>
    <n v="7"/>
    <s v="136700 - Ele Dist-UG Conductors"/>
    <x v="9"/>
    <n v="4949079.0199999996"/>
    <n v="-97920.77"/>
    <n v="0"/>
    <n v="0"/>
    <n v="4851158.25"/>
  </r>
  <r>
    <x v="4"/>
    <s v="05/2022"/>
    <s v="SEC"/>
    <s v="BH Colorado Electric Oper Co"/>
    <s v="Regulated Electric (122)"/>
    <x v="2"/>
    <s v="Distribution Plant - Electric"/>
    <x v="0"/>
    <n v="7"/>
    <s v="136801 - Ele Dist-Ln Trans-Oth Eqp"/>
    <x v="10"/>
    <n v="467673.22000000003"/>
    <n v="-75554.94"/>
    <n v="0"/>
    <n v="0"/>
    <n v="392118.28"/>
  </r>
  <r>
    <x v="4"/>
    <s v="05/2022"/>
    <s v="SEC"/>
    <s v="BH Colorado Electric Oper Co"/>
    <s v="Regulated Electric (122)"/>
    <x v="2"/>
    <s v="Distribution Plant - Electric"/>
    <x v="0"/>
    <n v="7"/>
    <s v="136802 - Ele Dist-Ln Trans-Conventn"/>
    <x v="11"/>
    <n v="1020834.95"/>
    <n v="-45805.49"/>
    <n v="0"/>
    <n v="0"/>
    <n v="975029.46"/>
  </r>
  <r>
    <x v="4"/>
    <s v="05/2022"/>
    <s v="SEC"/>
    <s v="BH Colorado Electric Oper Co"/>
    <s v="Regulated Electric (122)"/>
    <x v="2"/>
    <s v="Distribution Plant - Electric"/>
    <x v="0"/>
    <n v="7"/>
    <s v="136803 - Ele Dist-Ln Trans-Padmount"/>
    <x v="12"/>
    <n v="570397.36"/>
    <n v="41224.47"/>
    <n v="0"/>
    <n v="0"/>
    <n v="611621.82999999996"/>
  </r>
  <r>
    <x v="4"/>
    <s v="05/2022"/>
    <s v="SEC"/>
    <s v="BH Colorado Electric Oper Co"/>
    <s v="Regulated Electric (122)"/>
    <x v="2"/>
    <s v="Distribution Plant - Electric"/>
    <x v="0"/>
    <n v="7"/>
    <s v="136901 - Ele Dist - OH Services"/>
    <x v="13"/>
    <n v="698606.97"/>
    <n v="-18329.689999999999"/>
    <n v="0"/>
    <n v="0"/>
    <n v="680277.28"/>
  </r>
  <r>
    <x v="4"/>
    <s v="05/2022"/>
    <s v="SEC"/>
    <s v="BH Colorado Electric Oper Co"/>
    <s v="Regulated Electric (122)"/>
    <x v="2"/>
    <s v="Distribution Plant - Electric"/>
    <x v="0"/>
    <n v="7"/>
    <s v="136902 - Ele Dist - UG Services"/>
    <x v="14"/>
    <n v="529544.38"/>
    <n v="34644.699999999997"/>
    <n v="0"/>
    <n v="0"/>
    <n v="564189.07999999996"/>
  </r>
  <r>
    <x v="4"/>
    <s v="05/2022"/>
    <s v="SEC"/>
    <s v="BH Colorado Electric Oper Co"/>
    <s v="Regulated Electric (122)"/>
    <x v="2"/>
    <s v="Distribution Plant - Electric"/>
    <x v="0"/>
    <n v="7"/>
    <s v="137001 - Ele Dist-Meters Other"/>
    <x v="15"/>
    <n v="7118.4400000000005"/>
    <n v="2417.1799999999998"/>
    <n v="0"/>
    <n v="0"/>
    <n v="9535.6200000000008"/>
  </r>
  <r>
    <x v="4"/>
    <s v="05/2022"/>
    <s v="SEC"/>
    <s v="BH Colorado Electric Oper Co"/>
    <s v="Regulated Electric (122)"/>
    <x v="2"/>
    <s v="Distribution Plant - Electric"/>
    <x v="0"/>
    <n v="7"/>
    <s v="137004 - Ele Dist-Meters AMI"/>
    <x v="17"/>
    <n v="7118.31"/>
    <n v="2417.14"/>
    <n v="0"/>
    <n v="0"/>
    <n v="9535.4500000000007"/>
  </r>
  <r>
    <x v="4"/>
    <s v="05/2022"/>
    <s v="SEC"/>
    <s v="BH Colorado Electric Oper Co"/>
    <s v="Regulated Electric (122)"/>
    <x v="2"/>
    <s v="Distribution Plant - Electric"/>
    <x v="0"/>
    <n v="7"/>
    <s v="137100 - Ele Dist-Instal Cst Prmise"/>
    <x v="18"/>
    <n v="151437.75"/>
    <n v="-25481.86"/>
    <n v="0"/>
    <n v="0"/>
    <n v="125955.89"/>
  </r>
  <r>
    <x v="4"/>
    <s v="05/2022"/>
    <s v="SEC"/>
    <s v="BH Colorado Electric Oper Co"/>
    <s v="Regulated Electric (122)"/>
    <x v="2"/>
    <s v="Distribution Plant - Electric"/>
    <x v="0"/>
    <n v="7"/>
    <s v="137300 - Ele Dist-Street Lighting"/>
    <x v="19"/>
    <n v="1153098.3600000001"/>
    <n v="-129060.87000000001"/>
    <n v="0"/>
    <n v="0"/>
    <n v="1024037.49"/>
  </r>
  <r>
    <x v="5"/>
    <s v="06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5"/>
    <s v="06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5"/>
    <s v="06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5"/>
    <s v="06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5"/>
    <s v="06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5"/>
    <s v="06/2022"/>
    <s v="SEC"/>
    <s v="BH Colorado Electric Oper Co"/>
    <s v="Regulated Electric (122)"/>
    <x v="0"/>
    <s v="Distribution Plant - Electric"/>
    <x v="0"/>
    <n v="7"/>
    <s v="136200 - Ele Dist Sub-Station Equip"/>
    <x v="5"/>
    <n v="51229966.060000002"/>
    <n v="0"/>
    <n v="-748.81000000000006"/>
    <n v="0"/>
    <n v="51229217.25"/>
  </r>
  <r>
    <x v="5"/>
    <s v="06/2022"/>
    <s v="SEC"/>
    <s v="BH Colorado Electric Oper Co"/>
    <s v="Regulated Electric (122)"/>
    <x v="0"/>
    <s v="Distribution Plant - Electric"/>
    <x v="0"/>
    <n v="7"/>
    <s v="136400 - Ele Dist-Pole/Tower/Fixtur"/>
    <x v="6"/>
    <n v="82558996.189999998"/>
    <n v="689117.68"/>
    <n v="-46728.82"/>
    <n v="0"/>
    <n v="83201385.049999997"/>
  </r>
  <r>
    <x v="5"/>
    <s v="06/2022"/>
    <s v="SEC"/>
    <s v="BH Colorado Electric Oper Co"/>
    <s v="Regulated Electric (122)"/>
    <x v="0"/>
    <s v="Distribution Plant - Electric"/>
    <x v="0"/>
    <n v="7"/>
    <s v="136500 - Ele Dist-OH Conductors"/>
    <x v="7"/>
    <n v="54327553.32"/>
    <n v="96970.12"/>
    <n v="-3057.34"/>
    <n v="0"/>
    <n v="54421466.100000001"/>
  </r>
  <r>
    <x v="5"/>
    <s v="06/2022"/>
    <s v="SEC"/>
    <s v="BH Colorado Electric Oper Co"/>
    <s v="Regulated Electric (122)"/>
    <x v="0"/>
    <s v="Distribution Plant - Electric"/>
    <x v="0"/>
    <n v="7"/>
    <s v="136600 - Ele Dist-UG Conduit"/>
    <x v="8"/>
    <n v="15199665.51"/>
    <n v="140713.46"/>
    <n v="-1023.89"/>
    <n v="0"/>
    <n v="15339355.08"/>
  </r>
  <r>
    <x v="5"/>
    <s v="06/2022"/>
    <s v="SEC"/>
    <s v="BH Colorado Electric Oper Co"/>
    <s v="Regulated Electric (122)"/>
    <x v="0"/>
    <s v="Distribution Plant - Electric"/>
    <x v="0"/>
    <n v="7"/>
    <s v="136700 - Ele Dist-UG Conductors"/>
    <x v="9"/>
    <n v="28818216.239999998"/>
    <n v="175058.66"/>
    <n v="-5874.46"/>
    <n v="0"/>
    <n v="28987400.440000001"/>
  </r>
  <r>
    <x v="5"/>
    <s v="06/2022"/>
    <s v="SEC"/>
    <s v="BH Colorado Electric Oper Co"/>
    <s v="Regulated Electric (122)"/>
    <x v="0"/>
    <s v="Distribution Plant - Electric"/>
    <x v="0"/>
    <n v="7"/>
    <s v="136801 - Ele Dist-Ln Trans-Oth Eqp"/>
    <x v="10"/>
    <n v="9952893.6099999994"/>
    <n v="70735.28"/>
    <n v="-6914.56"/>
    <n v="0"/>
    <n v="10016714.33"/>
  </r>
  <r>
    <x v="5"/>
    <s v="06/2022"/>
    <s v="SEC"/>
    <s v="BH Colorado Electric Oper Co"/>
    <s v="Regulated Electric (122)"/>
    <x v="0"/>
    <s v="Distribution Plant - Electric"/>
    <x v="0"/>
    <n v="7"/>
    <s v="136802 - Ele Dist-Ln Trans-Conventn"/>
    <x v="11"/>
    <n v="31394275.190000001"/>
    <n v="329783.61"/>
    <n v="3322.39"/>
    <n v="0"/>
    <n v="31727381.190000001"/>
  </r>
  <r>
    <x v="5"/>
    <s v="06/2022"/>
    <s v="SEC"/>
    <s v="BH Colorado Electric Oper Co"/>
    <s v="Regulated Electric (122)"/>
    <x v="0"/>
    <s v="Distribution Plant - Electric"/>
    <x v="0"/>
    <n v="7"/>
    <s v="136803 - Ele Dist-Ln Trans-Padmount"/>
    <x v="12"/>
    <n v="26627622.120000001"/>
    <n v="332865.98"/>
    <n v="-57.85"/>
    <n v="0"/>
    <n v="26960430.25"/>
  </r>
  <r>
    <x v="5"/>
    <s v="06/2022"/>
    <s v="SEC"/>
    <s v="BH Colorado Electric Oper Co"/>
    <s v="Regulated Electric (122)"/>
    <x v="0"/>
    <s v="Distribution Plant - Electric"/>
    <x v="0"/>
    <n v="7"/>
    <s v="136901 - Ele Dist - OH Services"/>
    <x v="13"/>
    <n v="10032222.890000001"/>
    <n v="31273.200000000001"/>
    <n v="-977.37"/>
    <n v="0"/>
    <n v="10062518.720000001"/>
  </r>
  <r>
    <x v="5"/>
    <s v="06/2022"/>
    <s v="SEC"/>
    <s v="BH Colorado Electric Oper Co"/>
    <s v="Regulated Electric (122)"/>
    <x v="0"/>
    <s v="Distribution Plant - Electric"/>
    <x v="0"/>
    <n v="7"/>
    <s v="136902 - Ele Dist - UG Services"/>
    <x v="14"/>
    <n v="13915951.640000001"/>
    <n v="35416.93"/>
    <n v="-2842.37"/>
    <n v="0"/>
    <n v="13948526.199999999"/>
  </r>
  <r>
    <x v="5"/>
    <s v="06/2022"/>
    <s v="SEC"/>
    <s v="BH Colorado Electric Oper Co"/>
    <s v="Regulated Electric (122)"/>
    <x v="0"/>
    <s v="Distribution Plant - Electric"/>
    <x v="0"/>
    <n v="7"/>
    <s v="137001 - Ele Dist-Meters Other"/>
    <x v="15"/>
    <n v="1727588.6600000001"/>
    <n v="5603.49"/>
    <n v="0"/>
    <n v="10242.790000000001"/>
    <n v="1743434.94"/>
  </r>
  <r>
    <x v="5"/>
    <s v="06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5"/>
    <s v="06/2022"/>
    <s v="SEC"/>
    <s v="BH Colorado Electric Oper Co"/>
    <s v="Regulated Electric (122)"/>
    <x v="0"/>
    <s v="Distribution Plant - Electric"/>
    <x v="0"/>
    <n v="7"/>
    <s v="137004 - Ele Dist-Meters AMI"/>
    <x v="17"/>
    <n v="17093019.300000001"/>
    <n v="15000.59"/>
    <n v="0"/>
    <n v="0"/>
    <n v="17108019.890000001"/>
  </r>
  <r>
    <x v="5"/>
    <s v="06/2022"/>
    <s v="SEC"/>
    <s v="BH Colorado Electric Oper Co"/>
    <s v="Regulated Electric (122)"/>
    <x v="0"/>
    <s v="Distribution Plant - Electric"/>
    <x v="0"/>
    <n v="7"/>
    <s v="137100 - Ele Dist-Instal Cst Prmise"/>
    <x v="18"/>
    <n v="2495573.2999999998"/>
    <n v="901.21"/>
    <n v="400.67"/>
    <n v="0"/>
    <n v="2496875.1800000002"/>
  </r>
  <r>
    <x v="5"/>
    <s v="06/2022"/>
    <s v="SEC"/>
    <s v="BH Colorado Electric Oper Co"/>
    <s v="Regulated Electric (122)"/>
    <x v="0"/>
    <s v="Distribution Plant - Electric"/>
    <x v="0"/>
    <n v="7"/>
    <s v="137300 - Ele Dist-Street Lighting"/>
    <x v="19"/>
    <n v="10344606.84"/>
    <n v="30316.39"/>
    <n v="-2498.41"/>
    <n v="0"/>
    <n v="10372424.82"/>
  </r>
  <r>
    <x v="5"/>
    <s v="06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5"/>
    <s v="06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5"/>
    <s v="06/2022"/>
    <s v="SEC"/>
    <s v="BH Colorado Electric Oper Co"/>
    <s v="Regulated Electric (122)"/>
    <x v="2"/>
    <s v="Distribution Plant - Electric"/>
    <x v="0"/>
    <n v="7"/>
    <s v="136001 - Ele Dist-Land"/>
    <x v="0"/>
    <n v="16377.04"/>
    <n v="41543.040000000001"/>
    <n v="0"/>
    <n v="0"/>
    <n v="57920.08"/>
  </r>
  <r>
    <x v="5"/>
    <s v="06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5"/>
    <s v="06/2022"/>
    <s v="SEC"/>
    <s v="BH Colorado Electric Oper Co"/>
    <s v="Regulated Electric (122)"/>
    <x v="2"/>
    <s v="Distribution Plant - Electric"/>
    <x v="0"/>
    <n v="7"/>
    <s v="136200 - Ele Dist Sub-Station Equip"/>
    <x v="5"/>
    <n v="4535858.75"/>
    <n v="1382.01"/>
    <n v="0"/>
    <n v="0"/>
    <n v="4537240.76"/>
  </r>
  <r>
    <x v="5"/>
    <s v="06/2022"/>
    <s v="SEC"/>
    <s v="BH Colorado Electric Oper Co"/>
    <s v="Regulated Electric (122)"/>
    <x v="2"/>
    <s v="Distribution Plant - Electric"/>
    <x v="0"/>
    <n v="7"/>
    <s v="136400 - Ele Dist-Pole/Tower/Fixtur"/>
    <x v="6"/>
    <n v="17972445.27"/>
    <n v="-428458.2"/>
    <n v="0"/>
    <n v="0"/>
    <n v="17543987.07"/>
  </r>
  <r>
    <x v="5"/>
    <s v="06/2022"/>
    <s v="SEC"/>
    <s v="BH Colorado Electric Oper Co"/>
    <s v="Regulated Electric (122)"/>
    <x v="2"/>
    <s v="Distribution Plant - Electric"/>
    <x v="0"/>
    <n v="7"/>
    <s v="136500 - Ele Dist-OH Conductors"/>
    <x v="7"/>
    <n v="3982156.96"/>
    <n v="-242694.64"/>
    <n v="0"/>
    <n v="0"/>
    <n v="3739462.3200000003"/>
  </r>
  <r>
    <x v="5"/>
    <s v="06/2022"/>
    <s v="SEC"/>
    <s v="BH Colorado Electric Oper Co"/>
    <s v="Regulated Electric (122)"/>
    <x v="2"/>
    <s v="Distribution Plant - Electric"/>
    <x v="0"/>
    <n v="7"/>
    <s v="136600 - Ele Dist-UG Conduit"/>
    <x v="8"/>
    <n v="1275263.32"/>
    <n v="116563.51000000001"/>
    <n v="0"/>
    <n v="0"/>
    <n v="1391826.83"/>
  </r>
  <r>
    <x v="5"/>
    <s v="06/2022"/>
    <s v="SEC"/>
    <s v="BH Colorado Electric Oper Co"/>
    <s v="Regulated Electric (122)"/>
    <x v="2"/>
    <s v="Distribution Plant - Electric"/>
    <x v="0"/>
    <n v="7"/>
    <s v="136700 - Ele Dist-UG Conductors"/>
    <x v="9"/>
    <n v="4851158.25"/>
    <n v="-196555.23"/>
    <n v="0"/>
    <n v="0"/>
    <n v="4654603.0199999996"/>
  </r>
  <r>
    <x v="5"/>
    <s v="06/2022"/>
    <s v="SEC"/>
    <s v="BH Colorado Electric Oper Co"/>
    <s v="Regulated Electric (122)"/>
    <x v="2"/>
    <s v="Distribution Plant - Electric"/>
    <x v="0"/>
    <n v="7"/>
    <s v="136801 - Ele Dist-Ln Trans-Oth Eqp"/>
    <x v="10"/>
    <n v="392118.28"/>
    <n v="15300.66"/>
    <n v="0"/>
    <n v="0"/>
    <n v="407418.94"/>
  </r>
  <r>
    <x v="5"/>
    <s v="06/2022"/>
    <s v="SEC"/>
    <s v="BH Colorado Electric Oper Co"/>
    <s v="Regulated Electric (122)"/>
    <x v="2"/>
    <s v="Distribution Plant - Electric"/>
    <x v="0"/>
    <n v="7"/>
    <s v="136802 - Ele Dist-Ln Trans-Conventn"/>
    <x v="11"/>
    <n v="975029.46"/>
    <n v="62552.68"/>
    <n v="0"/>
    <n v="0"/>
    <n v="1037582.14"/>
  </r>
  <r>
    <x v="5"/>
    <s v="06/2022"/>
    <s v="SEC"/>
    <s v="BH Colorado Electric Oper Co"/>
    <s v="Regulated Electric (122)"/>
    <x v="2"/>
    <s v="Distribution Plant - Electric"/>
    <x v="0"/>
    <n v="7"/>
    <s v="136803 - Ele Dist-Ln Trans-Padmount"/>
    <x v="12"/>
    <n v="611621.82999999996"/>
    <n v="9312.52"/>
    <n v="0"/>
    <n v="0"/>
    <n v="620934.35"/>
  </r>
  <r>
    <x v="5"/>
    <s v="06/2022"/>
    <s v="SEC"/>
    <s v="BH Colorado Electric Oper Co"/>
    <s v="Regulated Electric (122)"/>
    <x v="2"/>
    <s v="Distribution Plant - Electric"/>
    <x v="0"/>
    <n v="7"/>
    <s v="136901 - Ele Dist - OH Services"/>
    <x v="13"/>
    <n v="680277.28"/>
    <n v="-76500.03"/>
    <n v="0"/>
    <n v="0"/>
    <n v="603777.25"/>
  </r>
  <r>
    <x v="5"/>
    <s v="06/2022"/>
    <s v="SEC"/>
    <s v="BH Colorado Electric Oper Co"/>
    <s v="Regulated Electric (122)"/>
    <x v="2"/>
    <s v="Distribution Plant - Electric"/>
    <x v="0"/>
    <n v="7"/>
    <s v="136902 - Ele Dist - UG Services"/>
    <x v="14"/>
    <n v="564189.07999999996"/>
    <n v="60661.29"/>
    <n v="0"/>
    <n v="0"/>
    <n v="624850.37"/>
  </r>
  <r>
    <x v="5"/>
    <s v="06/2022"/>
    <s v="SEC"/>
    <s v="BH Colorado Electric Oper Co"/>
    <s v="Regulated Electric (122)"/>
    <x v="2"/>
    <s v="Distribution Plant - Electric"/>
    <x v="0"/>
    <n v="7"/>
    <s v="137001 - Ele Dist-Meters Other"/>
    <x v="15"/>
    <n v="9535.6200000000008"/>
    <n v="-3336.82"/>
    <n v="0"/>
    <n v="0"/>
    <n v="6198.8"/>
  </r>
  <r>
    <x v="5"/>
    <s v="06/2022"/>
    <s v="SEC"/>
    <s v="BH Colorado Electric Oper Co"/>
    <s v="Regulated Electric (122)"/>
    <x v="2"/>
    <s v="Distribution Plant - Electric"/>
    <x v="0"/>
    <n v="7"/>
    <s v="137004 - Ele Dist-Meters AMI"/>
    <x v="17"/>
    <n v="9535.4500000000007"/>
    <n v="-8734.630000000001"/>
    <n v="0"/>
    <n v="0"/>
    <n v="800.82"/>
  </r>
  <r>
    <x v="5"/>
    <s v="06/2022"/>
    <s v="SEC"/>
    <s v="BH Colorado Electric Oper Co"/>
    <s v="Regulated Electric (122)"/>
    <x v="2"/>
    <s v="Distribution Plant - Electric"/>
    <x v="0"/>
    <n v="7"/>
    <s v="137100 - Ele Dist-Instal Cst Prmise"/>
    <x v="18"/>
    <n v="125955.89"/>
    <n v="12009.69"/>
    <n v="0"/>
    <n v="0"/>
    <n v="137965.58000000002"/>
  </r>
  <r>
    <x v="5"/>
    <s v="06/2022"/>
    <s v="SEC"/>
    <s v="BH Colorado Electric Oper Co"/>
    <s v="Regulated Electric (122)"/>
    <x v="2"/>
    <s v="Distribution Plant - Electric"/>
    <x v="0"/>
    <n v="7"/>
    <s v="137300 - Ele Dist-Street Lighting"/>
    <x v="19"/>
    <n v="1024037.49"/>
    <n v="10265.56"/>
    <n v="0"/>
    <n v="0"/>
    <n v="1034303.05"/>
  </r>
  <r>
    <x v="6"/>
    <s v="07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6"/>
    <s v="07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6"/>
    <s v="07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6"/>
    <s v="07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6"/>
    <s v="07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6"/>
    <s v="07/2022"/>
    <s v="SEC"/>
    <s v="BH Colorado Electric Oper Co"/>
    <s v="Regulated Electric (122)"/>
    <x v="0"/>
    <s v="Distribution Plant - Electric"/>
    <x v="0"/>
    <n v="7"/>
    <s v="136200 - Ele Dist Sub-Station Equip"/>
    <x v="5"/>
    <n v="51229217.25"/>
    <n v="1563.19"/>
    <n v="0"/>
    <n v="0"/>
    <n v="51230780.439999998"/>
  </r>
  <r>
    <x v="6"/>
    <s v="07/2022"/>
    <s v="SEC"/>
    <s v="BH Colorado Electric Oper Co"/>
    <s v="Regulated Electric (122)"/>
    <x v="0"/>
    <s v="Distribution Plant - Electric"/>
    <x v="0"/>
    <n v="7"/>
    <s v="136400 - Ele Dist-Pole/Tower/Fixtur"/>
    <x v="6"/>
    <n v="83201385.049999997"/>
    <n v="-4260.92"/>
    <n v="-42398.21"/>
    <n v="0"/>
    <n v="83154725.920000002"/>
  </r>
  <r>
    <x v="6"/>
    <s v="07/2022"/>
    <s v="SEC"/>
    <s v="BH Colorado Electric Oper Co"/>
    <s v="Regulated Electric (122)"/>
    <x v="0"/>
    <s v="Distribution Plant - Electric"/>
    <x v="0"/>
    <n v="7"/>
    <s v="136500 - Ele Dist-OH Conductors"/>
    <x v="7"/>
    <n v="54421466.100000001"/>
    <n v="162556.6"/>
    <n v="-61897.279999999999"/>
    <n v="0"/>
    <n v="54522125.420000002"/>
  </r>
  <r>
    <x v="6"/>
    <s v="07/2022"/>
    <s v="SEC"/>
    <s v="BH Colorado Electric Oper Co"/>
    <s v="Regulated Electric (122)"/>
    <x v="0"/>
    <s v="Distribution Plant - Electric"/>
    <x v="0"/>
    <n v="7"/>
    <s v="136600 - Ele Dist-UG Conduit"/>
    <x v="8"/>
    <n v="15339355.08"/>
    <n v="507490.44"/>
    <n v="-29353.83"/>
    <n v="0"/>
    <n v="15817491.689999999"/>
  </r>
  <r>
    <x v="6"/>
    <s v="07/2022"/>
    <s v="SEC"/>
    <s v="BH Colorado Electric Oper Co"/>
    <s v="Regulated Electric (122)"/>
    <x v="0"/>
    <s v="Distribution Plant - Electric"/>
    <x v="0"/>
    <n v="7"/>
    <s v="136700 - Ele Dist-UG Conductors"/>
    <x v="9"/>
    <n v="28987400.440000001"/>
    <n v="288489.58"/>
    <n v="-19484.3"/>
    <n v="0"/>
    <n v="29256405.719999999"/>
  </r>
  <r>
    <x v="6"/>
    <s v="07/2022"/>
    <s v="SEC"/>
    <s v="BH Colorado Electric Oper Co"/>
    <s v="Regulated Electric (122)"/>
    <x v="0"/>
    <s v="Distribution Plant - Electric"/>
    <x v="0"/>
    <n v="7"/>
    <s v="136801 - Ele Dist-Ln Trans-Oth Eqp"/>
    <x v="10"/>
    <n v="10016714.33"/>
    <n v="197556.16"/>
    <n v="-23311.170000000002"/>
    <n v="0"/>
    <n v="10190959.32"/>
  </r>
  <r>
    <x v="6"/>
    <s v="07/2022"/>
    <s v="SEC"/>
    <s v="BH Colorado Electric Oper Co"/>
    <s v="Regulated Electric (122)"/>
    <x v="0"/>
    <s v="Distribution Plant - Electric"/>
    <x v="0"/>
    <n v="7"/>
    <s v="136802 - Ele Dist-Ln Trans-Conventn"/>
    <x v="11"/>
    <n v="31727381.190000001"/>
    <n v="195376.38"/>
    <n v="-503.25"/>
    <n v="0"/>
    <n v="31922254.32"/>
  </r>
  <r>
    <x v="6"/>
    <s v="07/2022"/>
    <s v="SEC"/>
    <s v="BH Colorado Electric Oper Co"/>
    <s v="Regulated Electric (122)"/>
    <x v="0"/>
    <s v="Distribution Plant - Electric"/>
    <x v="0"/>
    <n v="7"/>
    <s v="136803 - Ele Dist-Ln Trans-Padmount"/>
    <x v="12"/>
    <n v="26960430.25"/>
    <n v="23302.86"/>
    <n v="0"/>
    <n v="0"/>
    <n v="26983733.109999999"/>
  </r>
  <r>
    <x v="6"/>
    <s v="07/2022"/>
    <s v="SEC"/>
    <s v="BH Colorado Electric Oper Co"/>
    <s v="Regulated Electric (122)"/>
    <x v="0"/>
    <s v="Distribution Plant - Electric"/>
    <x v="0"/>
    <n v="7"/>
    <s v="136901 - Ele Dist - OH Services"/>
    <x v="13"/>
    <n v="10062518.720000001"/>
    <n v="723441.77"/>
    <n v="0"/>
    <n v="0"/>
    <n v="10785960.49"/>
  </r>
  <r>
    <x v="6"/>
    <s v="07/2022"/>
    <s v="SEC"/>
    <s v="BH Colorado Electric Oper Co"/>
    <s v="Regulated Electric (122)"/>
    <x v="0"/>
    <s v="Distribution Plant - Electric"/>
    <x v="0"/>
    <n v="7"/>
    <s v="136902 - Ele Dist - UG Services"/>
    <x v="14"/>
    <n v="13948526.199999999"/>
    <n v="218708.68"/>
    <n v="0"/>
    <n v="0"/>
    <n v="14167234.880000001"/>
  </r>
  <r>
    <x v="6"/>
    <s v="07/2022"/>
    <s v="SEC"/>
    <s v="BH Colorado Electric Oper Co"/>
    <s v="Regulated Electric (122)"/>
    <x v="0"/>
    <s v="Distribution Plant - Electric"/>
    <x v="0"/>
    <n v="7"/>
    <s v="137001 - Ele Dist-Meters Other"/>
    <x v="15"/>
    <n v="1743434.94"/>
    <n v="0"/>
    <n v="0"/>
    <n v="0"/>
    <n v="1743434.94"/>
  </r>
  <r>
    <x v="6"/>
    <s v="07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6"/>
    <s v="07/2022"/>
    <s v="SEC"/>
    <s v="BH Colorado Electric Oper Co"/>
    <s v="Regulated Electric (122)"/>
    <x v="0"/>
    <s v="Distribution Plant - Electric"/>
    <x v="0"/>
    <n v="7"/>
    <s v="137004 - Ele Dist-Meters AMI"/>
    <x v="17"/>
    <n v="17108019.890000001"/>
    <n v="0"/>
    <n v="-254929.15"/>
    <n v="0"/>
    <n v="16853090.739999998"/>
  </r>
  <r>
    <x v="6"/>
    <s v="07/2022"/>
    <s v="SEC"/>
    <s v="BH Colorado Electric Oper Co"/>
    <s v="Regulated Electric (122)"/>
    <x v="0"/>
    <s v="Distribution Plant - Electric"/>
    <x v="0"/>
    <n v="7"/>
    <s v="137100 - Ele Dist-Instal Cst Prmise"/>
    <x v="18"/>
    <n v="2496875.1800000002"/>
    <n v="13932.93"/>
    <n v="-1068.07"/>
    <n v="0"/>
    <n v="2509740.04"/>
  </r>
  <r>
    <x v="6"/>
    <s v="07/2022"/>
    <s v="SEC"/>
    <s v="BH Colorado Electric Oper Co"/>
    <s v="Regulated Electric (122)"/>
    <x v="0"/>
    <s v="Distribution Plant - Electric"/>
    <x v="0"/>
    <n v="7"/>
    <s v="137300 - Ele Dist-Street Lighting"/>
    <x v="19"/>
    <n v="10372424.82"/>
    <n v="0"/>
    <n v="0"/>
    <n v="0"/>
    <n v="10372424.82"/>
  </r>
  <r>
    <x v="6"/>
    <s v="07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6"/>
    <s v="07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6"/>
    <s v="07/2022"/>
    <s v="SEC"/>
    <s v="BH Colorado Electric Oper Co"/>
    <s v="Regulated Electric (122)"/>
    <x v="2"/>
    <s v="Distribution Plant - Electric"/>
    <x v="0"/>
    <n v="7"/>
    <s v="136001 - Ele Dist-Land"/>
    <x v="0"/>
    <n v="57920.08"/>
    <n v="0"/>
    <n v="0"/>
    <n v="0"/>
    <n v="57920.08"/>
  </r>
  <r>
    <x v="6"/>
    <s v="07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6"/>
    <s v="07/2022"/>
    <s v="SEC"/>
    <s v="BH Colorado Electric Oper Co"/>
    <s v="Regulated Electric (122)"/>
    <x v="2"/>
    <s v="Distribution Plant - Electric"/>
    <x v="0"/>
    <n v="7"/>
    <s v="136200 - Ele Dist Sub-Station Equip"/>
    <x v="5"/>
    <n v="4537240.76"/>
    <n v="-909.31000000000006"/>
    <n v="0"/>
    <n v="0"/>
    <n v="4536331.45"/>
  </r>
  <r>
    <x v="6"/>
    <s v="07/2022"/>
    <s v="SEC"/>
    <s v="BH Colorado Electric Oper Co"/>
    <s v="Regulated Electric (122)"/>
    <x v="2"/>
    <s v="Distribution Plant - Electric"/>
    <x v="0"/>
    <n v="7"/>
    <s v="136400 - Ele Dist-Pole/Tower/Fixtur"/>
    <x v="6"/>
    <n v="17543987.07"/>
    <n v="93166.39"/>
    <n v="0"/>
    <n v="0"/>
    <n v="17637153.460000001"/>
  </r>
  <r>
    <x v="6"/>
    <s v="07/2022"/>
    <s v="SEC"/>
    <s v="BH Colorado Electric Oper Co"/>
    <s v="Regulated Electric (122)"/>
    <x v="2"/>
    <s v="Distribution Plant - Electric"/>
    <x v="0"/>
    <n v="7"/>
    <s v="136500 - Ele Dist-OH Conductors"/>
    <x v="7"/>
    <n v="3739462.3200000003"/>
    <n v="150253.56"/>
    <n v="0"/>
    <n v="0"/>
    <n v="3889715.88"/>
  </r>
  <r>
    <x v="6"/>
    <s v="07/2022"/>
    <s v="SEC"/>
    <s v="BH Colorado Electric Oper Co"/>
    <s v="Regulated Electric (122)"/>
    <x v="2"/>
    <s v="Distribution Plant - Electric"/>
    <x v="0"/>
    <n v="7"/>
    <s v="136600 - Ele Dist-UG Conduit"/>
    <x v="8"/>
    <n v="1391826.83"/>
    <n v="-248633.26"/>
    <n v="0"/>
    <n v="0"/>
    <n v="1143193.57"/>
  </r>
  <r>
    <x v="6"/>
    <s v="07/2022"/>
    <s v="SEC"/>
    <s v="BH Colorado Electric Oper Co"/>
    <s v="Regulated Electric (122)"/>
    <x v="2"/>
    <s v="Distribution Plant - Electric"/>
    <x v="0"/>
    <n v="7"/>
    <s v="136700 - Ele Dist-UG Conductors"/>
    <x v="9"/>
    <n v="4654603.0199999996"/>
    <n v="335674.84"/>
    <n v="0"/>
    <n v="0"/>
    <n v="4990277.8600000003"/>
  </r>
  <r>
    <x v="6"/>
    <s v="07/2022"/>
    <s v="SEC"/>
    <s v="BH Colorado Electric Oper Co"/>
    <s v="Regulated Electric (122)"/>
    <x v="2"/>
    <s v="Distribution Plant - Electric"/>
    <x v="0"/>
    <n v="7"/>
    <s v="136801 - Ele Dist-Ln Trans-Oth Eqp"/>
    <x v="10"/>
    <n v="407418.94"/>
    <n v="-25541.64"/>
    <n v="0"/>
    <n v="0"/>
    <n v="381877.3"/>
  </r>
  <r>
    <x v="6"/>
    <s v="07/2022"/>
    <s v="SEC"/>
    <s v="BH Colorado Electric Oper Co"/>
    <s v="Regulated Electric (122)"/>
    <x v="2"/>
    <s v="Distribution Plant - Electric"/>
    <x v="0"/>
    <n v="7"/>
    <s v="136802 - Ele Dist-Ln Trans-Conventn"/>
    <x v="11"/>
    <n v="1037582.14"/>
    <n v="-280030.47000000003"/>
    <n v="0"/>
    <n v="0"/>
    <n v="757551.67"/>
  </r>
  <r>
    <x v="6"/>
    <s v="07/2022"/>
    <s v="SEC"/>
    <s v="BH Colorado Electric Oper Co"/>
    <s v="Regulated Electric (122)"/>
    <x v="2"/>
    <s v="Distribution Plant - Electric"/>
    <x v="0"/>
    <n v="7"/>
    <s v="136803 - Ele Dist-Ln Trans-Padmount"/>
    <x v="12"/>
    <n v="620934.35"/>
    <n v="-222303.9"/>
    <n v="0"/>
    <n v="0"/>
    <n v="398630.45"/>
  </r>
  <r>
    <x v="6"/>
    <s v="07/2022"/>
    <s v="SEC"/>
    <s v="BH Colorado Electric Oper Co"/>
    <s v="Regulated Electric (122)"/>
    <x v="2"/>
    <s v="Distribution Plant - Electric"/>
    <x v="0"/>
    <n v="7"/>
    <s v="136901 - Ele Dist - OH Services"/>
    <x v="13"/>
    <n v="603777.25"/>
    <n v="-154651.47"/>
    <n v="0"/>
    <n v="0"/>
    <n v="449125.78"/>
  </r>
  <r>
    <x v="6"/>
    <s v="07/2022"/>
    <s v="SEC"/>
    <s v="BH Colorado Electric Oper Co"/>
    <s v="Regulated Electric (122)"/>
    <x v="2"/>
    <s v="Distribution Plant - Electric"/>
    <x v="0"/>
    <n v="7"/>
    <s v="136902 - Ele Dist - UG Services"/>
    <x v="14"/>
    <n v="624850.37"/>
    <n v="-272451.03999999998"/>
    <n v="0"/>
    <n v="0"/>
    <n v="352399.33"/>
  </r>
  <r>
    <x v="6"/>
    <s v="07/2022"/>
    <s v="SEC"/>
    <s v="BH Colorado Electric Oper Co"/>
    <s v="Regulated Electric (122)"/>
    <x v="2"/>
    <s v="Distribution Plant - Electric"/>
    <x v="0"/>
    <n v="7"/>
    <s v="137001 - Ele Dist-Meters Other"/>
    <x v="15"/>
    <n v="6198.8"/>
    <n v="1786.04"/>
    <n v="0"/>
    <n v="0"/>
    <n v="7984.84"/>
  </r>
  <r>
    <x v="6"/>
    <s v="07/2022"/>
    <s v="SEC"/>
    <s v="BH Colorado Electric Oper Co"/>
    <s v="Regulated Electric (122)"/>
    <x v="2"/>
    <s v="Distribution Plant - Electric"/>
    <x v="0"/>
    <n v="7"/>
    <s v="137004 - Ele Dist-Meters AMI"/>
    <x v="17"/>
    <n v="800.82"/>
    <n v="1882.05"/>
    <n v="0"/>
    <n v="0"/>
    <n v="2682.87"/>
  </r>
  <r>
    <x v="6"/>
    <s v="07/2022"/>
    <s v="SEC"/>
    <s v="BH Colorado Electric Oper Co"/>
    <s v="Regulated Electric (122)"/>
    <x v="2"/>
    <s v="Distribution Plant - Electric"/>
    <x v="0"/>
    <n v="7"/>
    <s v="137100 - Ele Dist-Instal Cst Prmise"/>
    <x v="18"/>
    <n v="137965.58000000002"/>
    <n v="11966"/>
    <n v="0"/>
    <n v="0"/>
    <n v="149931.58000000002"/>
  </r>
  <r>
    <x v="6"/>
    <s v="07/2022"/>
    <s v="SEC"/>
    <s v="BH Colorado Electric Oper Co"/>
    <s v="Regulated Electric (122)"/>
    <x v="2"/>
    <s v="Distribution Plant - Electric"/>
    <x v="0"/>
    <n v="7"/>
    <s v="137300 - Ele Dist-Street Lighting"/>
    <x v="19"/>
    <n v="1034303.05"/>
    <n v="-91047.94"/>
    <n v="0"/>
    <n v="0"/>
    <n v="943255.11"/>
  </r>
  <r>
    <x v="7"/>
    <s v="08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7"/>
    <s v="08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7"/>
    <s v="08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7"/>
    <s v="08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7"/>
    <s v="08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7"/>
    <s v="08/2022"/>
    <s v="SEC"/>
    <s v="BH Colorado Electric Oper Co"/>
    <s v="Regulated Electric (122)"/>
    <x v="0"/>
    <s v="Distribution Plant - Electric"/>
    <x v="0"/>
    <n v="7"/>
    <s v="136200 - Ele Dist Sub-Station Equip"/>
    <x v="5"/>
    <n v="51230780.439999998"/>
    <n v="126780.82"/>
    <n v="-34910.959999999999"/>
    <n v="0"/>
    <n v="51322650.299999997"/>
  </r>
  <r>
    <x v="7"/>
    <s v="08/2022"/>
    <s v="SEC"/>
    <s v="BH Colorado Electric Oper Co"/>
    <s v="Regulated Electric (122)"/>
    <x v="0"/>
    <s v="Distribution Plant - Electric"/>
    <x v="0"/>
    <n v="7"/>
    <s v="136400 - Ele Dist-Pole/Tower/Fixtur"/>
    <x v="6"/>
    <n v="83154725.920000002"/>
    <n v="10348.44"/>
    <n v="-747.08"/>
    <n v="0"/>
    <n v="83164327.280000001"/>
  </r>
  <r>
    <x v="7"/>
    <s v="08/2022"/>
    <s v="SEC"/>
    <s v="BH Colorado Electric Oper Co"/>
    <s v="Regulated Electric (122)"/>
    <x v="0"/>
    <s v="Distribution Plant - Electric"/>
    <x v="0"/>
    <n v="7"/>
    <s v="136500 - Ele Dist-OH Conductors"/>
    <x v="7"/>
    <n v="54522125.420000002"/>
    <n v="-29.45"/>
    <n v="0"/>
    <n v="0"/>
    <n v="54522095.969999999"/>
  </r>
  <r>
    <x v="7"/>
    <s v="08/2022"/>
    <s v="SEC"/>
    <s v="BH Colorado Electric Oper Co"/>
    <s v="Regulated Electric (122)"/>
    <x v="0"/>
    <s v="Distribution Plant - Electric"/>
    <x v="0"/>
    <n v="7"/>
    <s v="136600 - Ele Dist-UG Conduit"/>
    <x v="8"/>
    <n v="15817491.689999999"/>
    <n v="23233.77"/>
    <n v="0"/>
    <n v="0"/>
    <n v="15840725.460000001"/>
  </r>
  <r>
    <x v="7"/>
    <s v="08/2022"/>
    <s v="SEC"/>
    <s v="BH Colorado Electric Oper Co"/>
    <s v="Regulated Electric (122)"/>
    <x v="0"/>
    <s v="Distribution Plant - Electric"/>
    <x v="0"/>
    <n v="7"/>
    <s v="136700 - Ele Dist-UG Conductors"/>
    <x v="9"/>
    <n v="29256405.719999999"/>
    <n v="15157.73"/>
    <n v="0"/>
    <n v="0"/>
    <n v="29271563.449999999"/>
  </r>
  <r>
    <x v="7"/>
    <s v="08/2022"/>
    <s v="SEC"/>
    <s v="BH Colorado Electric Oper Co"/>
    <s v="Regulated Electric (122)"/>
    <x v="0"/>
    <s v="Distribution Plant - Electric"/>
    <x v="0"/>
    <n v="7"/>
    <s v="136801 - Ele Dist-Ln Trans-Oth Eqp"/>
    <x v="10"/>
    <n v="10190959.32"/>
    <n v="3105.9700000000003"/>
    <n v="0"/>
    <n v="0"/>
    <n v="10194065.289999999"/>
  </r>
  <r>
    <x v="7"/>
    <s v="08/2022"/>
    <s v="SEC"/>
    <s v="BH Colorado Electric Oper Co"/>
    <s v="Regulated Electric (122)"/>
    <x v="0"/>
    <s v="Distribution Plant - Electric"/>
    <x v="0"/>
    <n v="7"/>
    <s v="136802 - Ele Dist-Ln Trans-Conventn"/>
    <x v="11"/>
    <n v="31922254.32"/>
    <n v="333873.02"/>
    <n v="0.03"/>
    <n v="0"/>
    <n v="32256127.370000001"/>
  </r>
  <r>
    <x v="7"/>
    <s v="08/2022"/>
    <s v="SEC"/>
    <s v="BH Colorado Electric Oper Co"/>
    <s v="Regulated Electric (122)"/>
    <x v="0"/>
    <s v="Distribution Plant - Electric"/>
    <x v="0"/>
    <n v="7"/>
    <s v="136803 - Ele Dist-Ln Trans-Padmount"/>
    <x v="12"/>
    <n v="26983733.109999999"/>
    <n v="347002.72000000003"/>
    <n v="-14.46"/>
    <n v="0"/>
    <n v="27330721.370000001"/>
  </r>
  <r>
    <x v="7"/>
    <s v="08/2022"/>
    <s v="SEC"/>
    <s v="BH Colorado Electric Oper Co"/>
    <s v="Regulated Electric (122)"/>
    <x v="0"/>
    <s v="Distribution Plant - Electric"/>
    <x v="0"/>
    <n v="7"/>
    <s v="136901 - Ele Dist - OH Services"/>
    <x v="13"/>
    <n v="10785960.49"/>
    <n v="41.18"/>
    <n v="0"/>
    <n v="0"/>
    <n v="10786001.67"/>
  </r>
  <r>
    <x v="7"/>
    <s v="08/2022"/>
    <s v="SEC"/>
    <s v="BH Colorado Electric Oper Co"/>
    <s v="Regulated Electric (122)"/>
    <x v="0"/>
    <s v="Distribution Plant - Electric"/>
    <x v="0"/>
    <n v="7"/>
    <s v="136902 - Ele Dist - UG Services"/>
    <x v="14"/>
    <n v="14167234.880000001"/>
    <n v="9781.02"/>
    <n v="0"/>
    <n v="0"/>
    <n v="14177015.9"/>
  </r>
  <r>
    <x v="7"/>
    <s v="08/2022"/>
    <s v="SEC"/>
    <s v="BH Colorado Electric Oper Co"/>
    <s v="Regulated Electric (122)"/>
    <x v="0"/>
    <s v="Distribution Plant - Electric"/>
    <x v="0"/>
    <n v="7"/>
    <s v="137001 - Ele Dist-Meters Other"/>
    <x v="15"/>
    <n v="1743434.94"/>
    <n v="0"/>
    <n v="0"/>
    <n v="0"/>
    <n v="1743434.94"/>
  </r>
  <r>
    <x v="7"/>
    <s v="08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7"/>
    <s v="08/2022"/>
    <s v="SEC"/>
    <s v="BH Colorado Electric Oper Co"/>
    <s v="Regulated Electric (122)"/>
    <x v="0"/>
    <s v="Distribution Plant - Electric"/>
    <x v="0"/>
    <n v="7"/>
    <s v="137004 - Ele Dist-Meters AMI"/>
    <x v="17"/>
    <n v="16853090.739999998"/>
    <n v="0"/>
    <n v="1318.15"/>
    <n v="24792.31"/>
    <n v="16879201.199999999"/>
  </r>
  <r>
    <x v="7"/>
    <s v="08/2022"/>
    <s v="SEC"/>
    <s v="BH Colorado Electric Oper Co"/>
    <s v="Regulated Electric (122)"/>
    <x v="0"/>
    <s v="Distribution Plant - Electric"/>
    <x v="0"/>
    <n v="7"/>
    <s v="137100 - Ele Dist-Instal Cst Prmise"/>
    <x v="18"/>
    <n v="2509740.04"/>
    <n v="0"/>
    <n v="0"/>
    <n v="0"/>
    <n v="2509740.04"/>
  </r>
  <r>
    <x v="7"/>
    <s v="08/2022"/>
    <s v="SEC"/>
    <s v="BH Colorado Electric Oper Co"/>
    <s v="Regulated Electric (122)"/>
    <x v="0"/>
    <s v="Distribution Plant - Electric"/>
    <x v="0"/>
    <n v="7"/>
    <s v="137300 - Ele Dist-Street Lighting"/>
    <x v="19"/>
    <n v="10372424.82"/>
    <n v="0"/>
    <n v="0"/>
    <n v="0"/>
    <n v="10372424.82"/>
  </r>
  <r>
    <x v="7"/>
    <s v="08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7"/>
    <s v="08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7"/>
    <s v="08/2022"/>
    <s v="SEC"/>
    <s v="BH Colorado Electric Oper Co"/>
    <s v="Regulated Electric (122)"/>
    <x v="2"/>
    <s v="Distribution Plant - Electric"/>
    <x v="0"/>
    <n v="7"/>
    <s v="136001 - Ele Dist-Land"/>
    <x v="0"/>
    <n v="57920.08"/>
    <n v="0"/>
    <n v="0"/>
    <n v="0"/>
    <n v="57920.08"/>
  </r>
  <r>
    <x v="7"/>
    <s v="08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7"/>
    <s v="08/2022"/>
    <s v="SEC"/>
    <s v="BH Colorado Electric Oper Co"/>
    <s v="Regulated Electric (122)"/>
    <x v="2"/>
    <s v="Distribution Plant - Electric"/>
    <x v="0"/>
    <n v="7"/>
    <s v="136200 - Ele Dist Sub-Station Equip"/>
    <x v="5"/>
    <n v="4536331.45"/>
    <n v="-135275.65"/>
    <n v="0"/>
    <n v="0"/>
    <n v="4401055.8"/>
  </r>
  <r>
    <x v="7"/>
    <s v="08/2022"/>
    <s v="SEC"/>
    <s v="BH Colorado Electric Oper Co"/>
    <s v="Regulated Electric (122)"/>
    <x v="2"/>
    <s v="Distribution Plant - Electric"/>
    <x v="0"/>
    <n v="7"/>
    <s v="136400 - Ele Dist-Pole/Tower/Fixtur"/>
    <x v="6"/>
    <n v="17637153.460000001"/>
    <n v="27728.29"/>
    <n v="0"/>
    <n v="0"/>
    <n v="17664881.75"/>
  </r>
  <r>
    <x v="7"/>
    <s v="08/2022"/>
    <s v="SEC"/>
    <s v="BH Colorado Electric Oper Co"/>
    <s v="Regulated Electric (122)"/>
    <x v="2"/>
    <s v="Distribution Plant - Electric"/>
    <x v="0"/>
    <n v="7"/>
    <s v="136500 - Ele Dist-OH Conductors"/>
    <x v="7"/>
    <n v="3889715.88"/>
    <n v="-83026.13"/>
    <n v="0"/>
    <n v="0"/>
    <n v="3806689.75"/>
  </r>
  <r>
    <x v="7"/>
    <s v="08/2022"/>
    <s v="SEC"/>
    <s v="BH Colorado Electric Oper Co"/>
    <s v="Regulated Electric (122)"/>
    <x v="2"/>
    <s v="Distribution Plant - Electric"/>
    <x v="0"/>
    <n v="7"/>
    <s v="136600 - Ele Dist-UG Conduit"/>
    <x v="8"/>
    <n v="1143193.57"/>
    <n v="86319.56"/>
    <n v="0"/>
    <n v="0"/>
    <n v="1229513.1299999999"/>
  </r>
  <r>
    <x v="7"/>
    <s v="08/2022"/>
    <s v="SEC"/>
    <s v="BH Colorado Electric Oper Co"/>
    <s v="Regulated Electric (122)"/>
    <x v="2"/>
    <s v="Distribution Plant - Electric"/>
    <x v="0"/>
    <n v="7"/>
    <s v="136700 - Ele Dist-UG Conductors"/>
    <x v="9"/>
    <n v="4990277.8600000003"/>
    <n v="205574.44"/>
    <n v="0"/>
    <n v="0"/>
    <n v="5195852.3"/>
  </r>
  <r>
    <x v="7"/>
    <s v="08/2022"/>
    <s v="SEC"/>
    <s v="BH Colorado Electric Oper Co"/>
    <s v="Regulated Electric (122)"/>
    <x v="2"/>
    <s v="Distribution Plant - Electric"/>
    <x v="0"/>
    <n v="7"/>
    <s v="136801 - Ele Dist-Ln Trans-Oth Eqp"/>
    <x v="10"/>
    <n v="381877.3"/>
    <n v="-56391.880000000005"/>
    <n v="0"/>
    <n v="0"/>
    <n v="325485.42"/>
  </r>
  <r>
    <x v="7"/>
    <s v="08/2022"/>
    <s v="SEC"/>
    <s v="BH Colorado Electric Oper Co"/>
    <s v="Regulated Electric (122)"/>
    <x v="2"/>
    <s v="Distribution Plant - Electric"/>
    <x v="0"/>
    <n v="7"/>
    <s v="136802 - Ele Dist-Ln Trans-Conventn"/>
    <x v="11"/>
    <n v="757551.67"/>
    <n v="42580.63"/>
    <n v="0"/>
    <n v="0"/>
    <n v="800132.3"/>
  </r>
  <r>
    <x v="7"/>
    <s v="08/2022"/>
    <s v="SEC"/>
    <s v="BH Colorado Electric Oper Co"/>
    <s v="Regulated Electric (122)"/>
    <x v="2"/>
    <s v="Distribution Plant - Electric"/>
    <x v="0"/>
    <n v="7"/>
    <s v="136803 - Ele Dist-Ln Trans-Padmount"/>
    <x v="12"/>
    <n v="398630.45"/>
    <n v="-95678.86"/>
    <n v="0"/>
    <n v="0"/>
    <n v="302951.59000000003"/>
  </r>
  <r>
    <x v="7"/>
    <s v="08/2022"/>
    <s v="SEC"/>
    <s v="BH Colorado Electric Oper Co"/>
    <s v="Regulated Electric (122)"/>
    <x v="2"/>
    <s v="Distribution Plant - Electric"/>
    <x v="0"/>
    <n v="7"/>
    <s v="136901 - Ele Dist - OH Services"/>
    <x v="13"/>
    <n v="449125.78"/>
    <n v="41153.65"/>
    <n v="0"/>
    <n v="0"/>
    <n v="490279.43"/>
  </r>
  <r>
    <x v="7"/>
    <s v="08/2022"/>
    <s v="SEC"/>
    <s v="BH Colorado Electric Oper Co"/>
    <s v="Regulated Electric (122)"/>
    <x v="2"/>
    <s v="Distribution Plant - Electric"/>
    <x v="0"/>
    <n v="7"/>
    <s v="136902 - Ele Dist - UG Services"/>
    <x v="14"/>
    <n v="352399.33"/>
    <n v="94876.56"/>
    <n v="0"/>
    <n v="0"/>
    <n v="447275.89"/>
  </r>
  <r>
    <x v="7"/>
    <s v="08/2022"/>
    <s v="SEC"/>
    <s v="BH Colorado Electric Oper Co"/>
    <s v="Regulated Electric (122)"/>
    <x v="2"/>
    <s v="Distribution Plant - Electric"/>
    <x v="0"/>
    <n v="7"/>
    <s v="137001 - Ele Dist-Meters Other"/>
    <x v="15"/>
    <n v="7984.84"/>
    <n v="2787.26"/>
    <n v="0"/>
    <n v="0"/>
    <n v="10772.1"/>
  </r>
  <r>
    <x v="7"/>
    <s v="08/2022"/>
    <s v="SEC"/>
    <s v="BH Colorado Electric Oper Co"/>
    <s v="Regulated Electric (122)"/>
    <x v="2"/>
    <s v="Distribution Plant - Electric"/>
    <x v="0"/>
    <n v="7"/>
    <s v="137004 - Ele Dist-Meters AMI"/>
    <x v="17"/>
    <n v="2682.87"/>
    <n v="2787.15"/>
    <n v="0"/>
    <n v="0"/>
    <n v="5470.02"/>
  </r>
  <r>
    <x v="7"/>
    <s v="08/2022"/>
    <s v="SEC"/>
    <s v="BH Colorado Electric Oper Co"/>
    <s v="Regulated Electric (122)"/>
    <x v="2"/>
    <s v="Distribution Plant - Electric"/>
    <x v="0"/>
    <n v="7"/>
    <s v="137100 - Ele Dist-Instal Cst Prmise"/>
    <x v="18"/>
    <n v="149931.58000000002"/>
    <n v="32267.83"/>
    <n v="0"/>
    <n v="0"/>
    <n v="182199.41"/>
  </r>
  <r>
    <x v="7"/>
    <s v="08/2022"/>
    <s v="SEC"/>
    <s v="BH Colorado Electric Oper Co"/>
    <s v="Regulated Electric (122)"/>
    <x v="2"/>
    <s v="Distribution Plant - Electric"/>
    <x v="0"/>
    <n v="7"/>
    <s v="137300 - Ele Dist-Street Lighting"/>
    <x v="19"/>
    <n v="943255.11"/>
    <n v="42095.090000000004"/>
    <n v="0"/>
    <n v="0"/>
    <n v="985350.20000000007"/>
  </r>
  <r>
    <x v="8"/>
    <s v="09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8"/>
    <s v="09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8"/>
    <s v="09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8"/>
    <s v="09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8"/>
    <s v="09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8"/>
    <s v="09/2022"/>
    <s v="SEC"/>
    <s v="BH Colorado Electric Oper Co"/>
    <s v="Regulated Electric (122)"/>
    <x v="0"/>
    <s v="Distribution Plant - Electric"/>
    <x v="0"/>
    <n v="7"/>
    <s v="136200 - Ele Dist Sub-Station Equip"/>
    <x v="5"/>
    <n v="51322650.299999997"/>
    <n v="0"/>
    <n v="0"/>
    <n v="0"/>
    <n v="51322650.299999997"/>
  </r>
  <r>
    <x v="8"/>
    <s v="09/2022"/>
    <s v="SEC"/>
    <s v="BH Colorado Electric Oper Co"/>
    <s v="Regulated Electric (122)"/>
    <x v="0"/>
    <s v="Distribution Plant - Electric"/>
    <x v="0"/>
    <n v="7"/>
    <s v="136400 - Ele Dist-Pole/Tower/Fixtur"/>
    <x v="6"/>
    <n v="83164327.280000001"/>
    <n v="299700.43"/>
    <n v="-24064.59"/>
    <n v="0"/>
    <n v="83439963.120000005"/>
  </r>
  <r>
    <x v="8"/>
    <s v="09/2022"/>
    <s v="SEC"/>
    <s v="BH Colorado Electric Oper Co"/>
    <s v="Regulated Electric (122)"/>
    <x v="0"/>
    <s v="Distribution Plant - Electric"/>
    <x v="0"/>
    <n v="7"/>
    <s v="136500 - Ele Dist-OH Conductors"/>
    <x v="7"/>
    <n v="54522095.969999999"/>
    <n v="47477.65"/>
    <n v="-1192.92"/>
    <n v="-39206.6"/>
    <n v="54529174.100000001"/>
  </r>
  <r>
    <x v="8"/>
    <s v="09/2022"/>
    <s v="SEC"/>
    <s v="BH Colorado Electric Oper Co"/>
    <s v="Regulated Electric (122)"/>
    <x v="0"/>
    <s v="Distribution Plant - Electric"/>
    <x v="0"/>
    <n v="7"/>
    <s v="136600 - Ele Dist-UG Conduit"/>
    <x v="8"/>
    <n v="15840725.460000001"/>
    <n v="76007.5"/>
    <n v="-413.31"/>
    <n v="0"/>
    <n v="15916319.65"/>
  </r>
  <r>
    <x v="8"/>
    <s v="09/2022"/>
    <s v="SEC"/>
    <s v="BH Colorado Electric Oper Co"/>
    <s v="Regulated Electric (122)"/>
    <x v="0"/>
    <s v="Distribution Plant - Electric"/>
    <x v="0"/>
    <n v="7"/>
    <s v="136700 - Ele Dist-UG Conductors"/>
    <x v="9"/>
    <n v="29271563.449999999"/>
    <n v="211027.09"/>
    <n v="-5556.22"/>
    <n v="0"/>
    <n v="29477034.32"/>
  </r>
  <r>
    <x v="8"/>
    <s v="09/2022"/>
    <s v="SEC"/>
    <s v="BH Colorado Electric Oper Co"/>
    <s v="Regulated Electric (122)"/>
    <x v="0"/>
    <s v="Distribution Plant - Electric"/>
    <x v="0"/>
    <n v="7"/>
    <s v="136801 - Ele Dist-Ln Trans-Oth Eqp"/>
    <x v="10"/>
    <n v="10194065.289999999"/>
    <n v="50251.26"/>
    <n v="-5044.8900000000003"/>
    <n v="0"/>
    <n v="10239271.66"/>
  </r>
  <r>
    <x v="8"/>
    <s v="09/2022"/>
    <s v="SEC"/>
    <s v="BH Colorado Electric Oper Co"/>
    <s v="Regulated Electric (122)"/>
    <x v="0"/>
    <s v="Distribution Plant - Electric"/>
    <x v="0"/>
    <n v="7"/>
    <s v="136802 - Ele Dist-Ln Trans-Conventn"/>
    <x v="11"/>
    <n v="32256127.370000001"/>
    <n v="42804.99"/>
    <n v="5824.08"/>
    <n v="-8300.58"/>
    <n v="32296455.859999999"/>
  </r>
  <r>
    <x v="8"/>
    <s v="09/2022"/>
    <s v="SEC"/>
    <s v="BH Colorado Electric Oper Co"/>
    <s v="Regulated Electric (122)"/>
    <x v="0"/>
    <s v="Distribution Plant - Electric"/>
    <x v="0"/>
    <n v="7"/>
    <s v="136803 - Ele Dist-Ln Trans-Padmount"/>
    <x v="12"/>
    <n v="27330721.370000001"/>
    <n v="269141.67"/>
    <n v="-43.410000000000004"/>
    <n v="0"/>
    <n v="27599819.629999999"/>
  </r>
  <r>
    <x v="8"/>
    <s v="09/2022"/>
    <s v="SEC"/>
    <s v="BH Colorado Electric Oper Co"/>
    <s v="Regulated Electric (122)"/>
    <x v="0"/>
    <s v="Distribution Plant - Electric"/>
    <x v="0"/>
    <n v="7"/>
    <s v="136901 - Ele Dist - OH Services"/>
    <x v="13"/>
    <n v="10786001.67"/>
    <n v="669.44"/>
    <n v="-32.619999999999997"/>
    <n v="-36312.94"/>
    <n v="10750325.550000001"/>
  </r>
  <r>
    <x v="8"/>
    <s v="09/2022"/>
    <s v="SEC"/>
    <s v="BH Colorado Electric Oper Co"/>
    <s v="Regulated Electric (122)"/>
    <x v="0"/>
    <s v="Distribution Plant - Electric"/>
    <x v="0"/>
    <n v="7"/>
    <s v="136902 - Ele Dist - UG Services"/>
    <x v="14"/>
    <n v="14177015.9"/>
    <n v="15532.67"/>
    <n v="0"/>
    <n v="0"/>
    <n v="14192548.57"/>
  </r>
  <r>
    <x v="8"/>
    <s v="09/2022"/>
    <s v="SEC"/>
    <s v="BH Colorado Electric Oper Co"/>
    <s v="Regulated Electric (122)"/>
    <x v="0"/>
    <s v="Distribution Plant - Electric"/>
    <x v="0"/>
    <n v="7"/>
    <s v="137001 - Ele Dist-Meters Other"/>
    <x v="15"/>
    <n v="1743434.94"/>
    <n v="0"/>
    <n v="0"/>
    <n v="0"/>
    <n v="1743434.94"/>
  </r>
  <r>
    <x v="8"/>
    <s v="09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8"/>
    <s v="09/2022"/>
    <s v="SEC"/>
    <s v="BH Colorado Electric Oper Co"/>
    <s v="Regulated Electric (122)"/>
    <x v="0"/>
    <s v="Distribution Plant - Electric"/>
    <x v="0"/>
    <n v="7"/>
    <s v="137004 - Ele Dist-Meters AMI"/>
    <x v="17"/>
    <n v="16879201.199999999"/>
    <n v="16585.02"/>
    <n v="0"/>
    <n v="67196.460000000006"/>
    <n v="16962982.68"/>
  </r>
  <r>
    <x v="8"/>
    <s v="09/2022"/>
    <s v="SEC"/>
    <s v="BH Colorado Electric Oper Co"/>
    <s v="Regulated Electric (122)"/>
    <x v="0"/>
    <s v="Distribution Plant - Electric"/>
    <x v="0"/>
    <n v="7"/>
    <s v="137100 - Ele Dist-Instal Cst Prmise"/>
    <x v="18"/>
    <n v="2509740.04"/>
    <n v="-136.02000000000001"/>
    <n v="0"/>
    <n v="0"/>
    <n v="2509604.02"/>
  </r>
  <r>
    <x v="8"/>
    <s v="09/2022"/>
    <s v="SEC"/>
    <s v="BH Colorado Electric Oper Co"/>
    <s v="Regulated Electric (122)"/>
    <x v="0"/>
    <s v="Distribution Plant - Electric"/>
    <x v="0"/>
    <n v="7"/>
    <s v="137300 - Ele Dist-Street Lighting"/>
    <x v="19"/>
    <n v="10372424.82"/>
    <n v="103992.18000000001"/>
    <n v="-168.03"/>
    <n v="0"/>
    <n v="10476248.970000001"/>
  </r>
  <r>
    <x v="8"/>
    <s v="09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8"/>
    <s v="09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8"/>
    <s v="09/2022"/>
    <s v="SEC"/>
    <s v="BH Colorado Electric Oper Co"/>
    <s v="Regulated Electric (122)"/>
    <x v="2"/>
    <s v="Distribution Plant - Electric"/>
    <x v="0"/>
    <n v="7"/>
    <s v="136001 - Ele Dist-Land"/>
    <x v="0"/>
    <n v="57920.08"/>
    <n v="0"/>
    <n v="0"/>
    <n v="0"/>
    <n v="57920.08"/>
  </r>
  <r>
    <x v="8"/>
    <s v="09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8"/>
    <s v="09/2022"/>
    <s v="SEC"/>
    <s v="BH Colorado Electric Oper Co"/>
    <s v="Regulated Electric (122)"/>
    <x v="2"/>
    <s v="Distribution Plant - Electric"/>
    <x v="0"/>
    <n v="7"/>
    <s v="136200 - Ele Dist Sub-Station Equip"/>
    <x v="5"/>
    <n v="4401055.8"/>
    <n v="51955.01"/>
    <n v="0"/>
    <n v="0"/>
    <n v="4453010.8099999996"/>
  </r>
  <r>
    <x v="8"/>
    <s v="09/2022"/>
    <s v="SEC"/>
    <s v="BH Colorado Electric Oper Co"/>
    <s v="Regulated Electric (122)"/>
    <x v="2"/>
    <s v="Distribution Plant - Electric"/>
    <x v="0"/>
    <n v="7"/>
    <s v="136400 - Ele Dist-Pole/Tower/Fixtur"/>
    <x v="6"/>
    <n v="17664881.75"/>
    <n v="243910.73"/>
    <n v="0"/>
    <n v="0"/>
    <n v="17908792.48"/>
  </r>
  <r>
    <x v="8"/>
    <s v="09/2022"/>
    <s v="SEC"/>
    <s v="BH Colorado Electric Oper Co"/>
    <s v="Regulated Electric (122)"/>
    <x v="2"/>
    <s v="Distribution Plant - Electric"/>
    <x v="0"/>
    <n v="7"/>
    <s v="136500 - Ele Dist-OH Conductors"/>
    <x v="7"/>
    <n v="3806689.75"/>
    <n v="276510.58"/>
    <n v="0"/>
    <n v="0"/>
    <n v="4083200.33"/>
  </r>
  <r>
    <x v="8"/>
    <s v="09/2022"/>
    <s v="SEC"/>
    <s v="BH Colorado Electric Oper Co"/>
    <s v="Regulated Electric (122)"/>
    <x v="2"/>
    <s v="Distribution Plant - Electric"/>
    <x v="0"/>
    <n v="7"/>
    <s v="136600 - Ele Dist-UG Conduit"/>
    <x v="8"/>
    <n v="1229513.1299999999"/>
    <n v="28795.18"/>
    <n v="0"/>
    <n v="0"/>
    <n v="1258308.31"/>
  </r>
  <r>
    <x v="8"/>
    <s v="09/2022"/>
    <s v="SEC"/>
    <s v="BH Colorado Electric Oper Co"/>
    <s v="Regulated Electric (122)"/>
    <x v="2"/>
    <s v="Distribution Plant - Electric"/>
    <x v="0"/>
    <n v="7"/>
    <s v="136700 - Ele Dist-UG Conductors"/>
    <x v="9"/>
    <n v="5195852.3"/>
    <n v="-464278.10000000003"/>
    <n v="0"/>
    <n v="0"/>
    <n v="4731574.2"/>
  </r>
  <r>
    <x v="8"/>
    <s v="09/2022"/>
    <s v="SEC"/>
    <s v="BH Colorado Electric Oper Co"/>
    <s v="Regulated Electric (122)"/>
    <x v="2"/>
    <s v="Distribution Plant - Electric"/>
    <x v="0"/>
    <n v="7"/>
    <s v="136801 - Ele Dist-Ln Trans-Oth Eqp"/>
    <x v="10"/>
    <n v="325485.42"/>
    <n v="-59875.6"/>
    <n v="0"/>
    <n v="0"/>
    <n v="265609.82"/>
  </r>
  <r>
    <x v="8"/>
    <s v="09/2022"/>
    <s v="SEC"/>
    <s v="BH Colorado Electric Oper Co"/>
    <s v="Regulated Electric (122)"/>
    <x v="2"/>
    <s v="Distribution Plant - Electric"/>
    <x v="0"/>
    <n v="7"/>
    <s v="136802 - Ele Dist-Ln Trans-Conventn"/>
    <x v="11"/>
    <n v="800132.3"/>
    <n v="111809.85"/>
    <n v="0"/>
    <n v="0"/>
    <n v="911942.15"/>
  </r>
  <r>
    <x v="8"/>
    <s v="09/2022"/>
    <s v="SEC"/>
    <s v="BH Colorado Electric Oper Co"/>
    <s v="Regulated Electric (122)"/>
    <x v="2"/>
    <s v="Distribution Plant - Electric"/>
    <x v="0"/>
    <n v="7"/>
    <s v="136803 - Ele Dist-Ln Trans-Padmount"/>
    <x v="12"/>
    <n v="302951.59000000003"/>
    <n v="20234.420000000002"/>
    <n v="0"/>
    <n v="0"/>
    <n v="323186.01"/>
  </r>
  <r>
    <x v="8"/>
    <s v="09/2022"/>
    <s v="SEC"/>
    <s v="BH Colorado Electric Oper Co"/>
    <s v="Regulated Electric (122)"/>
    <x v="2"/>
    <s v="Distribution Plant - Electric"/>
    <x v="0"/>
    <n v="7"/>
    <s v="136901 - Ele Dist - OH Services"/>
    <x v="13"/>
    <n v="490279.43"/>
    <n v="58353.68"/>
    <n v="0"/>
    <n v="0"/>
    <n v="548633.11"/>
  </r>
  <r>
    <x v="8"/>
    <s v="09/2022"/>
    <s v="SEC"/>
    <s v="BH Colorado Electric Oper Co"/>
    <s v="Regulated Electric (122)"/>
    <x v="2"/>
    <s v="Distribution Plant - Electric"/>
    <x v="0"/>
    <n v="7"/>
    <s v="136902 - Ele Dist - UG Services"/>
    <x v="14"/>
    <n v="447275.89"/>
    <n v="62690.99"/>
    <n v="0"/>
    <n v="0"/>
    <n v="509966.88"/>
  </r>
  <r>
    <x v="8"/>
    <s v="09/2022"/>
    <s v="SEC"/>
    <s v="BH Colorado Electric Oper Co"/>
    <s v="Regulated Electric (122)"/>
    <x v="2"/>
    <s v="Distribution Plant - Electric"/>
    <x v="0"/>
    <n v="7"/>
    <s v="137001 - Ele Dist-Meters Other"/>
    <x v="15"/>
    <n v="10772.1"/>
    <n v="-2161.14"/>
    <n v="0"/>
    <n v="0"/>
    <n v="8610.9600000000009"/>
  </r>
  <r>
    <x v="8"/>
    <s v="09/2022"/>
    <s v="SEC"/>
    <s v="BH Colorado Electric Oper Co"/>
    <s v="Regulated Electric (122)"/>
    <x v="2"/>
    <s v="Distribution Plant - Electric"/>
    <x v="0"/>
    <n v="7"/>
    <s v="137004 - Ele Dist-Meters AMI"/>
    <x v="17"/>
    <n v="5470.02"/>
    <n v="-2160.9499999999998"/>
    <n v="0"/>
    <n v="0"/>
    <n v="3309.07"/>
  </r>
  <r>
    <x v="8"/>
    <s v="09/2022"/>
    <s v="SEC"/>
    <s v="BH Colorado Electric Oper Co"/>
    <s v="Regulated Electric (122)"/>
    <x v="2"/>
    <s v="Distribution Plant - Electric"/>
    <x v="0"/>
    <n v="7"/>
    <s v="137100 - Ele Dist-Instal Cst Prmise"/>
    <x v="18"/>
    <n v="182199.41"/>
    <n v="31325.61"/>
    <n v="0"/>
    <n v="0"/>
    <n v="213525.02000000002"/>
  </r>
  <r>
    <x v="8"/>
    <s v="09/2022"/>
    <s v="SEC"/>
    <s v="BH Colorado Electric Oper Co"/>
    <s v="Regulated Electric (122)"/>
    <x v="2"/>
    <s v="Distribution Plant - Electric"/>
    <x v="0"/>
    <n v="7"/>
    <s v="137300 - Ele Dist-Street Lighting"/>
    <x v="19"/>
    <n v="985350.20000000007"/>
    <n v="20657.37"/>
    <n v="0"/>
    <n v="0"/>
    <n v="1006007.57"/>
  </r>
  <r>
    <x v="9"/>
    <s v="10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9"/>
    <s v="10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9"/>
    <s v="10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9"/>
    <s v="10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9"/>
    <s v="10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9"/>
    <s v="10/2022"/>
    <s v="SEC"/>
    <s v="BH Colorado Electric Oper Co"/>
    <s v="Regulated Electric (122)"/>
    <x v="0"/>
    <s v="Distribution Plant - Electric"/>
    <x v="0"/>
    <n v="7"/>
    <s v="136200 - Ele Dist Sub-Station Equip"/>
    <x v="5"/>
    <n v="51322650.299999997"/>
    <n v="0"/>
    <n v="0"/>
    <n v="0"/>
    <n v="51322650.299999997"/>
  </r>
  <r>
    <x v="9"/>
    <s v="10/2022"/>
    <s v="SEC"/>
    <s v="BH Colorado Electric Oper Co"/>
    <s v="Regulated Electric (122)"/>
    <x v="0"/>
    <s v="Distribution Plant - Electric"/>
    <x v="0"/>
    <n v="7"/>
    <s v="136400 - Ele Dist-Pole/Tower/Fixtur"/>
    <x v="6"/>
    <n v="83439963.120000005"/>
    <n v="31666.080000000002"/>
    <n v="-8775.0300000000007"/>
    <n v="0"/>
    <n v="83462854.170000002"/>
  </r>
  <r>
    <x v="9"/>
    <s v="10/2022"/>
    <s v="SEC"/>
    <s v="BH Colorado Electric Oper Co"/>
    <s v="Regulated Electric (122)"/>
    <x v="0"/>
    <s v="Distribution Plant - Electric"/>
    <x v="0"/>
    <n v="7"/>
    <s v="136500 - Ele Dist-OH Conductors"/>
    <x v="7"/>
    <n v="54529174.100000001"/>
    <n v="225.47"/>
    <n v="-7717.27"/>
    <n v="0"/>
    <n v="54521682.299999997"/>
  </r>
  <r>
    <x v="9"/>
    <s v="10/2022"/>
    <s v="SEC"/>
    <s v="BH Colorado Electric Oper Co"/>
    <s v="Regulated Electric (122)"/>
    <x v="0"/>
    <s v="Distribution Plant - Electric"/>
    <x v="0"/>
    <n v="7"/>
    <s v="136600 - Ele Dist-UG Conduit"/>
    <x v="8"/>
    <n v="15916319.65"/>
    <n v="22611.24"/>
    <n v="-456.72"/>
    <n v="0"/>
    <n v="15938474.17"/>
  </r>
  <r>
    <x v="9"/>
    <s v="10/2022"/>
    <s v="SEC"/>
    <s v="BH Colorado Electric Oper Co"/>
    <s v="Regulated Electric (122)"/>
    <x v="0"/>
    <s v="Distribution Plant - Electric"/>
    <x v="0"/>
    <n v="7"/>
    <s v="136700 - Ele Dist-UG Conductors"/>
    <x v="9"/>
    <n v="29477034.32"/>
    <n v="15215.39"/>
    <n v="-5689.22"/>
    <n v="0"/>
    <n v="29486560.489999998"/>
  </r>
  <r>
    <x v="9"/>
    <s v="10/2022"/>
    <s v="SEC"/>
    <s v="BH Colorado Electric Oper Co"/>
    <s v="Regulated Electric (122)"/>
    <x v="0"/>
    <s v="Distribution Plant - Electric"/>
    <x v="0"/>
    <n v="7"/>
    <s v="136801 - Ele Dist-Ln Trans-Oth Eqp"/>
    <x v="10"/>
    <n v="10239271.66"/>
    <n v="3605.65"/>
    <n v="-1120.21"/>
    <n v="0"/>
    <n v="10241757.1"/>
  </r>
  <r>
    <x v="9"/>
    <s v="10/2022"/>
    <s v="SEC"/>
    <s v="BH Colorado Electric Oper Co"/>
    <s v="Regulated Electric (122)"/>
    <x v="0"/>
    <s v="Distribution Plant - Electric"/>
    <x v="0"/>
    <n v="7"/>
    <s v="136802 - Ele Dist-Ln Trans-Conventn"/>
    <x v="11"/>
    <n v="32296455.859999999"/>
    <n v="17587.22"/>
    <n v="5823.93"/>
    <n v="0"/>
    <n v="32319867.010000002"/>
  </r>
  <r>
    <x v="9"/>
    <s v="10/2022"/>
    <s v="SEC"/>
    <s v="BH Colorado Electric Oper Co"/>
    <s v="Regulated Electric (122)"/>
    <x v="0"/>
    <s v="Distribution Plant - Electric"/>
    <x v="0"/>
    <n v="7"/>
    <s v="136803 - Ele Dist-Ln Trans-Padmount"/>
    <x v="12"/>
    <n v="27599819.629999999"/>
    <n v="29367.89"/>
    <n v="-43.4"/>
    <n v="0"/>
    <n v="27629144.120000001"/>
  </r>
  <r>
    <x v="9"/>
    <s v="10/2022"/>
    <s v="SEC"/>
    <s v="BH Colorado Electric Oper Co"/>
    <s v="Regulated Electric (122)"/>
    <x v="0"/>
    <s v="Distribution Plant - Electric"/>
    <x v="0"/>
    <n v="7"/>
    <s v="136901 - Ele Dist - OH Services"/>
    <x v="13"/>
    <n v="10750325.550000001"/>
    <n v="1418.56"/>
    <n v="-60.61"/>
    <n v="0"/>
    <n v="10751683.5"/>
  </r>
  <r>
    <x v="9"/>
    <s v="10/2022"/>
    <s v="SEC"/>
    <s v="BH Colorado Electric Oper Co"/>
    <s v="Regulated Electric (122)"/>
    <x v="0"/>
    <s v="Distribution Plant - Electric"/>
    <x v="0"/>
    <n v="7"/>
    <s v="136902 - Ele Dist - UG Services"/>
    <x v="14"/>
    <n v="14192548.57"/>
    <n v="15417.44"/>
    <n v="-76.73"/>
    <n v="0"/>
    <n v="14207889.279999999"/>
  </r>
  <r>
    <x v="9"/>
    <s v="10/2022"/>
    <s v="SEC"/>
    <s v="BH Colorado Electric Oper Co"/>
    <s v="Regulated Electric (122)"/>
    <x v="0"/>
    <s v="Distribution Plant - Electric"/>
    <x v="0"/>
    <n v="7"/>
    <s v="137001 - Ele Dist-Meters Other"/>
    <x v="15"/>
    <n v="1743434.94"/>
    <n v="0"/>
    <n v="0"/>
    <n v="0"/>
    <n v="1743434.94"/>
  </r>
  <r>
    <x v="9"/>
    <s v="10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9"/>
    <s v="10/2022"/>
    <s v="SEC"/>
    <s v="BH Colorado Electric Oper Co"/>
    <s v="Regulated Electric (122)"/>
    <x v="0"/>
    <s v="Distribution Plant - Electric"/>
    <x v="0"/>
    <n v="7"/>
    <s v="137004 - Ele Dist-Meters AMI"/>
    <x v="17"/>
    <n v="16962982.68"/>
    <n v="0"/>
    <n v="1152.9100000000001"/>
    <n v="0"/>
    <n v="16964135.59"/>
  </r>
  <r>
    <x v="9"/>
    <s v="10/2022"/>
    <s v="SEC"/>
    <s v="BH Colorado Electric Oper Co"/>
    <s v="Regulated Electric (122)"/>
    <x v="0"/>
    <s v="Distribution Plant - Electric"/>
    <x v="0"/>
    <n v="7"/>
    <s v="137100 - Ele Dist-Instal Cst Prmise"/>
    <x v="18"/>
    <n v="2509604.02"/>
    <n v="1220.3800000000001"/>
    <n v="0"/>
    <n v="0"/>
    <n v="2510824.4"/>
  </r>
  <r>
    <x v="9"/>
    <s v="10/2022"/>
    <s v="SEC"/>
    <s v="BH Colorado Electric Oper Co"/>
    <s v="Regulated Electric (122)"/>
    <x v="0"/>
    <s v="Distribution Plant - Electric"/>
    <x v="0"/>
    <n v="7"/>
    <s v="137300 - Ele Dist-Street Lighting"/>
    <x v="19"/>
    <n v="10476248.970000001"/>
    <n v="0"/>
    <n v="-1378.02"/>
    <n v="0"/>
    <n v="10474870.949999999"/>
  </r>
  <r>
    <x v="9"/>
    <s v="10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9"/>
    <s v="10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9"/>
    <s v="10/2022"/>
    <s v="SEC"/>
    <s v="BH Colorado Electric Oper Co"/>
    <s v="Regulated Electric (122)"/>
    <x v="2"/>
    <s v="Distribution Plant - Electric"/>
    <x v="0"/>
    <n v="7"/>
    <s v="136001 - Ele Dist-Land"/>
    <x v="0"/>
    <n v="57920.08"/>
    <n v="0"/>
    <n v="0"/>
    <n v="0"/>
    <n v="57920.08"/>
  </r>
  <r>
    <x v="9"/>
    <s v="10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9"/>
    <s v="10/2022"/>
    <s v="SEC"/>
    <s v="BH Colorado Electric Oper Co"/>
    <s v="Regulated Electric (122)"/>
    <x v="2"/>
    <s v="Distribution Plant - Electric"/>
    <x v="0"/>
    <n v="7"/>
    <s v="136200 - Ele Dist Sub-Station Equip"/>
    <x v="5"/>
    <n v="4453010.8099999996"/>
    <n v="14752.66"/>
    <n v="0"/>
    <n v="0"/>
    <n v="4467763.47"/>
  </r>
  <r>
    <x v="9"/>
    <s v="10/2022"/>
    <s v="SEC"/>
    <s v="BH Colorado Electric Oper Co"/>
    <s v="Regulated Electric (122)"/>
    <x v="2"/>
    <s v="Distribution Plant - Electric"/>
    <x v="0"/>
    <n v="7"/>
    <s v="136400 - Ele Dist-Pole/Tower/Fixtur"/>
    <x v="6"/>
    <n v="17908792.48"/>
    <n v="273495.82"/>
    <n v="0"/>
    <n v="0"/>
    <n v="18182288.300000001"/>
  </r>
  <r>
    <x v="9"/>
    <s v="10/2022"/>
    <s v="SEC"/>
    <s v="BH Colorado Electric Oper Co"/>
    <s v="Regulated Electric (122)"/>
    <x v="2"/>
    <s v="Distribution Plant - Electric"/>
    <x v="0"/>
    <n v="7"/>
    <s v="136500 - Ele Dist-OH Conductors"/>
    <x v="7"/>
    <n v="4083200.33"/>
    <n v="120012.15000000001"/>
    <n v="0"/>
    <n v="0"/>
    <n v="4203212.4800000004"/>
  </r>
  <r>
    <x v="9"/>
    <s v="10/2022"/>
    <s v="SEC"/>
    <s v="BH Colorado Electric Oper Co"/>
    <s v="Regulated Electric (122)"/>
    <x v="2"/>
    <s v="Distribution Plant - Electric"/>
    <x v="0"/>
    <n v="7"/>
    <s v="136600 - Ele Dist-UG Conduit"/>
    <x v="8"/>
    <n v="1258308.31"/>
    <n v="59878.74"/>
    <n v="0"/>
    <n v="0"/>
    <n v="1318187.05"/>
  </r>
  <r>
    <x v="9"/>
    <s v="10/2022"/>
    <s v="SEC"/>
    <s v="BH Colorado Electric Oper Co"/>
    <s v="Regulated Electric (122)"/>
    <x v="2"/>
    <s v="Distribution Plant - Electric"/>
    <x v="0"/>
    <n v="7"/>
    <s v="136700 - Ele Dist-UG Conductors"/>
    <x v="9"/>
    <n v="4731574.2"/>
    <n v="289591.14"/>
    <n v="0"/>
    <n v="0"/>
    <n v="5021165.34"/>
  </r>
  <r>
    <x v="9"/>
    <s v="10/2022"/>
    <s v="SEC"/>
    <s v="BH Colorado Electric Oper Co"/>
    <s v="Regulated Electric (122)"/>
    <x v="2"/>
    <s v="Distribution Plant - Electric"/>
    <x v="0"/>
    <n v="7"/>
    <s v="136801 - Ele Dist-Ln Trans-Oth Eqp"/>
    <x v="10"/>
    <n v="265609.82"/>
    <n v="32914.28"/>
    <n v="0"/>
    <n v="0"/>
    <n v="298524.10000000003"/>
  </r>
  <r>
    <x v="9"/>
    <s v="10/2022"/>
    <s v="SEC"/>
    <s v="BH Colorado Electric Oper Co"/>
    <s v="Regulated Electric (122)"/>
    <x v="2"/>
    <s v="Distribution Plant - Electric"/>
    <x v="0"/>
    <n v="7"/>
    <s v="136802 - Ele Dist-Ln Trans-Conventn"/>
    <x v="11"/>
    <n v="911942.15"/>
    <n v="53182.41"/>
    <n v="0"/>
    <n v="0"/>
    <n v="965124.56"/>
  </r>
  <r>
    <x v="9"/>
    <s v="10/2022"/>
    <s v="SEC"/>
    <s v="BH Colorado Electric Oper Co"/>
    <s v="Regulated Electric (122)"/>
    <x v="2"/>
    <s v="Distribution Plant - Electric"/>
    <x v="0"/>
    <n v="7"/>
    <s v="136803 - Ele Dist-Ln Trans-Padmount"/>
    <x v="12"/>
    <n v="323186.01"/>
    <n v="32675.16"/>
    <n v="0"/>
    <n v="0"/>
    <n v="355861.17"/>
  </r>
  <r>
    <x v="9"/>
    <s v="10/2022"/>
    <s v="SEC"/>
    <s v="BH Colorado Electric Oper Co"/>
    <s v="Regulated Electric (122)"/>
    <x v="2"/>
    <s v="Distribution Plant - Electric"/>
    <x v="0"/>
    <n v="7"/>
    <s v="136901 - Ele Dist - OH Services"/>
    <x v="13"/>
    <n v="548633.11"/>
    <n v="11681.97"/>
    <n v="0"/>
    <n v="0"/>
    <n v="560315.07999999996"/>
  </r>
  <r>
    <x v="9"/>
    <s v="10/2022"/>
    <s v="SEC"/>
    <s v="BH Colorado Electric Oper Co"/>
    <s v="Regulated Electric (122)"/>
    <x v="2"/>
    <s v="Distribution Plant - Electric"/>
    <x v="0"/>
    <n v="7"/>
    <s v="136902 - Ele Dist - UG Services"/>
    <x v="14"/>
    <n v="509966.88"/>
    <n v="23102.25"/>
    <n v="0"/>
    <n v="0"/>
    <n v="533069.13"/>
  </r>
  <r>
    <x v="9"/>
    <s v="10/2022"/>
    <s v="SEC"/>
    <s v="BH Colorado Electric Oper Co"/>
    <s v="Regulated Electric (122)"/>
    <x v="2"/>
    <s v="Distribution Plant - Electric"/>
    <x v="0"/>
    <n v="7"/>
    <s v="137001 - Ele Dist-Meters Other"/>
    <x v="15"/>
    <n v="8610.9600000000009"/>
    <n v="84.5"/>
    <n v="0"/>
    <n v="0"/>
    <n v="8695.4600000000009"/>
  </r>
  <r>
    <x v="9"/>
    <s v="10/2022"/>
    <s v="SEC"/>
    <s v="BH Colorado Electric Oper Co"/>
    <s v="Regulated Electric (122)"/>
    <x v="2"/>
    <s v="Distribution Plant - Electric"/>
    <x v="0"/>
    <n v="7"/>
    <s v="137004 - Ele Dist-Meters AMI"/>
    <x v="17"/>
    <n v="3309.07"/>
    <n v="84.460000000000008"/>
    <n v="0"/>
    <n v="0"/>
    <n v="3393.53"/>
  </r>
  <r>
    <x v="9"/>
    <s v="10/2022"/>
    <s v="SEC"/>
    <s v="BH Colorado Electric Oper Co"/>
    <s v="Regulated Electric (122)"/>
    <x v="2"/>
    <s v="Distribution Plant - Electric"/>
    <x v="0"/>
    <n v="7"/>
    <s v="137100 - Ele Dist-Instal Cst Prmise"/>
    <x v="18"/>
    <n v="213525.02000000002"/>
    <n v="2610.04"/>
    <n v="0"/>
    <n v="0"/>
    <n v="216135.06"/>
  </r>
  <r>
    <x v="9"/>
    <s v="10/2022"/>
    <s v="SEC"/>
    <s v="BH Colorado Electric Oper Co"/>
    <s v="Regulated Electric (122)"/>
    <x v="2"/>
    <s v="Distribution Plant - Electric"/>
    <x v="0"/>
    <n v="7"/>
    <s v="137300 - Ele Dist-Street Lighting"/>
    <x v="19"/>
    <n v="1006007.57"/>
    <n v="46521.82"/>
    <n v="0"/>
    <n v="0"/>
    <n v="1052529.3899999999"/>
  </r>
  <r>
    <x v="10"/>
    <s v="11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10"/>
    <s v="11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10"/>
    <s v="11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10"/>
    <s v="11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10"/>
    <s v="11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10"/>
    <s v="11/2022"/>
    <s v="SEC"/>
    <s v="BH Colorado Electric Oper Co"/>
    <s v="Regulated Electric (122)"/>
    <x v="0"/>
    <s v="Distribution Plant - Electric"/>
    <x v="0"/>
    <n v="7"/>
    <s v="136200 - Ele Dist Sub-Station Equip"/>
    <x v="5"/>
    <n v="51322650.299999997"/>
    <n v="0"/>
    <n v="0"/>
    <n v="0"/>
    <n v="51322650.299999997"/>
  </r>
  <r>
    <x v="10"/>
    <s v="11/2022"/>
    <s v="SEC"/>
    <s v="BH Colorado Electric Oper Co"/>
    <s v="Regulated Electric (122)"/>
    <x v="0"/>
    <s v="Distribution Plant - Electric"/>
    <x v="0"/>
    <n v="7"/>
    <s v="136400 - Ele Dist-Pole/Tower/Fixtur"/>
    <x v="6"/>
    <n v="83462854.170000002"/>
    <n v="1412980.19"/>
    <n v="-52610.14"/>
    <n v="0"/>
    <n v="84823224.219999999"/>
  </r>
  <r>
    <x v="10"/>
    <s v="11/2022"/>
    <s v="SEC"/>
    <s v="BH Colorado Electric Oper Co"/>
    <s v="Regulated Electric (122)"/>
    <x v="0"/>
    <s v="Distribution Plant - Electric"/>
    <x v="0"/>
    <n v="7"/>
    <s v="136500 - Ele Dist-OH Conductors"/>
    <x v="7"/>
    <n v="54521682.299999997"/>
    <n v="40372.370000000003"/>
    <n v="0"/>
    <n v="0"/>
    <n v="54562054.670000002"/>
  </r>
  <r>
    <x v="10"/>
    <s v="11/2022"/>
    <s v="SEC"/>
    <s v="BH Colorado Electric Oper Co"/>
    <s v="Regulated Electric (122)"/>
    <x v="0"/>
    <s v="Distribution Plant - Electric"/>
    <x v="0"/>
    <n v="7"/>
    <s v="136600 - Ele Dist-UG Conduit"/>
    <x v="8"/>
    <n v="15938474.17"/>
    <n v="154763.11000000002"/>
    <n v="0"/>
    <n v="0"/>
    <n v="16093237.279999999"/>
  </r>
  <r>
    <x v="10"/>
    <s v="11/2022"/>
    <s v="SEC"/>
    <s v="BH Colorado Electric Oper Co"/>
    <s v="Regulated Electric (122)"/>
    <x v="0"/>
    <s v="Distribution Plant - Electric"/>
    <x v="0"/>
    <n v="7"/>
    <s v="136700 - Ele Dist-UG Conductors"/>
    <x v="9"/>
    <n v="29486560.489999998"/>
    <n v="65413.75"/>
    <n v="0"/>
    <n v="0"/>
    <n v="29551974.239999998"/>
  </r>
  <r>
    <x v="10"/>
    <s v="11/2022"/>
    <s v="SEC"/>
    <s v="BH Colorado Electric Oper Co"/>
    <s v="Regulated Electric (122)"/>
    <x v="0"/>
    <s v="Distribution Plant - Electric"/>
    <x v="0"/>
    <n v="7"/>
    <s v="136801 - Ele Dist-Ln Trans-Oth Eqp"/>
    <x v="10"/>
    <n v="10241757.1"/>
    <n v="36468.26"/>
    <n v="-107400.82"/>
    <n v="0"/>
    <n v="10170824.539999999"/>
  </r>
  <r>
    <x v="10"/>
    <s v="11/2022"/>
    <s v="SEC"/>
    <s v="BH Colorado Electric Oper Co"/>
    <s v="Regulated Electric (122)"/>
    <x v="0"/>
    <s v="Distribution Plant - Electric"/>
    <x v="0"/>
    <n v="7"/>
    <s v="136802 - Ele Dist-Ln Trans-Conventn"/>
    <x v="11"/>
    <n v="32319867.010000002"/>
    <n v="16917.990000000002"/>
    <n v="0.03"/>
    <n v="0"/>
    <n v="32336785.030000001"/>
  </r>
  <r>
    <x v="10"/>
    <s v="11/2022"/>
    <s v="SEC"/>
    <s v="BH Colorado Electric Oper Co"/>
    <s v="Regulated Electric (122)"/>
    <x v="0"/>
    <s v="Distribution Plant - Electric"/>
    <x v="0"/>
    <n v="7"/>
    <s v="136803 - Ele Dist-Ln Trans-Padmount"/>
    <x v="12"/>
    <n v="27629144.120000001"/>
    <n v="34551.629999999997"/>
    <n v="0"/>
    <n v="0"/>
    <n v="27663695.75"/>
  </r>
  <r>
    <x v="10"/>
    <s v="11/2022"/>
    <s v="SEC"/>
    <s v="BH Colorado Electric Oper Co"/>
    <s v="Regulated Electric (122)"/>
    <x v="0"/>
    <s v="Distribution Plant - Electric"/>
    <x v="0"/>
    <n v="7"/>
    <s v="136901 - Ele Dist - OH Services"/>
    <x v="13"/>
    <n v="10751683.5"/>
    <n v="7884.17"/>
    <n v="-82801.53"/>
    <n v="0"/>
    <n v="10676766.140000001"/>
  </r>
  <r>
    <x v="10"/>
    <s v="11/2022"/>
    <s v="SEC"/>
    <s v="BH Colorado Electric Oper Co"/>
    <s v="Regulated Electric (122)"/>
    <x v="0"/>
    <s v="Distribution Plant - Electric"/>
    <x v="0"/>
    <n v="7"/>
    <s v="136902 - Ele Dist - UG Services"/>
    <x v="14"/>
    <n v="14207889.279999999"/>
    <n v="99764.11"/>
    <n v="-1325.6100000000001"/>
    <n v="0"/>
    <n v="14306327.779999999"/>
  </r>
  <r>
    <x v="10"/>
    <s v="11/2022"/>
    <s v="SEC"/>
    <s v="BH Colorado Electric Oper Co"/>
    <s v="Regulated Electric (122)"/>
    <x v="0"/>
    <s v="Distribution Plant - Electric"/>
    <x v="0"/>
    <n v="7"/>
    <s v="137001 - Ele Dist-Meters Other"/>
    <x v="15"/>
    <n v="1743434.94"/>
    <n v="0"/>
    <n v="0"/>
    <n v="4181.58"/>
    <n v="1747616.52"/>
  </r>
  <r>
    <x v="10"/>
    <s v="11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10"/>
    <s v="11/2022"/>
    <s v="SEC"/>
    <s v="BH Colorado Electric Oper Co"/>
    <s v="Regulated Electric (122)"/>
    <x v="0"/>
    <s v="Distribution Plant - Electric"/>
    <x v="0"/>
    <n v="7"/>
    <s v="137004 - Ele Dist-Meters AMI"/>
    <x v="17"/>
    <n v="16964135.59"/>
    <n v="0"/>
    <n v="-158430.48000000001"/>
    <n v="-117943.2"/>
    <n v="16687761.91"/>
  </r>
  <r>
    <x v="10"/>
    <s v="11/2022"/>
    <s v="SEC"/>
    <s v="BH Colorado Electric Oper Co"/>
    <s v="Regulated Electric (122)"/>
    <x v="0"/>
    <s v="Distribution Plant - Electric"/>
    <x v="0"/>
    <n v="7"/>
    <s v="137100 - Ele Dist-Instal Cst Prmise"/>
    <x v="18"/>
    <n v="2510824.4"/>
    <n v="1084.1500000000001"/>
    <n v="0"/>
    <n v="0"/>
    <n v="2511908.5499999998"/>
  </r>
  <r>
    <x v="10"/>
    <s v="11/2022"/>
    <s v="SEC"/>
    <s v="BH Colorado Electric Oper Co"/>
    <s v="Regulated Electric (122)"/>
    <x v="0"/>
    <s v="Distribution Plant - Electric"/>
    <x v="0"/>
    <n v="7"/>
    <s v="137300 - Ele Dist-Street Lighting"/>
    <x v="19"/>
    <n v="10474870.949999999"/>
    <n v="10046.76"/>
    <n v="-2800.12"/>
    <n v="0"/>
    <n v="10482117.59"/>
  </r>
  <r>
    <x v="10"/>
    <s v="11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10"/>
    <s v="11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10"/>
    <s v="11/2022"/>
    <s v="SEC"/>
    <s v="BH Colorado Electric Oper Co"/>
    <s v="Regulated Electric (122)"/>
    <x v="2"/>
    <s v="Distribution Plant - Electric"/>
    <x v="0"/>
    <n v="7"/>
    <s v="136001 - Ele Dist-Land"/>
    <x v="0"/>
    <n v="57920.08"/>
    <n v="-41543.040000000001"/>
    <n v="0"/>
    <n v="0"/>
    <n v="16377.04"/>
  </r>
  <r>
    <x v="10"/>
    <s v="11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10"/>
    <s v="11/2022"/>
    <s v="SEC"/>
    <s v="BH Colorado Electric Oper Co"/>
    <s v="Regulated Electric (122)"/>
    <x v="2"/>
    <s v="Distribution Plant - Electric"/>
    <x v="0"/>
    <n v="7"/>
    <s v="136200 - Ele Dist Sub-Station Equip"/>
    <x v="5"/>
    <n v="4467763.47"/>
    <n v="5286175.43"/>
    <n v="0"/>
    <n v="0"/>
    <n v="9753938.9000000004"/>
  </r>
  <r>
    <x v="10"/>
    <s v="11/2022"/>
    <s v="SEC"/>
    <s v="BH Colorado Electric Oper Co"/>
    <s v="Regulated Electric (122)"/>
    <x v="2"/>
    <s v="Distribution Plant - Electric"/>
    <x v="0"/>
    <n v="7"/>
    <s v="136400 - Ele Dist-Pole/Tower/Fixtur"/>
    <x v="6"/>
    <n v="18182288.300000001"/>
    <n v="-1138906.6100000001"/>
    <n v="0"/>
    <n v="0"/>
    <n v="17043381.690000001"/>
  </r>
  <r>
    <x v="10"/>
    <s v="11/2022"/>
    <s v="SEC"/>
    <s v="BH Colorado Electric Oper Co"/>
    <s v="Regulated Electric (122)"/>
    <x v="2"/>
    <s v="Distribution Plant - Electric"/>
    <x v="0"/>
    <n v="7"/>
    <s v="136500 - Ele Dist-OH Conductors"/>
    <x v="7"/>
    <n v="4203212.4800000004"/>
    <n v="186908.07"/>
    <n v="0"/>
    <n v="0"/>
    <n v="4390120.55"/>
  </r>
  <r>
    <x v="10"/>
    <s v="11/2022"/>
    <s v="SEC"/>
    <s v="BH Colorado Electric Oper Co"/>
    <s v="Regulated Electric (122)"/>
    <x v="2"/>
    <s v="Distribution Plant - Electric"/>
    <x v="0"/>
    <n v="7"/>
    <s v="136600 - Ele Dist-UG Conduit"/>
    <x v="8"/>
    <n v="1318187.05"/>
    <n v="-39611.370000000003"/>
    <n v="0"/>
    <n v="0"/>
    <n v="1278575.68"/>
  </r>
  <r>
    <x v="10"/>
    <s v="11/2022"/>
    <s v="SEC"/>
    <s v="BH Colorado Electric Oper Co"/>
    <s v="Regulated Electric (122)"/>
    <x v="2"/>
    <s v="Distribution Plant - Electric"/>
    <x v="0"/>
    <n v="7"/>
    <s v="136700 - Ele Dist-UG Conductors"/>
    <x v="9"/>
    <n v="5021165.34"/>
    <n v="-31607.32"/>
    <n v="0"/>
    <n v="0"/>
    <n v="4989558.0199999996"/>
  </r>
  <r>
    <x v="10"/>
    <s v="11/2022"/>
    <s v="SEC"/>
    <s v="BH Colorado Electric Oper Co"/>
    <s v="Regulated Electric (122)"/>
    <x v="2"/>
    <s v="Distribution Plant - Electric"/>
    <x v="0"/>
    <n v="7"/>
    <s v="136801 - Ele Dist-Ln Trans-Oth Eqp"/>
    <x v="10"/>
    <n v="298524.10000000003"/>
    <n v="14477.77"/>
    <n v="0"/>
    <n v="0"/>
    <n v="313001.87"/>
  </r>
  <r>
    <x v="10"/>
    <s v="11/2022"/>
    <s v="SEC"/>
    <s v="BH Colorado Electric Oper Co"/>
    <s v="Regulated Electric (122)"/>
    <x v="2"/>
    <s v="Distribution Plant - Electric"/>
    <x v="0"/>
    <n v="7"/>
    <s v="136802 - Ele Dist-Ln Trans-Conventn"/>
    <x v="11"/>
    <n v="965124.56"/>
    <n v="38800.270000000004"/>
    <n v="0"/>
    <n v="0"/>
    <n v="1003924.83"/>
  </r>
  <r>
    <x v="10"/>
    <s v="11/2022"/>
    <s v="SEC"/>
    <s v="BH Colorado Electric Oper Co"/>
    <s v="Regulated Electric (122)"/>
    <x v="2"/>
    <s v="Distribution Plant - Electric"/>
    <x v="0"/>
    <n v="7"/>
    <s v="136803 - Ele Dist-Ln Trans-Padmount"/>
    <x v="12"/>
    <n v="355861.17"/>
    <n v="28914.260000000002"/>
    <n v="0"/>
    <n v="0"/>
    <n v="384775.43"/>
  </r>
  <r>
    <x v="10"/>
    <s v="11/2022"/>
    <s v="SEC"/>
    <s v="BH Colorado Electric Oper Co"/>
    <s v="Regulated Electric (122)"/>
    <x v="2"/>
    <s v="Distribution Plant - Electric"/>
    <x v="0"/>
    <n v="7"/>
    <s v="136901 - Ele Dist - OH Services"/>
    <x v="13"/>
    <n v="560315.07999999996"/>
    <n v="-16687.43"/>
    <n v="0"/>
    <n v="0"/>
    <n v="543627.65"/>
  </r>
  <r>
    <x v="10"/>
    <s v="11/2022"/>
    <s v="SEC"/>
    <s v="BH Colorado Electric Oper Co"/>
    <s v="Regulated Electric (122)"/>
    <x v="2"/>
    <s v="Distribution Plant - Electric"/>
    <x v="0"/>
    <n v="7"/>
    <s v="136902 - Ele Dist - UG Services"/>
    <x v="14"/>
    <n v="533069.13"/>
    <n v="-18812.59"/>
    <n v="0"/>
    <n v="0"/>
    <n v="514256.54000000004"/>
  </r>
  <r>
    <x v="10"/>
    <s v="11/2022"/>
    <s v="SEC"/>
    <s v="BH Colorado Electric Oper Co"/>
    <s v="Regulated Electric (122)"/>
    <x v="2"/>
    <s v="Distribution Plant - Electric"/>
    <x v="0"/>
    <n v="7"/>
    <s v="137001 - Ele Dist-Meters Other"/>
    <x v="15"/>
    <n v="8695.4600000000009"/>
    <n v="-4991.6000000000004"/>
    <n v="0"/>
    <n v="0"/>
    <n v="3703.86"/>
  </r>
  <r>
    <x v="10"/>
    <s v="11/2022"/>
    <s v="SEC"/>
    <s v="BH Colorado Electric Oper Co"/>
    <s v="Regulated Electric (122)"/>
    <x v="2"/>
    <s v="Distribution Plant - Electric"/>
    <x v="0"/>
    <n v="7"/>
    <s v="137004 - Ele Dist-Meters AMI"/>
    <x v="17"/>
    <n v="3393.53"/>
    <n v="-3294.48"/>
    <n v="0"/>
    <n v="0"/>
    <n v="99.05"/>
  </r>
  <r>
    <x v="10"/>
    <s v="11/2022"/>
    <s v="SEC"/>
    <s v="BH Colorado Electric Oper Co"/>
    <s v="Regulated Electric (122)"/>
    <x v="2"/>
    <s v="Distribution Plant - Electric"/>
    <x v="0"/>
    <n v="7"/>
    <s v="137100 - Ele Dist-Instal Cst Prmise"/>
    <x v="18"/>
    <n v="216135.06"/>
    <n v="16790.46"/>
    <n v="0"/>
    <n v="0"/>
    <n v="232925.52000000002"/>
  </r>
  <r>
    <x v="10"/>
    <s v="11/2022"/>
    <s v="SEC"/>
    <s v="BH Colorado Electric Oper Co"/>
    <s v="Regulated Electric (122)"/>
    <x v="2"/>
    <s v="Distribution Plant - Electric"/>
    <x v="0"/>
    <n v="7"/>
    <s v="137300 - Ele Dist-Street Lighting"/>
    <x v="19"/>
    <n v="1052529.3899999999"/>
    <n v="28452"/>
    <n v="0"/>
    <n v="0"/>
    <n v="1080981.3899999999"/>
  </r>
  <r>
    <x v="11"/>
    <s v="12/2022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10000"/>
    <n v="668853.93000000005"/>
  </r>
  <r>
    <x v="11"/>
    <s v="12/2022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11"/>
    <s v="12/2022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19051.650000000001"/>
    <n v="19051.650000000001"/>
  </r>
  <r>
    <x v="11"/>
    <s v="12/2022"/>
    <s v="SEC"/>
    <s v="BH Colorado Electric Oper Co"/>
    <s v="Regulated Electric (122)"/>
    <x v="0"/>
    <s v="Distribution Plant - Electric"/>
    <x v="0"/>
    <n v="7"/>
    <s v="136100 - Ele Dist Sub-Str &amp; Improve"/>
    <x v="3"/>
    <n v="643978.15"/>
    <n v="0"/>
    <n v="0"/>
    <n v="0"/>
    <n v="643978.15"/>
  </r>
  <r>
    <x v="11"/>
    <s v="12/2022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878814.20000000007"/>
    <n v="0"/>
    <n v="0"/>
    <n v="2048733.07"/>
  </r>
  <r>
    <x v="11"/>
    <s v="12/2022"/>
    <s v="SEC"/>
    <s v="BH Colorado Electric Oper Co"/>
    <s v="Regulated Electric (122)"/>
    <x v="0"/>
    <s v="Distribution Plant - Electric"/>
    <x v="0"/>
    <n v="7"/>
    <s v="136200 - Ele Dist Sub-Station Equip"/>
    <x v="5"/>
    <n v="51322650.299999997"/>
    <n v="4083506.56"/>
    <n v="-70235.06"/>
    <n v="0"/>
    <n v="55335921.799999997"/>
  </r>
  <r>
    <x v="11"/>
    <s v="12/2022"/>
    <s v="SEC"/>
    <s v="BH Colorado Electric Oper Co"/>
    <s v="Regulated Electric (122)"/>
    <x v="0"/>
    <s v="Distribution Plant - Electric"/>
    <x v="0"/>
    <n v="7"/>
    <s v="136400 - Ele Dist-Pole/Tower/Fixtur"/>
    <x v="6"/>
    <n v="84823224.219999999"/>
    <n v="2202490.5299999998"/>
    <n v="-692023.51"/>
    <n v="0"/>
    <n v="86333691.239999995"/>
  </r>
  <r>
    <x v="11"/>
    <s v="12/2022"/>
    <s v="SEC"/>
    <s v="BH Colorado Electric Oper Co"/>
    <s v="Regulated Electric (122)"/>
    <x v="0"/>
    <s v="Distribution Plant - Electric"/>
    <x v="0"/>
    <n v="7"/>
    <s v="136500 - Ele Dist-OH Conductors"/>
    <x v="7"/>
    <n v="54562054.670000002"/>
    <n v="1154469"/>
    <n v="-540391.6"/>
    <n v="-36883.64"/>
    <n v="55139248.43"/>
  </r>
  <r>
    <x v="11"/>
    <s v="12/2022"/>
    <s v="SEC"/>
    <s v="BH Colorado Electric Oper Co"/>
    <s v="Regulated Electric (122)"/>
    <x v="0"/>
    <s v="Distribution Plant - Electric"/>
    <x v="0"/>
    <n v="7"/>
    <s v="136600 - Ele Dist-UG Conduit"/>
    <x v="8"/>
    <n v="16093237.279999999"/>
    <n v="590627.59"/>
    <n v="-69780.990000000005"/>
    <n v="0"/>
    <n v="16614083.880000001"/>
  </r>
  <r>
    <x v="11"/>
    <s v="12/2022"/>
    <s v="SEC"/>
    <s v="BH Colorado Electric Oper Co"/>
    <s v="Regulated Electric (122)"/>
    <x v="0"/>
    <s v="Distribution Plant - Electric"/>
    <x v="0"/>
    <n v="7"/>
    <s v="136700 - Ele Dist-UG Conductors"/>
    <x v="9"/>
    <n v="29551974.239999998"/>
    <n v="963227.51"/>
    <n v="-71350.36"/>
    <n v="0"/>
    <n v="30443851.390000001"/>
  </r>
  <r>
    <x v="11"/>
    <s v="12/2022"/>
    <s v="SEC"/>
    <s v="BH Colorado Electric Oper Co"/>
    <s v="Regulated Electric (122)"/>
    <x v="0"/>
    <s v="Distribution Plant - Electric"/>
    <x v="0"/>
    <n v="7"/>
    <s v="136801 - Ele Dist-Ln Trans-Oth Eqp"/>
    <x v="10"/>
    <n v="10170824.539999999"/>
    <n v="446538.36"/>
    <n v="-41829.53"/>
    <n v="0"/>
    <n v="10575533.369999999"/>
  </r>
  <r>
    <x v="11"/>
    <s v="12/2022"/>
    <s v="SEC"/>
    <s v="BH Colorado Electric Oper Co"/>
    <s v="Regulated Electric (122)"/>
    <x v="0"/>
    <s v="Distribution Plant - Electric"/>
    <x v="0"/>
    <n v="7"/>
    <s v="136802 - Ele Dist-Ln Trans-Conventn"/>
    <x v="11"/>
    <n v="32336785.030000001"/>
    <n v="259734.86000000002"/>
    <n v="1941.18"/>
    <n v="0"/>
    <n v="32598461.07"/>
  </r>
  <r>
    <x v="11"/>
    <s v="12/2022"/>
    <s v="SEC"/>
    <s v="BH Colorado Electric Oper Co"/>
    <s v="Regulated Electric (122)"/>
    <x v="0"/>
    <s v="Distribution Plant - Electric"/>
    <x v="0"/>
    <n v="7"/>
    <s v="136803 - Ele Dist-Ln Trans-Padmount"/>
    <x v="12"/>
    <n v="27663695.75"/>
    <n v="430184.32"/>
    <n v="179.95000000000002"/>
    <n v="0"/>
    <n v="28094060.02"/>
  </r>
  <r>
    <x v="11"/>
    <s v="12/2022"/>
    <s v="SEC"/>
    <s v="BH Colorado Electric Oper Co"/>
    <s v="Regulated Electric (122)"/>
    <x v="0"/>
    <s v="Distribution Plant - Electric"/>
    <x v="0"/>
    <n v="7"/>
    <s v="136901 - Ele Dist - OH Services"/>
    <x v="13"/>
    <n v="10676766.140000001"/>
    <n v="368770.26"/>
    <n v="-12585.380000000001"/>
    <n v="0"/>
    <n v="11032951.02"/>
  </r>
  <r>
    <x v="11"/>
    <s v="12/2022"/>
    <s v="SEC"/>
    <s v="BH Colorado Electric Oper Co"/>
    <s v="Regulated Electric (122)"/>
    <x v="0"/>
    <s v="Distribution Plant - Electric"/>
    <x v="0"/>
    <n v="7"/>
    <s v="136902 - Ele Dist - UG Services"/>
    <x v="14"/>
    <n v="14306327.779999999"/>
    <n v="355475.16000000003"/>
    <n v="-3268.65"/>
    <n v="0"/>
    <n v="14658534.289999999"/>
  </r>
  <r>
    <x v="11"/>
    <s v="12/2022"/>
    <s v="SEC"/>
    <s v="BH Colorado Electric Oper Co"/>
    <s v="Regulated Electric (122)"/>
    <x v="0"/>
    <s v="Distribution Plant - Electric"/>
    <x v="0"/>
    <n v="7"/>
    <s v="137001 - Ele Dist-Meters Other"/>
    <x v="15"/>
    <n v="1747616.52"/>
    <n v="3537.07"/>
    <n v="0"/>
    <n v="2025.75"/>
    <n v="1753179.3399999999"/>
  </r>
  <r>
    <x v="11"/>
    <s v="12/2022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11"/>
    <s v="12/2022"/>
    <s v="SEC"/>
    <s v="BH Colorado Electric Oper Co"/>
    <s v="Regulated Electric (122)"/>
    <x v="0"/>
    <s v="Distribution Plant - Electric"/>
    <x v="0"/>
    <n v="7"/>
    <s v="137004 - Ele Dist-Meters AMI"/>
    <x v="17"/>
    <n v="16687761.91"/>
    <n v="-1039.27"/>
    <n v="11381.050000000001"/>
    <n v="311.63"/>
    <n v="16698415.32"/>
  </r>
  <r>
    <x v="11"/>
    <s v="12/2022"/>
    <s v="SEC"/>
    <s v="BH Colorado Electric Oper Co"/>
    <s v="Regulated Electric (122)"/>
    <x v="0"/>
    <s v="Distribution Plant - Electric"/>
    <x v="0"/>
    <n v="7"/>
    <s v="137100 - Ele Dist-Instal Cst Prmise"/>
    <x v="18"/>
    <n v="2511908.5499999998"/>
    <n v="150699.31"/>
    <n v="-14990.300000000001"/>
    <n v="0"/>
    <n v="2647617.56"/>
  </r>
  <r>
    <x v="11"/>
    <s v="12/2022"/>
    <s v="SEC"/>
    <s v="BH Colorado Electric Oper Co"/>
    <s v="Regulated Electric (122)"/>
    <x v="0"/>
    <s v="Distribution Plant - Electric"/>
    <x v="0"/>
    <n v="7"/>
    <s v="137300 - Ele Dist-Street Lighting"/>
    <x v="19"/>
    <n v="10482117.59"/>
    <n v="509888.62"/>
    <n v="-20048.09"/>
    <n v="-3387.64"/>
    <n v="10968570.48"/>
  </r>
  <r>
    <x v="11"/>
    <s v="12/2022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11"/>
    <s v="12/2022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11"/>
    <s v="12/2022"/>
    <s v="SEC"/>
    <s v="BH Colorado Electric Oper Co"/>
    <s v="Regulated Electric (122)"/>
    <x v="2"/>
    <s v="Distribution Plant - Electric"/>
    <x v="0"/>
    <n v="7"/>
    <s v="136001 - Ele Dist-Land"/>
    <x v="0"/>
    <n v="16377.04"/>
    <n v="0"/>
    <n v="0"/>
    <n v="0"/>
    <n v="16377.04"/>
  </r>
  <r>
    <x v="11"/>
    <s v="12/2022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11"/>
    <s v="12/2022"/>
    <s v="SEC"/>
    <s v="BH Colorado Electric Oper Co"/>
    <s v="Regulated Electric (122)"/>
    <x v="2"/>
    <s v="Distribution Plant - Electric"/>
    <x v="0"/>
    <n v="7"/>
    <s v="136200 - Ele Dist Sub-Station Equip"/>
    <x v="5"/>
    <n v="9753938.9000000004"/>
    <n v="-4398277.67"/>
    <n v="0"/>
    <n v="0"/>
    <n v="5355661.2300000004"/>
  </r>
  <r>
    <x v="11"/>
    <s v="12/2022"/>
    <s v="SEC"/>
    <s v="BH Colorado Electric Oper Co"/>
    <s v="Regulated Electric (122)"/>
    <x v="2"/>
    <s v="Distribution Plant - Electric"/>
    <x v="0"/>
    <n v="7"/>
    <s v="136400 - Ele Dist-Pole/Tower/Fixtur"/>
    <x v="6"/>
    <n v="17043381.690000001"/>
    <n v="391864.41000000003"/>
    <n v="0"/>
    <n v="0"/>
    <n v="17435246.100000001"/>
  </r>
  <r>
    <x v="11"/>
    <s v="12/2022"/>
    <s v="SEC"/>
    <s v="BH Colorado Electric Oper Co"/>
    <s v="Regulated Electric (122)"/>
    <x v="2"/>
    <s v="Distribution Plant - Electric"/>
    <x v="0"/>
    <n v="7"/>
    <s v="136500 - Ele Dist-OH Conductors"/>
    <x v="7"/>
    <n v="4390120.55"/>
    <n v="-110351.90000000001"/>
    <n v="0"/>
    <n v="0"/>
    <n v="4279768.6500000004"/>
  </r>
  <r>
    <x v="11"/>
    <s v="12/2022"/>
    <s v="SEC"/>
    <s v="BH Colorado Electric Oper Co"/>
    <s v="Regulated Electric (122)"/>
    <x v="2"/>
    <s v="Distribution Plant - Electric"/>
    <x v="0"/>
    <n v="7"/>
    <s v="136600 - Ele Dist-UG Conduit"/>
    <x v="8"/>
    <n v="1278575.68"/>
    <n v="-412238.44"/>
    <n v="0"/>
    <n v="0"/>
    <n v="866337.24"/>
  </r>
  <r>
    <x v="11"/>
    <s v="12/2022"/>
    <s v="SEC"/>
    <s v="BH Colorado Electric Oper Co"/>
    <s v="Regulated Electric (122)"/>
    <x v="2"/>
    <s v="Distribution Plant - Electric"/>
    <x v="0"/>
    <n v="7"/>
    <s v="136700 - Ele Dist-UG Conductors"/>
    <x v="9"/>
    <n v="4989558.0199999996"/>
    <n v="-176805.73"/>
    <n v="0"/>
    <n v="0"/>
    <n v="4812752.29"/>
  </r>
  <r>
    <x v="11"/>
    <s v="12/2022"/>
    <s v="SEC"/>
    <s v="BH Colorado Electric Oper Co"/>
    <s v="Regulated Electric (122)"/>
    <x v="2"/>
    <s v="Distribution Plant - Electric"/>
    <x v="0"/>
    <n v="7"/>
    <s v="136801 - Ele Dist-Ln Trans-Oth Eqp"/>
    <x v="10"/>
    <n v="313001.87"/>
    <n v="-208041.54"/>
    <n v="0"/>
    <n v="0"/>
    <n v="104960.33"/>
  </r>
  <r>
    <x v="11"/>
    <s v="12/2022"/>
    <s v="SEC"/>
    <s v="BH Colorado Electric Oper Co"/>
    <s v="Regulated Electric (122)"/>
    <x v="2"/>
    <s v="Distribution Plant - Electric"/>
    <x v="0"/>
    <n v="7"/>
    <s v="136802 - Ele Dist-Ln Trans-Conventn"/>
    <x v="11"/>
    <n v="1003924.83"/>
    <n v="-634673.76"/>
    <n v="0"/>
    <n v="0"/>
    <n v="369251.07"/>
  </r>
  <r>
    <x v="11"/>
    <s v="12/2022"/>
    <s v="SEC"/>
    <s v="BH Colorado Electric Oper Co"/>
    <s v="Regulated Electric (122)"/>
    <x v="2"/>
    <s v="Distribution Plant - Electric"/>
    <x v="0"/>
    <n v="7"/>
    <s v="136803 - Ele Dist-Ln Trans-Padmount"/>
    <x v="12"/>
    <n v="384775.43"/>
    <n v="-111513.92"/>
    <n v="0"/>
    <n v="0"/>
    <n v="273261.51"/>
  </r>
  <r>
    <x v="11"/>
    <s v="12/2022"/>
    <s v="SEC"/>
    <s v="BH Colorado Electric Oper Co"/>
    <s v="Regulated Electric (122)"/>
    <x v="2"/>
    <s v="Distribution Plant - Electric"/>
    <x v="0"/>
    <n v="7"/>
    <s v="136901 - Ele Dist - OH Services"/>
    <x v="13"/>
    <n v="543627.65"/>
    <n v="-234995.43"/>
    <n v="0"/>
    <n v="0"/>
    <n v="308632.22000000003"/>
  </r>
  <r>
    <x v="11"/>
    <s v="12/2022"/>
    <s v="SEC"/>
    <s v="BH Colorado Electric Oper Co"/>
    <s v="Regulated Electric (122)"/>
    <x v="2"/>
    <s v="Distribution Plant - Electric"/>
    <x v="0"/>
    <n v="7"/>
    <s v="136902 - Ele Dist - UG Services"/>
    <x v="14"/>
    <n v="514256.54000000004"/>
    <n v="-287429.22000000003"/>
    <n v="0"/>
    <n v="0"/>
    <n v="226827.32"/>
  </r>
  <r>
    <x v="11"/>
    <s v="12/2022"/>
    <s v="SEC"/>
    <s v="BH Colorado Electric Oper Co"/>
    <s v="Regulated Electric (122)"/>
    <x v="2"/>
    <s v="Distribution Plant - Electric"/>
    <x v="0"/>
    <n v="7"/>
    <s v="137001 - Ele Dist-Meters Other"/>
    <x v="15"/>
    <n v="3703.86"/>
    <n v="42.92"/>
    <n v="0"/>
    <n v="0"/>
    <n v="3746.78"/>
  </r>
  <r>
    <x v="11"/>
    <s v="12/2022"/>
    <s v="SEC"/>
    <s v="BH Colorado Electric Oper Co"/>
    <s v="Regulated Electric (122)"/>
    <x v="2"/>
    <s v="Distribution Plant - Electric"/>
    <x v="0"/>
    <n v="7"/>
    <s v="137004 - Ele Dist-Meters AMI"/>
    <x v="17"/>
    <n v="99.05"/>
    <n v="42.92"/>
    <n v="0"/>
    <n v="0"/>
    <n v="141.97"/>
  </r>
  <r>
    <x v="11"/>
    <s v="12/2022"/>
    <s v="SEC"/>
    <s v="BH Colorado Electric Oper Co"/>
    <s v="Regulated Electric (122)"/>
    <x v="2"/>
    <s v="Distribution Plant - Electric"/>
    <x v="0"/>
    <n v="7"/>
    <s v="137100 - Ele Dist-Instal Cst Prmise"/>
    <x v="18"/>
    <n v="232925.52000000002"/>
    <n v="-133982.23000000001"/>
    <n v="0"/>
    <n v="0"/>
    <n v="98943.290000000008"/>
  </r>
  <r>
    <x v="11"/>
    <s v="12/2022"/>
    <s v="SEC"/>
    <s v="BH Colorado Electric Oper Co"/>
    <s v="Regulated Electric (122)"/>
    <x v="2"/>
    <s v="Distribution Plant - Electric"/>
    <x v="0"/>
    <n v="7"/>
    <s v="137300 - Ele Dist-Street Lighting"/>
    <x v="19"/>
    <n v="1080981.3899999999"/>
    <n v="-443493.33"/>
    <n v="0"/>
    <n v="0"/>
    <n v="637488.06000000006"/>
  </r>
  <r>
    <x v="12"/>
    <s v="12/2021"/>
    <s v="SEC"/>
    <s v="BH Colorado Electric Oper Co"/>
    <s v="Regulated Electric (122)"/>
    <x v="0"/>
    <s v="Distribution Plant - Electric"/>
    <x v="0"/>
    <n v="7"/>
    <s v="136001 - Ele Dist-Land"/>
    <x v="0"/>
    <n v="658853.93000000005"/>
    <n v="0"/>
    <n v="0"/>
    <n v="0"/>
    <n v="658853.93000000005"/>
  </r>
  <r>
    <x v="12"/>
    <s v="12/2021"/>
    <s v="SEC"/>
    <s v="BH Colorado Electric Oper Co"/>
    <s v="Regulated Electric (122)"/>
    <x v="0"/>
    <s v="Distribution Plant - Electric"/>
    <x v="0"/>
    <n v="7"/>
    <s v="136002 - Ele Dist- Ld Rt/ROW-Non-De"/>
    <x v="1"/>
    <n v="184620.19"/>
    <n v="0"/>
    <n v="0"/>
    <n v="0"/>
    <n v="184620.19"/>
  </r>
  <r>
    <x v="12"/>
    <s v="12/2021"/>
    <s v="SEC"/>
    <s v="BH Colorado Electric Oper Co"/>
    <s v="Regulated Electric (122)"/>
    <x v="0"/>
    <s v="Distribution Plant - Electric"/>
    <x v="0"/>
    <n v="7"/>
    <s v="136003 - Ele Dist- Ld Rt/ROW-Deprec"/>
    <x v="2"/>
    <n v="0"/>
    <n v="0"/>
    <n v="0"/>
    <n v="0"/>
    <n v="0"/>
  </r>
  <r>
    <x v="12"/>
    <s v="12/2021"/>
    <s v="SEC"/>
    <s v="BH Colorado Electric Oper Co"/>
    <s v="Regulated Electric (122)"/>
    <x v="0"/>
    <s v="Distribution Plant - Electric"/>
    <x v="0"/>
    <n v="7"/>
    <s v="136100 - Ele Dist Sub-Str &amp; Improve"/>
    <x v="3"/>
    <n v="625227.14"/>
    <n v="0"/>
    <n v="0"/>
    <n v="0"/>
    <n v="625227.14"/>
  </r>
  <r>
    <x v="12"/>
    <s v="12/2021"/>
    <s v="SEC"/>
    <s v="BH Colorado Electric Oper Co"/>
    <s v="Regulated Electric (122)"/>
    <x v="0"/>
    <s v="Distribution Plant - Electric"/>
    <x v="0"/>
    <n v="7"/>
    <s v="136105 - Ele Dist Sub-Land Improve"/>
    <x v="4"/>
    <n v="1169918.8700000001"/>
    <n v="0"/>
    <n v="0"/>
    <n v="0"/>
    <n v="1169918.8700000001"/>
  </r>
  <r>
    <x v="12"/>
    <s v="12/2021"/>
    <s v="SEC"/>
    <s v="BH Colorado Electric Oper Co"/>
    <s v="Regulated Electric (122)"/>
    <x v="0"/>
    <s v="Distribution Plant - Electric"/>
    <x v="0"/>
    <n v="7"/>
    <s v="136200 - Ele Dist Sub-Station Equip"/>
    <x v="5"/>
    <n v="51184216.350000001"/>
    <n v="0"/>
    <n v="0"/>
    <n v="0"/>
    <n v="51184216.350000001"/>
  </r>
  <r>
    <x v="12"/>
    <s v="12/2021"/>
    <s v="SEC"/>
    <s v="BH Colorado Electric Oper Co"/>
    <s v="Regulated Electric (122)"/>
    <x v="0"/>
    <s v="Distribution Plant - Electric"/>
    <x v="0"/>
    <n v="7"/>
    <s v="136400 - Ele Dist-Pole/Tower/Fixtur"/>
    <x v="6"/>
    <n v="78543446.469999999"/>
    <n v="1474997.72"/>
    <n v="-11065.17"/>
    <n v="0"/>
    <n v="80007379.019999996"/>
  </r>
  <r>
    <x v="12"/>
    <s v="12/2021"/>
    <s v="SEC"/>
    <s v="BH Colorado Electric Oper Co"/>
    <s v="Regulated Electric (122)"/>
    <x v="0"/>
    <s v="Distribution Plant - Electric"/>
    <x v="0"/>
    <n v="7"/>
    <s v="136500 - Ele Dist-OH Conductors"/>
    <x v="7"/>
    <n v="53342297.609999999"/>
    <n v="386151.09"/>
    <n v="0"/>
    <n v="0"/>
    <n v="53728448.700000003"/>
  </r>
  <r>
    <x v="12"/>
    <s v="12/2021"/>
    <s v="SEC"/>
    <s v="BH Colorado Electric Oper Co"/>
    <s v="Regulated Electric (122)"/>
    <x v="0"/>
    <s v="Distribution Plant - Electric"/>
    <x v="0"/>
    <n v="7"/>
    <s v="136600 - Ele Dist-UG Conduit"/>
    <x v="8"/>
    <n v="14154541.310000001"/>
    <n v="27751.23"/>
    <n v="-413.31"/>
    <n v="0"/>
    <n v="14181879.23"/>
  </r>
  <r>
    <x v="12"/>
    <s v="12/2021"/>
    <s v="SEC"/>
    <s v="BH Colorado Electric Oper Co"/>
    <s v="Regulated Electric (122)"/>
    <x v="0"/>
    <s v="Distribution Plant - Electric"/>
    <x v="0"/>
    <n v="7"/>
    <s v="136700 - Ele Dist-UG Conductors"/>
    <x v="9"/>
    <n v="27590822.84"/>
    <n v="71169.58"/>
    <n v="0"/>
    <n v="0"/>
    <n v="27661992.420000002"/>
  </r>
  <r>
    <x v="12"/>
    <s v="12/2021"/>
    <s v="SEC"/>
    <s v="BH Colorado Electric Oper Co"/>
    <s v="Regulated Electric (122)"/>
    <x v="0"/>
    <s v="Distribution Plant - Electric"/>
    <x v="0"/>
    <n v="7"/>
    <s v="136801 - Ele Dist-Ln Trans-Oth Eqp"/>
    <x v="10"/>
    <n v="9595786.6600000001"/>
    <n v="50520.840000000004"/>
    <n v="0"/>
    <n v="0"/>
    <n v="9646307.5"/>
  </r>
  <r>
    <x v="12"/>
    <s v="12/2021"/>
    <s v="SEC"/>
    <s v="BH Colorado Electric Oper Co"/>
    <s v="Regulated Electric (122)"/>
    <x v="0"/>
    <s v="Distribution Plant - Electric"/>
    <x v="0"/>
    <n v="7"/>
    <s v="136802 - Ele Dist-Ln Trans-Conventn"/>
    <x v="11"/>
    <n v="30397559.260000002"/>
    <n v="179511.83000000002"/>
    <n v="0"/>
    <n v="-4027.42"/>
    <n v="30573043.670000002"/>
  </r>
  <r>
    <x v="12"/>
    <s v="12/2021"/>
    <s v="SEC"/>
    <s v="BH Colorado Electric Oper Co"/>
    <s v="Regulated Electric (122)"/>
    <x v="0"/>
    <s v="Distribution Plant - Electric"/>
    <x v="0"/>
    <n v="7"/>
    <s v="136803 - Ele Dist-Ln Trans-Padmount"/>
    <x v="12"/>
    <n v="24803975.149999999"/>
    <n v="41292.82"/>
    <n v="-14.46"/>
    <n v="-2978.78"/>
    <n v="24842274.73"/>
  </r>
  <r>
    <x v="12"/>
    <s v="12/2021"/>
    <s v="SEC"/>
    <s v="BH Colorado Electric Oper Co"/>
    <s v="Regulated Electric (122)"/>
    <x v="0"/>
    <s v="Distribution Plant - Electric"/>
    <x v="0"/>
    <n v="7"/>
    <s v="136901 - Ele Dist - OH Services"/>
    <x v="13"/>
    <n v="9992632.0500000007"/>
    <n v="5039.4800000000005"/>
    <n v="0"/>
    <n v="0"/>
    <n v="9997671.5299999993"/>
  </r>
  <r>
    <x v="12"/>
    <s v="12/2021"/>
    <s v="SEC"/>
    <s v="BH Colorado Electric Oper Co"/>
    <s v="Regulated Electric (122)"/>
    <x v="0"/>
    <s v="Distribution Plant - Electric"/>
    <x v="0"/>
    <n v="7"/>
    <s v="136902 - Ele Dist - UG Services"/>
    <x v="14"/>
    <n v="13276684.939999999"/>
    <n v="9368.2800000000007"/>
    <n v="0"/>
    <n v="0"/>
    <n v="13286053.220000001"/>
  </r>
  <r>
    <x v="12"/>
    <s v="12/2021"/>
    <s v="SEC"/>
    <s v="BH Colorado Electric Oper Co"/>
    <s v="Regulated Electric (122)"/>
    <x v="0"/>
    <s v="Distribution Plant - Electric"/>
    <x v="0"/>
    <n v="7"/>
    <s v="137001 - Ele Dist-Meters Other"/>
    <x v="15"/>
    <n v="1701565.55"/>
    <n v="6635.99"/>
    <n v="0"/>
    <n v="0"/>
    <n v="1708201.54"/>
  </r>
  <r>
    <x v="12"/>
    <s v="12/2021"/>
    <s v="SEC"/>
    <s v="BH Colorado Electric Oper Co"/>
    <s v="Regulated Electric (122)"/>
    <x v="0"/>
    <s v="Distribution Plant - Electric"/>
    <x v="0"/>
    <n v="7"/>
    <s v="137002 - Ele Dist-Meters PURPA"/>
    <x v="16"/>
    <n v="0"/>
    <n v="0"/>
    <n v="0"/>
    <n v="0"/>
    <n v="0"/>
  </r>
  <r>
    <x v="12"/>
    <s v="12/2021"/>
    <s v="SEC"/>
    <s v="BH Colorado Electric Oper Co"/>
    <s v="Regulated Electric (122)"/>
    <x v="0"/>
    <s v="Distribution Plant - Electric"/>
    <x v="0"/>
    <n v="7"/>
    <s v="137004 - Ele Dist-Meters AMI"/>
    <x v="17"/>
    <n v="17440079.030000001"/>
    <n v="9032.3700000000008"/>
    <n v="-331388.77"/>
    <n v="331388.77"/>
    <n v="17449111.399999999"/>
  </r>
  <r>
    <x v="12"/>
    <s v="12/2021"/>
    <s v="SEC"/>
    <s v="BH Colorado Electric Oper Co"/>
    <s v="Regulated Electric (122)"/>
    <x v="0"/>
    <s v="Distribution Plant - Electric"/>
    <x v="0"/>
    <n v="7"/>
    <s v="137100 - Ele Dist-Instal Cst Prmise"/>
    <x v="18"/>
    <n v="2499206.9"/>
    <n v="-78.56"/>
    <n v="0"/>
    <n v="0"/>
    <n v="2499128.34"/>
  </r>
  <r>
    <x v="12"/>
    <s v="12/2021"/>
    <s v="SEC"/>
    <s v="BH Colorado Electric Oper Co"/>
    <s v="Regulated Electric (122)"/>
    <x v="0"/>
    <s v="Distribution Plant - Electric"/>
    <x v="0"/>
    <n v="7"/>
    <s v="137300 - Ele Dist-Street Lighting"/>
    <x v="19"/>
    <n v="10119241.59"/>
    <n v="1268.27"/>
    <n v="0"/>
    <n v="0"/>
    <n v="10120509.859999999"/>
  </r>
  <r>
    <x v="12"/>
    <s v="12/2021"/>
    <s v="SEC"/>
    <s v="BH Colorado Electric Oper Co"/>
    <s v="Regulated Electric (122)"/>
    <x v="1"/>
    <s v="Distribution Plant - Electric"/>
    <x v="0"/>
    <n v="7"/>
    <s v="136001 - Ele Dist-Land"/>
    <x v="0"/>
    <n v="0"/>
    <n v="0"/>
    <n v="0"/>
    <n v="0"/>
    <n v="0"/>
  </r>
  <r>
    <x v="12"/>
    <s v="12/2021"/>
    <s v="SEC"/>
    <s v="BH Colorado Electric Oper Co"/>
    <s v="Regulated Electric (122)"/>
    <x v="1"/>
    <s v="Distribution Plant - Electric"/>
    <x v="0"/>
    <n v="7"/>
    <s v="136200 - Ele Dist Sub-Station Equip"/>
    <x v="5"/>
    <n v="2753405.5"/>
    <n v="0"/>
    <n v="0"/>
    <n v="0"/>
    <n v="2753405.5"/>
  </r>
  <r>
    <x v="12"/>
    <s v="12/2021"/>
    <s v="SEC"/>
    <s v="BH Colorado Electric Oper Co"/>
    <s v="Regulated Electric (122)"/>
    <x v="2"/>
    <s v="Distribution Plant - Electric"/>
    <x v="0"/>
    <n v="7"/>
    <s v="136001 - Ele Dist-Land"/>
    <x v="0"/>
    <n v="0"/>
    <n v="0"/>
    <n v="0"/>
    <n v="0"/>
    <n v="0"/>
  </r>
  <r>
    <x v="12"/>
    <s v="12/2021"/>
    <s v="SEC"/>
    <s v="BH Colorado Electric Oper Co"/>
    <s v="Regulated Electric (122)"/>
    <x v="2"/>
    <s v="Distribution Plant - Electric"/>
    <x v="0"/>
    <n v="7"/>
    <s v="136100 - Ele Dist Sub-Str &amp; Improve"/>
    <x v="3"/>
    <n v="0"/>
    <n v="0"/>
    <n v="0"/>
    <n v="0"/>
    <n v="0"/>
  </r>
  <r>
    <x v="12"/>
    <s v="12/2021"/>
    <s v="SEC"/>
    <s v="BH Colorado Electric Oper Co"/>
    <s v="Regulated Electric (122)"/>
    <x v="2"/>
    <s v="Distribution Plant - Electric"/>
    <x v="0"/>
    <n v="7"/>
    <s v="136200 - Ele Dist Sub-Station Equip"/>
    <x v="5"/>
    <n v="76347.100000000006"/>
    <n v="-5069.8100000000004"/>
    <n v="0"/>
    <n v="0"/>
    <n v="71277.290000000008"/>
  </r>
  <r>
    <x v="12"/>
    <s v="12/2021"/>
    <s v="SEC"/>
    <s v="BH Colorado Electric Oper Co"/>
    <s v="Regulated Electric (122)"/>
    <x v="2"/>
    <s v="Distribution Plant - Electric"/>
    <x v="0"/>
    <n v="7"/>
    <s v="136400 - Ele Dist-Pole/Tower/Fixtur"/>
    <x v="6"/>
    <n v="18388919.370000001"/>
    <n v="-488983.2"/>
    <n v="0"/>
    <n v="0"/>
    <n v="17899936.170000002"/>
  </r>
  <r>
    <x v="12"/>
    <s v="12/2021"/>
    <s v="SEC"/>
    <s v="BH Colorado Electric Oper Co"/>
    <s v="Regulated Electric (122)"/>
    <x v="2"/>
    <s v="Distribution Plant - Electric"/>
    <x v="0"/>
    <n v="7"/>
    <s v="136500 - Ele Dist-OH Conductors"/>
    <x v="7"/>
    <n v="4086463.97"/>
    <n v="47349.4"/>
    <n v="0"/>
    <n v="0"/>
    <n v="4133813.37"/>
  </r>
  <r>
    <x v="12"/>
    <s v="12/2021"/>
    <s v="SEC"/>
    <s v="BH Colorado Electric Oper Co"/>
    <s v="Regulated Electric (122)"/>
    <x v="2"/>
    <s v="Distribution Plant - Electric"/>
    <x v="0"/>
    <n v="7"/>
    <s v="136600 - Ele Dist-UG Conduit"/>
    <x v="8"/>
    <n v="1480154.12"/>
    <n v="124924.57"/>
    <n v="0"/>
    <n v="0"/>
    <n v="1605078.69"/>
  </r>
  <r>
    <x v="12"/>
    <s v="12/2021"/>
    <s v="SEC"/>
    <s v="BH Colorado Electric Oper Co"/>
    <s v="Regulated Electric (122)"/>
    <x v="2"/>
    <s v="Distribution Plant - Electric"/>
    <x v="0"/>
    <n v="7"/>
    <s v="136700 - Ele Dist-UG Conductors"/>
    <x v="9"/>
    <n v="5917421.1399999997"/>
    <n v="8869.48"/>
    <n v="0"/>
    <n v="0"/>
    <n v="5926290.6200000001"/>
  </r>
  <r>
    <x v="12"/>
    <s v="12/2021"/>
    <s v="SEC"/>
    <s v="BH Colorado Electric Oper Co"/>
    <s v="Regulated Electric (122)"/>
    <x v="2"/>
    <s v="Distribution Plant - Electric"/>
    <x v="0"/>
    <n v="7"/>
    <s v="136801 - Ele Dist-Ln Trans-Oth Eqp"/>
    <x v="10"/>
    <n v="614317.63"/>
    <n v="40339.15"/>
    <n v="0"/>
    <n v="0"/>
    <n v="654656.78"/>
  </r>
  <r>
    <x v="12"/>
    <s v="12/2021"/>
    <s v="SEC"/>
    <s v="BH Colorado Electric Oper Co"/>
    <s v="Regulated Electric (122)"/>
    <x v="2"/>
    <s v="Distribution Plant - Electric"/>
    <x v="0"/>
    <n v="7"/>
    <s v="136802 - Ele Dist-Ln Trans-Conventn"/>
    <x v="11"/>
    <n v="945359.62"/>
    <n v="94739.98"/>
    <n v="0"/>
    <n v="0"/>
    <n v="1040099.6"/>
  </r>
  <r>
    <x v="12"/>
    <s v="12/2021"/>
    <s v="SEC"/>
    <s v="BH Colorado Electric Oper Co"/>
    <s v="Regulated Electric (122)"/>
    <x v="2"/>
    <s v="Distribution Plant - Electric"/>
    <x v="0"/>
    <n v="7"/>
    <s v="136803 - Ele Dist-Ln Trans-Padmount"/>
    <x v="12"/>
    <n v="652796"/>
    <n v="34237.919999999998"/>
    <n v="0"/>
    <n v="0"/>
    <n v="687033.92"/>
  </r>
  <r>
    <x v="12"/>
    <s v="12/2021"/>
    <s v="SEC"/>
    <s v="BH Colorado Electric Oper Co"/>
    <s v="Regulated Electric (122)"/>
    <x v="2"/>
    <s v="Distribution Plant - Electric"/>
    <x v="0"/>
    <n v="7"/>
    <s v="136901 - Ele Dist - OH Services"/>
    <x v="13"/>
    <n v="528730.6"/>
    <n v="41178.370000000003"/>
    <n v="0"/>
    <n v="0"/>
    <n v="569908.97"/>
  </r>
  <r>
    <x v="12"/>
    <s v="12/2021"/>
    <s v="SEC"/>
    <s v="BH Colorado Electric Oper Co"/>
    <s v="Regulated Electric (122)"/>
    <x v="2"/>
    <s v="Distribution Plant - Electric"/>
    <x v="0"/>
    <n v="7"/>
    <s v="136902 - Ele Dist - UG Services"/>
    <x v="14"/>
    <n v="766521.38"/>
    <n v="51657.26"/>
    <n v="0"/>
    <n v="0"/>
    <n v="818178.64"/>
  </r>
  <r>
    <x v="12"/>
    <s v="12/2021"/>
    <s v="SEC"/>
    <s v="BH Colorado Electric Oper Co"/>
    <s v="Regulated Electric (122)"/>
    <x v="2"/>
    <s v="Distribution Plant - Electric"/>
    <x v="0"/>
    <n v="7"/>
    <s v="137001 - Ele Dist-Meters Other"/>
    <x v="15"/>
    <n v="6822.96"/>
    <n v="-4831.08"/>
    <n v="0"/>
    <n v="0"/>
    <n v="1991.88"/>
  </r>
  <r>
    <x v="12"/>
    <s v="12/2021"/>
    <s v="SEC"/>
    <s v="BH Colorado Electric Oper Co"/>
    <s v="Regulated Electric (122)"/>
    <x v="2"/>
    <s v="Distribution Plant - Electric"/>
    <x v="0"/>
    <n v="7"/>
    <s v="137004 - Ele Dist-Meters AMI"/>
    <x v="17"/>
    <n v="13233.98"/>
    <n v="-11242.1"/>
    <n v="0"/>
    <n v="0"/>
    <n v="1991.88"/>
  </r>
  <r>
    <x v="12"/>
    <s v="12/2021"/>
    <s v="SEC"/>
    <s v="BH Colorado Electric Oper Co"/>
    <s v="Regulated Electric (122)"/>
    <x v="2"/>
    <s v="Distribution Plant - Electric"/>
    <x v="0"/>
    <n v="7"/>
    <s v="137100 - Ele Dist-Instal Cst Prmise"/>
    <x v="18"/>
    <n v="143963.59"/>
    <n v="1325.93"/>
    <n v="0"/>
    <n v="0"/>
    <n v="145289.51999999999"/>
  </r>
  <r>
    <x v="12"/>
    <s v="12/2021"/>
    <s v="SEC"/>
    <s v="BH Colorado Electric Oper Co"/>
    <s v="Regulated Electric (122)"/>
    <x v="2"/>
    <s v="Distribution Plant - Electric"/>
    <x v="0"/>
    <n v="7"/>
    <s v="137300 - Ele Dist-Street Lighting"/>
    <x v="19"/>
    <n v="694423.37"/>
    <n v="143537.18"/>
    <n v="0"/>
    <n v="0"/>
    <n v="837960.55"/>
  </r>
  <r>
    <x v="0"/>
    <s v="01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0"/>
    <s v="01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0"/>
    <s v="01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0"/>
    <s v="01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0"/>
    <s v="01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0"/>
    <s v="01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0"/>
    <s v="01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0"/>
    <s v="01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1"/>
    <s v="02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1"/>
    <s v="02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1"/>
    <s v="02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1"/>
    <s v="02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1"/>
    <s v="02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1"/>
    <s v="02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1"/>
    <s v="02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1"/>
    <s v="02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2"/>
    <s v="03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2"/>
    <s v="03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2"/>
    <s v="03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2"/>
    <s v="03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2"/>
    <s v="03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2"/>
    <s v="03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2"/>
    <s v="03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2"/>
    <s v="03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3"/>
    <s v="04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3"/>
    <s v="04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3"/>
    <s v="04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3"/>
    <s v="04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3"/>
    <s v="04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3"/>
    <s v="04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3"/>
    <s v="04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3"/>
    <s v="04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4"/>
    <s v="05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4"/>
    <s v="05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4"/>
    <s v="05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4"/>
    <s v="05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4"/>
    <s v="05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4"/>
    <s v="05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4"/>
    <s v="05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4"/>
    <s v="05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5"/>
    <s v="06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5"/>
    <s v="06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5"/>
    <s v="06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5"/>
    <s v="06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5"/>
    <s v="06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5"/>
    <s v="06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5"/>
    <s v="06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5"/>
    <s v="06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6"/>
    <s v="07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6"/>
    <s v="07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6"/>
    <s v="07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6"/>
    <s v="07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6"/>
    <s v="07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6"/>
    <s v="07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6"/>
    <s v="07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6"/>
    <s v="07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7"/>
    <s v="08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7"/>
    <s v="08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7"/>
    <s v="08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7"/>
    <s v="08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7"/>
    <s v="08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7"/>
    <s v="08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7"/>
    <s v="08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7"/>
    <s v="08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8"/>
    <s v="09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8"/>
    <s v="09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8"/>
    <s v="09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8"/>
    <s v="09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8"/>
    <s v="09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8"/>
    <s v="09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8"/>
    <s v="09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8"/>
    <s v="09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9"/>
    <s v="10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9"/>
    <s v="10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9"/>
    <s v="10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9"/>
    <s v="10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9"/>
    <s v="10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9"/>
    <s v="10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9"/>
    <s v="10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9"/>
    <s v="10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10"/>
    <s v="11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10"/>
    <s v="11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10"/>
    <s v="11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10"/>
    <s v="11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10"/>
    <s v="11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10"/>
    <s v="11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10"/>
    <s v="11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10"/>
    <s v="11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11"/>
    <s v="12/2022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11"/>
    <s v="12/2022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11"/>
    <s v="12/2022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11"/>
    <s v="12/2022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11"/>
    <s v="12/2022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11"/>
    <s v="12/2022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11"/>
    <s v="12/2022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11"/>
    <s v="12/2022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12"/>
    <s v="12/2021"/>
    <s v="SEC"/>
    <s v="BH Colorado Electric Oper Co"/>
    <s v="NonSpecific Product (999)"/>
    <x v="0"/>
    <s v="General Plant - Common"/>
    <x v="1"/>
    <n v="20"/>
    <s v="339103 - Gen Plt-Computer Hardware"/>
    <x v="20"/>
    <n v="0"/>
    <n v="0"/>
    <n v="0"/>
    <n v="0"/>
    <n v="0"/>
  </r>
  <r>
    <x v="12"/>
    <s v="12/2021"/>
    <s v="SEC"/>
    <s v="BH Colorado Electric Oper Co"/>
    <s v="NonSpecific Product (999)"/>
    <x v="0"/>
    <s v="General Plant - Common"/>
    <x v="1"/>
    <n v="20"/>
    <s v="339104 - Gen Plt-Software"/>
    <x v="21"/>
    <n v="0"/>
    <n v="0"/>
    <n v="0"/>
    <n v="0"/>
    <n v="0"/>
  </r>
  <r>
    <x v="12"/>
    <s v="12/2021"/>
    <s v="SEC"/>
    <s v="BH Colorado Electric Oper Co"/>
    <s v="NonSpecific Product (999)"/>
    <x v="0"/>
    <s v="General Plant - Common"/>
    <x v="1"/>
    <n v="20"/>
    <s v="339105 - Gen Plt-Sys Dev"/>
    <x v="22"/>
    <n v="0"/>
    <n v="0"/>
    <n v="0"/>
    <n v="0"/>
    <n v="0"/>
  </r>
  <r>
    <x v="12"/>
    <s v="12/2021"/>
    <s v="SEC"/>
    <s v="BH Colorado Electric Oper Co"/>
    <s v="NonSpecific Product (999)"/>
    <x v="0"/>
    <s v="General Plant - Common"/>
    <x v="1"/>
    <n v="20"/>
    <s v="339700 - Gen Plt-Communication Eqp"/>
    <x v="23"/>
    <n v="0"/>
    <n v="0"/>
    <n v="0"/>
    <n v="0"/>
    <n v="0"/>
  </r>
  <r>
    <x v="12"/>
    <s v="12/2021"/>
    <s v="SEC"/>
    <s v="BH Colorado Electric Oper Co"/>
    <s v="NonSpecific Product (999)"/>
    <x v="2"/>
    <s v="General Plant - Common"/>
    <x v="1"/>
    <n v="20"/>
    <s v="339001 - Gen Plt-Str &amp; Improve-Own"/>
    <x v="24"/>
    <n v="0"/>
    <n v="0"/>
    <n v="0"/>
    <n v="0"/>
    <n v="0"/>
  </r>
  <r>
    <x v="12"/>
    <s v="12/2021"/>
    <s v="SEC"/>
    <s v="BH Colorado Electric Oper Co"/>
    <s v="NonSpecific Product (999)"/>
    <x v="2"/>
    <s v="General Plant - Common"/>
    <x v="1"/>
    <n v="20"/>
    <s v="339103 - Gen Plt-Computer Hardware"/>
    <x v="20"/>
    <n v="0"/>
    <n v="0"/>
    <n v="0"/>
    <n v="0"/>
    <n v="0"/>
  </r>
  <r>
    <x v="12"/>
    <s v="12/2021"/>
    <s v="SEC"/>
    <s v="BH Colorado Electric Oper Co"/>
    <s v="NonSpecific Product (999)"/>
    <x v="2"/>
    <s v="General Plant - Common"/>
    <x v="1"/>
    <n v="20"/>
    <s v="339700 - Gen Plt-Communication Eqp"/>
    <x v="23"/>
    <n v="0"/>
    <n v="0"/>
    <n v="0"/>
    <n v="0"/>
    <n v="0"/>
  </r>
  <r>
    <x v="12"/>
    <s v="12/2021"/>
    <s v="SEC"/>
    <s v="BH Colorado Electric Oper Co"/>
    <s v="NonSpecific Product (999)"/>
    <x v="2"/>
    <s v="General Plant - Common"/>
    <x v="1"/>
    <n v="20"/>
    <s v="339800 - Gen Plt-Miscellaneous Eqp"/>
    <x v="25"/>
    <n v="0"/>
    <n v="0"/>
    <n v="0"/>
    <n v="0"/>
    <n v="0"/>
  </r>
  <r>
    <x v="0"/>
    <s v="01/2022"/>
    <s v="SEC"/>
    <s v="BH Colorado Electric Oper Co"/>
    <s v="Regulated Electric (122)"/>
    <x v="0"/>
    <s v="General Plant - Electric"/>
    <x v="1"/>
    <n v="8"/>
    <s v="138901 - Gen Plant-Land"/>
    <x v="26"/>
    <n v="261405.41"/>
    <n v="0"/>
    <n v="0"/>
    <n v="0"/>
    <n v="261405.41"/>
  </r>
  <r>
    <x v="0"/>
    <s v="01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0"/>
    <s v="01/2022"/>
    <s v="SEC"/>
    <s v="BH Colorado Electric Oper Co"/>
    <s v="Regulated Electric (122)"/>
    <x v="0"/>
    <s v="General Plant - Electric"/>
    <x v="1"/>
    <n v="8"/>
    <s v="139001 - Gen Plt-Str &amp; Improve-Own"/>
    <x v="24"/>
    <n v="7416309.9800000004"/>
    <n v="0"/>
    <n v="0"/>
    <n v="0"/>
    <n v="7416309.9800000004"/>
  </r>
  <r>
    <x v="0"/>
    <s v="01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0"/>
    <s v="01/2022"/>
    <s v="SEC"/>
    <s v="BH Colorado Electric Oper Co"/>
    <s v="Regulated Electric (122)"/>
    <x v="0"/>
    <s v="General Plant - Electric"/>
    <x v="1"/>
    <n v="8"/>
    <s v="139101 - Gen Plt-Office Furn &amp; Eqp"/>
    <x v="29"/>
    <n v="1313111.22"/>
    <n v="0"/>
    <n v="0"/>
    <n v="0"/>
    <n v="1313111.22"/>
  </r>
  <r>
    <x v="0"/>
    <s v="01/2022"/>
    <s v="SEC"/>
    <s v="BH Colorado Electric Oper Co"/>
    <s v="Regulated Electric (122)"/>
    <x v="0"/>
    <s v="General Plant - Electric"/>
    <x v="1"/>
    <n v="8"/>
    <s v="139103 - Gen Plt-Computer Hardware"/>
    <x v="20"/>
    <n v="706248.64"/>
    <n v="0"/>
    <n v="0"/>
    <n v="0"/>
    <n v="706248.64"/>
  </r>
  <r>
    <x v="0"/>
    <s v="01/2022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0"/>
    <n v="0"/>
    <n v="14712"/>
  </r>
  <r>
    <x v="0"/>
    <s v="01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0"/>
    <s v="01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0"/>
    <s v="01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0"/>
    <s v="01/2022"/>
    <s v="SEC"/>
    <s v="BH Colorado Electric Oper Co"/>
    <s v="Regulated Electric (122)"/>
    <x v="0"/>
    <s v="General Plant - Electric"/>
    <x v="1"/>
    <n v="8"/>
    <s v="139201 - Gen Plt-Trans Eqp-Subunit"/>
    <x v="32"/>
    <n v="134983.86000000002"/>
    <n v="0"/>
    <n v="0"/>
    <n v="0"/>
    <n v="134983.86000000002"/>
  </r>
  <r>
    <x v="0"/>
    <s v="01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0"/>
    <s v="01/2022"/>
    <s v="SEC"/>
    <s v="BH Colorado Electric Oper Co"/>
    <s v="Regulated Electric (122)"/>
    <x v="0"/>
    <s v="General Plant - Electric"/>
    <x v="1"/>
    <n v="8"/>
    <s v="139203 - Gen Plt-Trans Eqp-Lght Trk"/>
    <x v="34"/>
    <n v="2291867.58"/>
    <n v="0"/>
    <n v="0"/>
    <n v="0"/>
    <n v="2291867.58"/>
  </r>
  <r>
    <x v="0"/>
    <s v="01/2022"/>
    <s v="SEC"/>
    <s v="BH Colorado Electric Oper Co"/>
    <s v="Regulated Electric (122)"/>
    <x v="0"/>
    <s v="General Plant - Electric"/>
    <x v="1"/>
    <n v="8"/>
    <s v="139204 - Gen Plt-Trans Eqp-Med Trck"/>
    <x v="35"/>
    <n v="1604925.9500000002"/>
    <n v="0"/>
    <n v="0"/>
    <n v="0"/>
    <n v="1604925.9500000002"/>
  </r>
  <r>
    <x v="0"/>
    <s v="01/2022"/>
    <s v="SEC"/>
    <s v="BH Colorado Electric Oper Co"/>
    <s v="Regulated Electric (122)"/>
    <x v="0"/>
    <s v="General Plant - Electric"/>
    <x v="1"/>
    <n v="8"/>
    <s v="139205 - Gen Plt-Trans Eqp-Hvy Trck"/>
    <x v="36"/>
    <n v="8595881.1500000004"/>
    <n v="0"/>
    <n v="0"/>
    <n v="0"/>
    <n v="8595881.1500000004"/>
  </r>
  <r>
    <x v="0"/>
    <s v="01/2022"/>
    <s v="SEC"/>
    <s v="BH Colorado Electric Oper Co"/>
    <s v="Regulated Electric (122)"/>
    <x v="0"/>
    <s v="General Plant - Electric"/>
    <x v="1"/>
    <n v="8"/>
    <s v="139206 - Gen Plt-Trans Eqp-Trailers"/>
    <x v="37"/>
    <n v="2241961.6"/>
    <n v="0"/>
    <n v="0"/>
    <n v="0"/>
    <n v="2241961.6"/>
  </r>
  <r>
    <x v="0"/>
    <s v="01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0"/>
    <s v="01/2022"/>
    <s v="SEC"/>
    <s v="BH Colorado Electric Oper Co"/>
    <s v="Regulated Electric (122)"/>
    <x v="0"/>
    <s v="General Plant - Electric"/>
    <x v="1"/>
    <n v="8"/>
    <s v="139400 - Gen Plt-Tool/Shop/Garage"/>
    <x v="39"/>
    <n v="2995812.17"/>
    <n v="17359.939999999999"/>
    <n v="0"/>
    <n v="0"/>
    <n v="3013172.11"/>
  </r>
  <r>
    <x v="0"/>
    <s v="01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0"/>
    <s v="01/2022"/>
    <s v="SEC"/>
    <s v="BH Colorado Electric Oper Co"/>
    <s v="Regulated Electric (122)"/>
    <x v="0"/>
    <s v="General Plant - Electric"/>
    <x v="1"/>
    <n v="8"/>
    <s v="139500 - Gen Plt-Lab Equipment"/>
    <x v="41"/>
    <n v="400236.59"/>
    <n v="0"/>
    <n v="0"/>
    <n v="0"/>
    <n v="400236.59"/>
  </r>
  <r>
    <x v="0"/>
    <s v="01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0"/>
    <s v="01/2022"/>
    <s v="SEC"/>
    <s v="BH Colorado Electric Oper Co"/>
    <s v="Regulated Electric (122)"/>
    <x v="0"/>
    <s v="General Plant - Electric"/>
    <x v="1"/>
    <n v="8"/>
    <s v="139602 - Off Rd Pwr Eqp Long Life"/>
    <x v="43"/>
    <n v="2912814.7199999997"/>
    <n v="0"/>
    <n v="0"/>
    <n v="0"/>
    <n v="2912814.7199999997"/>
  </r>
  <r>
    <x v="0"/>
    <s v="01/2022"/>
    <s v="SEC"/>
    <s v="BH Colorado Electric Oper Co"/>
    <s v="Regulated Electric (122)"/>
    <x v="0"/>
    <s v="General Plant - Electric"/>
    <x v="1"/>
    <n v="8"/>
    <s v="139700 - Gen Plt-Communication Eqp"/>
    <x v="23"/>
    <n v="1276206.3700000001"/>
    <n v="0"/>
    <n v="0"/>
    <n v="0"/>
    <n v="1276206.3700000001"/>
  </r>
  <r>
    <x v="0"/>
    <s v="01/2022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0"/>
    <n v="0"/>
    <n v="1204952.6599999999"/>
  </r>
  <r>
    <x v="0"/>
    <s v="01/2022"/>
    <s v="SEC"/>
    <s v="BH Colorado Electric Oper Co"/>
    <s v="Regulated Electric (122)"/>
    <x v="0"/>
    <s v="General Plant - Electric"/>
    <x v="1"/>
    <n v="8"/>
    <s v="139800 - Gen Plt-Miscellaneous Eqp"/>
    <x v="25"/>
    <n v="129693.81"/>
    <n v="0"/>
    <n v="0"/>
    <n v="0"/>
    <n v="129693.81"/>
  </r>
  <r>
    <x v="0"/>
    <s v="01/2022"/>
    <s v="SEC"/>
    <s v="BH Colorado Electric Oper Co"/>
    <s v="Regulated Electric (122)"/>
    <x v="1"/>
    <s v="General Plant - Electric"/>
    <x v="1"/>
    <n v="8"/>
    <s v="138901 - Gen Plant-Land"/>
    <x v="26"/>
    <n v="1221463.3"/>
    <n v="0"/>
    <n v="0"/>
    <n v="0"/>
    <n v="1221463.3"/>
  </r>
  <r>
    <x v="0"/>
    <s v="01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9001 - Gen Plt-Str &amp; Improve-Own"/>
    <x v="24"/>
    <n v="227270.06"/>
    <n v="0"/>
    <n v="0"/>
    <n v="0"/>
    <n v="227270.06"/>
  </r>
  <r>
    <x v="0"/>
    <s v="01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9101 - Gen Plt-Office Furn &amp; Eqp"/>
    <x v="29"/>
    <n v="447460.5"/>
    <n v="0"/>
    <n v="0"/>
    <n v="0"/>
    <n v="447460.5"/>
  </r>
  <r>
    <x v="0"/>
    <s v="01/2022"/>
    <s v="SEC"/>
    <s v="BH Colorado Electric Oper Co"/>
    <s v="Regulated Electric (122)"/>
    <x v="2"/>
    <s v="General Plant - Electric"/>
    <x v="1"/>
    <n v="8"/>
    <s v="139103 - Gen Plt-Computer Hardware"/>
    <x v="20"/>
    <n v="234121.5"/>
    <n v="33936.340000000004"/>
    <n v="0"/>
    <n v="0"/>
    <n v="268057.84000000003"/>
  </r>
  <r>
    <x v="0"/>
    <s v="01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9201 - Gen Plt-Trans Eqp-Subunit"/>
    <x v="32"/>
    <n v="81941.77"/>
    <n v="0"/>
    <n v="0"/>
    <n v="0"/>
    <n v="81941.77"/>
  </r>
  <r>
    <x v="0"/>
    <s v="01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9203 - Gen Plt-Trans Eqp-Lght Trk"/>
    <x v="34"/>
    <n v="528300.52"/>
    <n v="-3402"/>
    <n v="0"/>
    <n v="0"/>
    <n v="524898.52"/>
  </r>
  <r>
    <x v="0"/>
    <s v="01/2022"/>
    <s v="SEC"/>
    <s v="BH Colorado Electric Oper Co"/>
    <s v="Regulated Electric (122)"/>
    <x v="2"/>
    <s v="General Plant - Electric"/>
    <x v="1"/>
    <n v="8"/>
    <s v="139204 - Gen Plt-Trans Eqp-Med Trck"/>
    <x v="35"/>
    <n v="483106.33"/>
    <n v="4416.9400000000005"/>
    <n v="0"/>
    <n v="0"/>
    <n v="487523.27"/>
  </r>
  <r>
    <x v="0"/>
    <s v="01/2022"/>
    <s v="SEC"/>
    <s v="BH Colorado Electric Oper Co"/>
    <s v="Regulated Electric (122)"/>
    <x v="2"/>
    <s v="General Plant - Electric"/>
    <x v="1"/>
    <n v="8"/>
    <s v="139205 - Gen Plt-Trans Eqp-Hvy Trck"/>
    <x v="36"/>
    <n v="996305.47"/>
    <n v="1983426.15"/>
    <n v="0"/>
    <n v="0"/>
    <n v="2979731.62"/>
  </r>
  <r>
    <x v="0"/>
    <s v="01/2022"/>
    <s v="SEC"/>
    <s v="BH Colorado Electric Oper Co"/>
    <s v="Regulated Electric (122)"/>
    <x v="2"/>
    <s v="General Plant - Electric"/>
    <x v="1"/>
    <n v="8"/>
    <s v="139206 - Gen Plt-Trans Eqp-Trailers"/>
    <x v="37"/>
    <n v="101884.82"/>
    <n v="0"/>
    <n v="0"/>
    <n v="0"/>
    <n v="101884.82"/>
  </r>
  <r>
    <x v="0"/>
    <s v="01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9400 - Gen Plt-Tool/Shop/Garage"/>
    <x v="39"/>
    <n v="3128.04"/>
    <n v="91000.59"/>
    <n v="0"/>
    <n v="0"/>
    <n v="94128.63"/>
  </r>
  <r>
    <x v="0"/>
    <s v="01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9500 - Gen Plt-Lab Equipment"/>
    <x v="41"/>
    <n v="10732.800000000001"/>
    <n v="2087.4700000000003"/>
    <n v="0"/>
    <n v="0"/>
    <n v="12820.27"/>
  </r>
  <r>
    <x v="0"/>
    <s v="01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9602 - Off Rd Pwr Eqp Long Life"/>
    <x v="43"/>
    <n v="343055.38"/>
    <n v="0"/>
    <n v="0"/>
    <n v="0"/>
    <n v="343055.38"/>
  </r>
  <r>
    <x v="0"/>
    <s v="01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0"/>
    <s v="01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0"/>
    <s v="01/2022"/>
    <s v="SEC"/>
    <s v="BH Colorado Electric Oper Co"/>
    <s v="Non Regulated Common (850)"/>
    <x v="3"/>
    <s v="General Plant - Electric"/>
    <x v="1"/>
    <n v="8"/>
    <s v="139001 - Gen Plt-Str &amp; Improve-Own"/>
    <x v="24"/>
    <n v="27678.59"/>
    <n v="0"/>
    <n v="0"/>
    <n v="0"/>
    <n v="27678.59"/>
  </r>
  <r>
    <x v="1"/>
    <s v="02/2022"/>
    <s v="SEC"/>
    <s v="BH Colorado Electric Oper Co"/>
    <s v="Regulated Electric (122)"/>
    <x v="0"/>
    <s v="General Plant - Electric"/>
    <x v="1"/>
    <n v="8"/>
    <s v="138901 - Gen Plant-Land"/>
    <x v="26"/>
    <n v="261405.41"/>
    <n v="0"/>
    <n v="0"/>
    <n v="0"/>
    <n v="261405.41"/>
  </r>
  <r>
    <x v="1"/>
    <s v="02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1"/>
    <s v="02/2022"/>
    <s v="SEC"/>
    <s v="BH Colorado Electric Oper Co"/>
    <s v="Regulated Electric (122)"/>
    <x v="0"/>
    <s v="General Plant - Electric"/>
    <x v="1"/>
    <n v="8"/>
    <s v="139001 - Gen Plt-Str &amp; Improve-Own"/>
    <x v="24"/>
    <n v="7416309.9800000004"/>
    <n v="0"/>
    <n v="0"/>
    <n v="0"/>
    <n v="7416309.9800000004"/>
  </r>
  <r>
    <x v="1"/>
    <s v="02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1"/>
    <s v="02/2022"/>
    <s v="SEC"/>
    <s v="BH Colorado Electric Oper Co"/>
    <s v="Regulated Electric (122)"/>
    <x v="0"/>
    <s v="General Plant - Electric"/>
    <x v="1"/>
    <n v="8"/>
    <s v="139101 - Gen Plt-Office Furn &amp; Eqp"/>
    <x v="29"/>
    <n v="1313111.22"/>
    <n v="0"/>
    <n v="0"/>
    <n v="0"/>
    <n v="1313111.22"/>
  </r>
  <r>
    <x v="1"/>
    <s v="02/2022"/>
    <s v="SEC"/>
    <s v="BH Colorado Electric Oper Co"/>
    <s v="Regulated Electric (122)"/>
    <x v="0"/>
    <s v="General Plant - Electric"/>
    <x v="1"/>
    <n v="8"/>
    <s v="139103 - Gen Plt-Computer Hardware"/>
    <x v="20"/>
    <n v="706248.64"/>
    <n v="0"/>
    <n v="0"/>
    <n v="0"/>
    <n v="706248.64"/>
  </r>
  <r>
    <x v="1"/>
    <s v="02/2022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0"/>
    <n v="0"/>
    <n v="14712"/>
  </r>
  <r>
    <x v="1"/>
    <s v="02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1"/>
    <s v="02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1"/>
    <s v="02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1"/>
    <s v="02/2022"/>
    <s v="SEC"/>
    <s v="BH Colorado Electric Oper Co"/>
    <s v="Regulated Electric (122)"/>
    <x v="0"/>
    <s v="General Plant - Electric"/>
    <x v="1"/>
    <n v="8"/>
    <s v="139201 - Gen Plt-Trans Eqp-Subunit"/>
    <x v="32"/>
    <n v="134983.86000000002"/>
    <n v="0"/>
    <n v="0"/>
    <n v="0"/>
    <n v="134983.86000000002"/>
  </r>
  <r>
    <x v="1"/>
    <s v="02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1"/>
    <s v="02/2022"/>
    <s v="SEC"/>
    <s v="BH Colorado Electric Oper Co"/>
    <s v="Regulated Electric (122)"/>
    <x v="0"/>
    <s v="General Plant - Electric"/>
    <x v="1"/>
    <n v="8"/>
    <s v="139203 - Gen Plt-Trans Eqp-Lght Trk"/>
    <x v="34"/>
    <n v="2291867.58"/>
    <n v="166982.17000000001"/>
    <n v="0"/>
    <n v="0"/>
    <n v="2458849.75"/>
  </r>
  <r>
    <x v="1"/>
    <s v="02/2022"/>
    <s v="SEC"/>
    <s v="BH Colorado Electric Oper Co"/>
    <s v="Regulated Electric (122)"/>
    <x v="0"/>
    <s v="General Plant - Electric"/>
    <x v="1"/>
    <n v="8"/>
    <s v="139204 - Gen Plt-Trans Eqp-Med Trck"/>
    <x v="35"/>
    <n v="1604925.9500000002"/>
    <n v="0"/>
    <n v="0"/>
    <n v="0"/>
    <n v="1604925.9500000002"/>
  </r>
  <r>
    <x v="1"/>
    <s v="02/2022"/>
    <s v="SEC"/>
    <s v="BH Colorado Electric Oper Co"/>
    <s v="Regulated Electric (122)"/>
    <x v="0"/>
    <s v="General Plant - Electric"/>
    <x v="1"/>
    <n v="8"/>
    <s v="139205 - Gen Plt-Trans Eqp-Hvy Trck"/>
    <x v="36"/>
    <n v="8595881.1500000004"/>
    <n v="0"/>
    <n v="0"/>
    <n v="0"/>
    <n v="8595881.1500000004"/>
  </r>
  <r>
    <x v="1"/>
    <s v="02/2022"/>
    <s v="SEC"/>
    <s v="BH Colorado Electric Oper Co"/>
    <s v="Regulated Electric (122)"/>
    <x v="0"/>
    <s v="General Plant - Electric"/>
    <x v="1"/>
    <n v="8"/>
    <s v="139206 - Gen Plt-Trans Eqp-Trailers"/>
    <x v="37"/>
    <n v="2241961.6"/>
    <n v="8584.7999999999993"/>
    <n v="0"/>
    <n v="0"/>
    <n v="2250546.4"/>
  </r>
  <r>
    <x v="1"/>
    <s v="02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1"/>
    <s v="02/2022"/>
    <s v="SEC"/>
    <s v="BH Colorado Electric Oper Co"/>
    <s v="Regulated Electric (122)"/>
    <x v="0"/>
    <s v="General Plant - Electric"/>
    <x v="1"/>
    <n v="8"/>
    <s v="139400 - Gen Plt-Tool/Shop/Garage"/>
    <x v="39"/>
    <n v="3013172.11"/>
    <n v="0"/>
    <n v="-42624.68"/>
    <n v="0"/>
    <n v="2970547.43"/>
  </r>
  <r>
    <x v="1"/>
    <s v="02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1"/>
    <s v="02/2022"/>
    <s v="SEC"/>
    <s v="BH Colorado Electric Oper Co"/>
    <s v="Regulated Electric (122)"/>
    <x v="0"/>
    <s v="General Plant - Electric"/>
    <x v="1"/>
    <n v="8"/>
    <s v="139500 - Gen Plt-Lab Equipment"/>
    <x v="41"/>
    <n v="400236.59"/>
    <n v="0"/>
    <n v="0"/>
    <n v="0"/>
    <n v="400236.59"/>
  </r>
  <r>
    <x v="1"/>
    <s v="02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1"/>
    <s v="02/2022"/>
    <s v="SEC"/>
    <s v="BH Colorado Electric Oper Co"/>
    <s v="Regulated Electric (122)"/>
    <x v="0"/>
    <s v="General Plant - Electric"/>
    <x v="1"/>
    <n v="8"/>
    <s v="139602 - Off Rd Pwr Eqp Long Life"/>
    <x v="43"/>
    <n v="2912814.7199999997"/>
    <n v="56605.58"/>
    <n v="0"/>
    <n v="0"/>
    <n v="2969420.3"/>
  </r>
  <r>
    <x v="1"/>
    <s v="02/2022"/>
    <s v="SEC"/>
    <s v="BH Colorado Electric Oper Co"/>
    <s v="Regulated Electric (122)"/>
    <x v="0"/>
    <s v="General Plant - Electric"/>
    <x v="1"/>
    <n v="8"/>
    <s v="139700 - Gen Plt-Communication Eqp"/>
    <x v="23"/>
    <n v="1276206.3700000001"/>
    <n v="0"/>
    <n v="0"/>
    <n v="0"/>
    <n v="1276206.3700000001"/>
  </r>
  <r>
    <x v="1"/>
    <s v="02/2022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0"/>
    <n v="0"/>
    <n v="1204952.6599999999"/>
  </r>
  <r>
    <x v="1"/>
    <s v="02/2022"/>
    <s v="SEC"/>
    <s v="BH Colorado Electric Oper Co"/>
    <s v="Regulated Electric (122)"/>
    <x v="0"/>
    <s v="General Plant - Electric"/>
    <x v="1"/>
    <n v="8"/>
    <s v="139800 - Gen Plt-Miscellaneous Eqp"/>
    <x v="25"/>
    <n v="129693.81"/>
    <n v="0"/>
    <n v="0"/>
    <n v="0"/>
    <n v="129693.81"/>
  </r>
  <r>
    <x v="1"/>
    <s v="02/2022"/>
    <s v="SEC"/>
    <s v="BH Colorado Electric Oper Co"/>
    <s v="Regulated Electric (122)"/>
    <x v="1"/>
    <s v="General Plant - Electric"/>
    <x v="1"/>
    <n v="8"/>
    <s v="138901 - Gen Plant-Land"/>
    <x v="26"/>
    <n v="1221463.3"/>
    <n v="0"/>
    <n v="0"/>
    <n v="0"/>
    <n v="1221463.3"/>
  </r>
  <r>
    <x v="1"/>
    <s v="02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9001 - Gen Plt-Str &amp; Improve-Own"/>
    <x v="24"/>
    <n v="227270.06"/>
    <n v="0"/>
    <n v="0"/>
    <n v="0"/>
    <n v="227270.06"/>
  </r>
  <r>
    <x v="1"/>
    <s v="02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9101 - Gen Plt-Office Furn &amp; Eqp"/>
    <x v="29"/>
    <n v="447460.5"/>
    <n v="0"/>
    <n v="0"/>
    <n v="0"/>
    <n v="447460.5"/>
  </r>
  <r>
    <x v="1"/>
    <s v="02/2022"/>
    <s v="SEC"/>
    <s v="BH Colorado Electric Oper Co"/>
    <s v="Regulated Electric (122)"/>
    <x v="2"/>
    <s v="General Plant - Electric"/>
    <x v="1"/>
    <n v="8"/>
    <s v="139103 - Gen Plt-Computer Hardware"/>
    <x v="20"/>
    <n v="268057.84000000003"/>
    <n v="0"/>
    <n v="0"/>
    <n v="0"/>
    <n v="268057.84000000003"/>
  </r>
  <r>
    <x v="1"/>
    <s v="02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9201 - Gen Plt-Trans Eqp-Subunit"/>
    <x v="32"/>
    <n v="81941.77"/>
    <n v="0"/>
    <n v="0"/>
    <n v="0"/>
    <n v="81941.77"/>
  </r>
  <r>
    <x v="1"/>
    <s v="02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9203 - Gen Plt-Trans Eqp-Lght Trk"/>
    <x v="34"/>
    <n v="524898.52"/>
    <n v="-159717.63"/>
    <n v="0"/>
    <n v="0"/>
    <n v="365180.89"/>
  </r>
  <r>
    <x v="1"/>
    <s v="02/2022"/>
    <s v="SEC"/>
    <s v="BH Colorado Electric Oper Co"/>
    <s v="Regulated Electric (122)"/>
    <x v="2"/>
    <s v="General Plant - Electric"/>
    <x v="1"/>
    <n v="8"/>
    <s v="139204 - Gen Plt-Trans Eqp-Med Trck"/>
    <x v="35"/>
    <n v="487523.27"/>
    <n v="1267.79"/>
    <n v="0"/>
    <n v="0"/>
    <n v="488791.06"/>
  </r>
  <r>
    <x v="1"/>
    <s v="02/2022"/>
    <s v="SEC"/>
    <s v="BH Colorado Electric Oper Co"/>
    <s v="Regulated Electric (122)"/>
    <x v="2"/>
    <s v="General Plant - Electric"/>
    <x v="1"/>
    <n v="8"/>
    <s v="139205 - Gen Plt-Trans Eqp-Hvy Trck"/>
    <x v="36"/>
    <n v="2979731.62"/>
    <n v="533257.76"/>
    <n v="0"/>
    <n v="0"/>
    <n v="3512989.38"/>
  </r>
  <r>
    <x v="1"/>
    <s v="02/2022"/>
    <s v="SEC"/>
    <s v="BH Colorado Electric Oper Co"/>
    <s v="Regulated Electric (122)"/>
    <x v="2"/>
    <s v="General Plant - Electric"/>
    <x v="1"/>
    <n v="8"/>
    <s v="139206 - Gen Plt-Trans Eqp-Trailers"/>
    <x v="37"/>
    <n v="101884.82"/>
    <n v="-8584.7999999999993"/>
    <n v="0"/>
    <n v="0"/>
    <n v="93300.02"/>
  </r>
  <r>
    <x v="1"/>
    <s v="02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9400 - Gen Plt-Tool/Shop/Garage"/>
    <x v="39"/>
    <n v="94128.63"/>
    <n v="-15864.550000000001"/>
    <n v="0"/>
    <n v="0"/>
    <n v="78264.08"/>
  </r>
  <r>
    <x v="1"/>
    <s v="02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9500 - Gen Plt-Lab Equipment"/>
    <x v="41"/>
    <n v="12820.27"/>
    <n v="-520.16999999999996"/>
    <n v="0"/>
    <n v="0"/>
    <n v="12300.1"/>
  </r>
  <r>
    <x v="1"/>
    <s v="02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9602 - Off Rd Pwr Eqp Long Life"/>
    <x v="43"/>
    <n v="343055.38"/>
    <n v="-56605.58"/>
    <n v="0"/>
    <n v="0"/>
    <n v="286449.8"/>
  </r>
  <r>
    <x v="1"/>
    <s v="02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1"/>
    <s v="02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2"/>
    <s v="03/2022"/>
    <s v="SEC"/>
    <s v="BH Colorado Electric Oper Co"/>
    <s v="Regulated Electric (122)"/>
    <x v="0"/>
    <s v="General Plant - Electric"/>
    <x v="1"/>
    <n v="8"/>
    <s v="138901 - Gen Plant-Land"/>
    <x v="26"/>
    <n v="261405.41"/>
    <n v="0"/>
    <n v="0"/>
    <n v="0"/>
    <n v="261405.41"/>
  </r>
  <r>
    <x v="2"/>
    <s v="03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2"/>
    <s v="03/2022"/>
    <s v="SEC"/>
    <s v="BH Colorado Electric Oper Co"/>
    <s v="Regulated Electric (122)"/>
    <x v="0"/>
    <s v="General Plant - Electric"/>
    <x v="1"/>
    <n v="8"/>
    <s v="139001 - Gen Plt-Str &amp; Improve-Own"/>
    <x v="24"/>
    <n v="7416309.9800000004"/>
    <n v="15.85"/>
    <n v="0"/>
    <n v="0"/>
    <n v="7416325.8300000001"/>
  </r>
  <r>
    <x v="2"/>
    <s v="03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2"/>
    <s v="03/2022"/>
    <s v="SEC"/>
    <s v="BH Colorado Electric Oper Co"/>
    <s v="Regulated Electric (122)"/>
    <x v="0"/>
    <s v="General Plant - Electric"/>
    <x v="1"/>
    <n v="8"/>
    <s v="139101 - Gen Plt-Office Furn &amp; Eqp"/>
    <x v="29"/>
    <n v="1313111.22"/>
    <n v="25989.3"/>
    <n v="0"/>
    <n v="0"/>
    <n v="1339100.52"/>
  </r>
  <r>
    <x v="2"/>
    <s v="03/2022"/>
    <s v="SEC"/>
    <s v="BH Colorado Electric Oper Co"/>
    <s v="Regulated Electric (122)"/>
    <x v="0"/>
    <s v="General Plant - Electric"/>
    <x v="1"/>
    <n v="8"/>
    <s v="139103 - Gen Plt-Computer Hardware"/>
    <x v="20"/>
    <n v="706248.64"/>
    <n v="0"/>
    <n v="0"/>
    <n v="0"/>
    <n v="706248.64"/>
  </r>
  <r>
    <x v="2"/>
    <s v="03/2022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0"/>
    <n v="0"/>
    <n v="14712"/>
  </r>
  <r>
    <x v="2"/>
    <s v="03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2"/>
    <s v="03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2"/>
    <s v="03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2"/>
    <s v="03/2022"/>
    <s v="SEC"/>
    <s v="BH Colorado Electric Oper Co"/>
    <s v="Regulated Electric (122)"/>
    <x v="0"/>
    <s v="General Plant - Electric"/>
    <x v="1"/>
    <n v="8"/>
    <s v="139201 - Gen Plt-Trans Eqp-Subunit"/>
    <x v="32"/>
    <n v="134983.86000000002"/>
    <n v="0"/>
    <n v="0"/>
    <n v="0"/>
    <n v="134983.86000000002"/>
  </r>
  <r>
    <x v="2"/>
    <s v="03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2"/>
    <s v="03/2022"/>
    <s v="SEC"/>
    <s v="BH Colorado Electric Oper Co"/>
    <s v="Regulated Electric (122)"/>
    <x v="0"/>
    <s v="General Plant - Electric"/>
    <x v="1"/>
    <n v="8"/>
    <s v="139203 - Gen Plt-Trans Eqp-Lght Trk"/>
    <x v="34"/>
    <n v="2458849.75"/>
    <n v="0"/>
    <n v="-16251.16"/>
    <n v="0"/>
    <n v="2442598.59"/>
  </r>
  <r>
    <x v="2"/>
    <s v="03/2022"/>
    <s v="SEC"/>
    <s v="BH Colorado Electric Oper Co"/>
    <s v="Regulated Electric (122)"/>
    <x v="0"/>
    <s v="General Plant - Electric"/>
    <x v="1"/>
    <n v="8"/>
    <s v="139204 - Gen Plt-Trans Eqp-Med Trck"/>
    <x v="35"/>
    <n v="1604925.9500000002"/>
    <n v="0"/>
    <n v="0"/>
    <n v="0"/>
    <n v="1604925.9500000002"/>
  </r>
  <r>
    <x v="2"/>
    <s v="03/2022"/>
    <s v="SEC"/>
    <s v="BH Colorado Electric Oper Co"/>
    <s v="Regulated Electric (122)"/>
    <x v="0"/>
    <s v="General Plant - Electric"/>
    <x v="1"/>
    <n v="8"/>
    <s v="139205 - Gen Plt-Trans Eqp-Hvy Trck"/>
    <x v="36"/>
    <n v="8595881.1500000004"/>
    <n v="0"/>
    <n v="0"/>
    <n v="0"/>
    <n v="8595881.1500000004"/>
  </r>
  <r>
    <x v="2"/>
    <s v="03/2022"/>
    <s v="SEC"/>
    <s v="BH Colorado Electric Oper Co"/>
    <s v="Regulated Electric (122)"/>
    <x v="0"/>
    <s v="General Plant - Electric"/>
    <x v="1"/>
    <n v="8"/>
    <s v="139206 - Gen Plt-Trans Eqp-Trailers"/>
    <x v="37"/>
    <n v="2250546.4"/>
    <n v="8475.89"/>
    <n v="-7173.68"/>
    <n v="0"/>
    <n v="2251848.61"/>
  </r>
  <r>
    <x v="2"/>
    <s v="03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2"/>
    <s v="03/2022"/>
    <s v="SEC"/>
    <s v="BH Colorado Electric Oper Co"/>
    <s v="Regulated Electric (122)"/>
    <x v="0"/>
    <s v="General Plant - Electric"/>
    <x v="1"/>
    <n v="8"/>
    <s v="139400 - Gen Plt-Tool/Shop/Garage"/>
    <x v="39"/>
    <n v="2970547.43"/>
    <n v="35052.76"/>
    <n v="0"/>
    <n v="0"/>
    <n v="3005600.19"/>
  </r>
  <r>
    <x v="2"/>
    <s v="03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2"/>
    <s v="03/2022"/>
    <s v="SEC"/>
    <s v="BH Colorado Electric Oper Co"/>
    <s v="Regulated Electric (122)"/>
    <x v="0"/>
    <s v="General Plant - Electric"/>
    <x v="1"/>
    <n v="8"/>
    <s v="139500 - Gen Plt-Lab Equipment"/>
    <x v="41"/>
    <n v="400236.59"/>
    <n v="0"/>
    <n v="0"/>
    <n v="0"/>
    <n v="400236.59"/>
  </r>
  <r>
    <x v="2"/>
    <s v="03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2"/>
    <s v="03/2022"/>
    <s v="SEC"/>
    <s v="BH Colorado Electric Oper Co"/>
    <s v="Regulated Electric (122)"/>
    <x v="0"/>
    <s v="General Plant - Electric"/>
    <x v="1"/>
    <n v="8"/>
    <s v="139602 - Off Rd Pwr Eqp Long Life"/>
    <x v="43"/>
    <n v="2969420.3"/>
    <n v="0"/>
    <n v="0"/>
    <n v="0"/>
    <n v="2969420.3"/>
  </r>
  <r>
    <x v="2"/>
    <s v="03/2022"/>
    <s v="SEC"/>
    <s v="BH Colorado Electric Oper Co"/>
    <s v="Regulated Electric (122)"/>
    <x v="0"/>
    <s v="General Plant - Electric"/>
    <x v="1"/>
    <n v="8"/>
    <s v="139700 - Gen Plt-Communication Eqp"/>
    <x v="23"/>
    <n v="1276206.3700000001"/>
    <n v="0"/>
    <n v="-299121"/>
    <n v="0"/>
    <n v="977085.37"/>
  </r>
  <r>
    <x v="2"/>
    <s v="03/2022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0"/>
    <n v="0"/>
    <n v="1204952.6599999999"/>
  </r>
  <r>
    <x v="2"/>
    <s v="03/2022"/>
    <s v="SEC"/>
    <s v="BH Colorado Electric Oper Co"/>
    <s v="Regulated Electric (122)"/>
    <x v="0"/>
    <s v="General Plant - Electric"/>
    <x v="1"/>
    <n v="8"/>
    <s v="139800 - Gen Plt-Miscellaneous Eqp"/>
    <x v="25"/>
    <n v="129693.81"/>
    <n v="19779.990000000002"/>
    <n v="0"/>
    <n v="0"/>
    <n v="149473.80000000002"/>
  </r>
  <r>
    <x v="2"/>
    <s v="03/2022"/>
    <s v="SEC"/>
    <s v="BH Colorado Electric Oper Co"/>
    <s v="Regulated Electric (122)"/>
    <x v="1"/>
    <s v="General Plant - Electric"/>
    <x v="1"/>
    <n v="8"/>
    <s v="138901 - Gen Plant-Land"/>
    <x v="26"/>
    <n v="1221463.3"/>
    <n v="0"/>
    <n v="0"/>
    <n v="0"/>
    <n v="1221463.3"/>
  </r>
  <r>
    <x v="2"/>
    <s v="03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9001 - Gen Plt-Str &amp; Improve-Own"/>
    <x v="24"/>
    <n v="227270.06"/>
    <n v="-25989.3"/>
    <n v="0"/>
    <n v="0"/>
    <n v="201280.76"/>
  </r>
  <r>
    <x v="2"/>
    <s v="03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9101 - Gen Plt-Office Furn &amp; Eqp"/>
    <x v="29"/>
    <n v="447460.5"/>
    <n v="0"/>
    <n v="0"/>
    <n v="0"/>
    <n v="447460.5"/>
  </r>
  <r>
    <x v="2"/>
    <s v="03/2022"/>
    <s v="SEC"/>
    <s v="BH Colorado Electric Oper Co"/>
    <s v="Regulated Electric (122)"/>
    <x v="2"/>
    <s v="General Plant - Electric"/>
    <x v="1"/>
    <n v="8"/>
    <s v="139103 - Gen Plt-Computer Hardware"/>
    <x v="20"/>
    <n v="268057.84000000003"/>
    <n v="0"/>
    <n v="0"/>
    <n v="0"/>
    <n v="268057.84000000003"/>
  </r>
  <r>
    <x v="2"/>
    <s v="03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9201 - Gen Plt-Trans Eqp-Subunit"/>
    <x v="32"/>
    <n v="81941.77"/>
    <n v="0"/>
    <n v="0"/>
    <n v="0"/>
    <n v="81941.77"/>
  </r>
  <r>
    <x v="2"/>
    <s v="03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9203 - Gen Plt-Trans Eqp-Lght Trk"/>
    <x v="34"/>
    <n v="365180.89"/>
    <n v="0"/>
    <n v="0"/>
    <n v="0"/>
    <n v="365180.89"/>
  </r>
  <r>
    <x v="2"/>
    <s v="03/2022"/>
    <s v="SEC"/>
    <s v="BH Colorado Electric Oper Co"/>
    <s v="Regulated Electric (122)"/>
    <x v="2"/>
    <s v="General Plant - Electric"/>
    <x v="1"/>
    <n v="8"/>
    <s v="139204 - Gen Plt-Trans Eqp-Med Trck"/>
    <x v="35"/>
    <n v="488791.06"/>
    <n v="20032.650000000001"/>
    <n v="0"/>
    <n v="0"/>
    <n v="508823.71"/>
  </r>
  <r>
    <x v="2"/>
    <s v="03/2022"/>
    <s v="SEC"/>
    <s v="BH Colorado Electric Oper Co"/>
    <s v="Regulated Electric (122)"/>
    <x v="2"/>
    <s v="General Plant - Electric"/>
    <x v="1"/>
    <n v="8"/>
    <s v="139205 - Gen Plt-Trans Eqp-Hvy Trck"/>
    <x v="36"/>
    <n v="3512989.38"/>
    <n v="53782.35"/>
    <n v="0"/>
    <n v="0"/>
    <n v="3566771.73"/>
  </r>
  <r>
    <x v="2"/>
    <s v="03/2022"/>
    <s v="SEC"/>
    <s v="BH Colorado Electric Oper Co"/>
    <s v="Regulated Electric (122)"/>
    <x v="2"/>
    <s v="General Plant - Electric"/>
    <x v="1"/>
    <n v="8"/>
    <s v="139206 - Gen Plt-Trans Eqp-Trailers"/>
    <x v="37"/>
    <n v="93300.02"/>
    <n v="-8475.89"/>
    <n v="0"/>
    <n v="0"/>
    <n v="84824.13"/>
  </r>
  <r>
    <x v="2"/>
    <s v="03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9400 - Gen Plt-Tool/Shop/Garage"/>
    <x v="39"/>
    <n v="78264.08"/>
    <n v="-77190.45"/>
    <n v="0"/>
    <n v="0"/>
    <n v="1073.6300000000001"/>
  </r>
  <r>
    <x v="2"/>
    <s v="03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9500 - Gen Plt-Lab Equipment"/>
    <x v="41"/>
    <n v="12300.1"/>
    <n v="0"/>
    <n v="0"/>
    <n v="0"/>
    <n v="12300.1"/>
  </r>
  <r>
    <x v="2"/>
    <s v="03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9602 - Off Rd Pwr Eqp Long Life"/>
    <x v="43"/>
    <n v="286449.8"/>
    <n v="86610.1"/>
    <n v="0"/>
    <n v="0"/>
    <n v="373059.9"/>
  </r>
  <r>
    <x v="2"/>
    <s v="03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2"/>
    <s v="03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3"/>
    <s v="04/2022"/>
    <s v="SEC"/>
    <s v="BH Colorado Electric Oper Co"/>
    <s v="Regulated Electric (122)"/>
    <x v="0"/>
    <s v="General Plant - Electric"/>
    <x v="1"/>
    <n v="8"/>
    <s v="138901 - Gen Plant-Land"/>
    <x v="26"/>
    <n v="261405.41"/>
    <n v="0"/>
    <n v="0"/>
    <n v="0"/>
    <n v="261405.41"/>
  </r>
  <r>
    <x v="3"/>
    <s v="04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3"/>
    <s v="04/2022"/>
    <s v="SEC"/>
    <s v="BH Colorado Electric Oper Co"/>
    <s v="Regulated Electric (122)"/>
    <x v="0"/>
    <s v="General Plant - Electric"/>
    <x v="1"/>
    <n v="8"/>
    <s v="139001 - Gen Plt-Str &amp; Improve-Own"/>
    <x v="24"/>
    <n v="7416325.8300000001"/>
    <n v="0"/>
    <n v="0"/>
    <n v="0"/>
    <n v="7416325.8300000001"/>
  </r>
  <r>
    <x v="3"/>
    <s v="04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3"/>
    <s v="04/2022"/>
    <s v="SEC"/>
    <s v="BH Colorado Electric Oper Co"/>
    <s v="Regulated Electric (122)"/>
    <x v="0"/>
    <s v="General Plant - Electric"/>
    <x v="1"/>
    <n v="8"/>
    <s v="139101 - Gen Plt-Office Furn &amp; Eqp"/>
    <x v="29"/>
    <n v="1339100.52"/>
    <n v="0"/>
    <n v="0"/>
    <n v="0"/>
    <n v="1339100.52"/>
  </r>
  <r>
    <x v="3"/>
    <s v="04/2022"/>
    <s v="SEC"/>
    <s v="BH Colorado Electric Oper Co"/>
    <s v="Regulated Electric (122)"/>
    <x v="0"/>
    <s v="General Plant - Electric"/>
    <x v="1"/>
    <n v="8"/>
    <s v="139103 - Gen Plt-Computer Hardware"/>
    <x v="20"/>
    <n v="706248.64"/>
    <n v="0"/>
    <n v="-28023.920000000002"/>
    <n v="0"/>
    <n v="678224.72"/>
  </r>
  <r>
    <x v="3"/>
    <s v="04/2022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0"/>
    <n v="0"/>
    <n v="14712"/>
  </r>
  <r>
    <x v="3"/>
    <s v="04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3"/>
    <s v="04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3"/>
    <s v="04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3"/>
    <s v="04/2022"/>
    <s v="SEC"/>
    <s v="BH Colorado Electric Oper Co"/>
    <s v="Regulated Electric (122)"/>
    <x v="0"/>
    <s v="General Plant - Electric"/>
    <x v="1"/>
    <n v="8"/>
    <s v="139201 - Gen Plt-Trans Eqp-Subunit"/>
    <x v="32"/>
    <n v="134983.86000000002"/>
    <n v="0"/>
    <n v="0"/>
    <n v="0"/>
    <n v="134983.86000000002"/>
  </r>
  <r>
    <x v="3"/>
    <s v="04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3"/>
    <s v="04/2022"/>
    <s v="SEC"/>
    <s v="BH Colorado Electric Oper Co"/>
    <s v="Regulated Electric (122)"/>
    <x v="0"/>
    <s v="General Plant - Electric"/>
    <x v="1"/>
    <n v="8"/>
    <s v="139203 - Gen Plt-Trans Eqp-Lght Trk"/>
    <x v="34"/>
    <n v="2442598.59"/>
    <n v="0"/>
    <n v="-8973.17"/>
    <n v="0"/>
    <n v="2433625.42"/>
  </r>
  <r>
    <x v="3"/>
    <s v="04/2022"/>
    <s v="SEC"/>
    <s v="BH Colorado Electric Oper Co"/>
    <s v="Regulated Electric (122)"/>
    <x v="0"/>
    <s v="General Plant - Electric"/>
    <x v="1"/>
    <n v="8"/>
    <s v="139204 - Gen Plt-Trans Eqp-Med Trck"/>
    <x v="35"/>
    <n v="1604925.9500000002"/>
    <n v="0"/>
    <n v="0"/>
    <n v="0"/>
    <n v="1604925.9500000002"/>
  </r>
  <r>
    <x v="3"/>
    <s v="04/2022"/>
    <s v="SEC"/>
    <s v="BH Colorado Electric Oper Co"/>
    <s v="Regulated Electric (122)"/>
    <x v="0"/>
    <s v="General Plant - Electric"/>
    <x v="1"/>
    <n v="8"/>
    <s v="139205 - Gen Plt-Trans Eqp-Hvy Trck"/>
    <x v="36"/>
    <n v="8595881.1500000004"/>
    <n v="0"/>
    <n v="0"/>
    <n v="0"/>
    <n v="8595881.1500000004"/>
  </r>
  <r>
    <x v="3"/>
    <s v="04/2022"/>
    <s v="SEC"/>
    <s v="BH Colorado Electric Oper Co"/>
    <s v="Regulated Electric (122)"/>
    <x v="0"/>
    <s v="General Plant - Electric"/>
    <x v="1"/>
    <n v="8"/>
    <s v="139206 - Gen Plt-Trans Eqp-Trailers"/>
    <x v="37"/>
    <n v="2251848.61"/>
    <n v="0"/>
    <n v="0"/>
    <n v="0"/>
    <n v="2251848.61"/>
  </r>
  <r>
    <x v="3"/>
    <s v="04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3"/>
    <s v="04/2022"/>
    <s v="SEC"/>
    <s v="BH Colorado Electric Oper Co"/>
    <s v="Regulated Electric (122)"/>
    <x v="0"/>
    <s v="General Plant - Electric"/>
    <x v="1"/>
    <n v="8"/>
    <s v="139400 - Gen Plt-Tool/Shop/Garage"/>
    <x v="39"/>
    <n v="3005600.19"/>
    <n v="0"/>
    <n v="-2457.59"/>
    <n v="0"/>
    <n v="3003142.6"/>
  </r>
  <r>
    <x v="3"/>
    <s v="04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3"/>
    <s v="04/2022"/>
    <s v="SEC"/>
    <s v="BH Colorado Electric Oper Co"/>
    <s v="Regulated Electric (122)"/>
    <x v="0"/>
    <s v="General Plant - Electric"/>
    <x v="1"/>
    <n v="8"/>
    <s v="139500 - Gen Plt-Lab Equipment"/>
    <x v="41"/>
    <n v="400236.59"/>
    <n v="0"/>
    <n v="-7416.74"/>
    <n v="0"/>
    <n v="392819.85000000003"/>
  </r>
  <r>
    <x v="3"/>
    <s v="04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3"/>
    <s v="04/2022"/>
    <s v="SEC"/>
    <s v="BH Colorado Electric Oper Co"/>
    <s v="Regulated Electric (122)"/>
    <x v="0"/>
    <s v="General Plant - Electric"/>
    <x v="1"/>
    <n v="8"/>
    <s v="139602 - Off Rd Pwr Eqp Long Life"/>
    <x v="43"/>
    <n v="2969420.3"/>
    <n v="0"/>
    <n v="0"/>
    <n v="0"/>
    <n v="2969420.3"/>
  </r>
  <r>
    <x v="3"/>
    <s v="04/2022"/>
    <s v="SEC"/>
    <s v="BH Colorado Electric Oper Co"/>
    <s v="Regulated Electric (122)"/>
    <x v="0"/>
    <s v="General Plant - Electric"/>
    <x v="1"/>
    <n v="8"/>
    <s v="139700 - Gen Plt-Communication Eqp"/>
    <x v="23"/>
    <n v="977085.37"/>
    <n v="0"/>
    <n v="0"/>
    <n v="0"/>
    <n v="977085.37"/>
  </r>
  <r>
    <x v="3"/>
    <s v="04/2022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0"/>
    <n v="0"/>
    <n v="1204952.6599999999"/>
  </r>
  <r>
    <x v="3"/>
    <s v="04/2022"/>
    <s v="SEC"/>
    <s v="BH Colorado Electric Oper Co"/>
    <s v="Regulated Electric (122)"/>
    <x v="0"/>
    <s v="General Plant - Electric"/>
    <x v="1"/>
    <n v="8"/>
    <s v="139800 - Gen Plt-Miscellaneous Eqp"/>
    <x v="25"/>
    <n v="149473.80000000002"/>
    <n v="0"/>
    <n v="0"/>
    <n v="0"/>
    <n v="149473.80000000002"/>
  </r>
  <r>
    <x v="3"/>
    <s v="04/2022"/>
    <s v="SEC"/>
    <s v="BH Colorado Electric Oper Co"/>
    <s v="Regulated Electric (122)"/>
    <x v="1"/>
    <s v="General Plant - Electric"/>
    <x v="1"/>
    <n v="8"/>
    <s v="138901 - Gen Plant-Land"/>
    <x v="26"/>
    <n v="1221463.3"/>
    <n v="0"/>
    <n v="0"/>
    <n v="0"/>
    <n v="1221463.3"/>
  </r>
  <r>
    <x v="3"/>
    <s v="04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9001 - Gen Plt-Str &amp; Improve-Own"/>
    <x v="24"/>
    <n v="201280.76"/>
    <n v="0"/>
    <n v="0"/>
    <n v="0"/>
    <n v="201280.76"/>
  </r>
  <r>
    <x v="3"/>
    <s v="04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9101 - Gen Plt-Office Furn &amp; Eqp"/>
    <x v="29"/>
    <n v="447460.5"/>
    <n v="0"/>
    <n v="0"/>
    <n v="0"/>
    <n v="447460.5"/>
  </r>
  <r>
    <x v="3"/>
    <s v="04/2022"/>
    <s v="SEC"/>
    <s v="BH Colorado Electric Oper Co"/>
    <s v="Regulated Electric (122)"/>
    <x v="2"/>
    <s v="General Plant - Electric"/>
    <x v="1"/>
    <n v="8"/>
    <s v="139103 - Gen Plt-Computer Hardware"/>
    <x v="20"/>
    <n v="268057.84000000003"/>
    <n v="10379.32"/>
    <n v="0"/>
    <n v="0"/>
    <n v="278437.16000000003"/>
  </r>
  <r>
    <x v="3"/>
    <s v="04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9201 - Gen Plt-Trans Eqp-Subunit"/>
    <x v="32"/>
    <n v="81941.77"/>
    <n v="0"/>
    <n v="0"/>
    <n v="0"/>
    <n v="81941.77"/>
  </r>
  <r>
    <x v="3"/>
    <s v="04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9203 - Gen Plt-Trans Eqp-Lght Trk"/>
    <x v="34"/>
    <n v="365180.89"/>
    <n v="4188.7"/>
    <n v="0"/>
    <n v="0"/>
    <n v="369369.59"/>
  </r>
  <r>
    <x v="3"/>
    <s v="04/2022"/>
    <s v="SEC"/>
    <s v="BH Colorado Electric Oper Co"/>
    <s v="Regulated Electric (122)"/>
    <x v="2"/>
    <s v="General Plant - Electric"/>
    <x v="1"/>
    <n v="8"/>
    <s v="139204 - Gen Plt-Trans Eqp-Med Trck"/>
    <x v="35"/>
    <n v="508823.71"/>
    <n v="6264.06"/>
    <n v="0"/>
    <n v="0"/>
    <n v="515087.77"/>
  </r>
  <r>
    <x v="3"/>
    <s v="04/2022"/>
    <s v="SEC"/>
    <s v="BH Colorado Electric Oper Co"/>
    <s v="Regulated Electric (122)"/>
    <x v="2"/>
    <s v="General Plant - Electric"/>
    <x v="1"/>
    <n v="8"/>
    <s v="139205 - Gen Plt-Trans Eqp-Hvy Trck"/>
    <x v="36"/>
    <n v="3566771.73"/>
    <n v="247689.62"/>
    <n v="0"/>
    <n v="0"/>
    <n v="3814461.35"/>
  </r>
  <r>
    <x v="3"/>
    <s v="04/2022"/>
    <s v="SEC"/>
    <s v="BH Colorado Electric Oper Co"/>
    <s v="Regulated Electric (122)"/>
    <x v="2"/>
    <s v="General Plant - Electric"/>
    <x v="1"/>
    <n v="8"/>
    <s v="139206 - Gen Plt-Trans Eqp-Trailers"/>
    <x v="37"/>
    <n v="84824.13"/>
    <n v="504.89"/>
    <n v="0"/>
    <n v="0"/>
    <n v="85329.02"/>
  </r>
  <r>
    <x v="3"/>
    <s v="04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9400 - Gen Plt-Tool/Shop/Garage"/>
    <x v="39"/>
    <n v="1073.6300000000001"/>
    <n v="20374.41"/>
    <n v="0"/>
    <n v="0"/>
    <n v="21448.04"/>
  </r>
  <r>
    <x v="3"/>
    <s v="04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9500 - Gen Plt-Lab Equipment"/>
    <x v="41"/>
    <n v="12300.1"/>
    <n v="0"/>
    <n v="0"/>
    <n v="0"/>
    <n v="12300.1"/>
  </r>
  <r>
    <x v="3"/>
    <s v="04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9602 - Off Rd Pwr Eqp Long Life"/>
    <x v="43"/>
    <n v="373059.9"/>
    <n v="0"/>
    <n v="0"/>
    <n v="0"/>
    <n v="373059.9"/>
  </r>
  <r>
    <x v="3"/>
    <s v="04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3"/>
    <s v="04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4"/>
    <s v="05/2022"/>
    <s v="SEC"/>
    <s v="BH Colorado Electric Oper Co"/>
    <s v="Regulated Electric (122)"/>
    <x v="0"/>
    <s v="General Plant - Electric"/>
    <x v="1"/>
    <n v="8"/>
    <s v="138901 - Gen Plant-Land"/>
    <x v="26"/>
    <n v="261405.41"/>
    <n v="0"/>
    <n v="0"/>
    <n v="0"/>
    <n v="261405.41"/>
  </r>
  <r>
    <x v="4"/>
    <s v="05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4"/>
    <s v="05/2022"/>
    <s v="SEC"/>
    <s v="BH Colorado Electric Oper Co"/>
    <s v="Regulated Electric (122)"/>
    <x v="0"/>
    <s v="General Plant - Electric"/>
    <x v="1"/>
    <n v="8"/>
    <s v="139001 - Gen Plt-Str &amp; Improve-Own"/>
    <x v="24"/>
    <n v="7416325.8300000001"/>
    <n v="16.309999999999999"/>
    <n v="0"/>
    <n v="0"/>
    <n v="7416342.1399999997"/>
  </r>
  <r>
    <x v="4"/>
    <s v="05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4"/>
    <s v="05/2022"/>
    <s v="SEC"/>
    <s v="BH Colorado Electric Oper Co"/>
    <s v="Regulated Electric (122)"/>
    <x v="0"/>
    <s v="General Plant - Electric"/>
    <x v="1"/>
    <n v="8"/>
    <s v="139101 - Gen Plt-Office Furn &amp; Eqp"/>
    <x v="29"/>
    <n v="1339100.52"/>
    <n v="0"/>
    <n v="-1174.56"/>
    <n v="0"/>
    <n v="1337925.96"/>
  </r>
  <r>
    <x v="4"/>
    <s v="05/2022"/>
    <s v="SEC"/>
    <s v="BH Colorado Electric Oper Co"/>
    <s v="Regulated Electric (122)"/>
    <x v="0"/>
    <s v="General Plant - Electric"/>
    <x v="1"/>
    <n v="8"/>
    <s v="139103 - Gen Plt-Computer Hardware"/>
    <x v="20"/>
    <n v="678224.72"/>
    <n v="0"/>
    <n v="0"/>
    <n v="0"/>
    <n v="678224.72"/>
  </r>
  <r>
    <x v="4"/>
    <s v="05/2022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0"/>
    <n v="0"/>
    <n v="14712"/>
  </r>
  <r>
    <x v="4"/>
    <s v="05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4"/>
    <s v="05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4"/>
    <s v="05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4"/>
    <s v="05/2022"/>
    <s v="SEC"/>
    <s v="BH Colorado Electric Oper Co"/>
    <s v="Regulated Electric (122)"/>
    <x v="0"/>
    <s v="General Plant - Electric"/>
    <x v="1"/>
    <n v="8"/>
    <s v="139201 - Gen Plt-Trans Eqp-Subunit"/>
    <x v="32"/>
    <n v="134983.86000000002"/>
    <n v="0"/>
    <n v="0"/>
    <n v="0"/>
    <n v="134983.86000000002"/>
  </r>
  <r>
    <x v="4"/>
    <s v="05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4"/>
    <s v="05/2022"/>
    <s v="SEC"/>
    <s v="BH Colorado Electric Oper Co"/>
    <s v="Regulated Electric (122)"/>
    <x v="0"/>
    <s v="General Plant - Electric"/>
    <x v="1"/>
    <n v="8"/>
    <s v="139203 - Gen Plt-Trans Eqp-Lght Trk"/>
    <x v="34"/>
    <n v="2433625.42"/>
    <n v="0"/>
    <n v="-19482.93"/>
    <n v="0"/>
    <n v="2414142.4900000002"/>
  </r>
  <r>
    <x v="4"/>
    <s v="05/2022"/>
    <s v="SEC"/>
    <s v="BH Colorado Electric Oper Co"/>
    <s v="Regulated Electric (122)"/>
    <x v="0"/>
    <s v="General Plant - Electric"/>
    <x v="1"/>
    <n v="8"/>
    <s v="139204 - Gen Plt-Trans Eqp-Med Trck"/>
    <x v="35"/>
    <n v="1604925.9500000002"/>
    <n v="0"/>
    <n v="-86956.1"/>
    <n v="0"/>
    <n v="1517969.85"/>
  </r>
  <r>
    <x v="4"/>
    <s v="05/2022"/>
    <s v="SEC"/>
    <s v="BH Colorado Electric Oper Co"/>
    <s v="Regulated Electric (122)"/>
    <x v="0"/>
    <s v="General Plant - Electric"/>
    <x v="1"/>
    <n v="8"/>
    <s v="139205 - Gen Plt-Trans Eqp-Hvy Trck"/>
    <x v="36"/>
    <n v="8595881.1500000004"/>
    <n v="0"/>
    <n v="-73696.62"/>
    <n v="0"/>
    <n v="8522184.5299999993"/>
  </r>
  <r>
    <x v="4"/>
    <s v="05/2022"/>
    <s v="SEC"/>
    <s v="BH Colorado Electric Oper Co"/>
    <s v="Regulated Electric (122)"/>
    <x v="0"/>
    <s v="General Plant - Electric"/>
    <x v="1"/>
    <n v="8"/>
    <s v="139206 - Gen Plt-Trans Eqp-Trailers"/>
    <x v="37"/>
    <n v="2251848.61"/>
    <n v="0"/>
    <n v="0"/>
    <n v="0"/>
    <n v="2251848.61"/>
  </r>
  <r>
    <x v="4"/>
    <s v="05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4"/>
    <s v="05/2022"/>
    <s v="SEC"/>
    <s v="BH Colorado Electric Oper Co"/>
    <s v="Regulated Electric (122)"/>
    <x v="0"/>
    <s v="General Plant - Electric"/>
    <x v="1"/>
    <n v="8"/>
    <s v="139400 - Gen Plt-Tool/Shop/Garage"/>
    <x v="39"/>
    <n v="3003142.6"/>
    <n v="0"/>
    <n v="0"/>
    <n v="0"/>
    <n v="3003142.6"/>
  </r>
  <r>
    <x v="4"/>
    <s v="05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4"/>
    <s v="05/2022"/>
    <s v="SEC"/>
    <s v="BH Colorado Electric Oper Co"/>
    <s v="Regulated Electric (122)"/>
    <x v="0"/>
    <s v="General Plant - Electric"/>
    <x v="1"/>
    <n v="8"/>
    <s v="139500 - Gen Plt-Lab Equipment"/>
    <x v="41"/>
    <n v="392819.85000000003"/>
    <n v="0"/>
    <n v="0"/>
    <n v="0"/>
    <n v="392819.85000000003"/>
  </r>
  <r>
    <x v="4"/>
    <s v="05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4"/>
    <s v="05/2022"/>
    <s v="SEC"/>
    <s v="BH Colorado Electric Oper Co"/>
    <s v="Regulated Electric (122)"/>
    <x v="0"/>
    <s v="General Plant - Electric"/>
    <x v="1"/>
    <n v="8"/>
    <s v="139602 - Off Rd Pwr Eqp Long Life"/>
    <x v="43"/>
    <n v="2969420.3"/>
    <n v="0"/>
    <n v="0"/>
    <n v="0"/>
    <n v="2969420.3"/>
  </r>
  <r>
    <x v="4"/>
    <s v="05/2022"/>
    <s v="SEC"/>
    <s v="BH Colorado Electric Oper Co"/>
    <s v="Regulated Electric (122)"/>
    <x v="0"/>
    <s v="General Plant - Electric"/>
    <x v="1"/>
    <n v="8"/>
    <s v="139700 - Gen Plt-Communication Eqp"/>
    <x v="23"/>
    <n v="977085.37"/>
    <n v="0"/>
    <n v="0"/>
    <n v="0"/>
    <n v="977085.37"/>
  </r>
  <r>
    <x v="4"/>
    <s v="05/2022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0"/>
    <n v="0"/>
    <n v="1204952.6599999999"/>
  </r>
  <r>
    <x v="4"/>
    <s v="05/2022"/>
    <s v="SEC"/>
    <s v="BH Colorado Electric Oper Co"/>
    <s v="Regulated Electric (122)"/>
    <x v="0"/>
    <s v="General Plant - Electric"/>
    <x v="1"/>
    <n v="8"/>
    <s v="139800 - Gen Plt-Miscellaneous Eqp"/>
    <x v="25"/>
    <n v="149473.80000000002"/>
    <n v="0"/>
    <n v="0"/>
    <n v="0"/>
    <n v="149473.80000000002"/>
  </r>
  <r>
    <x v="4"/>
    <s v="05/2022"/>
    <s v="SEC"/>
    <s v="BH Colorado Electric Oper Co"/>
    <s v="Regulated Electric (122)"/>
    <x v="1"/>
    <s v="General Plant - Electric"/>
    <x v="1"/>
    <n v="8"/>
    <s v="138901 - Gen Plant-Land"/>
    <x v="26"/>
    <n v="1221463.3"/>
    <n v="0"/>
    <n v="0"/>
    <n v="0"/>
    <n v="1221463.3"/>
  </r>
  <r>
    <x v="4"/>
    <s v="05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9001 - Gen Plt-Str &amp; Improve-Own"/>
    <x v="24"/>
    <n v="201280.76"/>
    <n v="0"/>
    <n v="0"/>
    <n v="0"/>
    <n v="201280.76"/>
  </r>
  <r>
    <x v="4"/>
    <s v="05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9101 - Gen Plt-Office Furn &amp; Eqp"/>
    <x v="29"/>
    <n v="447460.5"/>
    <n v="0"/>
    <n v="0"/>
    <n v="0"/>
    <n v="447460.5"/>
  </r>
  <r>
    <x v="4"/>
    <s v="05/2022"/>
    <s v="SEC"/>
    <s v="BH Colorado Electric Oper Co"/>
    <s v="Regulated Electric (122)"/>
    <x v="2"/>
    <s v="General Plant - Electric"/>
    <x v="1"/>
    <n v="8"/>
    <s v="139103 - Gen Plt-Computer Hardware"/>
    <x v="20"/>
    <n v="278437.16000000003"/>
    <n v="-100623.07"/>
    <n v="0"/>
    <n v="0"/>
    <n v="177814.09"/>
  </r>
  <r>
    <x v="4"/>
    <s v="05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9201 - Gen Plt-Trans Eqp-Subunit"/>
    <x v="32"/>
    <n v="81941.77"/>
    <n v="0"/>
    <n v="0"/>
    <n v="0"/>
    <n v="81941.77"/>
  </r>
  <r>
    <x v="4"/>
    <s v="05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9203 - Gen Plt-Trans Eqp-Lght Trk"/>
    <x v="34"/>
    <n v="369369.59"/>
    <n v="0"/>
    <n v="0"/>
    <n v="0"/>
    <n v="369369.59"/>
  </r>
  <r>
    <x v="4"/>
    <s v="05/2022"/>
    <s v="SEC"/>
    <s v="BH Colorado Electric Oper Co"/>
    <s v="Regulated Electric (122)"/>
    <x v="2"/>
    <s v="General Plant - Electric"/>
    <x v="1"/>
    <n v="8"/>
    <s v="139204 - Gen Plt-Trans Eqp-Med Trck"/>
    <x v="35"/>
    <n v="515087.77"/>
    <n v="4164.2"/>
    <n v="0"/>
    <n v="0"/>
    <n v="519251.97000000003"/>
  </r>
  <r>
    <x v="4"/>
    <s v="05/2022"/>
    <s v="SEC"/>
    <s v="BH Colorado Electric Oper Co"/>
    <s v="Regulated Electric (122)"/>
    <x v="2"/>
    <s v="General Plant - Electric"/>
    <x v="1"/>
    <n v="8"/>
    <s v="139205 - Gen Plt-Trans Eqp-Hvy Trck"/>
    <x v="36"/>
    <n v="3814461.35"/>
    <n v="86157.64"/>
    <n v="0"/>
    <n v="0"/>
    <n v="3900618.99"/>
  </r>
  <r>
    <x v="4"/>
    <s v="05/2022"/>
    <s v="SEC"/>
    <s v="BH Colorado Electric Oper Co"/>
    <s v="Regulated Electric (122)"/>
    <x v="2"/>
    <s v="General Plant - Electric"/>
    <x v="1"/>
    <n v="8"/>
    <s v="139206 - Gen Plt-Trans Eqp-Trailers"/>
    <x v="37"/>
    <n v="85329.02"/>
    <n v="0"/>
    <n v="0"/>
    <n v="0"/>
    <n v="85329.02"/>
  </r>
  <r>
    <x v="4"/>
    <s v="05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9400 - Gen Plt-Tool/Shop/Garage"/>
    <x v="39"/>
    <n v="21448.04"/>
    <n v="35560.44"/>
    <n v="0"/>
    <n v="0"/>
    <n v="57008.480000000003"/>
  </r>
  <r>
    <x v="4"/>
    <s v="05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9500 - Gen Plt-Lab Equipment"/>
    <x v="41"/>
    <n v="12300.1"/>
    <n v="0"/>
    <n v="0"/>
    <n v="0"/>
    <n v="12300.1"/>
  </r>
  <r>
    <x v="4"/>
    <s v="05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9602 - Off Rd Pwr Eqp Long Life"/>
    <x v="43"/>
    <n v="373059.9"/>
    <n v="0"/>
    <n v="0"/>
    <n v="0"/>
    <n v="373059.9"/>
  </r>
  <r>
    <x v="4"/>
    <s v="05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4"/>
    <s v="05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5"/>
    <s v="06/2022"/>
    <s v="SEC"/>
    <s v="BH Colorado Electric Oper Co"/>
    <s v="Regulated Electric (122)"/>
    <x v="0"/>
    <s v="General Plant - Electric"/>
    <x v="1"/>
    <n v="8"/>
    <s v="138901 - Gen Plant-Land"/>
    <x v="26"/>
    <n v="261405.41"/>
    <n v="0"/>
    <n v="-0.01"/>
    <n v="0"/>
    <n v="261405.4"/>
  </r>
  <r>
    <x v="5"/>
    <s v="06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5"/>
    <s v="06/2022"/>
    <s v="SEC"/>
    <s v="BH Colorado Electric Oper Co"/>
    <s v="Regulated Electric (122)"/>
    <x v="0"/>
    <s v="General Plant - Electric"/>
    <x v="1"/>
    <n v="8"/>
    <s v="139001 - Gen Plt-Str &amp; Improve-Own"/>
    <x v="24"/>
    <n v="7416342.1399999997"/>
    <n v="0"/>
    <n v="0"/>
    <n v="0"/>
    <n v="7416342.1399999997"/>
  </r>
  <r>
    <x v="5"/>
    <s v="06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5"/>
    <s v="06/2022"/>
    <s v="SEC"/>
    <s v="BH Colorado Electric Oper Co"/>
    <s v="Regulated Electric (122)"/>
    <x v="0"/>
    <s v="General Plant - Electric"/>
    <x v="1"/>
    <n v="8"/>
    <s v="139101 - Gen Plt-Office Furn &amp; Eqp"/>
    <x v="29"/>
    <n v="1337925.96"/>
    <n v="0"/>
    <n v="0.01"/>
    <n v="0"/>
    <n v="1337925.97"/>
  </r>
  <r>
    <x v="5"/>
    <s v="06/2022"/>
    <s v="SEC"/>
    <s v="BH Colorado Electric Oper Co"/>
    <s v="Regulated Electric (122)"/>
    <x v="0"/>
    <s v="General Plant - Electric"/>
    <x v="1"/>
    <n v="8"/>
    <s v="139103 - Gen Plt-Computer Hardware"/>
    <x v="20"/>
    <n v="678224.72"/>
    <n v="0"/>
    <n v="0"/>
    <n v="0"/>
    <n v="678224.72"/>
  </r>
  <r>
    <x v="5"/>
    <s v="06/2022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0"/>
    <n v="0"/>
    <n v="14712"/>
  </r>
  <r>
    <x v="5"/>
    <s v="06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5"/>
    <s v="06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5"/>
    <s v="06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5"/>
    <s v="06/2022"/>
    <s v="SEC"/>
    <s v="BH Colorado Electric Oper Co"/>
    <s v="Regulated Electric (122)"/>
    <x v="0"/>
    <s v="General Plant - Electric"/>
    <x v="1"/>
    <n v="8"/>
    <s v="139201 - Gen Plt-Trans Eqp-Subunit"/>
    <x v="32"/>
    <n v="134983.86000000002"/>
    <n v="0"/>
    <n v="0"/>
    <n v="0"/>
    <n v="134983.86000000002"/>
  </r>
  <r>
    <x v="5"/>
    <s v="06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5"/>
    <s v="06/2022"/>
    <s v="SEC"/>
    <s v="BH Colorado Electric Oper Co"/>
    <s v="Regulated Electric (122)"/>
    <x v="0"/>
    <s v="General Plant - Electric"/>
    <x v="1"/>
    <n v="8"/>
    <s v="139203 - Gen Plt-Trans Eqp-Lght Trk"/>
    <x v="34"/>
    <n v="2414142.4900000002"/>
    <n v="0"/>
    <n v="0"/>
    <n v="0"/>
    <n v="2414142.4900000002"/>
  </r>
  <r>
    <x v="5"/>
    <s v="06/2022"/>
    <s v="SEC"/>
    <s v="BH Colorado Electric Oper Co"/>
    <s v="Regulated Electric (122)"/>
    <x v="0"/>
    <s v="General Plant - Electric"/>
    <x v="1"/>
    <n v="8"/>
    <s v="139204 - Gen Plt-Trans Eqp-Med Trck"/>
    <x v="35"/>
    <n v="1517969.85"/>
    <n v="0"/>
    <n v="0"/>
    <n v="0"/>
    <n v="1517969.85"/>
  </r>
  <r>
    <x v="5"/>
    <s v="06/2022"/>
    <s v="SEC"/>
    <s v="BH Colorado Electric Oper Co"/>
    <s v="Regulated Electric (122)"/>
    <x v="0"/>
    <s v="General Plant - Electric"/>
    <x v="1"/>
    <n v="8"/>
    <s v="139205 - Gen Plt-Trans Eqp-Hvy Trck"/>
    <x v="36"/>
    <n v="8522184.5299999993"/>
    <n v="24390.48"/>
    <n v="0"/>
    <n v="0"/>
    <n v="8546575.0099999998"/>
  </r>
  <r>
    <x v="5"/>
    <s v="06/2022"/>
    <s v="SEC"/>
    <s v="BH Colorado Electric Oper Co"/>
    <s v="Regulated Electric (122)"/>
    <x v="0"/>
    <s v="General Plant - Electric"/>
    <x v="1"/>
    <n v="8"/>
    <s v="139206 - Gen Plt-Trans Eqp-Trailers"/>
    <x v="37"/>
    <n v="2251848.61"/>
    <n v="0"/>
    <n v="0"/>
    <n v="0"/>
    <n v="2251848.61"/>
  </r>
  <r>
    <x v="5"/>
    <s v="06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5"/>
    <s v="06/2022"/>
    <s v="SEC"/>
    <s v="BH Colorado Electric Oper Co"/>
    <s v="Regulated Electric (122)"/>
    <x v="0"/>
    <s v="General Plant - Electric"/>
    <x v="1"/>
    <n v="8"/>
    <s v="139400 - Gen Plt-Tool/Shop/Garage"/>
    <x v="39"/>
    <n v="3003142.6"/>
    <n v="12300.1"/>
    <n v="0"/>
    <n v="0"/>
    <n v="3015442.7"/>
  </r>
  <r>
    <x v="5"/>
    <s v="06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5"/>
    <s v="06/2022"/>
    <s v="SEC"/>
    <s v="BH Colorado Electric Oper Co"/>
    <s v="Regulated Electric (122)"/>
    <x v="0"/>
    <s v="General Plant - Electric"/>
    <x v="1"/>
    <n v="8"/>
    <s v="139500 - Gen Plt-Lab Equipment"/>
    <x v="41"/>
    <n v="392819.85000000003"/>
    <n v="0"/>
    <n v="0"/>
    <n v="0"/>
    <n v="392819.85000000003"/>
  </r>
  <r>
    <x v="5"/>
    <s v="06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5"/>
    <s v="06/2022"/>
    <s v="SEC"/>
    <s v="BH Colorado Electric Oper Co"/>
    <s v="Regulated Electric (122)"/>
    <x v="0"/>
    <s v="General Plant - Electric"/>
    <x v="1"/>
    <n v="8"/>
    <s v="139602 - Off Rd Pwr Eqp Long Life"/>
    <x v="43"/>
    <n v="2969420.3"/>
    <n v="0"/>
    <n v="0"/>
    <n v="0"/>
    <n v="2969420.3"/>
  </r>
  <r>
    <x v="5"/>
    <s v="06/2022"/>
    <s v="SEC"/>
    <s v="BH Colorado Electric Oper Co"/>
    <s v="Regulated Electric (122)"/>
    <x v="0"/>
    <s v="General Plant - Electric"/>
    <x v="1"/>
    <n v="8"/>
    <s v="139700 - Gen Plt-Communication Eqp"/>
    <x v="23"/>
    <n v="977085.37"/>
    <n v="0"/>
    <n v="0"/>
    <n v="0"/>
    <n v="977085.37"/>
  </r>
  <r>
    <x v="5"/>
    <s v="06/2022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0"/>
    <n v="0"/>
    <n v="1204952.6599999999"/>
  </r>
  <r>
    <x v="5"/>
    <s v="06/2022"/>
    <s v="SEC"/>
    <s v="BH Colorado Electric Oper Co"/>
    <s v="Regulated Electric (122)"/>
    <x v="0"/>
    <s v="General Plant - Electric"/>
    <x v="1"/>
    <n v="8"/>
    <s v="139800 - Gen Plt-Miscellaneous Eqp"/>
    <x v="25"/>
    <n v="149473.80000000002"/>
    <n v="0"/>
    <n v="0"/>
    <n v="0"/>
    <n v="149473.80000000002"/>
  </r>
  <r>
    <x v="5"/>
    <s v="06/2022"/>
    <s v="SEC"/>
    <s v="BH Colorado Electric Oper Co"/>
    <s v="Regulated Electric (122)"/>
    <x v="1"/>
    <s v="General Plant - Electric"/>
    <x v="1"/>
    <n v="8"/>
    <s v="138901 - Gen Plant-Land"/>
    <x v="26"/>
    <n v="1221463.3"/>
    <n v="0"/>
    <n v="-952022.87"/>
    <n v="0"/>
    <n v="269440.43"/>
  </r>
  <r>
    <x v="5"/>
    <s v="06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001 - Gen Plt-Str &amp; Improve-Own"/>
    <x v="24"/>
    <n v="201280.76"/>
    <n v="99117.540000000008"/>
    <n v="0"/>
    <n v="0"/>
    <n v="300398.3"/>
  </r>
  <r>
    <x v="5"/>
    <s v="06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101 - Gen Plt-Office Furn &amp; Eqp"/>
    <x v="29"/>
    <n v="447460.5"/>
    <n v="0"/>
    <n v="0"/>
    <n v="0"/>
    <n v="447460.5"/>
  </r>
  <r>
    <x v="5"/>
    <s v="06/2022"/>
    <s v="SEC"/>
    <s v="BH Colorado Electric Oper Co"/>
    <s v="Regulated Electric (122)"/>
    <x v="2"/>
    <s v="General Plant - Electric"/>
    <x v="1"/>
    <n v="8"/>
    <s v="139103 - Gen Plt-Computer Hardware"/>
    <x v="20"/>
    <n v="177814.09"/>
    <n v="0"/>
    <n v="0"/>
    <n v="0"/>
    <n v="177814.09"/>
  </r>
  <r>
    <x v="5"/>
    <s v="06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201 - Gen Plt-Trans Eqp-Subunit"/>
    <x v="32"/>
    <n v="81941.77"/>
    <n v="0"/>
    <n v="0"/>
    <n v="0"/>
    <n v="81941.77"/>
  </r>
  <r>
    <x v="5"/>
    <s v="06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203 - Gen Plt-Trans Eqp-Lght Trk"/>
    <x v="34"/>
    <n v="369369.59"/>
    <n v="0"/>
    <n v="0"/>
    <n v="0"/>
    <n v="369369.59"/>
  </r>
  <r>
    <x v="5"/>
    <s v="06/2022"/>
    <s v="SEC"/>
    <s v="BH Colorado Electric Oper Co"/>
    <s v="Regulated Electric (122)"/>
    <x v="2"/>
    <s v="General Plant - Electric"/>
    <x v="1"/>
    <n v="8"/>
    <s v="139204 - Gen Plt-Trans Eqp-Med Trck"/>
    <x v="35"/>
    <n v="519251.97000000003"/>
    <n v="0"/>
    <n v="0"/>
    <n v="0"/>
    <n v="519251.97000000003"/>
  </r>
  <r>
    <x v="5"/>
    <s v="06/2022"/>
    <s v="SEC"/>
    <s v="BH Colorado Electric Oper Co"/>
    <s v="Regulated Electric (122)"/>
    <x v="2"/>
    <s v="General Plant - Electric"/>
    <x v="1"/>
    <n v="8"/>
    <s v="139205 - Gen Plt-Trans Eqp-Hvy Trck"/>
    <x v="36"/>
    <n v="3900618.99"/>
    <n v="105855.09"/>
    <n v="0"/>
    <n v="0"/>
    <n v="4006474.08"/>
  </r>
  <r>
    <x v="5"/>
    <s v="06/2022"/>
    <s v="SEC"/>
    <s v="BH Colorado Electric Oper Co"/>
    <s v="Regulated Electric (122)"/>
    <x v="2"/>
    <s v="General Plant - Electric"/>
    <x v="1"/>
    <n v="8"/>
    <s v="139206 - Gen Plt-Trans Eqp-Trailers"/>
    <x v="37"/>
    <n v="85329.02"/>
    <n v="2427.42"/>
    <n v="0"/>
    <n v="0"/>
    <n v="87756.44"/>
  </r>
  <r>
    <x v="5"/>
    <s v="06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400 - Gen Plt-Tool/Shop/Garage"/>
    <x v="39"/>
    <n v="57008.480000000003"/>
    <n v="80525.81"/>
    <n v="0"/>
    <n v="0"/>
    <n v="137534.29"/>
  </r>
  <r>
    <x v="5"/>
    <s v="06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500 - Gen Plt-Lab Equipment"/>
    <x v="41"/>
    <n v="12300.1"/>
    <n v="-12300.1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602 - Off Rd Pwr Eqp Long Life"/>
    <x v="43"/>
    <n v="373059.9"/>
    <n v="0"/>
    <n v="0"/>
    <n v="0"/>
    <n v="373059.9"/>
  </r>
  <r>
    <x v="5"/>
    <s v="06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5"/>
    <s v="06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6"/>
    <s v="07/2022"/>
    <s v="SEC"/>
    <s v="BH Colorado Electric Oper Co"/>
    <s v="Regulated Electric (122)"/>
    <x v="0"/>
    <s v="General Plant - Electric"/>
    <x v="1"/>
    <n v="8"/>
    <s v="138901 - Gen Plant-Land"/>
    <x v="26"/>
    <n v="261405.4"/>
    <n v="0"/>
    <n v="0"/>
    <n v="0"/>
    <n v="261405.4"/>
  </r>
  <r>
    <x v="6"/>
    <s v="07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6"/>
    <s v="07/2022"/>
    <s v="SEC"/>
    <s v="BH Colorado Electric Oper Co"/>
    <s v="Regulated Electric (122)"/>
    <x v="0"/>
    <s v="General Plant - Electric"/>
    <x v="1"/>
    <n v="8"/>
    <s v="139001 - Gen Plt-Str &amp; Improve-Own"/>
    <x v="24"/>
    <n v="7416342.1399999997"/>
    <n v="457246.9"/>
    <n v="-160897.93"/>
    <n v="0"/>
    <n v="7712691.1100000003"/>
  </r>
  <r>
    <x v="6"/>
    <s v="07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6"/>
    <s v="07/2022"/>
    <s v="SEC"/>
    <s v="BH Colorado Electric Oper Co"/>
    <s v="Regulated Electric (122)"/>
    <x v="0"/>
    <s v="General Plant - Electric"/>
    <x v="1"/>
    <n v="8"/>
    <s v="139101 - Gen Plt-Office Furn &amp; Eqp"/>
    <x v="29"/>
    <n v="1337925.97"/>
    <n v="0"/>
    <n v="0"/>
    <n v="0"/>
    <n v="1337925.97"/>
  </r>
  <r>
    <x v="6"/>
    <s v="07/2022"/>
    <s v="SEC"/>
    <s v="BH Colorado Electric Oper Co"/>
    <s v="Regulated Electric (122)"/>
    <x v="0"/>
    <s v="General Plant - Electric"/>
    <x v="1"/>
    <n v="8"/>
    <s v="139103 - Gen Plt-Computer Hardware"/>
    <x v="20"/>
    <n v="678224.72"/>
    <n v="177814.09"/>
    <n v="0"/>
    <n v="0"/>
    <n v="856038.81"/>
  </r>
  <r>
    <x v="6"/>
    <s v="07/2022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0"/>
    <n v="0"/>
    <n v="14712"/>
  </r>
  <r>
    <x v="6"/>
    <s v="07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6"/>
    <s v="07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6"/>
    <s v="07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6"/>
    <s v="07/2022"/>
    <s v="SEC"/>
    <s v="BH Colorado Electric Oper Co"/>
    <s v="Regulated Electric (122)"/>
    <x v="0"/>
    <s v="General Plant - Electric"/>
    <x v="1"/>
    <n v="8"/>
    <s v="139201 - Gen Plt-Trans Eqp-Subunit"/>
    <x v="32"/>
    <n v="134983.86000000002"/>
    <n v="81941.77"/>
    <n v="0"/>
    <n v="0"/>
    <n v="216925.63"/>
  </r>
  <r>
    <x v="6"/>
    <s v="07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6"/>
    <s v="07/2022"/>
    <s v="SEC"/>
    <s v="BH Colorado Electric Oper Co"/>
    <s v="Regulated Electric (122)"/>
    <x v="0"/>
    <s v="General Plant - Electric"/>
    <x v="1"/>
    <n v="8"/>
    <s v="139203 - Gen Plt-Trans Eqp-Lght Trk"/>
    <x v="34"/>
    <n v="2414142.4900000002"/>
    <n v="146149.36000000002"/>
    <n v="-53228.73"/>
    <n v="0"/>
    <n v="2507063.12"/>
  </r>
  <r>
    <x v="6"/>
    <s v="07/2022"/>
    <s v="SEC"/>
    <s v="BH Colorado Electric Oper Co"/>
    <s v="Regulated Electric (122)"/>
    <x v="0"/>
    <s v="General Plant - Electric"/>
    <x v="1"/>
    <n v="8"/>
    <s v="139204 - Gen Plt-Trans Eqp-Med Trck"/>
    <x v="35"/>
    <n v="1517969.85"/>
    <n v="257326.93"/>
    <n v="-17036.189999999999"/>
    <n v="0"/>
    <n v="1758260.5899999999"/>
  </r>
  <r>
    <x v="6"/>
    <s v="07/2022"/>
    <s v="SEC"/>
    <s v="BH Colorado Electric Oper Co"/>
    <s v="Regulated Electric (122)"/>
    <x v="0"/>
    <s v="General Plant - Electric"/>
    <x v="1"/>
    <n v="8"/>
    <s v="139205 - Gen Plt-Trans Eqp-Hvy Trck"/>
    <x v="36"/>
    <n v="8546575.0099999998"/>
    <n v="535014.53"/>
    <n v="0"/>
    <n v="0"/>
    <n v="9081589.5399999991"/>
  </r>
  <r>
    <x v="6"/>
    <s v="07/2022"/>
    <s v="SEC"/>
    <s v="BH Colorado Electric Oper Co"/>
    <s v="Regulated Electric (122)"/>
    <x v="0"/>
    <s v="General Plant - Electric"/>
    <x v="1"/>
    <n v="8"/>
    <s v="139206 - Gen Plt-Trans Eqp-Trailers"/>
    <x v="37"/>
    <n v="2251848.61"/>
    <n v="87251.55"/>
    <n v="0"/>
    <n v="0"/>
    <n v="2339100.16"/>
  </r>
  <r>
    <x v="6"/>
    <s v="07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6"/>
    <s v="07/2022"/>
    <s v="SEC"/>
    <s v="BH Colorado Electric Oper Co"/>
    <s v="Regulated Electric (122)"/>
    <x v="0"/>
    <s v="General Plant - Electric"/>
    <x v="1"/>
    <n v="8"/>
    <s v="139400 - Gen Plt-Tool/Shop/Garage"/>
    <x v="39"/>
    <n v="3015442.7"/>
    <n v="0"/>
    <n v="-55798.03"/>
    <n v="0"/>
    <n v="2959644.67"/>
  </r>
  <r>
    <x v="6"/>
    <s v="07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6"/>
    <s v="07/2022"/>
    <s v="SEC"/>
    <s v="BH Colorado Electric Oper Co"/>
    <s v="Regulated Electric (122)"/>
    <x v="0"/>
    <s v="General Plant - Electric"/>
    <x v="1"/>
    <n v="8"/>
    <s v="139500 - Gen Plt-Lab Equipment"/>
    <x v="41"/>
    <n v="392819.85000000003"/>
    <n v="0"/>
    <n v="-32566.97"/>
    <n v="0"/>
    <n v="360252.88"/>
  </r>
  <r>
    <x v="6"/>
    <s v="07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6"/>
    <s v="07/2022"/>
    <s v="SEC"/>
    <s v="BH Colorado Electric Oper Co"/>
    <s v="Regulated Electric (122)"/>
    <x v="0"/>
    <s v="General Plant - Electric"/>
    <x v="1"/>
    <n v="8"/>
    <s v="139602 - Off Rd Pwr Eqp Long Life"/>
    <x v="43"/>
    <n v="2969420.3"/>
    <n v="286449.8"/>
    <n v="0"/>
    <n v="0"/>
    <n v="3255870.1"/>
  </r>
  <r>
    <x v="6"/>
    <s v="07/2022"/>
    <s v="SEC"/>
    <s v="BH Colorado Electric Oper Co"/>
    <s v="Regulated Electric (122)"/>
    <x v="0"/>
    <s v="General Plant - Electric"/>
    <x v="1"/>
    <n v="8"/>
    <s v="139700 - Gen Plt-Communication Eqp"/>
    <x v="23"/>
    <n v="977085.37"/>
    <n v="0"/>
    <n v="0"/>
    <n v="0"/>
    <n v="977085.37"/>
  </r>
  <r>
    <x v="6"/>
    <s v="07/2022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0"/>
    <n v="0"/>
    <n v="1204952.6599999999"/>
  </r>
  <r>
    <x v="6"/>
    <s v="07/2022"/>
    <s v="SEC"/>
    <s v="BH Colorado Electric Oper Co"/>
    <s v="Regulated Electric (122)"/>
    <x v="0"/>
    <s v="General Plant - Electric"/>
    <x v="1"/>
    <n v="8"/>
    <s v="139800 - Gen Plt-Miscellaneous Eqp"/>
    <x v="25"/>
    <n v="149473.80000000002"/>
    <n v="0"/>
    <n v="0"/>
    <n v="0"/>
    <n v="149473.80000000002"/>
  </r>
  <r>
    <x v="6"/>
    <s v="07/2022"/>
    <s v="SEC"/>
    <s v="BH Colorado Electric Oper Co"/>
    <s v="Regulated Electric (122)"/>
    <x v="1"/>
    <s v="General Plant - Electric"/>
    <x v="1"/>
    <n v="8"/>
    <s v="138901 - Gen Plant-Land"/>
    <x v="26"/>
    <n v="269440.43"/>
    <n v="0"/>
    <n v="0"/>
    <n v="0"/>
    <n v="269440.43"/>
  </r>
  <r>
    <x v="6"/>
    <s v="07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001 - Gen Plt-Str &amp; Improve-Own"/>
    <x v="24"/>
    <n v="300398.3"/>
    <n v="-201280.76"/>
    <n v="0"/>
    <n v="0"/>
    <n v="99117.540000000008"/>
  </r>
  <r>
    <x v="6"/>
    <s v="07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101 - Gen Plt-Office Furn &amp; Eqp"/>
    <x v="29"/>
    <n v="447460.5"/>
    <n v="-447460.5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103 - Gen Plt-Computer Hardware"/>
    <x v="20"/>
    <n v="177814.09"/>
    <n v="-177814.09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201 - Gen Plt-Trans Eqp-Subunit"/>
    <x v="32"/>
    <n v="81941.77"/>
    <n v="-81941.77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203 - Gen Plt-Trans Eqp-Lght Trk"/>
    <x v="34"/>
    <n v="369369.59"/>
    <n v="-146041.36000000002"/>
    <n v="0"/>
    <n v="0"/>
    <n v="223328.23"/>
  </r>
  <r>
    <x v="6"/>
    <s v="07/2022"/>
    <s v="SEC"/>
    <s v="BH Colorado Electric Oper Co"/>
    <s v="Regulated Electric (122)"/>
    <x v="2"/>
    <s v="General Plant - Electric"/>
    <x v="1"/>
    <n v="8"/>
    <s v="139204 - Gen Plt-Trans Eqp-Med Trck"/>
    <x v="35"/>
    <n v="519251.97000000003"/>
    <n v="-256990.23"/>
    <n v="0"/>
    <n v="0"/>
    <n v="262261.74"/>
  </r>
  <r>
    <x v="6"/>
    <s v="07/2022"/>
    <s v="SEC"/>
    <s v="BH Colorado Electric Oper Co"/>
    <s v="Regulated Electric (122)"/>
    <x v="2"/>
    <s v="General Plant - Electric"/>
    <x v="1"/>
    <n v="8"/>
    <s v="139205 - Gen Plt-Trans Eqp-Hvy Trck"/>
    <x v="36"/>
    <n v="4006474.08"/>
    <n v="877993.5"/>
    <n v="0"/>
    <n v="0"/>
    <n v="4884467.58"/>
  </r>
  <r>
    <x v="6"/>
    <s v="07/2022"/>
    <s v="SEC"/>
    <s v="BH Colorado Electric Oper Co"/>
    <s v="Regulated Electric (122)"/>
    <x v="2"/>
    <s v="General Plant - Electric"/>
    <x v="1"/>
    <n v="8"/>
    <s v="139206 - Gen Plt-Trans Eqp-Trailers"/>
    <x v="37"/>
    <n v="87756.44"/>
    <n v="-87251.55"/>
    <n v="0"/>
    <n v="0"/>
    <n v="504.89"/>
  </r>
  <r>
    <x v="6"/>
    <s v="07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400 - Gen Plt-Tool/Shop/Garage"/>
    <x v="39"/>
    <n v="137534.29"/>
    <n v="54076.340000000004"/>
    <n v="0"/>
    <n v="0"/>
    <n v="191610.63"/>
  </r>
  <r>
    <x v="6"/>
    <s v="07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500 - Gen Plt-Lab Equipment"/>
    <x v="41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602 - Off Rd Pwr Eqp Long Life"/>
    <x v="43"/>
    <n v="373059.9"/>
    <n v="-286449.8"/>
    <n v="0"/>
    <n v="0"/>
    <n v="86610.1"/>
  </r>
  <r>
    <x v="6"/>
    <s v="07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6"/>
    <s v="07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7"/>
    <s v="08/2022"/>
    <s v="SEC"/>
    <s v="BH Colorado Electric Oper Co"/>
    <s v="Regulated Electric (122)"/>
    <x v="0"/>
    <s v="General Plant - Electric"/>
    <x v="1"/>
    <n v="8"/>
    <s v="138901 - Gen Plant-Land"/>
    <x v="26"/>
    <n v="261405.4"/>
    <n v="0"/>
    <n v="0"/>
    <n v="0"/>
    <n v="261405.4"/>
  </r>
  <r>
    <x v="7"/>
    <s v="08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7"/>
    <s v="08/2022"/>
    <s v="SEC"/>
    <s v="BH Colorado Electric Oper Co"/>
    <s v="Regulated Electric (122)"/>
    <x v="0"/>
    <s v="General Plant - Electric"/>
    <x v="1"/>
    <n v="8"/>
    <s v="139001 - Gen Plt-Str &amp; Improve-Own"/>
    <x v="24"/>
    <n v="7712691.1100000003"/>
    <n v="0"/>
    <n v="0"/>
    <n v="0"/>
    <n v="7712691.1100000003"/>
  </r>
  <r>
    <x v="7"/>
    <s v="08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7"/>
    <s v="08/2022"/>
    <s v="SEC"/>
    <s v="BH Colorado Electric Oper Co"/>
    <s v="Regulated Electric (122)"/>
    <x v="0"/>
    <s v="General Plant - Electric"/>
    <x v="1"/>
    <n v="8"/>
    <s v="139101 - Gen Plt-Office Furn &amp; Eqp"/>
    <x v="29"/>
    <n v="1337925.97"/>
    <n v="0"/>
    <n v="0"/>
    <n v="0"/>
    <n v="1337925.97"/>
  </r>
  <r>
    <x v="7"/>
    <s v="08/2022"/>
    <s v="SEC"/>
    <s v="BH Colorado Electric Oper Co"/>
    <s v="Regulated Electric (122)"/>
    <x v="0"/>
    <s v="General Plant - Electric"/>
    <x v="1"/>
    <n v="8"/>
    <s v="139103 - Gen Plt-Computer Hardware"/>
    <x v="20"/>
    <n v="856038.81"/>
    <n v="0"/>
    <n v="0"/>
    <n v="0"/>
    <n v="856038.81"/>
  </r>
  <r>
    <x v="7"/>
    <s v="08/2022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0"/>
    <n v="0"/>
    <n v="14712"/>
  </r>
  <r>
    <x v="7"/>
    <s v="08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7"/>
    <s v="08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7"/>
    <s v="08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7"/>
    <s v="08/2022"/>
    <s v="SEC"/>
    <s v="BH Colorado Electric Oper Co"/>
    <s v="Regulated Electric (122)"/>
    <x v="0"/>
    <s v="General Plant - Electric"/>
    <x v="1"/>
    <n v="8"/>
    <s v="139201 - Gen Plt-Trans Eqp-Subunit"/>
    <x v="32"/>
    <n v="216925.63"/>
    <n v="0"/>
    <n v="0"/>
    <n v="0"/>
    <n v="216925.63"/>
  </r>
  <r>
    <x v="7"/>
    <s v="08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7"/>
    <s v="08/2022"/>
    <s v="SEC"/>
    <s v="BH Colorado Electric Oper Co"/>
    <s v="Regulated Electric (122)"/>
    <x v="0"/>
    <s v="General Plant - Electric"/>
    <x v="1"/>
    <n v="8"/>
    <s v="139203 - Gen Plt-Trans Eqp-Lght Trk"/>
    <x v="34"/>
    <n v="2507063.12"/>
    <n v="52016.23"/>
    <n v="0"/>
    <n v="0"/>
    <n v="2559079.35"/>
  </r>
  <r>
    <x v="7"/>
    <s v="08/2022"/>
    <s v="SEC"/>
    <s v="BH Colorado Electric Oper Co"/>
    <s v="Regulated Electric (122)"/>
    <x v="0"/>
    <s v="General Plant - Electric"/>
    <x v="1"/>
    <n v="8"/>
    <s v="139204 - Gen Plt-Trans Eqp-Med Trck"/>
    <x v="35"/>
    <n v="1758260.5899999999"/>
    <n v="0"/>
    <n v="0"/>
    <n v="0"/>
    <n v="1758260.5899999999"/>
  </r>
  <r>
    <x v="7"/>
    <s v="08/2022"/>
    <s v="SEC"/>
    <s v="BH Colorado Electric Oper Co"/>
    <s v="Regulated Electric (122)"/>
    <x v="0"/>
    <s v="General Plant - Electric"/>
    <x v="1"/>
    <n v="8"/>
    <s v="139205 - Gen Plt-Trans Eqp-Hvy Trck"/>
    <x v="36"/>
    <n v="9081589.5399999991"/>
    <n v="556944.65"/>
    <n v="0"/>
    <n v="0"/>
    <n v="9638534.1899999995"/>
  </r>
  <r>
    <x v="7"/>
    <s v="08/2022"/>
    <s v="SEC"/>
    <s v="BH Colorado Electric Oper Co"/>
    <s v="Regulated Electric (122)"/>
    <x v="0"/>
    <s v="General Plant - Electric"/>
    <x v="1"/>
    <n v="8"/>
    <s v="139206 - Gen Plt-Trans Eqp-Trailers"/>
    <x v="37"/>
    <n v="2339100.16"/>
    <n v="0"/>
    <n v="0"/>
    <n v="0"/>
    <n v="2339100.16"/>
  </r>
  <r>
    <x v="7"/>
    <s v="08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7"/>
    <s v="08/2022"/>
    <s v="SEC"/>
    <s v="BH Colorado Electric Oper Co"/>
    <s v="Regulated Electric (122)"/>
    <x v="0"/>
    <s v="General Plant - Electric"/>
    <x v="1"/>
    <n v="8"/>
    <s v="139400 - Gen Plt-Tool/Shop/Garage"/>
    <x v="39"/>
    <n v="2959644.67"/>
    <n v="0"/>
    <n v="0"/>
    <n v="0"/>
    <n v="2959644.67"/>
  </r>
  <r>
    <x v="7"/>
    <s v="08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7"/>
    <s v="08/2022"/>
    <s v="SEC"/>
    <s v="BH Colorado Electric Oper Co"/>
    <s v="Regulated Electric (122)"/>
    <x v="0"/>
    <s v="General Plant - Electric"/>
    <x v="1"/>
    <n v="8"/>
    <s v="139500 - Gen Plt-Lab Equipment"/>
    <x v="41"/>
    <n v="360252.88"/>
    <n v="0"/>
    <n v="0"/>
    <n v="0"/>
    <n v="360252.88"/>
  </r>
  <r>
    <x v="7"/>
    <s v="08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7"/>
    <s v="08/2022"/>
    <s v="SEC"/>
    <s v="BH Colorado Electric Oper Co"/>
    <s v="Regulated Electric (122)"/>
    <x v="0"/>
    <s v="General Plant - Electric"/>
    <x v="1"/>
    <n v="8"/>
    <s v="139602 - Off Rd Pwr Eqp Long Life"/>
    <x v="43"/>
    <n v="3255870.1"/>
    <n v="0"/>
    <n v="0"/>
    <n v="0"/>
    <n v="3255870.1"/>
  </r>
  <r>
    <x v="7"/>
    <s v="08/2022"/>
    <s v="SEC"/>
    <s v="BH Colorado Electric Oper Co"/>
    <s v="Regulated Electric (122)"/>
    <x v="0"/>
    <s v="General Plant - Electric"/>
    <x v="1"/>
    <n v="8"/>
    <s v="139700 - Gen Plt-Communication Eqp"/>
    <x v="23"/>
    <n v="977085.37"/>
    <n v="0"/>
    <n v="0"/>
    <n v="0"/>
    <n v="977085.37"/>
  </r>
  <r>
    <x v="7"/>
    <s v="08/2022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0"/>
    <n v="0"/>
    <n v="1204952.6599999999"/>
  </r>
  <r>
    <x v="7"/>
    <s v="08/2022"/>
    <s v="SEC"/>
    <s v="BH Colorado Electric Oper Co"/>
    <s v="Regulated Electric (122)"/>
    <x v="0"/>
    <s v="General Plant - Electric"/>
    <x v="1"/>
    <n v="8"/>
    <s v="139800 - Gen Plt-Miscellaneous Eqp"/>
    <x v="25"/>
    <n v="149473.80000000002"/>
    <n v="0"/>
    <n v="0"/>
    <n v="0"/>
    <n v="149473.80000000002"/>
  </r>
  <r>
    <x v="7"/>
    <s v="08/2022"/>
    <s v="SEC"/>
    <s v="BH Colorado Electric Oper Co"/>
    <s v="Regulated Electric (122)"/>
    <x v="1"/>
    <s v="General Plant - Electric"/>
    <x v="1"/>
    <n v="8"/>
    <s v="138901 - Gen Plant-Land"/>
    <x v="26"/>
    <n v="269440.43"/>
    <n v="0"/>
    <n v="0"/>
    <n v="0"/>
    <n v="269440.43"/>
  </r>
  <r>
    <x v="7"/>
    <s v="08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001 - Gen Plt-Str &amp; Improve-Own"/>
    <x v="24"/>
    <n v="99117.540000000008"/>
    <n v="0"/>
    <n v="0"/>
    <n v="0"/>
    <n v="99117.540000000008"/>
  </r>
  <r>
    <x v="7"/>
    <s v="08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101 - Gen Plt-Office Furn &amp; Eqp"/>
    <x v="29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103 - Gen Plt-Computer Hardware"/>
    <x v="20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201 - Gen Plt-Trans Eqp-Subunit"/>
    <x v="32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203 - Gen Plt-Trans Eqp-Lght Trk"/>
    <x v="34"/>
    <n v="223328.23"/>
    <n v="6791.7"/>
    <n v="0"/>
    <n v="0"/>
    <n v="230119.93"/>
  </r>
  <r>
    <x v="7"/>
    <s v="08/2022"/>
    <s v="SEC"/>
    <s v="BH Colorado Electric Oper Co"/>
    <s v="Regulated Electric (122)"/>
    <x v="2"/>
    <s v="General Plant - Electric"/>
    <x v="1"/>
    <n v="8"/>
    <s v="139204 - Gen Plt-Trans Eqp-Med Trck"/>
    <x v="35"/>
    <n v="262261.74"/>
    <n v="0"/>
    <n v="0"/>
    <n v="0"/>
    <n v="262261.74"/>
  </r>
  <r>
    <x v="7"/>
    <s v="08/2022"/>
    <s v="SEC"/>
    <s v="BH Colorado Electric Oper Co"/>
    <s v="Regulated Electric (122)"/>
    <x v="2"/>
    <s v="General Plant - Electric"/>
    <x v="1"/>
    <n v="8"/>
    <s v="139205 - Gen Plt-Trans Eqp-Hvy Trck"/>
    <x v="36"/>
    <n v="4884467.58"/>
    <n v="-450612.75"/>
    <n v="0"/>
    <n v="0"/>
    <n v="4433854.83"/>
  </r>
  <r>
    <x v="7"/>
    <s v="08/2022"/>
    <s v="SEC"/>
    <s v="BH Colorado Electric Oper Co"/>
    <s v="Regulated Electric (122)"/>
    <x v="2"/>
    <s v="General Plant - Electric"/>
    <x v="1"/>
    <n v="8"/>
    <s v="139206 - Gen Plt-Trans Eqp-Trailers"/>
    <x v="37"/>
    <n v="504.89"/>
    <n v="0"/>
    <n v="0"/>
    <n v="0"/>
    <n v="504.89"/>
  </r>
  <r>
    <x v="7"/>
    <s v="08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400 - Gen Plt-Tool/Shop/Garage"/>
    <x v="39"/>
    <n v="191610.63"/>
    <n v="2583.33"/>
    <n v="0"/>
    <n v="0"/>
    <n v="194193.96"/>
  </r>
  <r>
    <x v="7"/>
    <s v="08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500 - Gen Plt-Lab Equipment"/>
    <x v="41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602 - Off Rd Pwr Eqp Long Life"/>
    <x v="43"/>
    <n v="86610.1"/>
    <n v="7746.75"/>
    <n v="0"/>
    <n v="0"/>
    <n v="94356.85"/>
  </r>
  <r>
    <x v="7"/>
    <s v="08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7"/>
    <s v="08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8"/>
    <s v="09/2022"/>
    <s v="SEC"/>
    <s v="BH Colorado Electric Oper Co"/>
    <s v="Regulated Electric (122)"/>
    <x v="0"/>
    <s v="General Plant - Electric"/>
    <x v="1"/>
    <n v="8"/>
    <s v="138901 - Gen Plant-Land"/>
    <x v="26"/>
    <n v="261405.4"/>
    <n v="0"/>
    <n v="0"/>
    <n v="0"/>
    <n v="261405.4"/>
  </r>
  <r>
    <x v="8"/>
    <s v="09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8"/>
    <s v="09/2022"/>
    <s v="SEC"/>
    <s v="BH Colorado Electric Oper Co"/>
    <s v="Regulated Electric (122)"/>
    <x v="0"/>
    <s v="General Plant - Electric"/>
    <x v="1"/>
    <n v="8"/>
    <s v="139001 - Gen Plt-Str &amp; Improve-Own"/>
    <x v="24"/>
    <n v="7712691.1100000003"/>
    <n v="99117.540000000008"/>
    <n v="0"/>
    <n v="0"/>
    <n v="7811808.6500000004"/>
  </r>
  <r>
    <x v="8"/>
    <s v="09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8"/>
    <s v="09/2022"/>
    <s v="SEC"/>
    <s v="BH Colorado Electric Oper Co"/>
    <s v="Regulated Electric (122)"/>
    <x v="0"/>
    <s v="General Plant - Electric"/>
    <x v="1"/>
    <n v="8"/>
    <s v="139101 - Gen Plt-Office Furn &amp; Eqp"/>
    <x v="29"/>
    <n v="1337925.97"/>
    <n v="0"/>
    <n v="0"/>
    <n v="0"/>
    <n v="1337925.97"/>
  </r>
  <r>
    <x v="8"/>
    <s v="09/2022"/>
    <s v="SEC"/>
    <s v="BH Colorado Electric Oper Co"/>
    <s v="Regulated Electric (122)"/>
    <x v="0"/>
    <s v="General Plant - Electric"/>
    <x v="1"/>
    <n v="8"/>
    <s v="139103 - Gen Plt-Computer Hardware"/>
    <x v="20"/>
    <n v="856038.81"/>
    <n v="0"/>
    <n v="0"/>
    <n v="0"/>
    <n v="856038.81"/>
  </r>
  <r>
    <x v="8"/>
    <s v="09/2022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-2678"/>
    <n v="0"/>
    <n v="12034"/>
  </r>
  <r>
    <x v="8"/>
    <s v="09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8"/>
    <s v="09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8"/>
    <s v="09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8"/>
    <s v="09/2022"/>
    <s v="SEC"/>
    <s v="BH Colorado Electric Oper Co"/>
    <s v="Regulated Electric (122)"/>
    <x v="0"/>
    <s v="General Plant - Electric"/>
    <x v="1"/>
    <n v="8"/>
    <s v="139201 - Gen Plt-Trans Eqp-Subunit"/>
    <x v="32"/>
    <n v="216925.63"/>
    <n v="0"/>
    <n v="0"/>
    <n v="0"/>
    <n v="216925.63"/>
  </r>
  <r>
    <x v="8"/>
    <s v="09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8"/>
    <s v="09/2022"/>
    <s v="SEC"/>
    <s v="BH Colorado Electric Oper Co"/>
    <s v="Regulated Electric (122)"/>
    <x v="0"/>
    <s v="General Plant - Electric"/>
    <x v="1"/>
    <n v="8"/>
    <s v="139203 - Gen Plt-Trans Eqp-Lght Trk"/>
    <x v="34"/>
    <n v="2559079.35"/>
    <n v="0"/>
    <n v="0"/>
    <n v="0"/>
    <n v="2559079.35"/>
  </r>
  <r>
    <x v="8"/>
    <s v="09/2022"/>
    <s v="SEC"/>
    <s v="BH Colorado Electric Oper Co"/>
    <s v="Regulated Electric (122)"/>
    <x v="0"/>
    <s v="General Plant - Electric"/>
    <x v="1"/>
    <n v="8"/>
    <s v="139204 - Gen Plt-Trans Eqp-Med Trck"/>
    <x v="35"/>
    <n v="1758260.5899999999"/>
    <n v="0"/>
    <n v="0"/>
    <n v="0"/>
    <n v="1758260.5899999999"/>
  </r>
  <r>
    <x v="8"/>
    <s v="09/2022"/>
    <s v="SEC"/>
    <s v="BH Colorado Electric Oper Co"/>
    <s v="Regulated Electric (122)"/>
    <x v="0"/>
    <s v="General Plant - Electric"/>
    <x v="1"/>
    <n v="8"/>
    <s v="139205 - Gen Plt-Trans Eqp-Hvy Trck"/>
    <x v="36"/>
    <n v="9638534.1899999995"/>
    <n v="0"/>
    <n v="0"/>
    <n v="0"/>
    <n v="9638534.1899999995"/>
  </r>
  <r>
    <x v="8"/>
    <s v="09/2022"/>
    <s v="SEC"/>
    <s v="BH Colorado Electric Oper Co"/>
    <s v="Regulated Electric (122)"/>
    <x v="0"/>
    <s v="General Plant - Electric"/>
    <x v="1"/>
    <n v="8"/>
    <s v="139206 - Gen Plt-Trans Eqp-Trailers"/>
    <x v="37"/>
    <n v="2339100.16"/>
    <n v="0"/>
    <n v="0"/>
    <n v="0"/>
    <n v="2339100.16"/>
  </r>
  <r>
    <x v="8"/>
    <s v="09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8"/>
    <s v="09/2022"/>
    <s v="SEC"/>
    <s v="BH Colorado Electric Oper Co"/>
    <s v="Regulated Electric (122)"/>
    <x v="0"/>
    <s v="General Plant - Electric"/>
    <x v="1"/>
    <n v="8"/>
    <s v="139400 - Gen Plt-Tool/Shop/Garage"/>
    <x v="39"/>
    <n v="2959644.67"/>
    <n v="0"/>
    <n v="0"/>
    <n v="0"/>
    <n v="2959644.67"/>
  </r>
  <r>
    <x v="8"/>
    <s v="09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8"/>
    <s v="09/2022"/>
    <s v="SEC"/>
    <s v="BH Colorado Electric Oper Co"/>
    <s v="Regulated Electric (122)"/>
    <x v="0"/>
    <s v="General Plant - Electric"/>
    <x v="1"/>
    <n v="8"/>
    <s v="139500 - Gen Plt-Lab Equipment"/>
    <x v="41"/>
    <n v="360252.88"/>
    <n v="0"/>
    <n v="-4954.59"/>
    <n v="0"/>
    <n v="355298.29"/>
  </r>
  <r>
    <x v="8"/>
    <s v="09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8"/>
    <s v="09/2022"/>
    <s v="SEC"/>
    <s v="BH Colorado Electric Oper Co"/>
    <s v="Regulated Electric (122)"/>
    <x v="0"/>
    <s v="General Plant - Electric"/>
    <x v="1"/>
    <n v="8"/>
    <s v="139602 - Off Rd Pwr Eqp Long Life"/>
    <x v="43"/>
    <n v="3255870.1"/>
    <n v="0"/>
    <n v="0"/>
    <n v="0"/>
    <n v="3255870.1"/>
  </r>
  <r>
    <x v="8"/>
    <s v="09/2022"/>
    <s v="SEC"/>
    <s v="BH Colorado Electric Oper Co"/>
    <s v="Regulated Electric (122)"/>
    <x v="0"/>
    <s v="General Plant - Electric"/>
    <x v="1"/>
    <n v="8"/>
    <s v="139700 - Gen Plt-Communication Eqp"/>
    <x v="23"/>
    <n v="977085.37"/>
    <n v="0"/>
    <n v="0"/>
    <n v="0"/>
    <n v="977085.37"/>
  </r>
  <r>
    <x v="8"/>
    <s v="09/2022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2197.7200000000003"/>
    <n v="0"/>
    <n v="1207150.3799999999"/>
  </r>
  <r>
    <x v="8"/>
    <s v="09/2022"/>
    <s v="SEC"/>
    <s v="BH Colorado Electric Oper Co"/>
    <s v="Regulated Electric (122)"/>
    <x v="0"/>
    <s v="General Plant - Electric"/>
    <x v="1"/>
    <n v="8"/>
    <s v="139800 - Gen Plt-Miscellaneous Eqp"/>
    <x v="25"/>
    <n v="149473.80000000002"/>
    <n v="0"/>
    <n v="0"/>
    <n v="0"/>
    <n v="149473.80000000002"/>
  </r>
  <r>
    <x v="8"/>
    <s v="09/2022"/>
    <s v="SEC"/>
    <s v="BH Colorado Electric Oper Co"/>
    <s v="Regulated Electric (122)"/>
    <x v="1"/>
    <s v="General Plant - Electric"/>
    <x v="1"/>
    <n v="8"/>
    <s v="138901 - Gen Plant-Land"/>
    <x v="26"/>
    <n v="269440.43"/>
    <n v="0"/>
    <n v="0"/>
    <n v="0"/>
    <n v="269440.43"/>
  </r>
  <r>
    <x v="8"/>
    <s v="09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001 - Gen Plt-Str &amp; Improve-Own"/>
    <x v="24"/>
    <n v="99117.540000000008"/>
    <n v="-99117.540000000008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101 - Gen Plt-Office Furn &amp; Eqp"/>
    <x v="29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103 - Gen Plt-Computer Hardware"/>
    <x v="20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201 - Gen Plt-Trans Eqp-Subunit"/>
    <x v="32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203 - Gen Plt-Trans Eqp-Lght Trk"/>
    <x v="34"/>
    <n v="230119.93"/>
    <n v="113548.78"/>
    <n v="0"/>
    <n v="0"/>
    <n v="343668.71"/>
  </r>
  <r>
    <x v="8"/>
    <s v="09/2022"/>
    <s v="SEC"/>
    <s v="BH Colorado Electric Oper Co"/>
    <s v="Regulated Electric (122)"/>
    <x v="2"/>
    <s v="General Plant - Electric"/>
    <x v="1"/>
    <n v="8"/>
    <s v="139204 - Gen Plt-Trans Eqp-Med Trck"/>
    <x v="35"/>
    <n v="262261.74"/>
    <n v="0"/>
    <n v="0"/>
    <n v="0"/>
    <n v="262261.74"/>
  </r>
  <r>
    <x v="8"/>
    <s v="09/2022"/>
    <s v="SEC"/>
    <s v="BH Colorado Electric Oper Co"/>
    <s v="Regulated Electric (122)"/>
    <x v="2"/>
    <s v="General Plant - Electric"/>
    <x v="1"/>
    <n v="8"/>
    <s v="139205 - Gen Plt-Trans Eqp-Hvy Trck"/>
    <x v="36"/>
    <n v="4433854.83"/>
    <n v="51532.53"/>
    <n v="0"/>
    <n v="0"/>
    <n v="4485387.3600000003"/>
  </r>
  <r>
    <x v="8"/>
    <s v="09/2022"/>
    <s v="SEC"/>
    <s v="BH Colorado Electric Oper Co"/>
    <s v="Regulated Electric (122)"/>
    <x v="2"/>
    <s v="General Plant - Electric"/>
    <x v="1"/>
    <n v="8"/>
    <s v="139206 - Gen Plt-Trans Eqp-Trailers"/>
    <x v="37"/>
    <n v="504.89"/>
    <n v="0"/>
    <n v="0"/>
    <n v="0"/>
    <n v="504.89"/>
  </r>
  <r>
    <x v="8"/>
    <s v="09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400 - Gen Plt-Tool/Shop/Garage"/>
    <x v="39"/>
    <n v="194193.96"/>
    <n v="8935"/>
    <n v="0"/>
    <n v="0"/>
    <n v="203128.95999999999"/>
  </r>
  <r>
    <x v="8"/>
    <s v="09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500 - Gen Plt-Lab Equipment"/>
    <x v="41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602 - Off Rd Pwr Eqp Long Life"/>
    <x v="43"/>
    <n v="94356.85"/>
    <n v="0"/>
    <n v="0"/>
    <n v="0"/>
    <n v="94356.85"/>
  </r>
  <r>
    <x v="8"/>
    <s v="09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8"/>
    <s v="09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9"/>
    <s v="10/2022"/>
    <s v="SEC"/>
    <s v="BH Colorado Electric Oper Co"/>
    <s v="Regulated Electric (122)"/>
    <x v="0"/>
    <s v="General Plant - Electric"/>
    <x v="1"/>
    <n v="8"/>
    <s v="138901 - Gen Plant-Land"/>
    <x v="26"/>
    <n v="261405.4"/>
    <n v="0"/>
    <n v="0"/>
    <n v="0"/>
    <n v="261405.4"/>
  </r>
  <r>
    <x v="9"/>
    <s v="10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9"/>
    <s v="10/2022"/>
    <s v="SEC"/>
    <s v="BH Colorado Electric Oper Co"/>
    <s v="Regulated Electric (122)"/>
    <x v="0"/>
    <s v="General Plant - Electric"/>
    <x v="1"/>
    <n v="8"/>
    <s v="139001 - Gen Plt-Str &amp; Improve-Own"/>
    <x v="24"/>
    <n v="7811808.6500000004"/>
    <n v="26624.48"/>
    <n v="0"/>
    <n v="0"/>
    <n v="7838433.1299999999"/>
  </r>
  <r>
    <x v="9"/>
    <s v="10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9"/>
    <s v="10/2022"/>
    <s v="SEC"/>
    <s v="BH Colorado Electric Oper Co"/>
    <s v="Regulated Electric (122)"/>
    <x v="0"/>
    <s v="General Plant - Electric"/>
    <x v="1"/>
    <n v="8"/>
    <s v="139101 - Gen Plt-Office Furn &amp; Eqp"/>
    <x v="29"/>
    <n v="1337925.97"/>
    <n v="0"/>
    <n v="0"/>
    <n v="0"/>
    <n v="1337925.97"/>
  </r>
  <r>
    <x v="9"/>
    <s v="10/2022"/>
    <s v="SEC"/>
    <s v="BH Colorado Electric Oper Co"/>
    <s v="Regulated Electric (122)"/>
    <x v="0"/>
    <s v="General Plant - Electric"/>
    <x v="1"/>
    <n v="8"/>
    <s v="139103 - Gen Plt-Computer Hardware"/>
    <x v="20"/>
    <n v="856038.81"/>
    <n v="0"/>
    <n v="0"/>
    <n v="0"/>
    <n v="856038.81"/>
  </r>
  <r>
    <x v="9"/>
    <s v="10/2022"/>
    <s v="SEC"/>
    <s v="BH Colorado Electric Oper Co"/>
    <s v="Regulated Electric (122)"/>
    <x v="0"/>
    <s v="General Plant - Electric"/>
    <x v="1"/>
    <n v="8"/>
    <s v="139104 - Gen Plt-Software"/>
    <x v="21"/>
    <n v="12034"/>
    <n v="0"/>
    <n v="0"/>
    <n v="0"/>
    <n v="12034"/>
  </r>
  <r>
    <x v="9"/>
    <s v="10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9"/>
    <s v="10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9"/>
    <s v="10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9"/>
    <s v="10/2022"/>
    <s v="SEC"/>
    <s v="BH Colorado Electric Oper Co"/>
    <s v="Regulated Electric (122)"/>
    <x v="0"/>
    <s v="General Plant - Electric"/>
    <x v="1"/>
    <n v="8"/>
    <s v="139201 - Gen Plt-Trans Eqp-Subunit"/>
    <x v="32"/>
    <n v="216925.63"/>
    <n v="0"/>
    <n v="0"/>
    <n v="0"/>
    <n v="216925.63"/>
  </r>
  <r>
    <x v="9"/>
    <s v="10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9"/>
    <s v="10/2022"/>
    <s v="SEC"/>
    <s v="BH Colorado Electric Oper Co"/>
    <s v="Regulated Electric (122)"/>
    <x v="0"/>
    <s v="General Plant - Electric"/>
    <x v="1"/>
    <n v="8"/>
    <s v="139203 - Gen Plt-Trans Eqp-Lght Trk"/>
    <x v="34"/>
    <n v="2559079.35"/>
    <n v="0"/>
    <n v="0"/>
    <n v="0"/>
    <n v="2559079.35"/>
  </r>
  <r>
    <x v="9"/>
    <s v="10/2022"/>
    <s v="SEC"/>
    <s v="BH Colorado Electric Oper Co"/>
    <s v="Regulated Electric (122)"/>
    <x v="0"/>
    <s v="General Plant - Electric"/>
    <x v="1"/>
    <n v="8"/>
    <s v="139204 - Gen Plt-Trans Eqp-Med Trck"/>
    <x v="35"/>
    <n v="1758260.5899999999"/>
    <n v="0"/>
    <n v="0"/>
    <n v="0"/>
    <n v="1758260.5899999999"/>
  </r>
  <r>
    <x v="9"/>
    <s v="10/2022"/>
    <s v="SEC"/>
    <s v="BH Colorado Electric Oper Co"/>
    <s v="Regulated Electric (122)"/>
    <x v="0"/>
    <s v="General Plant - Electric"/>
    <x v="1"/>
    <n v="8"/>
    <s v="139205 - Gen Plt-Trans Eqp-Hvy Trck"/>
    <x v="36"/>
    <n v="9638534.1899999995"/>
    <n v="0"/>
    <n v="0"/>
    <n v="0"/>
    <n v="9638534.1899999995"/>
  </r>
  <r>
    <x v="9"/>
    <s v="10/2022"/>
    <s v="SEC"/>
    <s v="BH Colorado Electric Oper Co"/>
    <s v="Regulated Electric (122)"/>
    <x v="0"/>
    <s v="General Plant - Electric"/>
    <x v="1"/>
    <n v="8"/>
    <s v="139206 - Gen Plt-Trans Eqp-Trailers"/>
    <x v="37"/>
    <n v="2339100.16"/>
    <n v="0"/>
    <n v="0"/>
    <n v="0"/>
    <n v="2339100.16"/>
  </r>
  <r>
    <x v="9"/>
    <s v="10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9"/>
    <s v="10/2022"/>
    <s v="SEC"/>
    <s v="BH Colorado Electric Oper Co"/>
    <s v="Regulated Electric (122)"/>
    <x v="0"/>
    <s v="General Plant - Electric"/>
    <x v="1"/>
    <n v="8"/>
    <s v="139400 - Gen Plt-Tool/Shop/Garage"/>
    <x v="39"/>
    <n v="2959644.67"/>
    <n v="0"/>
    <n v="0"/>
    <n v="0"/>
    <n v="2959644.67"/>
  </r>
  <r>
    <x v="9"/>
    <s v="10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9"/>
    <s v="10/2022"/>
    <s v="SEC"/>
    <s v="BH Colorado Electric Oper Co"/>
    <s v="Regulated Electric (122)"/>
    <x v="0"/>
    <s v="General Plant - Electric"/>
    <x v="1"/>
    <n v="8"/>
    <s v="139500 - Gen Plt-Lab Equipment"/>
    <x v="41"/>
    <n v="355298.29"/>
    <n v="0"/>
    <n v="0"/>
    <n v="0"/>
    <n v="355298.29"/>
  </r>
  <r>
    <x v="9"/>
    <s v="10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9"/>
    <s v="10/2022"/>
    <s v="SEC"/>
    <s v="BH Colorado Electric Oper Co"/>
    <s v="Regulated Electric (122)"/>
    <x v="0"/>
    <s v="General Plant - Electric"/>
    <x v="1"/>
    <n v="8"/>
    <s v="139602 - Off Rd Pwr Eqp Long Life"/>
    <x v="43"/>
    <n v="3255870.1"/>
    <n v="0"/>
    <n v="0"/>
    <n v="0"/>
    <n v="3255870.1"/>
  </r>
  <r>
    <x v="9"/>
    <s v="10/2022"/>
    <s v="SEC"/>
    <s v="BH Colorado Electric Oper Co"/>
    <s v="Regulated Electric (122)"/>
    <x v="0"/>
    <s v="General Plant - Electric"/>
    <x v="1"/>
    <n v="8"/>
    <s v="139700 - Gen Plt-Communication Eqp"/>
    <x v="23"/>
    <n v="977085.37"/>
    <n v="0"/>
    <n v="0"/>
    <n v="0"/>
    <n v="977085.37"/>
  </r>
  <r>
    <x v="9"/>
    <s v="10/2022"/>
    <s v="SEC"/>
    <s v="BH Colorado Electric Oper Co"/>
    <s v="Regulated Electric (122)"/>
    <x v="0"/>
    <s v="General Plant - Electric"/>
    <x v="1"/>
    <n v="8"/>
    <s v="139710-Communication Equip-Specif"/>
    <x v="44"/>
    <n v="1207150.3799999999"/>
    <n v="0"/>
    <n v="0"/>
    <n v="0"/>
    <n v="1207150.3799999999"/>
  </r>
  <r>
    <x v="9"/>
    <s v="10/2022"/>
    <s v="SEC"/>
    <s v="BH Colorado Electric Oper Co"/>
    <s v="Regulated Electric (122)"/>
    <x v="0"/>
    <s v="General Plant - Electric"/>
    <x v="1"/>
    <n v="8"/>
    <s v="139800 - Gen Plt-Miscellaneous Eqp"/>
    <x v="25"/>
    <n v="149473.80000000002"/>
    <n v="0"/>
    <n v="0"/>
    <n v="0"/>
    <n v="149473.80000000002"/>
  </r>
  <r>
    <x v="9"/>
    <s v="10/2022"/>
    <s v="SEC"/>
    <s v="BH Colorado Electric Oper Co"/>
    <s v="Regulated Electric (122)"/>
    <x v="1"/>
    <s v="General Plant - Electric"/>
    <x v="1"/>
    <n v="8"/>
    <s v="138901 - Gen Plant-Land"/>
    <x v="26"/>
    <n v="269440.43"/>
    <n v="0"/>
    <n v="0"/>
    <n v="0"/>
    <n v="269440.43"/>
  </r>
  <r>
    <x v="9"/>
    <s v="10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001 - Gen Plt-Str &amp; Improve-Own"/>
    <x v="24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101 - Gen Plt-Office Furn &amp; Eqp"/>
    <x v="29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103 - Gen Plt-Computer Hardware"/>
    <x v="20"/>
    <n v="0"/>
    <n v="44818.16"/>
    <n v="0"/>
    <n v="0"/>
    <n v="44818.16"/>
  </r>
  <r>
    <x v="9"/>
    <s v="10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201 - Gen Plt-Trans Eqp-Subunit"/>
    <x v="32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203 - Gen Plt-Trans Eqp-Lght Trk"/>
    <x v="34"/>
    <n v="343668.71"/>
    <n v="2424.27"/>
    <n v="0"/>
    <n v="0"/>
    <n v="346092.98"/>
  </r>
  <r>
    <x v="9"/>
    <s v="10/2022"/>
    <s v="SEC"/>
    <s v="BH Colorado Electric Oper Co"/>
    <s v="Regulated Electric (122)"/>
    <x v="2"/>
    <s v="General Plant - Electric"/>
    <x v="1"/>
    <n v="8"/>
    <s v="139204 - Gen Plt-Trans Eqp-Med Trck"/>
    <x v="35"/>
    <n v="262261.74"/>
    <n v="15.75"/>
    <n v="0"/>
    <n v="0"/>
    <n v="262277.49"/>
  </r>
  <r>
    <x v="9"/>
    <s v="10/2022"/>
    <s v="SEC"/>
    <s v="BH Colorado Electric Oper Co"/>
    <s v="Regulated Electric (122)"/>
    <x v="2"/>
    <s v="General Plant - Electric"/>
    <x v="1"/>
    <n v="8"/>
    <s v="139205 - Gen Plt-Trans Eqp-Hvy Trck"/>
    <x v="36"/>
    <n v="4485387.3600000003"/>
    <n v="16151.53"/>
    <n v="0"/>
    <n v="0"/>
    <n v="4501538.8899999997"/>
  </r>
  <r>
    <x v="9"/>
    <s v="10/2022"/>
    <s v="SEC"/>
    <s v="BH Colorado Electric Oper Co"/>
    <s v="Regulated Electric (122)"/>
    <x v="2"/>
    <s v="General Plant - Electric"/>
    <x v="1"/>
    <n v="8"/>
    <s v="139206 - Gen Plt-Trans Eqp-Trailers"/>
    <x v="37"/>
    <n v="504.89"/>
    <n v="198099.25"/>
    <n v="0"/>
    <n v="0"/>
    <n v="198604.14"/>
  </r>
  <r>
    <x v="9"/>
    <s v="10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400 - Gen Plt-Tool/Shop/Garage"/>
    <x v="39"/>
    <n v="203128.95999999999"/>
    <n v="6882.26"/>
    <n v="0"/>
    <n v="0"/>
    <n v="210011.22"/>
  </r>
  <r>
    <x v="9"/>
    <s v="10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500 - Gen Plt-Lab Equipment"/>
    <x v="41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602 - Off Rd Pwr Eqp Long Life"/>
    <x v="43"/>
    <n v="94356.85"/>
    <n v="0"/>
    <n v="0"/>
    <n v="0"/>
    <n v="94356.85"/>
  </r>
  <r>
    <x v="9"/>
    <s v="10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9"/>
    <s v="10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10"/>
    <s v="11/2022"/>
    <s v="SEC"/>
    <s v="BH Colorado Electric Oper Co"/>
    <s v="Regulated Electric (122)"/>
    <x v="0"/>
    <s v="General Plant - Electric"/>
    <x v="1"/>
    <n v="8"/>
    <s v="138901 - Gen Plant-Land"/>
    <x v="26"/>
    <n v="261405.4"/>
    <n v="0"/>
    <n v="0"/>
    <n v="0"/>
    <n v="261405.4"/>
  </r>
  <r>
    <x v="10"/>
    <s v="11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10"/>
    <s v="11/2022"/>
    <s v="SEC"/>
    <s v="BH Colorado Electric Oper Co"/>
    <s v="Regulated Electric (122)"/>
    <x v="0"/>
    <s v="General Plant - Electric"/>
    <x v="1"/>
    <n v="8"/>
    <s v="139001 - Gen Plt-Str &amp; Improve-Own"/>
    <x v="24"/>
    <n v="7838433.1299999999"/>
    <n v="0"/>
    <n v="0"/>
    <n v="0"/>
    <n v="7838433.1299999999"/>
  </r>
  <r>
    <x v="10"/>
    <s v="11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10"/>
    <s v="11/2022"/>
    <s v="SEC"/>
    <s v="BH Colorado Electric Oper Co"/>
    <s v="Regulated Electric (122)"/>
    <x v="0"/>
    <s v="General Plant - Electric"/>
    <x v="1"/>
    <n v="8"/>
    <s v="139101 - Gen Plt-Office Furn &amp; Eqp"/>
    <x v="29"/>
    <n v="1337925.97"/>
    <n v="0"/>
    <n v="0"/>
    <n v="0"/>
    <n v="1337925.97"/>
  </r>
  <r>
    <x v="10"/>
    <s v="11/2022"/>
    <s v="SEC"/>
    <s v="BH Colorado Electric Oper Co"/>
    <s v="Regulated Electric (122)"/>
    <x v="0"/>
    <s v="General Plant - Electric"/>
    <x v="1"/>
    <n v="8"/>
    <s v="139103 - Gen Plt-Computer Hardware"/>
    <x v="20"/>
    <n v="856038.81"/>
    <n v="0"/>
    <n v="0"/>
    <n v="0"/>
    <n v="856038.81"/>
  </r>
  <r>
    <x v="10"/>
    <s v="11/2022"/>
    <s v="SEC"/>
    <s v="BH Colorado Electric Oper Co"/>
    <s v="Regulated Electric (122)"/>
    <x v="0"/>
    <s v="General Plant - Electric"/>
    <x v="1"/>
    <n v="8"/>
    <s v="139104 - Gen Plt-Software"/>
    <x v="21"/>
    <n v="12034"/>
    <n v="0"/>
    <n v="0"/>
    <n v="0"/>
    <n v="12034"/>
  </r>
  <r>
    <x v="10"/>
    <s v="11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10"/>
    <s v="11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10"/>
    <s v="11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10"/>
    <s v="11/2022"/>
    <s v="SEC"/>
    <s v="BH Colorado Electric Oper Co"/>
    <s v="Regulated Electric (122)"/>
    <x v="0"/>
    <s v="General Plant - Electric"/>
    <x v="1"/>
    <n v="8"/>
    <s v="139201 - Gen Plt-Trans Eqp-Subunit"/>
    <x v="32"/>
    <n v="216925.63"/>
    <n v="0"/>
    <n v="0"/>
    <n v="0"/>
    <n v="216925.63"/>
  </r>
  <r>
    <x v="10"/>
    <s v="11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10"/>
    <s v="11/2022"/>
    <s v="SEC"/>
    <s v="BH Colorado Electric Oper Co"/>
    <s v="Regulated Electric (122)"/>
    <x v="0"/>
    <s v="General Plant - Electric"/>
    <x v="1"/>
    <n v="8"/>
    <s v="139203 - Gen Plt-Trans Eqp-Lght Trk"/>
    <x v="34"/>
    <n v="2559079.35"/>
    <n v="0"/>
    <n v="0"/>
    <n v="0"/>
    <n v="2559079.35"/>
  </r>
  <r>
    <x v="10"/>
    <s v="11/2022"/>
    <s v="SEC"/>
    <s v="BH Colorado Electric Oper Co"/>
    <s v="Regulated Electric (122)"/>
    <x v="0"/>
    <s v="General Plant - Electric"/>
    <x v="1"/>
    <n v="8"/>
    <s v="139204 - Gen Plt-Trans Eqp-Med Trck"/>
    <x v="35"/>
    <n v="1758260.5899999999"/>
    <n v="0"/>
    <n v="0"/>
    <n v="0"/>
    <n v="1758260.5899999999"/>
  </r>
  <r>
    <x v="10"/>
    <s v="11/2022"/>
    <s v="SEC"/>
    <s v="BH Colorado Electric Oper Co"/>
    <s v="Regulated Electric (122)"/>
    <x v="0"/>
    <s v="General Plant - Electric"/>
    <x v="1"/>
    <n v="8"/>
    <s v="139205 - Gen Plt-Trans Eqp-Hvy Trck"/>
    <x v="36"/>
    <n v="9638534.1899999995"/>
    <n v="0"/>
    <n v="0"/>
    <n v="0"/>
    <n v="9638534.1899999995"/>
  </r>
  <r>
    <x v="10"/>
    <s v="11/2022"/>
    <s v="SEC"/>
    <s v="BH Colorado Electric Oper Co"/>
    <s v="Regulated Electric (122)"/>
    <x v="0"/>
    <s v="General Plant - Electric"/>
    <x v="1"/>
    <n v="8"/>
    <s v="139206 - Gen Plt-Trans Eqp-Trailers"/>
    <x v="37"/>
    <n v="2339100.16"/>
    <n v="0"/>
    <n v="0"/>
    <n v="0"/>
    <n v="2339100.16"/>
  </r>
  <r>
    <x v="10"/>
    <s v="11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10"/>
    <s v="11/2022"/>
    <s v="SEC"/>
    <s v="BH Colorado Electric Oper Co"/>
    <s v="Regulated Electric (122)"/>
    <x v="0"/>
    <s v="General Plant - Electric"/>
    <x v="1"/>
    <n v="8"/>
    <s v="139400 - Gen Plt-Tool/Shop/Garage"/>
    <x v="39"/>
    <n v="2959644.67"/>
    <n v="0"/>
    <n v="0"/>
    <n v="0"/>
    <n v="2959644.67"/>
  </r>
  <r>
    <x v="10"/>
    <s v="11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10"/>
    <s v="11/2022"/>
    <s v="SEC"/>
    <s v="BH Colorado Electric Oper Co"/>
    <s v="Regulated Electric (122)"/>
    <x v="0"/>
    <s v="General Plant - Electric"/>
    <x v="1"/>
    <n v="8"/>
    <s v="139500 - Gen Plt-Lab Equipment"/>
    <x v="41"/>
    <n v="355298.29"/>
    <n v="0"/>
    <n v="0"/>
    <n v="0"/>
    <n v="355298.29"/>
  </r>
  <r>
    <x v="10"/>
    <s v="11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10"/>
    <s v="11/2022"/>
    <s v="SEC"/>
    <s v="BH Colorado Electric Oper Co"/>
    <s v="Regulated Electric (122)"/>
    <x v="0"/>
    <s v="General Plant - Electric"/>
    <x v="1"/>
    <n v="8"/>
    <s v="139602 - Off Rd Pwr Eqp Long Life"/>
    <x v="43"/>
    <n v="3255870.1"/>
    <n v="0"/>
    <n v="0"/>
    <n v="0"/>
    <n v="3255870.1"/>
  </r>
  <r>
    <x v="10"/>
    <s v="11/2022"/>
    <s v="SEC"/>
    <s v="BH Colorado Electric Oper Co"/>
    <s v="Regulated Electric (122)"/>
    <x v="0"/>
    <s v="General Plant - Electric"/>
    <x v="1"/>
    <n v="8"/>
    <s v="139700 - Gen Plt-Communication Eqp"/>
    <x v="23"/>
    <n v="977085.37"/>
    <n v="0"/>
    <n v="-131387.79999999999"/>
    <n v="0"/>
    <n v="845697.57000000007"/>
  </r>
  <r>
    <x v="10"/>
    <s v="11/2022"/>
    <s v="SEC"/>
    <s v="BH Colorado Electric Oper Co"/>
    <s v="Regulated Electric (122)"/>
    <x v="0"/>
    <s v="General Plant - Electric"/>
    <x v="1"/>
    <n v="8"/>
    <s v="139710-Communication Equip-Specif"/>
    <x v="44"/>
    <n v="1207150.3799999999"/>
    <n v="0"/>
    <n v="0"/>
    <n v="0"/>
    <n v="1207150.3799999999"/>
  </r>
  <r>
    <x v="10"/>
    <s v="11/2022"/>
    <s v="SEC"/>
    <s v="BH Colorado Electric Oper Co"/>
    <s v="Regulated Electric (122)"/>
    <x v="0"/>
    <s v="General Plant - Electric"/>
    <x v="1"/>
    <n v="8"/>
    <s v="139800 - Gen Plt-Miscellaneous Eqp"/>
    <x v="25"/>
    <n v="149473.80000000002"/>
    <n v="0"/>
    <n v="0"/>
    <n v="0"/>
    <n v="149473.80000000002"/>
  </r>
  <r>
    <x v="10"/>
    <s v="11/2022"/>
    <s v="SEC"/>
    <s v="BH Colorado Electric Oper Co"/>
    <s v="Regulated Electric (122)"/>
    <x v="1"/>
    <s v="General Plant - Electric"/>
    <x v="1"/>
    <n v="8"/>
    <s v="138901 - Gen Plant-Land"/>
    <x v="26"/>
    <n v="269440.43"/>
    <n v="0"/>
    <n v="0"/>
    <n v="0"/>
    <n v="269440.43"/>
  </r>
  <r>
    <x v="10"/>
    <s v="11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001 - Gen Plt-Str &amp; Improve-Own"/>
    <x v="24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101 - Gen Plt-Office Furn &amp; Eqp"/>
    <x v="29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103 - Gen Plt-Computer Hardware"/>
    <x v="20"/>
    <n v="44818.16"/>
    <n v="0"/>
    <n v="0"/>
    <n v="0"/>
    <n v="44818.16"/>
  </r>
  <r>
    <x v="10"/>
    <s v="11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201 - Gen Plt-Trans Eqp-Subunit"/>
    <x v="32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203 - Gen Plt-Trans Eqp-Lght Trk"/>
    <x v="34"/>
    <n v="346092.98"/>
    <n v="83046.34"/>
    <n v="0"/>
    <n v="0"/>
    <n v="429139.32"/>
  </r>
  <r>
    <x v="10"/>
    <s v="11/2022"/>
    <s v="SEC"/>
    <s v="BH Colorado Electric Oper Co"/>
    <s v="Regulated Electric (122)"/>
    <x v="2"/>
    <s v="General Plant - Electric"/>
    <x v="1"/>
    <n v="8"/>
    <s v="139204 - Gen Plt-Trans Eqp-Med Trck"/>
    <x v="35"/>
    <n v="262277.49"/>
    <n v="0"/>
    <n v="0"/>
    <n v="0"/>
    <n v="262277.49"/>
  </r>
  <r>
    <x v="10"/>
    <s v="11/2022"/>
    <s v="SEC"/>
    <s v="BH Colorado Electric Oper Co"/>
    <s v="Regulated Electric (122)"/>
    <x v="2"/>
    <s v="General Plant - Electric"/>
    <x v="1"/>
    <n v="8"/>
    <s v="139205 - Gen Plt-Trans Eqp-Hvy Trck"/>
    <x v="36"/>
    <n v="4501538.8899999997"/>
    <n v="0"/>
    <n v="0"/>
    <n v="0"/>
    <n v="4501538.8899999997"/>
  </r>
  <r>
    <x v="10"/>
    <s v="11/2022"/>
    <s v="SEC"/>
    <s v="BH Colorado Electric Oper Co"/>
    <s v="Regulated Electric (122)"/>
    <x v="2"/>
    <s v="General Plant - Electric"/>
    <x v="1"/>
    <n v="8"/>
    <s v="139206 - Gen Plt-Trans Eqp-Trailers"/>
    <x v="37"/>
    <n v="198604.14"/>
    <n v="26464.260000000002"/>
    <n v="0"/>
    <n v="0"/>
    <n v="225068.4"/>
  </r>
  <r>
    <x v="10"/>
    <s v="11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400 - Gen Plt-Tool/Shop/Garage"/>
    <x v="39"/>
    <n v="210011.22"/>
    <n v="73095.87"/>
    <n v="0"/>
    <n v="0"/>
    <n v="283107.09000000003"/>
  </r>
  <r>
    <x v="10"/>
    <s v="11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500 - Gen Plt-Lab Equipment"/>
    <x v="41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602 - Off Rd Pwr Eqp Long Life"/>
    <x v="43"/>
    <n v="94356.85"/>
    <n v="0"/>
    <n v="0"/>
    <n v="0"/>
    <n v="94356.85"/>
  </r>
  <r>
    <x v="10"/>
    <s v="11/2022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10"/>
    <s v="11/2022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11"/>
    <s v="12/2022"/>
    <s v="SEC"/>
    <s v="BH Colorado Electric Oper Co"/>
    <s v="Regulated Electric (122)"/>
    <x v="0"/>
    <s v="General Plant - Electric"/>
    <x v="1"/>
    <n v="8"/>
    <s v="138901 - Gen Plant-Land"/>
    <x v="26"/>
    <n v="261405.4"/>
    <n v="0"/>
    <n v="0"/>
    <n v="0"/>
    <n v="261405.4"/>
  </r>
  <r>
    <x v="11"/>
    <s v="12/2022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11"/>
    <s v="12/2022"/>
    <s v="SEC"/>
    <s v="BH Colorado Electric Oper Co"/>
    <s v="Regulated Electric (122)"/>
    <x v="0"/>
    <s v="General Plant - Electric"/>
    <x v="1"/>
    <n v="8"/>
    <s v="139001 - Gen Plt-Str &amp; Improve-Own"/>
    <x v="24"/>
    <n v="7838433.1299999999"/>
    <n v="0"/>
    <n v="0"/>
    <n v="0"/>
    <n v="7838433.1299999999"/>
  </r>
  <r>
    <x v="11"/>
    <s v="12/2022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11"/>
    <s v="12/2022"/>
    <s v="SEC"/>
    <s v="BH Colorado Electric Oper Co"/>
    <s v="Regulated Electric (122)"/>
    <x v="0"/>
    <s v="General Plant - Electric"/>
    <x v="1"/>
    <n v="8"/>
    <s v="139101 - Gen Plt-Office Furn &amp; Eqp"/>
    <x v="29"/>
    <n v="1337925.97"/>
    <n v="0"/>
    <n v="0"/>
    <n v="0"/>
    <n v="1337925.97"/>
  </r>
  <r>
    <x v="11"/>
    <s v="12/2022"/>
    <s v="SEC"/>
    <s v="BH Colorado Electric Oper Co"/>
    <s v="Regulated Electric (122)"/>
    <x v="0"/>
    <s v="General Plant - Electric"/>
    <x v="1"/>
    <n v="8"/>
    <s v="139103 - Gen Plt-Computer Hardware"/>
    <x v="20"/>
    <n v="856038.81"/>
    <n v="0"/>
    <n v="0"/>
    <n v="0"/>
    <n v="856038.81"/>
  </r>
  <r>
    <x v="11"/>
    <s v="12/2022"/>
    <s v="SEC"/>
    <s v="BH Colorado Electric Oper Co"/>
    <s v="Regulated Electric (122)"/>
    <x v="0"/>
    <s v="General Plant - Electric"/>
    <x v="1"/>
    <n v="8"/>
    <s v="139104 - Gen Plt-Software"/>
    <x v="21"/>
    <n v="12034"/>
    <n v="0"/>
    <n v="0"/>
    <n v="0"/>
    <n v="12034"/>
  </r>
  <r>
    <x v="11"/>
    <s v="12/2022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11"/>
    <s v="12/2022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11"/>
    <s v="12/2022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11"/>
    <s v="12/2022"/>
    <s v="SEC"/>
    <s v="BH Colorado Electric Oper Co"/>
    <s v="Regulated Electric (122)"/>
    <x v="0"/>
    <s v="General Plant - Electric"/>
    <x v="1"/>
    <n v="8"/>
    <s v="139201 - Gen Plt-Trans Eqp-Subunit"/>
    <x v="32"/>
    <n v="216925.63"/>
    <n v="0"/>
    <n v="0"/>
    <n v="0"/>
    <n v="216925.63"/>
  </r>
  <r>
    <x v="11"/>
    <s v="12/2022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11"/>
    <s v="12/2022"/>
    <s v="SEC"/>
    <s v="BH Colorado Electric Oper Co"/>
    <s v="Regulated Electric (122)"/>
    <x v="0"/>
    <s v="General Plant - Electric"/>
    <x v="1"/>
    <n v="8"/>
    <s v="139203 - Gen Plt-Trans Eqp-Lght Trk"/>
    <x v="34"/>
    <n v="2559079.35"/>
    <n v="118379.83"/>
    <n v="0"/>
    <n v="0"/>
    <n v="2677459.1800000002"/>
  </r>
  <r>
    <x v="11"/>
    <s v="12/2022"/>
    <s v="SEC"/>
    <s v="BH Colorado Electric Oper Co"/>
    <s v="Regulated Electric (122)"/>
    <x v="0"/>
    <s v="General Plant - Electric"/>
    <x v="1"/>
    <n v="8"/>
    <s v="139204 - Gen Plt-Trans Eqp-Med Trck"/>
    <x v="35"/>
    <n v="1758260.5899999999"/>
    <n v="380581.81"/>
    <n v="0"/>
    <n v="0"/>
    <n v="2138842.4"/>
  </r>
  <r>
    <x v="11"/>
    <s v="12/2022"/>
    <s v="SEC"/>
    <s v="BH Colorado Electric Oper Co"/>
    <s v="Regulated Electric (122)"/>
    <x v="0"/>
    <s v="General Plant - Electric"/>
    <x v="1"/>
    <n v="8"/>
    <s v="139205 - Gen Plt-Trans Eqp-Hvy Trck"/>
    <x v="36"/>
    <n v="9638534.1899999995"/>
    <n v="3504661.45"/>
    <n v="0"/>
    <n v="0"/>
    <n v="13143195.640000001"/>
  </r>
  <r>
    <x v="11"/>
    <s v="12/2022"/>
    <s v="SEC"/>
    <s v="BH Colorado Electric Oper Co"/>
    <s v="Regulated Electric (122)"/>
    <x v="0"/>
    <s v="General Plant - Electric"/>
    <x v="1"/>
    <n v="8"/>
    <s v="139206 - Gen Plt-Trans Eqp-Trailers"/>
    <x v="37"/>
    <n v="2339100.16"/>
    <n v="26464.260000000002"/>
    <n v="0"/>
    <n v="0"/>
    <n v="2365564.42"/>
  </r>
  <r>
    <x v="11"/>
    <s v="12/2022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11"/>
    <s v="12/2022"/>
    <s v="SEC"/>
    <s v="BH Colorado Electric Oper Co"/>
    <s v="Regulated Electric (122)"/>
    <x v="0"/>
    <s v="General Plant - Electric"/>
    <x v="1"/>
    <n v="8"/>
    <s v="139400 - Gen Plt-Tool/Shop/Garage"/>
    <x v="39"/>
    <n v="2959644.67"/>
    <n v="226256.15"/>
    <n v="-2020.16"/>
    <n v="0"/>
    <n v="3183880.66"/>
  </r>
  <r>
    <x v="11"/>
    <s v="12/2022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11"/>
    <s v="12/2022"/>
    <s v="SEC"/>
    <s v="BH Colorado Electric Oper Co"/>
    <s v="Regulated Electric (122)"/>
    <x v="0"/>
    <s v="General Plant - Electric"/>
    <x v="1"/>
    <n v="8"/>
    <s v="139500 - Gen Plt-Lab Equipment"/>
    <x v="41"/>
    <n v="355298.29"/>
    <n v="0"/>
    <n v="0"/>
    <n v="0"/>
    <n v="355298.29"/>
  </r>
  <r>
    <x v="11"/>
    <s v="12/2022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11"/>
    <s v="12/2022"/>
    <s v="SEC"/>
    <s v="BH Colorado Electric Oper Co"/>
    <s v="Regulated Electric (122)"/>
    <x v="0"/>
    <s v="General Plant - Electric"/>
    <x v="1"/>
    <n v="8"/>
    <s v="139602 - Off Rd Pwr Eqp Long Life"/>
    <x v="43"/>
    <n v="3255870.1"/>
    <n v="94356.85"/>
    <n v="0"/>
    <n v="0"/>
    <n v="3350226.95"/>
  </r>
  <r>
    <x v="11"/>
    <s v="12/2022"/>
    <s v="SEC"/>
    <s v="BH Colorado Electric Oper Co"/>
    <s v="Regulated Electric (122)"/>
    <x v="0"/>
    <s v="General Plant - Electric"/>
    <x v="1"/>
    <n v="8"/>
    <s v="139700 - Gen Plt-Communication Eqp"/>
    <x v="23"/>
    <n v="845697.57000000007"/>
    <n v="0"/>
    <n v="0"/>
    <n v="0"/>
    <n v="845697.57000000007"/>
  </r>
  <r>
    <x v="11"/>
    <s v="12/2022"/>
    <s v="SEC"/>
    <s v="BH Colorado Electric Oper Co"/>
    <s v="Regulated Electric (122)"/>
    <x v="0"/>
    <s v="General Plant - Electric"/>
    <x v="1"/>
    <n v="8"/>
    <s v="139710-Communication Equip-Specif"/>
    <x v="44"/>
    <n v="1207150.3799999999"/>
    <n v="0"/>
    <n v="0"/>
    <n v="0"/>
    <n v="1207150.3799999999"/>
  </r>
  <r>
    <x v="11"/>
    <s v="12/2022"/>
    <s v="SEC"/>
    <s v="BH Colorado Electric Oper Co"/>
    <s v="Regulated Electric (122)"/>
    <x v="0"/>
    <s v="General Plant - Electric"/>
    <x v="1"/>
    <n v="8"/>
    <s v="139800 - Gen Plt-Miscellaneous Eqp"/>
    <x v="25"/>
    <n v="149473.80000000002"/>
    <n v="0"/>
    <n v="0"/>
    <n v="0"/>
    <n v="149473.80000000002"/>
  </r>
  <r>
    <x v="11"/>
    <s v="12/2022"/>
    <s v="SEC"/>
    <s v="BH Colorado Electric Oper Co"/>
    <s v="Regulated Electric (122)"/>
    <x v="1"/>
    <s v="General Plant - Electric"/>
    <x v="1"/>
    <n v="8"/>
    <s v="138901 - Gen Plant-Land"/>
    <x v="26"/>
    <n v="269440.43"/>
    <n v="0"/>
    <n v="0"/>
    <n v="0"/>
    <n v="269440.43"/>
  </r>
  <r>
    <x v="11"/>
    <s v="12/2022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001 - Gen Plt-Str &amp; Improve-Own"/>
    <x v="24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101 - Gen Plt-Office Furn &amp; Eqp"/>
    <x v="29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103 - Gen Plt-Computer Hardware"/>
    <x v="20"/>
    <n v="44818.16"/>
    <n v="330385.57"/>
    <n v="0"/>
    <n v="0"/>
    <n v="375203.73"/>
  </r>
  <r>
    <x v="11"/>
    <s v="12/2022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201 - Gen Plt-Trans Eqp-Subunit"/>
    <x v="32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203 - Gen Plt-Trans Eqp-Lght Trk"/>
    <x v="34"/>
    <n v="429139.32"/>
    <n v="-223791.32"/>
    <n v="0"/>
    <n v="0"/>
    <n v="205348"/>
  </r>
  <r>
    <x v="11"/>
    <s v="12/2022"/>
    <s v="SEC"/>
    <s v="BH Colorado Electric Oper Co"/>
    <s v="Regulated Electric (122)"/>
    <x v="2"/>
    <s v="General Plant - Electric"/>
    <x v="1"/>
    <n v="8"/>
    <s v="139204 - Gen Plt-Trans Eqp-Med Trck"/>
    <x v="35"/>
    <n v="262277.49"/>
    <n v="-244156.78"/>
    <n v="0"/>
    <n v="0"/>
    <n v="18120.71"/>
  </r>
  <r>
    <x v="11"/>
    <s v="12/2022"/>
    <s v="SEC"/>
    <s v="BH Colorado Electric Oper Co"/>
    <s v="Regulated Electric (122)"/>
    <x v="2"/>
    <s v="General Plant - Electric"/>
    <x v="1"/>
    <n v="8"/>
    <s v="139205 - Gen Plt-Trans Eqp-Hvy Trck"/>
    <x v="36"/>
    <n v="4501538.8899999997"/>
    <n v="-3406265.92"/>
    <n v="0"/>
    <n v="0"/>
    <n v="1095272.97"/>
  </r>
  <r>
    <x v="11"/>
    <s v="12/2022"/>
    <s v="SEC"/>
    <s v="BH Colorado Electric Oper Co"/>
    <s v="Regulated Electric (122)"/>
    <x v="2"/>
    <s v="General Plant - Electric"/>
    <x v="1"/>
    <n v="8"/>
    <s v="139206 - Gen Plt-Trans Eqp-Trailers"/>
    <x v="37"/>
    <n v="225068.4"/>
    <n v="-8696.9"/>
    <n v="0"/>
    <n v="0"/>
    <n v="216371.5"/>
  </r>
  <r>
    <x v="11"/>
    <s v="12/2022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400 - Gen Plt-Tool/Shop/Garage"/>
    <x v="39"/>
    <n v="283107.09000000003"/>
    <n v="-177418.47"/>
    <n v="0"/>
    <n v="0"/>
    <n v="105688.62"/>
  </r>
  <r>
    <x v="11"/>
    <s v="12/2022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500 - Gen Plt-Lab Equipment"/>
    <x v="41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602 - Off Rd Pwr Eqp Long Life"/>
    <x v="43"/>
    <n v="94356.85"/>
    <n v="-94356.85"/>
    <n v="0"/>
    <n v="0"/>
    <n v="0"/>
  </r>
  <r>
    <x v="11"/>
    <s v="12/2022"/>
    <s v="SEC"/>
    <s v="BH Colorado Electric Oper Co"/>
    <s v="Regulated Electric (122)"/>
    <x v="2"/>
    <s v="General Plant - Electric"/>
    <x v="1"/>
    <n v="8"/>
    <s v="139700 - Gen Plt-Communication Eqp"/>
    <x v="23"/>
    <n v="0"/>
    <n v="65881.430000000008"/>
    <n v="0"/>
    <n v="0"/>
    <n v="65881.430000000008"/>
  </r>
  <r>
    <x v="11"/>
    <s v="12/2022"/>
    <s v="SEC"/>
    <s v="BH Colorado Electric Oper Co"/>
    <s v="Regulated Electric (122)"/>
    <x v="2"/>
    <s v="General Plant - Electric"/>
    <x v="1"/>
    <n v="8"/>
    <s v="139710-Communication Equip-Specif"/>
    <x v="44"/>
    <n v="0"/>
    <n v="30744.63"/>
    <n v="0"/>
    <n v="0"/>
    <n v="30744.63"/>
  </r>
  <r>
    <x v="11"/>
    <s v="12/2022"/>
    <s v="SEC"/>
    <s v="BH Colorado Electric Oper Co"/>
    <s v="Regulated Electric (122)"/>
    <x v="2"/>
    <s v="General Plant - Electric"/>
    <x v="1"/>
    <n v="8"/>
    <s v="139800 - Gen Plt-Miscellaneous Eqp"/>
    <x v="25"/>
    <n v="0"/>
    <n v="39199.879999999997"/>
    <n v="0"/>
    <n v="0"/>
    <n v="39199.879999999997"/>
  </r>
  <r>
    <x v="12"/>
    <s v="12/2021"/>
    <s v="SEC"/>
    <s v="BH Colorado Electric Oper Co"/>
    <s v="Regulated Electric (122)"/>
    <x v="0"/>
    <s v="General Plant - Electric"/>
    <x v="1"/>
    <n v="8"/>
    <s v="138901 - Gen Plant-Land"/>
    <x v="26"/>
    <n v="261405.41"/>
    <n v="0"/>
    <n v="0"/>
    <n v="0"/>
    <n v="261405.41"/>
  </r>
  <r>
    <x v="12"/>
    <s v="12/2021"/>
    <s v="SEC"/>
    <s v="BH Colorado Electric Oper Co"/>
    <s v="Regulated Electric (122)"/>
    <x v="0"/>
    <s v="General Plant - Electric"/>
    <x v="1"/>
    <n v="8"/>
    <s v="138902 - Gen Plant-Ld Rt/ROW-NonD"/>
    <x v="27"/>
    <n v="22532.78"/>
    <n v="0"/>
    <n v="0"/>
    <n v="0"/>
    <n v="22532.78"/>
  </r>
  <r>
    <x v="12"/>
    <s v="12/2021"/>
    <s v="SEC"/>
    <s v="BH Colorado Electric Oper Co"/>
    <s v="Regulated Electric (122)"/>
    <x v="0"/>
    <s v="General Plant - Electric"/>
    <x v="1"/>
    <n v="8"/>
    <s v="139001 - Gen Plt-Str &amp; Improve-Own"/>
    <x v="24"/>
    <n v="7405332.2300000004"/>
    <n v="0"/>
    <n v="0"/>
    <n v="10977.75"/>
    <n v="7416309.9800000004"/>
  </r>
  <r>
    <x v="12"/>
    <s v="12/2021"/>
    <s v="SEC"/>
    <s v="BH Colorado Electric Oper Co"/>
    <s v="Regulated Electric (122)"/>
    <x v="0"/>
    <s v="General Plant - Electric"/>
    <x v="1"/>
    <n v="8"/>
    <s v="139051 - Gen Plt-Str &amp; Imprve-Lease"/>
    <x v="28"/>
    <n v="1426861.24"/>
    <n v="0"/>
    <n v="0"/>
    <n v="0"/>
    <n v="1426861.24"/>
  </r>
  <r>
    <x v="12"/>
    <s v="12/2021"/>
    <s v="SEC"/>
    <s v="BH Colorado Electric Oper Co"/>
    <s v="Regulated Electric (122)"/>
    <x v="0"/>
    <s v="General Plant - Electric"/>
    <x v="1"/>
    <n v="8"/>
    <s v="139101 - Gen Plt-Office Furn &amp; Eqp"/>
    <x v="29"/>
    <n v="1313111.22"/>
    <n v="0"/>
    <n v="0"/>
    <n v="0"/>
    <n v="1313111.22"/>
  </r>
  <r>
    <x v="12"/>
    <s v="12/2021"/>
    <s v="SEC"/>
    <s v="BH Colorado Electric Oper Co"/>
    <s v="Regulated Electric (122)"/>
    <x v="0"/>
    <s v="General Plant - Electric"/>
    <x v="1"/>
    <n v="8"/>
    <s v="139103 - Gen Plt-Computer Hardware"/>
    <x v="20"/>
    <n v="706248.64"/>
    <n v="0"/>
    <n v="0"/>
    <n v="0"/>
    <n v="706248.64"/>
  </r>
  <r>
    <x v="12"/>
    <s v="12/2021"/>
    <s v="SEC"/>
    <s v="BH Colorado Electric Oper Co"/>
    <s v="Regulated Electric (122)"/>
    <x v="0"/>
    <s v="General Plant - Electric"/>
    <x v="1"/>
    <n v="8"/>
    <s v="139104 - Gen Plt-Software"/>
    <x v="21"/>
    <n v="14712"/>
    <n v="0"/>
    <n v="0"/>
    <n v="0"/>
    <n v="14712"/>
  </r>
  <r>
    <x v="12"/>
    <s v="12/2021"/>
    <s v="SEC"/>
    <s v="BH Colorado Electric Oper Co"/>
    <s v="Regulated Electric (122)"/>
    <x v="0"/>
    <s v="General Plant - Electric"/>
    <x v="1"/>
    <n v="8"/>
    <s v="139105 - Gen Plt-Sys Dev"/>
    <x v="22"/>
    <n v="0"/>
    <n v="0"/>
    <n v="0"/>
    <n v="0"/>
    <n v="0"/>
  </r>
  <r>
    <x v="12"/>
    <s v="12/2021"/>
    <s v="SEC"/>
    <s v="BH Colorado Electric Oper Co"/>
    <s v="Regulated Electric (122)"/>
    <x v="0"/>
    <s v="General Plant - Electric"/>
    <x v="1"/>
    <n v="8"/>
    <s v="139107 - Gen Plt-iPad Hardware"/>
    <x v="30"/>
    <n v="0"/>
    <n v="0"/>
    <n v="0"/>
    <n v="0"/>
    <n v="0"/>
  </r>
  <r>
    <x v="12"/>
    <s v="12/2021"/>
    <s v="SEC"/>
    <s v="BH Colorado Electric Oper Co"/>
    <s v="Regulated Electric (122)"/>
    <x v="0"/>
    <s v="General Plant - Electric"/>
    <x v="1"/>
    <n v="8"/>
    <s v="139159 - Gen Plt-OfficeFurn&amp;EqpAmor"/>
    <x v="31"/>
    <n v="0"/>
    <n v="0"/>
    <n v="0"/>
    <n v="0"/>
    <n v="0"/>
  </r>
  <r>
    <x v="12"/>
    <s v="12/2021"/>
    <s v="SEC"/>
    <s v="BH Colorado Electric Oper Co"/>
    <s v="Regulated Electric (122)"/>
    <x v="0"/>
    <s v="General Plant - Electric"/>
    <x v="1"/>
    <n v="8"/>
    <s v="139201 - Gen Plt-Trans Eqp-Subunit"/>
    <x v="32"/>
    <n v="134983.86000000002"/>
    <n v="0"/>
    <n v="0"/>
    <n v="0"/>
    <n v="134983.86000000002"/>
  </r>
  <r>
    <x v="12"/>
    <s v="12/2021"/>
    <s v="SEC"/>
    <s v="BH Colorado Electric Oper Co"/>
    <s v="Regulated Electric (122)"/>
    <x v="0"/>
    <s v="General Plant - Electric"/>
    <x v="1"/>
    <n v="8"/>
    <s v="139202 - Gen Plt-Trans Eqp-Cars"/>
    <x v="33"/>
    <n v="45525.16"/>
    <n v="0"/>
    <n v="0"/>
    <n v="0"/>
    <n v="45525.16"/>
  </r>
  <r>
    <x v="12"/>
    <s v="12/2021"/>
    <s v="SEC"/>
    <s v="BH Colorado Electric Oper Co"/>
    <s v="Regulated Electric (122)"/>
    <x v="0"/>
    <s v="General Plant - Electric"/>
    <x v="1"/>
    <n v="8"/>
    <s v="139203 - Gen Plt-Trans Eqp-Lght Trk"/>
    <x v="34"/>
    <n v="2291867.58"/>
    <n v="0"/>
    <n v="0"/>
    <n v="0"/>
    <n v="2291867.58"/>
  </r>
  <r>
    <x v="12"/>
    <s v="12/2021"/>
    <s v="SEC"/>
    <s v="BH Colorado Electric Oper Co"/>
    <s v="Regulated Electric (122)"/>
    <x v="0"/>
    <s v="General Plant - Electric"/>
    <x v="1"/>
    <n v="8"/>
    <s v="139204 - Gen Plt-Trans Eqp-Med Trck"/>
    <x v="35"/>
    <n v="1604925.9500000002"/>
    <n v="0"/>
    <n v="0"/>
    <n v="0"/>
    <n v="1604925.9500000002"/>
  </r>
  <r>
    <x v="12"/>
    <s v="12/2021"/>
    <s v="SEC"/>
    <s v="BH Colorado Electric Oper Co"/>
    <s v="Regulated Electric (122)"/>
    <x v="0"/>
    <s v="General Plant - Electric"/>
    <x v="1"/>
    <n v="8"/>
    <s v="139205 - Gen Plt-Trans Eqp-Hvy Trck"/>
    <x v="36"/>
    <n v="8595881.1500000004"/>
    <n v="0"/>
    <n v="0"/>
    <n v="0"/>
    <n v="8595881.1500000004"/>
  </r>
  <r>
    <x v="12"/>
    <s v="12/2021"/>
    <s v="SEC"/>
    <s v="BH Colorado Electric Oper Co"/>
    <s v="Regulated Electric (122)"/>
    <x v="0"/>
    <s v="General Plant - Electric"/>
    <x v="1"/>
    <n v="8"/>
    <s v="139206 - Gen Plt-Trans Eqp-Trailers"/>
    <x v="37"/>
    <n v="2276686.4700000002"/>
    <n v="0"/>
    <n v="-34724.870000000003"/>
    <n v="0"/>
    <n v="2241961.6"/>
  </r>
  <r>
    <x v="12"/>
    <s v="12/2021"/>
    <s v="SEC"/>
    <s v="BH Colorado Electric Oper Co"/>
    <s v="Regulated Electric (122)"/>
    <x v="0"/>
    <s v="General Plant - Electric"/>
    <x v="1"/>
    <n v="8"/>
    <s v="139300 - Gen Plt-Stores Equipment"/>
    <x v="38"/>
    <n v="24905.31"/>
    <n v="0"/>
    <n v="0"/>
    <n v="0"/>
    <n v="24905.31"/>
  </r>
  <r>
    <x v="12"/>
    <s v="12/2021"/>
    <s v="SEC"/>
    <s v="BH Colorado Electric Oper Co"/>
    <s v="Regulated Electric (122)"/>
    <x v="0"/>
    <s v="General Plant - Electric"/>
    <x v="1"/>
    <n v="8"/>
    <s v="139400 - Gen Plt-Tool/Shop/Garage"/>
    <x v="39"/>
    <n v="2991398.55"/>
    <n v="4413.62"/>
    <n v="0"/>
    <n v="0"/>
    <n v="2995812.17"/>
  </r>
  <r>
    <x v="12"/>
    <s v="12/2021"/>
    <s v="SEC"/>
    <s v="BH Colorado Electric Oper Co"/>
    <s v="Regulated Electric (122)"/>
    <x v="0"/>
    <s v="General Plant - Electric"/>
    <x v="1"/>
    <n v="8"/>
    <s v="139410 - Gen Plt-Veh-Tool/Shop"/>
    <x v="40"/>
    <n v="14177.720000000001"/>
    <n v="0"/>
    <n v="0"/>
    <n v="0"/>
    <n v="14177.720000000001"/>
  </r>
  <r>
    <x v="12"/>
    <s v="12/2021"/>
    <s v="SEC"/>
    <s v="BH Colorado Electric Oper Co"/>
    <s v="Regulated Electric (122)"/>
    <x v="0"/>
    <s v="General Plant - Electric"/>
    <x v="1"/>
    <n v="8"/>
    <s v="139500 - Gen Plt-Lab Equipment"/>
    <x v="41"/>
    <n v="481852.68"/>
    <n v="2775.83"/>
    <n v="-84391.92"/>
    <n v="0"/>
    <n v="400236.59"/>
  </r>
  <r>
    <x v="12"/>
    <s v="12/2021"/>
    <s v="SEC"/>
    <s v="BH Colorado Electric Oper Co"/>
    <s v="Regulated Electric (122)"/>
    <x v="0"/>
    <s v="General Plant - Electric"/>
    <x v="1"/>
    <n v="8"/>
    <s v="139601 - Off Rd Pwr Eqp Short Life"/>
    <x v="42"/>
    <n v="219977.59"/>
    <n v="0"/>
    <n v="0"/>
    <n v="0"/>
    <n v="219977.59"/>
  </r>
  <r>
    <x v="12"/>
    <s v="12/2021"/>
    <s v="SEC"/>
    <s v="BH Colorado Electric Oper Co"/>
    <s v="Regulated Electric (122)"/>
    <x v="0"/>
    <s v="General Plant - Electric"/>
    <x v="1"/>
    <n v="8"/>
    <s v="139602 - Off Rd Pwr Eqp Long Life"/>
    <x v="43"/>
    <n v="2912814.7199999997"/>
    <n v="0"/>
    <n v="0"/>
    <n v="0"/>
    <n v="2912814.7199999997"/>
  </r>
  <r>
    <x v="12"/>
    <s v="12/2021"/>
    <s v="SEC"/>
    <s v="BH Colorado Electric Oper Co"/>
    <s v="Regulated Electric (122)"/>
    <x v="0"/>
    <s v="General Plant - Electric"/>
    <x v="1"/>
    <n v="8"/>
    <s v="139700 - Gen Plt-Communication Eqp"/>
    <x v="23"/>
    <n v="1276206.3700000001"/>
    <n v="0"/>
    <n v="0"/>
    <n v="0"/>
    <n v="1276206.3700000001"/>
  </r>
  <r>
    <x v="12"/>
    <s v="12/2021"/>
    <s v="SEC"/>
    <s v="BH Colorado Electric Oper Co"/>
    <s v="Regulated Electric (122)"/>
    <x v="0"/>
    <s v="General Plant - Electric"/>
    <x v="1"/>
    <n v="8"/>
    <s v="139710-Communication Equip-Specif"/>
    <x v="44"/>
    <n v="1204952.6599999999"/>
    <n v="0"/>
    <n v="0"/>
    <n v="0"/>
    <n v="1204952.6599999999"/>
  </r>
  <r>
    <x v="12"/>
    <s v="12/2021"/>
    <s v="SEC"/>
    <s v="BH Colorado Electric Oper Co"/>
    <s v="Regulated Electric (122)"/>
    <x v="0"/>
    <s v="General Plant - Electric"/>
    <x v="1"/>
    <n v="8"/>
    <s v="139800 - Gen Plt-Miscellaneous Eqp"/>
    <x v="25"/>
    <n v="129693.81"/>
    <n v="0"/>
    <n v="0"/>
    <n v="0"/>
    <n v="129693.81"/>
  </r>
  <r>
    <x v="12"/>
    <s v="12/2021"/>
    <s v="SEC"/>
    <s v="BH Colorado Electric Oper Co"/>
    <s v="Regulated Electric (122)"/>
    <x v="1"/>
    <s v="General Plant - Electric"/>
    <x v="1"/>
    <n v="8"/>
    <s v="138901 - Gen Plant-Land"/>
    <x v="26"/>
    <n v="1221463.3"/>
    <n v="0"/>
    <n v="0"/>
    <n v="0"/>
    <n v="1221463.3"/>
  </r>
  <r>
    <x v="12"/>
    <s v="12/2021"/>
    <s v="SEC"/>
    <s v="BH Colorado Electric Oper Co"/>
    <s v="Non Regulated Common (850)"/>
    <x v="2"/>
    <s v="General Plant - Electric"/>
    <x v="1"/>
    <n v="8"/>
    <s v="139001 - Gen Plt-Str &amp; Improve-Own"/>
    <x v="24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8901 - Gen Plant-Land"/>
    <x v="26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9001 - Gen Plt-Str &amp; Improve-Own"/>
    <x v="24"/>
    <n v="201280.76"/>
    <n v="25989.3"/>
    <n v="0"/>
    <n v="0"/>
    <n v="227270.06"/>
  </r>
  <r>
    <x v="12"/>
    <s v="12/2021"/>
    <s v="SEC"/>
    <s v="BH Colorado Electric Oper Co"/>
    <s v="Regulated Electric (122)"/>
    <x v="2"/>
    <s v="General Plant - Electric"/>
    <x v="1"/>
    <n v="8"/>
    <s v="139051 - Gen Plt-Str &amp; Imprve-Lease"/>
    <x v="28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9101 - Gen Plt-Office Furn &amp; Eqp"/>
    <x v="29"/>
    <n v="447460.5"/>
    <n v="0"/>
    <n v="0"/>
    <n v="0"/>
    <n v="447460.5"/>
  </r>
  <r>
    <x v="12"/>
    <s v="12/2021"/>
    <s v="SEC"/>
    <s v="BH Colorado Electric Oper Co"/>
    <s v="Regulated Electric (122)"/>
    <x v="2"/>
    <s v="General Plant - Electric"/>
    <x v="1"/>
    <n v="8"/>
    <s v="139103 - Gen Plt-Computer Hardware"/>
    <x v="20"/>
    <n v="177814.09"/>
    <n v="56307.41"/>
    <n v="0"/>
    <n v="0"/>
    <n v="234121.5"/>
  </r>
  <r>
    <x v="12"/>
    <s v="12/2021"/>
    <s v="SEC"/>
    <s v="BH Colorado Electric Oper Co"/>
    <s v="Regulated Electric (122)"/>
    <x v="2"/>
    <s v="General Plant - Electric"/>
    <x v="1"/>
    <n v="8"/>
    <s v="139104 - Gen Plt-Software"/>
    <x v="21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9201 - Gen Plt-Trans Eqp-Subunit"/>
    <x v="32"/>
    <n v="81941.77"/>
    <n v="0"/>
    <n v="0"/>
    <n v="0"/>
    <n v="81941.77"/>
  </r>
  <r>
    <x v="12"/>
    <s v="12/2021"/>
    <s v="SEC"/>
    <s v="BH Colorado Electric Oper Co"/>
    <s v="Regulated Electric (122)"/>
    <x v="2"/>
    <s v="General Plant - Electric"/>
    <x v="1"/>
    <n v="8"/>
    <s v="139202 - Gen Plt-Trans Eqp-Cars"/>
    <x v="33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9203 - Gen Plt-Trans Eqp-Lght Trk"/>
    <x v="34"/>
    <n v="424111.44"/>
    <n v="104189.08"/>
    <n v="0"/>
    <n v="0"/>
    <n v="528300.52"/>
  </r>
  <r>
    <x v="12"/>
    <s v="12/2021"/>
    <s v="SEC"/>
    <s v="BH Colorado Electric Oper Co"/>
    <s v="Regulated Electric (122)"/>
    <x v="2"/>
    <s v="General Plant - Electric"/>
    <x v="1"/>
    <n v="8"/>
    <s v="139204 - Gen Plt-Trans Eqp-Med Trck"/>
    <x v="35"/>
    <n v="373491.47000000003"/>
    <n v="109614.86"/>
    <n v="0"/>
    <n v="0"/>
    <n v="483106.33"/>
  </r>
  <r>
    <x v="12"/>
    <s v="12/2021"/>
    <s v="SEC"/>
    <s v="BH Colorado Electric Oper Co"/>
    <s v="Regulated Electric (122)"/>
    <x v="2"/>
    <s v="General Plant - Electric"/>
    <x v="1"/>
    <n v="8"/>
    <s v="139205 - Gen Plt-Trans Eqp-Hvy Trck"/>
    <x v="36"/>
    <n v="802310.85"/>
    <n v="193994.62"/>
    <n v="0"/>
    <n v="0"/>
    <n v="996305.47"/>
  </r>
  <r>
    <x v="12"/>
    <s v="12/2021"/>
    <s v="SEC"/>
    <s v="BH Colorado Electric Oper Co"/>
    <s v="Regulated Electric (122)"/>
    <x v="2"/>
    <s v="General Plant - Electric"/>
    <x v="1"/>
    <n v="8"/>
    <s v="139206 - Gen Plt-Trans Eqp-Trailers"/>
    <x v="37"/>
    <n v="101884.82"/>
    <n v="0"/>
    <n v="0"/>
    <n v="0"/>
    <n v="101884.82"/>
  </r>
  <r>
    <x v="12"/>
    <s v="12/2021"/>
    <s v="SEC"/>
    <s v="BH Colorado Electric Oper Co"/>
    <s v="Regulated Electric (122)"/>
    <x v="2"/>
    <s v="General Plant - Electric"/>
    <x v="1"/>
    <n v="8"/>
    <s v="139300 - Gen Plt-Stores Equipment"/>
    <x v="38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9400 - Gen Plt-Tool/Shop/Garage"/>
    <x v="39"/>
    <n v="6076.9000000000005"/>
    <n v="-2948.86"/>
    <n v="0"/>
    <n v="0"/>
    <n v="3128.04"/>
  </r>
  <r>
    <x v="12"/>
    <s v="12/2021"/>
    <s v="SEC"/>
    <s v="BH Colorado Electric Oper Co"/>
    <s v="Regulated Electric (122)"/>
    <x v="2"/>
    <s v="General Plant - Electric"/>
    <x v="1"/>
    <n v="8"/>
    <s v="139410 - Gen Plt-Veh-Tool/Shop"/>
    <x v="40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9500 - Gen Plt-Lab Equipment"/>
    <x v="41"/>
    <n v="0"/>
    <n v="10732.800000000001"/>
    <n v="0"/>
    <n v="0"/>
    <n v="10732.800000000001"/>
  </r>
  <r>
    <x v="12"/>
    <s v="12/2021"/>
    <s v="SEC"/>
    <s v="BH Colorado Electric Oper Co"/>
    <s v="Regulated Electric (122)"/>
    <x v="2"/>
    <s v="General Plant - Electric"/>
    <x v="1"/>
    <n v="8"/>
    <s v="139601 - Off Rd Pwr Eqp Short Life"/>
    <x v="42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9602 - Off Rd Pwr Eqp Long Life"/>
    <x v="43"/>
    <n v="343055.38"/>
    <n v="0"/>
    <n v="0"/>
    <n v="0"/>
    <n v="343055.38"/>
  </r>
  <r>
    <x v="12"/>
    <s v="12/2021"/>
    <s v="SEC"/>
    <s v="BH Colorado Electric Oper Co"/>
    <s v="Regulated Electric (122)"/>
    <x v="2"/>
    <s v="General Plant - Electric"/>
    <x v="1"/>
    <n v="8"/>
    <s v="139700 - Gen Plt-Communication Eqp"/>
    <x v="23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9710-Communication Equip-Specif"/>
    <x v="44"/>
    <n v="0"/>
    <n v="0"/>
    <n v="0"/>
    <n v="0"/>
    <n v="0"/>
  </r>
  <r>
    <x v="12"/>
    <s v="12/2021"/>
    <s v="SEC"/>
    <s v="BH Colorado Electric Oper Co"/>
    <s v="Regulated Electric (122)"/>
    <x v="2"/>
    <s v="General Plant - Electric"/>
    <x v="1"/>
    <n v="8"/>
    <s v="139800 - Gen Plt-Miscellaneous Eqp"/>
    <x v="25"/>
    <n v="0"/>
    <n v="0"/>
    <n v="0"/>
    <n v="0"/>
    <n v="0"/>
  </r>
  <r>
    <x v="0"/>
    <s v="01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0"/>
    <s v="01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0"/>
    <s v="01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0"/>
    <s v="01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0"/>
    <s v="01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0"/>
    <s v="01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0"/>
    <s v="01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0"/>
    <s v="01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1"/>
    <s v="02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1"/>
    <s v="02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1"/>
    <s v="02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1"/>
    <s v="02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1"/>
    <s v="02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1"/>
    <s v="02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1"/>
    <s v="02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1"/>
    <s v="02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2"/>
    <s v="03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2"/>
    <s v="03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2"/>
    <s v="03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2"/>
    <s v="03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2"/>
    <s v="03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2"/>
    <s v="03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2"/>
    <s v="03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2"/>
    <s v="03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3"/>
    <s v="04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3"/>
    <s v="04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3"/>
    <s v="04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3"/>
    <s v="04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3"/>
    <s v="04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3"/>
    <s v="04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3"/>
    <s v="04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3"/>
    <s v="04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4"/>
    <s v="05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4"/>
    <s v="05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4"/>
    <s v="05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4"/>
    <s v="05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4"/>
    <s v="05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4"/>
    <s v="05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4"/>
    <s v="05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4"/>
    <s v="05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5"/>
    <s v="06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5"/>
    <s v="06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5"/>
    <s v="06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5"/>
    <s v="06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5"/>
    <s v="06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5"/>
    <s v="06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5"/>
    <s v="06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5"/>
    <s v="06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6"/>
    <s v="07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6"/>
    <s v="07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6"/>
    <s v="07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6"/>
    <s v="07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6"/>
    <s v="07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6"/>
    <s v="07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6"/>
    <s v="07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6"/>
    <s v="07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7"/>
    <s v="08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7"/>
    <s v="08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7"/>
    <s v="08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7"/>
    <s v="08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7"/>
    <s v="08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7"/>
    <s v="08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7"/>
    <s v="08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7"/>
    <s v="08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8"/>
    <s v="09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8"/>
    <s v="09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8"/>
    <s v="09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8"/>
    <s v="09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8"/>
    <s v="09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8"/>
    <s v="09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8"/>
    <s v="09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8"/>
    <s v="09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9"/>
    <s v="10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9"/>
    <s v="10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9"/>
    <s v="10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9"/>
    <s v="10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9"/>
    <s v="10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9"/>
    <s v="10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9"/>
    <s v="10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9"/>
    <s v="10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10"/>
    <s v="11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10"/>
    <s v="11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10"/>
    <s v="11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10"/>
    <s v="11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10"/>
    <s v="11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10"/>
    <s v="11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10"/>
    <s v="11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10"/>
    <s v="11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11"/>
    <s v="12/2022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11"/>
    <s v="12/2022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11"/>
    <s v="12/2022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11"/>
    <s v="12/2022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11"/>
    <s v="12/2022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11"/>
    <s v="12/2022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11"/>
    <s v="12/2022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11"/>
    <s v="12/2022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12"/>
    <s v="12/2021"/>
    <s v="SEC"/>
    <s v="BH Colorado Electric Oper Co"/>
    <s v="Regulated Electric (122)"/>
    <x v="0"/>
    <s v="Intangible Plant - Electric"/>
    <x v="1"/>
    <n v="1"/>
    <s v="130100 - Intang-Organization"/>
    <x v="45"/>
    <n v="0"/>
    <n v="0"/>
    <n v="0"/>
    <n v="0"/>
    <n v="0"/>
  </r>
  <r>
    <x v="12"/>
    <s v="12/2021"/>
    <s v="SEC"/>
    <s v="BH Colorado Electric Oper Co"/>
    <s v="Regulated Electric (122)"/>
    <x v="0"/>
    <s v="Intangible Plant - Electric"/>
    <x v="1"/>
    <n v="1"/>
    <s v="130201 - F&amp;C - Franchise"/>
    <x v="46"/>
    <n v="0"/>
    <n v="0"/>
    <n v="0"/>
    <n v="0"/>
    <n v="0"/>
  </r>
  <r>
    <x v="12"/>
    <s v="12/2021"/>
    <s v="SEC"/>
    <s v="BH Colorado Electric Oper Co"/>
    <s v="Regulated Electric (122)"/>
    <x v="0"/>
    <s v="Intangible Plant - Electric"/>
    <x v="1"/>
    <n v="1"/>
    <s v="130301 - IntangMisc - Easements"/>
    <x v="47"/>
    <n v="0"/>
    <n v="0"/>
    <n v="0"/>
    <n v="0"/>
    <n v="0"/>
  </r>
  <r>
    <x v="12"/>
    <s v="12/2021"/>
    <s v="SEC"/>
    <s v="BH Colorado Electric Oper Co"/>
    <s v="Regulated Electric (122)"/>
    <x v="0"/>
    <s v="Intangible Plant - Electric"/>
    <x v="1"/>
    <n v="1"/>
    <s v="130302 - IntangMisc - Trademarks"/>
    <x v="48"/>
    <n v="0"/>
    <n v="0"/>
    <n v="0"/>
    <n v="0"/>
    <n v="0"/>
  </r>
  <r>
    <x v="12"/>
    <s v="12/2021"/>
    <s v="SEC"/>
    <s v="BH Colorado Electric Oper Co"/>
    <s v="Regulated Electric (122)"/>
    <x v="0"/>
    <s v="Intangible Plant - Electric"/>
    <x v="1"/>
    <n v="1"/>
    <s v="130303 - IntangMisc - WorkForce"/>
    <x v="49"/>
    <n v="0"/>
    <n v="0"/>
    <n v="0"/>
    <n v="0"/>
    <n v="0"/>
  </r>
  <r>
    <x v="12"/>
    <s v="12/2021"/>
    <s v="SEC"/>
    <s v="BH Colorado Electric Oper Co"/>
    <s v="Regulated Electric (122)"/>
    <x v="4"/>
    <s v="Intangible Plant - Electric"/>
    <x v="1"/>
    <n v="1"/>
    <s v="130100 - Intang-Organization"/>
    <x v="45"/>
    <n v="200900.31"/>
    <n v="0"/>
    <n v="0"/>
    <n v="0"/>
    <n v="200900.31"/>
  </r>
  <r>
    <x v="12"/>
    <s v="12/2021"/>
    <s v="SEC"/>
    <s v="BH Colorado Electric Oper Co"/>
    <s v="Regulated Electric (122)"/>
    <x v="4"/>
    <s v="Intangible Plant - Electric"/>
    <x v="1"/>
    <n v="1"/>
    <s v="130301 - IntangMisc - Easements"/>
    <x v="47"/>
    <n v="310000"/>
    <n v="0"/>
    <n v="0"/>
    <n v="0"/>
    <n v="310000"/>
  </r>
  <r>
    <x v="12"/>
    <s v="12/2021"/>
    <s v="SEC"/>
    <s v="BH Colorado Electric Oper Co"/>
    <s v="Regulated Electric (122)"/>
    <x v="4"/>
    <s v="Intangible Plant - Electric"/>
    <x v="1"/>
    <n v="1"/>
    <s v="130302 - IntangMisc - Trademarks"/>
    <x v="48"/>
    <n v="19000"/>
    <n v="0"/>
    <n v="0"/>
    <n v="0"/>
    <n v="19000"/>
  </r>
  <r>
    <x v="0"/>
    <s v="01/2022"/>
    <s v="SEC"/>
    <s v="BH Colorado Electric Oper Co"/>
    <s v="Non Regulated Common (850)"/>
    <x v="3"/>
    <s v="Non-Utility Property"/>
    <x v="2"/>
    <n v="9"/>
    <s v="631001 - Elec Steam- Land"/>
    <x v="50"/>
    <n v="-6050.01"/>
    <n v="0"/>
    <n v="0"/>
    <n v="0"/>
    <n v="-6050.01"/>
  </r>
  <r>
    <x v="0"/>
    <s v="01/2022"/>
    <s v="SEC"/>
    <s v="BH Colorado Electric Oper Co"/>
    <s v="Power Services General (250)"/>
    <x v="3"/>
    <s v="Non-Utility Property"/>
    <x v="2"/>
    <n v="9"/>
    <s v="631001 - Elec Steam- Land"/>
    <x v="50"/>
    <n v="99212.77"/>
    <n v="0"/>
    <n v="0"/>
    <n v="0"/>
    <n v="99212.77"/>
  </r>
  <r>
    <x v="0"/>
    <s v="01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0"/>
    <s v="01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0"/>
    <s v="01/2022"/>
    <s v="SEC"/>
    <s v="BH Colorado Electric Oper Co"/>
    <s v="Regulated Electric (122)"/>
    <x v="0"/>
    <s v="Other Generation Plant"/>
    <x v="3"/>
    <n v="5"/>
    <s v="134100 - Ele Oth-Structure&amp;Improve"/>
    <x v="53"/>
    <n v="14662488.66"/>
    <n v="0"/>
    <n v="0"/>
    <n v="0"/>
    <n v="14662488.66"/>
  </r>
  <r>
    <x v="0"/>
    <s v="01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0"/>
    <s v="01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0"/>
    <s v="01/2022"/>
    <s v="SEC"/>
    <s v="BH Colorado Electric Oper Co"/>
    <s v="Regulated Electric (122)"/>
    <x v="0"/>
    <s v="Other Generation Plant"/>
    <x v="3"/>
    <n v="5"/>
    <s v="134410 - Ele Oth - Generators"/>
    <x v="56"/>
    <n v="366371826.24000001"/>
    <n v="338921.83"/>
    <n v="-326523.96000000002"/>
    <n v="0"/>
    <n v="366384224.11000001"/>
  </r>
  <r>
    <x v="0"/>
    <s v="01/2022"/>
    <s v="SEC"/>
    <s v="BH Colorado Electric Oper Co"/>
    <s v="Regulated Electric (122)"/>
    <x v="0"/>
    <s v="Other Generation Plant"/>
    <x v="3"/>
    <n v="5"/>
    <s v="134500 - Ele Oth-Accessory Ele Eqp"/>
    <x v="57"/>
    <n v="18688151.120000001"/>
    <n v="0"/>
    <n v="0"/>
    <n v="0"/>
    <n v="18688151.120000001"/>
  </r>
  <r>
    <x v="0"/>
    <s v="01/2022"/>
    <s v="SEC"/>
    <s v="BH Colorado Electric Oper Co"/>
    <s v="Regulated Electric (122)"/>
    <x v="0"/>
    <s v="Other Generation Plant"/>
    <x v="3"/>
    <n v="5"/>
    <s v="134600 - Ele Oth-Misc Plant Equip"/>
    <x v="58"/>
    <n v="1028002.76"/>
    <n v="0"/>
    <n v="0"/>
    <n v="0"/>
    <n v="1028002.76"/>
  </r>
  <r>
    <x v="0"/>
    <s v="01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0"/>
    <s v="01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0"/>
    <s v="01/2022"/>
    <s v="SEC"/>
    <s v="BH Colorado Electric Oper Co"/>
    <s v="Regulated Electric (122)"/>
    <x v="2"/>
    <s v="Other Generation Plant"/>
    <x v="3"/>
    <n v="5"/>
    <s v="134100 - Ele Oth-Structure&amp;Improve"/>
    <x v="53"/>
    <n v="321320.18"/>
    <n v="0"/>
    <n v="0"/>
    <n v="0"/>
    <n v="321320.18"/>
  </r>
  <r>
    <x v="0"/>
    <s v="01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0"/>
    <s v="01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0"/>
    <s v="01/2022"/>
    <s v="SEC"/>
    <s v="BH Colorado Electric Oper Co"/>
    <s v="Regulated Electric (122)"/>
    <x v="2"/>
    <s v="Other Generation Plant"/>
    <x v="3"/>
    <n v="5"/>
    <s v="134410 - Ele Oth - Generators"/>
    <x v="56"/>
    <n v="9189725.1699999999"/>
    <n v="-206838.01"/>
    <n v="0"/>
    <n v="0"/>
    <n v="8982887.1600000001"/>
  </r>
  <r>
    <x v="0"/>
    <s v="01/2022"/>
    <s v="SEC"/>
    <s v="BH Colorado Electric Oper Co"/>
    <s v="Regulated Electric (122)"/>
    <x v="2"/>
    <s v="Other Generation Plant"/>
    <x v="3"/>
    <n v="5"/>
    <s v="134500 - Ele Oth-Accessory Ele Eqp"/>
    <x v="57"/>
    <n v="173542.78"/>
    <n v="-173542.78"/>
    <n v="0"/>
    <n v="0"/>
    <n v="0"/>
  </r>
  <r>
    <x v="0"/>
    <s v="01/2022"/>
    <s v="SEC"/>
    <s v="BH Colorado Electric Oper Co"/>
    <s v="Regulated Electric (122)"/>
    <x v="2"/>
    <s v="Other Generation Plant"/>
    <x v="3"/>
    <n v="5"/>
    <s v="134600 - Ele Oth-Misc Plant Equip"/>
    <x v="58"/>
    <n v="1676467.96"/>
    <n v="0"/>
    <n v="0"/>
    <n v="0"/>
    <n v="1676467.96"/>
  </r>
  <r>
    <x v="1"/>
    <s v="02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1"/>
    <s v="02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1"/>
    <s v="02/2022"/>
    <s v="SEC"/>
    <s v="BH Colorado Electric Oper Co"/>
    <s v="Regulated Electric (122)"/>
    <x v="0"/>
    <s v="Other Generation Plant"/>
    <x v="3"/>
    <n v="5"/>
    <s v="134100 - Ele Oth-Structure&amp;Improve"/>
    <x v="53"/>
    <n v="14662488.66"/>
    <n v="0"/>
    <n v="0"/>
    <n v="0"/>
    <n v="14662488.66"/>
  </r>
  <r>
    <x v="1"/>
    <s v="02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1"/>
    <s v="02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1"/>
    <s v="02/2022"/>
    <s v="SEC"/>
    <s v="BH Colorado Electric Oper Co"/>
    <s v="Regulated Electric (122)"/>
    <x v="0"/>
    <s v="Other Generation Plant"/>
    <x v="3"/>
    <n v="5"/>
    <s v="134410 - Ele Oth - Generators"/>
    <x v="56"/>
    <n v="366384224.11000001"/>
    <n v="0"/>
    <n v="0"/>
    <n v="0"/>
    <n v="366384224.11000001"/>
  </r>
  <r>
    <x v="1"/>
    <s v="02/2022"/>
    <s v="SEC"/>
    <s v="BH Colorado Electric Oper Co"/>
    <s v="Regulated Electric (122)"/>
    <x v="0"/>
    <s v="Other Generation Plant"/>
    <x v="3"/>
    <n v="5"/>
    <s v="134500 - Ele Oth-Accessory Ele Eqp"/>
    <x v="57"/>
    <n v="18688151.120000001"/>
    <n v="0"/>
    <n v="0"/>
    <n v="0"/>
    <n v="18688151.120000001"/>
  </r>
  <r>
    <x v="1"/>
    <s v="02/2022"/>
    <s v="SEC"/>
    <s v="BH Colorado Electric Oper Co"/>
    <s v="Regulated Electric (122)"/>
    <x v="0"/>
    <s v="Other Generation Plant"/>
    <x v="3"/>
    <n v="5"/>
    <s v="134600 - Ele Oth-Misc Plant Equip"/>
    <x v="58"/>
    <n v="1028002.76"/>
    <n v="1676467.96"/>
    <n v="0"/>
    <n v="0"/>
    <n v="2704470.7199999997"/>
  </r>
  <r>
    <x v="1"/>
    <s v="02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1"/>
    <s v="02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1"/>
    <s v="02/2022"/>
    <s v="SEC"/>
    <s v="BH Colorado Electric Oper Co"/>
    <s v="Regulated Electric (122)"/>
    <x v="2"/>
    <s v="Other Generation Plant"/>
    <x v="3"/>
    <n v="5"/>
    <s v="134100 - Ele Oth-Structure&amp;Improve"/>
    <x v="53"/>
    <n v="321320.18"/>
    <n v="0"/>
    <n v="0"/>
    <n v="0"/>
    <n v="321320.18"/>
  </r>
  <r>
    <x v="1"/>
    <s v="02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1"/>
    <s v="02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1"/>
    <s v="02/2022"/>
    <s v="SEC"/>
    <s v="BH Colorado Electric Oper Co"/>
    <s v="Regulated Electric (122)"/>
    <x v="2"/>
    <s v="Other Generation Plant"/>
    <x v="3"/>
    <n v="5"/>
    <s v="134410 - Ele Oth - Generators"/>
    <x v="56"/>
    <n v="8982887.1600000001"/>
    <n v="0"/>
    <n v="0"/>
    <n v="0"/>
    <n v="8982887.1600000001"/>
  </r>
  <r>
    <x v="1"/>
    <s v="02/2022"/>
    <s v="SEC"/>
    <s v="BH Colorado Electric Oper Co"/>
    <s v="Regulated Electric (122)"/>
    <x v="2"/>
    <s v="Other Generation Plant"/>
    <x v="3"/>
    <n v="5"/>
    <s v="134500 - Ele Oth-Accessory Ele Eqp"/>
    <x v="57"/>
    <n v="0"/>
    <n v="0"/>
    <n v="0"/>
    <n v="0"/>
    <n v="0"/>
  </r>
  <r>
    <x v="1"/>
    <s v="02/2022"/>
    <s v="SEC"/>
    <s v="BH Colorado Electric Oper Co"/>
    <s v="Regulated Electric (122)"/>
    <x v="2"/>
    <s v="Other Generation Plant"/>
    <x v="3"/>
    <n v="5"/>
    <s v="134600 - Ele Oth-Misc Plant Equip"/>
    <x v="58"/>
    <n v="1676467.96"/>
    <n v="-1676467.96"/>
    <n v="0"/>
    <n v="0"/>
    <n v="0"/>
  </r>
  <r>
    <x v="2"/>
    <s v="03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2"/>
    <s v="03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2"/>
    <s v="03/2022"/>
    <s v="SEC"/>
    <s v="BH Colorado Electric Oper Co"/>
    <s v="Regulated Electric (122)"/>
    <x v="0"/>
    <s v="Other Generation Plant"/>
    <x v="3"/>
    <n v="5"/>
    <s v="134100 - Ele Oth-Structure&amp;Improve"/>
    <x v="53"/>
    <n v="14662488.66"/>
    <n v="96552.91"/>
    <n v="0"/>
    <n v="0"/>
    <n v="14759041.57"/>
  </r>
  <r>
    <x v="2"/>
    <s v="03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2"/>
    <s v="03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2"/>
    <s v="03/2022"/>
    <s v="SEC"/>
    <s v="BH Colorado Electric Oper Co"/>
    <s v="Regulated Electric (122)"/>
    <x v="0"/>
    <s v="Other Generation Plant"/>
    <x v="3"/>
    <n v="5"/>
    <s v="134410 - Ele Oth - Generators"/>
    <x v="56"/>
    <n v="366384224.11000001"/>
    <n v="44203.66"/>
    <n v="-20000"/>
    <n v="0"/>
    <n v="366408427.76999998"/>
  </r>
  <r>
    <x v="2"/>
    <s v="03/2022"/>
    <s v="SEC"/>
    <s v="BH Colorado Electric Oper Co"/>
    <s v="Regulated Electric (122)"/>
    <x v="0"/>
    <s v="Other Generation Plant"/>
    <x v="3"/>
    <n v="5"/>
    <s v="134500 - Ele Oth-Accessory Ele Eqp"/>
    <x v="57"/>
    <n v="18688151.120000001"/>
    <n v="0"/>
    <n v="0"/>
    <n v="0"/>
    <n v="18688151.120000001"/>
  </r>
  <r>
    <x v="2"/>
    <s v="03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2"/>
    <s v="03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2"/>
    <s v="03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2"/>
    <s v="03/2022"/>
    <s v="SEC"/>
    <s v="BH Colorado Electric Oper Co"/>
    <s v="Regulated Electric (122)"/>
    <x v="2"/>
    <s v="Other Generation Plant"/>
    <x v="3"/>
    <n v="5"/>
    <s v="134100 - Ele Oth-Structure&amp;Improve"/>
    <x v="53"/>
    <n v="321320.18"/>
    <n v="-113323.81"/>
    <n v="0"/>
    <n v="0"/>
    <n v="207996.37"/>
  </r>
  <r>
    <x v="2"/>
    <s v="03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2"/>
    <s v="03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2"/>
    <s v="03/2022"/>
    <s v="SEC"/>
    <s v="BH Colorado Electric Oper Co"/>
    <s v="Regulated Electric (122)"/>
    <x v="2"/>
    <s v="Other Generation Plant"/>
    <x v="3"/>
    <n v="5"/>
    <s v="134410 - Ele Oth - Generators"/>
    <x v="56"/>
    <n v="8982887.1600000001"/>
    <n v="-44203.66"/>
    <n v="0"/>
    <n v="0"/>
    <n v="8938683.5"/>
  </r>
  <r>
    <x v="2"/>
    <s v="03/2022"/>
    <s v="SEC"/>
    <s v="BH Colorado Electric Oper Co"/>
    <s v="Regulated Electric (122)"/>
    <x v="2"/>
    <s v="Other Generation Plant"/>
    <x v="3"/>
    <n v="5"/>
    <s v="134500 - Ele Oth-Accessory Ele Eqp"/>
    <x v="57"/>
    <n v="0"/>
    <n v="0"/>
    <n v="0"/>
    <n v="0"/>
    <n v="0"/>
  </r>
  <r>
    <x v="2"/>
    <s v="03/2022"/>
    <s v="SEC"/>
    <s v="BH Colorado Electric Oper Co"/>
    <s v="Regulated Electric (122)"/>
    <x v="2"/>
    <s v="Other Generation Plant"/>
    <x v="3"/>
    <n v="5"/>
    <s v="134600 - Ele Oth-Misc Plant Equip"/>
    <x v="58"/>
    <n v="0"/>
    <n v="0"/>
    <n v="0"/>
    <n v="0"/>
    <n v="0"/>
  </r>
  <r>
    <x v="3"/>
    <s v="04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3"/>
    <s v="04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3"/>
    <s v="04/2022"/>
    <s v="SEC"/>
    <s v="BH Colorado Electric Oper Co"/>
    <s v="Regulated Electric (122)"/>
    <x v="0"/>
    <s v="Other Generation Plant"/>
    <x v="3"/>
    <n v="5"/>
    <s v="134100 - Ele Oth-Structure&amp;Improve"/>
    <x v="53"/>
    <n v="14759041.57"/>
    <n v="0"/>
    <n v="0"/>
    <n v="0"/>
    <n v="14759041.57"/>
  </r>
  <r>
    <x v="3"/>
    <s v="04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3"/>
    <s v="04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3"/>
    <s v="04/2022"/>
    <s v="SEC"/>
    <s v="BH Colorado Electric Oper Co"/>
    <s v="Regulated Electric (122)"/>
    <x v="0"/>
    <s v="Other Generation Plant"/>
    <x v="3"/>
    <n v="5"/>
    <s v="134410 - Ele Oth - Generators"/>
    <x v="56"/>
    <n v="366408427.76999998"/>
    <n v="8414080.6500000004"/>
    <n v="-5375162.8799999999"/>
    <n v="0"/>
    <n v="369447345.54000002"/>
  </r>
  <r>
    <x v="3"/>
    <s v="04/2022"/>
    <s v="SEC"/>
    <s v="BH Colorado Electric Oper Co"/>
    <s v="Regulated Electric (122)"/>
    <x v="0"/>
    <s v="Other Generation Plant"/>
    <x v="3"/>
    <n v="5"/>
    <s v="134500 - Ele Oth-Accessory Ele Eqp"/>
    <x v="57"/>
    <n v="18688151.120000001"/>
    <n v="0"/>
    <n v="0"/>
    <n v="0"/>
    <n v="18688151.120000001"/>
  </r>
  <r>
    <x v="3"/>
    <s v="04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3"/>
    <s v="04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3"/>
    <s v="04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3"/>
    <s v="04/2022"/>
    <s v="SEC"/>
    <s v="BH Colorado Electric Oper Co"/>
    <s v="Regulated Electric (122)"/>
    <x v="2"/>
    <s v="Other Generation Plant"/>
    <x v="3"/>
    <n v="5"/>
    <s v="134100 - Ele Oth-Structure&amp;Improve"/>
    <x v="53"/>
    <n v="207996.37"/>
    <n v="0"/>
    <n v="0"/>
    <n v="0"/>
    <n v="207996.37"/>
  </r>
  <r>
    <x v="3"/>
    <s v="04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3"/>
    <s v="04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3"/>
    <s v="04/2022"/>
    <s v="SEC"/>
    <s v="BH Colorado Electric Oper Co"/>
    <s v="Regulated Electric (122)"/>
    <x v="2"/>
    <s v="Other Generation Plant"/>
    <x v="3"/>
    <n v="5"/>
    <s v="134410 - Ele Oth - Generators"/>
    <x v="56"/>
    <n v="8938683.5"/>
    <n v="-8686580.6500000004"/>
    <n v="0"/>
    <n v="0"/>
    <n v="252102.85"/>
  </r>
  <r>
    <x v="3"/>
    <s v="04/2022"/>
    <s v="SEC"/>
    <s v="BH Colorado Electric Oper Co"/>
    <s v="Regulated Electric (122)"/>
    <x v="2"/>
    <s v="Other Generation Plant"/>
    <x v="3"/>
    <n v="5"/>
    <s v="134500 - Ele Oth-Accessory Ele Eqp"/>
    <x v="57"/>
    <n v="0"/>
    <n v="0"/>
    <n v="0"/>
    <n v="0"/>
    <n v="0"/>
  </r>
  <r>
    <x v="3"/>
    <s v="04/2022"/>
    <s v="SEC"/>
    <s v="BH Colorado Electric Oper Co"/>
    <s v="Regulated Electric (122)"/>
    <x v="2"/>
    <s v="Other Generation Plant"/>
    <x v="3"/>
    <n v="5"/>
    <s v="134600 - Ele Oth-Misc Plant Equip"/>
    <x v="58"/>
    <n v="0"/>
    <n v="0"/>
    <n v="0"/>
    <n v="0"/>
    <n v="0"/>
  </r>
  <r>
    <x v="4"/>
    <s v="05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4"/>
    <s v="05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4"/>
    <s v="05/2022"/>
    <s v="SEC"/>
    <s v="BH Colorado Electric Oper Co"/>
    <s v="Regulated Electric (122)"/>
    <x v="0"/>
    <s v="Other Generation Plant"/>
    <x v="3"/>
    <n v="5"/>
    <s v="134100 - Ele Oth-Structure&amp;Improve"/>
    <x v="53"/>
    <n v="14759041.57"/>
    <n v="0"/>
    <n v="0"/>
    <n v="0"/>
    <n v="14759041.57"/>
  </r>
  <r>
    <x v="4"/>
    <s v="05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4"/>
    <s v="05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4"/>
    <s v="05/2022"/>
    <s v="SEC"/>
    <s v="BH Colorado Electric Oper Co"/>
    <s v="Regulated Electric (122)"/>
    <x v="0"/>
    <s v="Other Generation Plant"/>
    <x v="3"/>
    <n v="5"/>
    <s v="134410 - Ele Oth - Generators"/>
    <x v="56"/>
    <n v="369447345.54000002"/>
    <n v="0"/>
    <n v="0"/>
    <n v="0"/>
    <n v="369447345.54000002"/>
  </r>
  <r>
    <x v="4"/>
    <s v="05/2022"/>
    <s v="SEC"/>
    <s v="BH Colorado Electric Oper Co"/>
    <s v="Regulated Electric (122)"/>
    <x v="0"/>
    <s v="Other Generation Plant"/>
    <x v="3"/>
    <n v="5"/>
    <s v="134500 - Ele Oth-Accessory Ele Eqp"/>
    <x v="57"/>
    <n v="18688151.120000001"/>
    <n v="0"/>
    <n v="0"/>
    <n v="0"/>
    <n v="18688151.120000001"/>
  </r>
  <r>
    <x v="4"/>
    <s v="05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4"/>
    <s v="05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4"/>
    <s v="05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4"/>
    <s v="05/2022"/>
    <s v="SEC"/>
    <s v="BH Colorado Electric Oper Co"/>
    <s v="Regulated Electric (122)"/>
    <x v="2"/>
    <s v="Other Generation Plant"/>
    <x v="3"/>
    <n v="5"/>
    <s v="134100 - Ele Oth-Structure&amp;Improve"/>
    <x v="53"/>
    <n v="207996.37"/>
    <n v="0"/>
    <n v="0"/>
    <n v="0"/>
    <n v="207996.37"/>
  </r>
  <r>
    <x v="4"/>
    <s v="05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4"/>
    <s v="05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4"/>
    <s v="05/2022"/>
    <s v="SEC"/>
    <s v="BH Colorado Electric Oper Co"/>
    <s v="Regulated Electric (122)"/>
    <x v="2"/>
    <s v="Other Generation Plant"/>
    <x v="3"/>
    <n v="5"/>
    <s v="134410 - Ele Oth - Generators"/>
    <x v="56"/>
    <n v="252102.85"/>
    <n v="2139"/>
    <n v="0"/>
    <n v="0"/>
    <n v="254241.85"/>
  </r>
  <r>
    <x v="4"/>
    <s v="05/2022"/>
    <s v="SEC"/>
    <s v="BH Colorado Electric Oper Co"/>
    <s v="Regulated Electric (122)"/>
    <x v="2"/>
    <s v="Other Generation Plant"/>
    <x v="3"/>
    <n v="5"/>
    <s v="134500 - Ele Oth-Accessory Ele Eqp"/>
    <x v="57"/>
    <n v="0"/>
    <n v="0"/>
    <n v="0"/>
    <n v="0"/>
    <n v="0"/>
  </r>
  <r>
    <x v="4"/>
    <s v="05/2022"/>
    <s v="SEC"/>
    <s v="BH Colorado Electric Oper Co"/>
    <s v="Regulated Electric (122)"/>
    <x v="2"/>
    <s v="Other Generation Plant"/>
    <x v="3"/>
    <n v="5"/>
    <s v="134600 - Ele Oth-Misc Plant Equip"/>
    <x v="58"/>
    <n v="0"/>
    <n v="0"/>
    <n v="0"/>
    <n v="0"/>
    <n v="0"/>
  </r>
  <r>
    <x v="5"/>
    <s v="06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5"/>
    <s v="06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5"/>
    <s v="06/2022"/>
    <s v="SEC"/>
    <s v="BH Colorado Electric Oper Co"/>
    <s v="Regulated Electric (122)"/>
    <x v="0"/>
    <s v="Other Generation Plant"/>
    <x v="3"/>
    <n v="5"/>
    <s v="134100 - Ele Oth-Structure&amp;Improve"/>
    <x v="53"/>
    <n v="14759041.57"/>
    <n v="0"/>
    <n v="0"/>
    <n v="0"/>
    <n v="14759041.57"/>
  </r>
  <r>
    <x v="5"/>
    <s v="06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5"/>
    <s v="06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5"/>
    <s v="06/2022"/>
    <s v="SEC"/>
    <s v="BH Colorado Electric Oper Co"/>
    <s v="Regulated Electric (122)"/>
    <x v="0"/>
    <s v="Other Generation Plant"/>
    <x v="3"/>
    <n v="5"/>
    <s v="134410 - Ele Oth - Generators"/>
    <x v="56"/>
    <n v="369447345.54000002"/>
    <n v="456788.22000000003"/>
    <n v="-225899.61000000002"/>
    <n v="0"/>
    <n v="369678234.14999998"/>
  </r>
  <r>
    <x v="5"/>
    <s v="06/2022"/>
    <s v="SEC"/>
    <s v="BH Colorado Electric Oper Co"/>
    <s v="Regulated Electric (122)"/>
    <x v="0"/>
    <s v="Other Generation Plant"/>
    <x v="3"/>
    <n v="5"/>
    <s v="134500 - Ele Oth-Accessory Ele Eqp"/>
    <x v="57"/>
    <n v="18688151.120000001"/>
    <n v="0"/>
    <n v="0"/>
    <n v="0"/>
    <n v="18688151.120000001"/>
  </r>
  <r>
    <x v="5"/>
    <s v="06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5"/>
    <s v="06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5"/>
    <s v="06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5"/>
    <s v="06/2022"/>
    <s v="SEC"/>
    <s v="BH Colorado Electric Oper Co"/>
    <s v="Regulated Electric (122)"/>
    <x v="2"/>
    <s v="Other Generation Plant"/>
    <x v="3"/>
    <n v="5"/>
    <s v="134100 - Ele Oth-Structure&amp;Improve"/>
    <x v="53"/>
    <n v="207996.37"/>
    <n v="-207996.37"/>
    <n v="0"/>
    <n v="0"/>
    <n v="0"/>
  </r>
  <r>
    <x v="5"/>
    <s v="06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5"/>
    <s v="06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5"/>
    <s v="06/2022"/>
    <s v="SEC"/>
    <s v="BH Colorado Electric Oper Co"/>
    <s v="Regulated Electric (122)"/>
    <x v="2"/>
    <s v="Other Generation Plant"/>
    <x v="3"/>
    <n v="5"/>
    <s v="134410 - Ele Oth - Generators"/>
    <x v="56"/>
    <n v="254241.85"/>
    <n v="357870.66000000003"/>
    <n v="0"/>
    <n v="0"/>
    <n v="612112.51"/>
  </r>
  <r>
    <x v="5"/>
    <s v="06/2022"/>
    <s v="SEC"/>
    <s v="BH Colorado Electric Oper Co"/>
    <s v="Regulated Electric (122)"/>
    <x v="2"/>
    <s v="Other Generation Plant"/>
    <x v="3"/>
    <n v="5"/>
    <s v="134500 - Ele Oth-Accessory Ele Eqp"/>
    <x v="57"/>
    <n v="0"/>
    <n v="0"/>
    <n v="0"/>
    <n v="0"/>
    <n v="0"/>
  </r>
  <r>
    <x v="5"/>
    <s v="06/2022"/>
    <s v="SEC"/>
    <s v="BH Colorado Electric Oper Co"/>
    <s v="Regulated Electric (122)"/>
    <x v="2"/>
    <s v="Other Generation Plant"/>
    <x v="3"/>
    <n v="5"/>
    <s v="134600 - Ele Oth-Misc Plant Equip"/>
    <x v="58"/>
    <n v="0"/>
    <n v="0"/>
    <n v="0"/>
    <n v="0"/>
    <n v="0"/>
  </r>
  <r>
    <x v="6"/>
    <s v="07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6"/>
    <s v="07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6"/>
    <s v="07/2022"/>
    <s v="SEC"/>
    <s v="BH Colorado Electric Oper Co"/>
    <s v="Regulated Electric (122)"/>
    <x v="0"/>
    <s v="Other Generation Plant"/>
    <x v="3"/>
    <n v="5"/>
    <s v="134100 - Ele Oth-Structure&amp;Improve"/>
    <x v="53"/>
    <n v="14759041.57"/>
    <n v="0"/>
    <n v="0"/>
    <n v="0"/>
    <n v="14759041.57"/>
  </r>
  <r>
    <x v="6"/>
    <s v="07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6"/>
    <s v="07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6"/>
    <s v="07/2022"/>
    <s v="SEC"/>
    <s v="BH Colorado Electric Oper Co"/>
    <s v="Regulated Electric (122)"/>
    <x v="0"/>
    <s v="Other Generation Plant"/>
    <x v="3"/>
    <n v="5"/>
    <s v="134410 - Ele Oth - Generators"/>
    <x v="56"/>
    <n v="369678234.14999998"/>
    <n v="0"/>
    <n v="0"/>
    <n v="0"/>
    <n v="369678234.14999998"/>
  </r>
  <r>
    <x v="6"/>
    <s v="07/2022"/>
    <s v="SEC"/>
    <s v="BH Colorado Electric Oper Co"/>
    <s v="Regulated Electric (122)"/>
    <x v="0"/>
    <s v="Other Generation Plant"/>
    <x v="3"/>
    <n v="5"/>
    <s v="134500 - Ele Oth-Accessory Ele Eqp"/>
    <x v="57"/>
    <n v="18688151.120000001"/>
    <n v="0"/>
    <n v="0"/>
    <n v="0"/>
    <n v="18688151.120000001"/>
  </r>
  <r>
    <x v="6"/>
    <s v="07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6"/>
    <s v="07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6"/>
    <s v="07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6"/>
    <s v="07/2022"/>
    <s v="SEC"/>
    <s v="BH Colorado Electric Oper Co"/>
    <s v="Regulated Electric (122)"/>
    <x v="2"/>
    <s v="Other Generation Plant"/>
    <x v="3"/>
    <n v="5"/>
    <s v="134100 - Ele Oth-Structure&amp;Improve"/>
    <x v="53"/>
    <n v="0"/>
    <n v="0"/>
    <n v="0"/>
    <n v="0"/>
    <n v="0"/>
  </r>
  <r>
    <x v="6"/>
    <s v="07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6"/>
    <s v="07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6"/>
    <s v="07/2022"/>
    <s v="SEC"/>
    <s v="BH Colorado Electric Oper Co"/>
    <s v="Regulated Electric (122)"/>
    <x v="2"/>
    <s v="Other Generation Plant"/>
    <x v="3"/>
    <n v="5"/>
    <s v="134410 - Ele Oth - Generators"/>
    <x v="56"/>
    <n v="612112.51"/>
    <n v="0"/>
    <n v="0"/>
    <n v="0"/>
    <n v="612112.51"/>
  </r>
  <r>
    <x v="6"/>
    <s v="07/2022"/>
    <s v="SEC"/>
    <s v="BH Colorado Electric Oper Co"/>
    <s v="Regulated Electric (122)"/>
    <x v="2"/>
    <s v="Other Generation Plant"/>
    <x v="3"/>
    <n v="5"/>
    <s v="134500 - Ele Oth-Accessory Ele Eqp"/>
    <x v="57"/>
    <n v="0"/>
    <n v="120538.3"/>
    <n v="0"/>
    <n v="0"/>
    <n v="120538.3"/>
  </r>
  <r>
    <x v="6"/>
    <s v="07/2022"/>
    <s v="SEC"/>
    <s v="BH Colorado Electric Oper Co"/>
    <s v="Regulated Electric (122)"/>
    <x v="2"/>
    <s v="Other Generation Plant"/>
    <x v="3"/>
    <n v="5"/>
    <s v="134600 - Ele Oth-Misc Plant Equip"/>
    <x v="58"/>
    <n v="0"/>
    <n v="19908.78"/>
    <n v="0"/>
    <n v="0"/>
    <n v="19908.78"/>
  </r>
  <r>
    <x v="7"/>
    <s v="08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7"/>
    <s v="08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7"/>
    <s v="08/2022"/>
    <s v="SEC"/>
    <s v="BH Colorado Electric Oper Co"/>
    <s v="Regulated Electric (122)"/>
    <x v="0"/>
    <s v="Other Generation Plant"/>
    <x v="3"/>
    <n v="5"/>
    <s v="134100 - Ele Oth-Structure&amp;Improve"/>
    <x v="53"/>
    <n v="14759041.57"/>
    <n v="0"/>
    <n v="0"/>
    <n v="0"/>
    <n v="14759041.57"/>
  </r>
  <r>
    <x v="7"/>
    <s v="08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7"/>
    <s v="08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7"/>
    <s v="08/2022"/>
    <s v="SEC"/>
    <s v="BH Colorado Electric Oper Co"/>
    <s v="Regulated Electric (122)"/>
    <x v="0"/>
    <s v="Other Generation Plant"/>
    <x v="3"/>
    <n v="5"/>
    <s v="134410 - Ele Oth - Generators"/>
    <x v="56"/>
    <n v="369678234.14999998"/>
    <n v="0"/>
    <n v="0"/>
    <n v="0"/>
    <n v="369678234.14999998"/>
  </r>
  <r>
    <x v="7"/>
    <s v="08/2022"/>
    <s v="SEC"/>
    <s v="BH Colorado Electric Oper Co"/>
    <s v="Regulated Electric (122)"/>
    <x v="0"/>
    <s v="Other Generation Plant"/>
    <x v="3"/>
    <n v="5"/>
    <s v="134500 - Ele Oth-Accessory Ele Eqp"/>
    <x v="57"/>
    <n v="18688151.120000001"/>
    <n v="0"/>
    <n v="0"/>
    <n v="0"/>
    <n v="18688151.120000001"/>
  </r>
  <r>
    <x v="7"/>
    <s v="08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7"/>
    <s v="08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7"/>
    <s v="08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7"/>
    <s v="08/2022"/>
    <s v="SEC"/>
    <s v="BH Colorado Electric Oper Co"/>
    <s v="Regulated Electric (122)"/>
    <x v="2"/>
    <s v="Other Generation Plant"/>
    <x v="3"/>
    <n v="5"/>
    <s v="134100 - Ele Oth-Structure&amp;Improve"/>
    <x v="53"/>
    <n v="0"/>
    <n v="0"/>
    <n v="0"/>
    <n v="0"/>
    <n v="0"/>
  </r>
  <r>
    <x v="7"/>
    <s v="08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7"/>
    <s v="08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7"/>
    <s v="08/2022"/>
    <s v="SEC"/>
    <s v="BH Colorado Electric Oper Co"/>
    <s v="Regulated Electric (122)"/>
    <x v="2"/>
    <s v="Other Generation Plant"/>
    <x v="3"/>
    <n v="5"/>
    <s v="134410 - Ele Oth - Generators"/>
    <x v="56"/>
    <n v="612112.51"/>
    <n v="0"/>
    <n v="0"/>
    <n v="0"/>
    <n v="612112.51"/>
  </r>
  <r>
    <x v="7"/>
    <s v="08/2022"/>
    <s v="SEC"/>
    <s v="BH Colorado Electric Oper Co"/>
    <s v="Regulated Electric (122)"/>
    <x v="2"/>
    <s v="Other Generation Plant"/>
    <x v="3"/>
    <n v="5"/>
    <s v="134500 - Ele Oth-Accessory Ele Eqp"/>
    <x v="57"/>
    <n v="120538.3"/>
    <n v="0"/>
    <n v="0"/>
    <n v="0"/>
    <n v="120538.3"/>
  </r>
  <r>
    <x v="7"/>
    <s v="08/2022"/>
    <s v="SEC"/>
    <s v="BH Colorado Electric Oper Co"/>
    <s v="Regulated Electric (122)"/>
    <x v="2"/>
    <s v="Other Generation Plant"/>
    <x v="3"/>
    <n v="5"/>
    <s v="134600 - Ele Oth-Misc Plant Equip"/>
    <x v="58"/>
    <n v="19908.78"/>
    <n v="0"/>
    <n v="0"/>
    <n v="0"/>
    <n v="19908.78"/>
  </r>
  <r>
    <x v="8"/>
    <s v="09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8"/>
    <s v="09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8"/>
    <s v="09/2022"/>
    <s v="SEC"/>
    <s v="BH Colorado Electric Oper Co"/>
    <s v="Regulated Electric (122)"/>
    <x v="0"/>
    <s v="Other Generation Plant"/>
    <x v="3"/>
    <n v="5"/>
    <s v="134100 - Ele Oth-Structure&amp;Improve"/>
    <x v="53"/>
    <n v="14759041.57"/>
    <n v="0"/>
    <n v="0"/>
    <n v="0"/>
    <n v="14759041.57"/>
  </r>
  <r>
    <x v="8"/>
    <s v="09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8"/>
    <s v="09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8"/>
    <s v="09/2022"/>
    <s v="SEC"/>
    <s v="BH Colorado Electric Oper Co"/>
    <s v="Regulated Electric (122)"/>
    <x v="0"/>
    <s v="Other Generation Plant"/>
    <x v="3"/>
    <n v="5"/>
    <s v="134410 - Ele Oth - Generators"/>
    <x v="56"/>
    <n v="369678234.14999998"/>
    <n v="535445.86"/>
    <n v="-10000"/>
    <n v="0"/>
    <n v="370203680.00999999"/>
  </r>
  <r>
    <x v="8"/>
    <s v="09/2022"/>
    <s v="SEC"/>
    <s v="BH Colorado Electric Oper Co"/>
    <s v="Regulated Electric (122)"/>
    <x v="0"/>
    <s v="Other Generation Plant"/>
    <x v="3"/>
    <n v="5"/>
    <s v="134500 - Ele Oth-Accessory Ele Eqp"/>
    <x v="57"/>
    <n v="18688151.120000001"/>
    <n v="120538.3"/>
    <n v="-20000"/>
    <n v="0"/>
    <n v="18788689.420000002"/>
  </r>
  <r>
    <x v="8"/>
    <s v="09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8"/>
    <s v="09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8"/>
    <s v="09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8"/>
    <s v="09/2022"/>
    <s v="SEC"/>
    <s v="BH Colorado Electric Oper Co"/>
    <s v="Regulated Electric (122)"/>
    <x v="2"/>
    <s v="Other Generation Plant"/>
    <x v="3"/>
    <n v="5"/>
    <s v="134100 - Ele Oth-Structure&amp;Improve"/>
    <x v="53"/>
    <n v="0"/>
    <n v="0"/>
    <n v="0"/>
    <n v="0"/>
    <n v="0"/>
  </r>
  <r>
    <x v="8"/>
    <s v="09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8"/>
    <s v="09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8"/>
    <s v="09/2022"/>
    <s v="SEC"/>
    <s v="BH Colorado Electric Oper Co"/>
    <s v="Regulated Electric (122)"/>
    <x v="2"/>
    <s v="Other Generation Plant"/>
    <x v="3"/>
    <n v="5"/>
    <s v="134410 - Ele Oth - Generators"/>
    <x v="56"/>
    <n v="612112.51"/>
    <n v="-535445.86"/>
    <n v="0"/>
    <n v="0"/>
    <n v="76666.650000000009"/>
  </r>
  <r>
    <x v="8"/>
    <s v="09/2022"/>
    <s v="SEC"/>
    <s v="BH Colorado Electric Oper Co"/>
    <s v="Regulated Electric (122)"/>
    <x v="2"/>
    <s v="Other Generation Plant"/>
    <x v="3"/>
    <n v="5"/>
    <s v="134500 - Ele Oth-Accessory Ele Eqp"/>
    <x v="57"/>
    <n v="120538.3"/>
    <n v="-120538.3"/>
    <n v="0"/>
    <n v="0"/>
    <n v="0"/>
  </r>
  <r>
    <x v="8"/>
    <s v="09/2022"/>
    <s v="SEC"/>
    <s v="BH Colorado Electric Oper Co"/>
    <s v="Regulated Electric (122)"/>
    <x v="2"/>
    <s v="Other Generation Plant"/>
    <x v="3"/>
    <n v="5"/>
    <s v="134600 - Ele Oth-Misc Plant Equip"/>
    <x v="58"/>
    <n v="19908.78"/>
    <n v="0"/>
    <n v="0"/>
    <n v="0"/>
    <n v="19908.78"/>
  </r>
  <r>
    <x v="9"/>
    <s v="10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9"/>
    <s v="10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9"/>
    <s v="10/2022"/>
    <s v="SEC"/>
    <s v="BH Colorado Electric Oper Co"/>
    <s v="Regulated Electric (122)"/>
    <x v="0"/>
    <s v="Other Generation Plant"/>
    <x v="3"/>
    <n v="5"/>
    <s v="134100 - Ele Oth-Structure&amp;Improve"/>
    <x v="53"/>
    <n v="14759041.57"/>
    <n v="19908.78"/>
    <n v="0"/>
    <n v="0"/>
    <n v="14778950.35"/>
  </r>
  <r>
    <x v="9"/>
    <s v="10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9"/>
    <s v="10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9"/>
    <s v="10/2022"/>
    <s v="SEC"/>
    <s v="BH Colorado Electric Oper Co"/>
    <s v="Regulated Electric (122)"/>
    <x v="0"/>
    <s v="Other Generation Plant"/>
    <x v="3"/>
    <n v="5"/>
    <s v="134410 - Ele Oth - Generators"/>
    <x v="56"/>
    <n v="370203680.00999999"/>
    <n v="76666.650000000009"/>
    <n v="-10000"/>
    <n v="0"/>
    <n v="370270346.66000003"/>
  </r>
  <r>
    <x v="9"/>
    <s v="10/2022"/>
    <s v="SEC"/>
    <s v="BH Colorado Electric Oper Co"/>
    <s v="Regulated Electric (122)"/>
    <x v="0"/>
    <s v="Other Generation Plant"/>
    <x v="3"/>
    <n v="5"/>
    <s v="134500 - Ele Oth-Accessory Ele Eqp"/>
    <x v="57"/>
    <n v="18788689.420000002"/>
    <n v="0"/>
    <n v="0"/>
    <n v="0"/>
    <n v="18788689.420000002"/>
  </r>
  <r>
    <x v="9"/>
    <s v="10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9"/>
    <s v="10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9"/>
    <s v="10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9"/>
    <s v="10/2022"/>
    <s v="SEC"/>
    <s v="BH Colorado Electric Oper Co"/>
    <s v="Regulated Electric (122)"/>
    <x v="2"/>
    <s v="Other Generation Plant"/>
    <x v="3"/>
    <n v="5"/>
    <s v="134100 - Ele Oth-Structure&amp;Improve"/>
    <x v="53"/>
    <n v="0"/>
    <n v="0"/>
    <n v="0"/>
    <n v="0"/>
    <n v="0"/>
  </r>
  <r>
    <x v="9"/>
    <s v="10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9"/>
    <s v="10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9"/>
    <s v="10/2022"/>
    <s v="SEC"/>
    <s v="BH Colorado Electric Oper Co"/>
    <s v="Regulated Electric (122)"/>
    <x v="2"/>
    <s v="Other Generation Plant"/>
    <x v="3"/>
    <n v="5"/>
    <s v="134410 - Ele Oth - Generators"/>
    <x v="56"/>
    <n v="76666.650000000009"/>
    <n v="-76666.650000000009"/>
    <n v="0"/>
    <n v="0"/>
    <n v="0"/>
  </r>
  <r>
    <x v="9"/>
    <s v="10/2022"/>
    <s v="SEC"/>
    <s v="BH Colorado Electric Oper Co"/>
    <s v="Regulated Electric (122)"/>
    <x v="2"/>
    <s v="Other Generation Plant"/>
    <x v="3"/>
    <n v="5"/>
    <s v="134500 - Ele Oth-Accessory Ele Eqp"/>
    <x v="57"/>
    <n v="0"/>
    <n v="0"/>
    <n v="0"/>
    <n v="0"/>
    <n v="0"/>
  </r>
  <r>
    <x v="9"/>
    <s v="10/2022"/>
    <s v="SEC"/>
    <s v="BH Colorado Electric Oper Co"/>
    <s v="Regulated Electric (122)"/>
    <x v="2"/>
    <s v="Other Generation Plant"/>
    <x v="3"/>
    <n v="5"/>
    <s v="134600 - Ele Oth-Misc Plant Equip"/>
    <x v="58"/>
    <n v="19908.78"/>
    <n v="-19908.78"/>
    <n v="0"/>
    <n v="0"/>
    <n v="0"/>
  </r>
  <r>
    <x v="10"/>
    <s v="11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10"/>
    <s v="11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10"/>
    <s v="11/2022"/>
    <s v="SEC"/>
    <s v="BH Colorado Electric Oper Co"/>
    <s v="Regulated Electric (122)"/>
    <x v="0"/>
    <s v="Other Generation Plant"/>
    <x v="3"/>
    <n v="5"/>
    <s v="134100 - Ele Oth-Structure&amp;Improve"/>
    <x v="53"/>
    <n v="14778950.35"/>
    <n v="0"/>
    <n v="0"/>
    <n v="0"/>
    <n v="14778950.35"/>
  </r>
  <r>
    <x v="10"/>
    <s v="11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10"/>
    <s v="11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10"/>
    <s v="11/2022"/>
    <s v="SEC"/>
    <s v="BH Colorado Electric Oper Co"/>
    <s v="Regulated Electric (122)"/>
    <x v="0"/>
    <s v="Other Generation Plant"/>
    <x v="3"/>
    <n v="5"/>
    <s v="134410 - Ele Oth - Generators"/>
    <x v="56"/>
    <n v="370270346.66000003"/>
    <n v="0"/>
    <n v="0"/>
    <n v="0"/>
    <n v="370270346.66000003"/>
  </r>
  <r>
    <x v="10"/>
    <s v="11/2022"/>
    <s v="SEC"/>
    <s v="BH Colorado Electric Oper Co"/>
    <s v="Regulated Electric (122)"/>
    <x v="0"/>
    <s v="Other Generation Plant"/>
    <x v="3"/>
    <n v="5"/>
    <s v="134500 - Ele Oth-Accessory Ele Eqp"/>
    <x v="57"/>
    <n v="18788689.420000002"/>
    <n v="0"/>
    <n v="0"/>
    <n v="0"/>
    <n v="18788689.420000002"/>
  </r>
  <r>
    <x v="10"/>
    <s v="11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10"/>
    <s v="11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10"/>
    <s v="11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10"/>
    <s v="11/2022"/>
    <s v="SEC"/>
    <s v="BH Colorado Electric Oper Co"/>
    <s v="Regulated Electric (122)"/>
    <x v="2"/>
    <s v="Other Generation Plant"/>
    <x v="3"/>
    <n v="5"/>
    <s v="134100 - Ele Oth-Structure&amp;Improve"/>
    <x v="53"/>
    <n v="0"/>
    <n v="0"/>
    <n v="0"/>
    <n v="0"/>
    <n v="0"/>
  </r>
  <r>
    <x v="10"/>
    <s v="11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10"/>
    <s v="11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10"/>
    <s v="11/2022"/>
    <s v="SEC"/>
    <s v="BH Colorado Electric Oper Co"/>
    <s v="Regulated Electric (122)"/>
    <x v="2"/>
    <s v="Other Generation Plant"/>
    <x v="3"/>
    <n v="5"/>
    <s v="134410 - Ele Oth - Generators"/>
    <x v="56"/>
    <n v="0"/>
    <n v="0"/>
    <n v="0"/>
    <n v="0"/>
    <n v="0"/>
  </r>
  <r>
    <x v="10"/>
    <s v="11/2022"/>
    <s v="SEC"/>
    <s v="BH Colorado Electric Oper Co"/>
    <s v="Regulated Electric (122)"/>
    <x v="2"/>
    <s v="Other Generation Plant"/>
    <x v="3"/>
    <n v="5"/>
    <s v="134500 - Ele Oth-Accessory Ele Eqp"/>
    <x v="57"/>
    <n v="0"/>
    <n v="0"/>
    <n v="0"/>
    <n v="0"/>
    <n v="0"/>
  </r>
  <r>
    <x v="10"/>
    <s v="11/2022"/>
    <s v="SEC"/>
    <s v="BH Colorado Electric Oper Co"/>
    <s v="Regulated Electric (122)"/>
    <x v="2"/>
    <s v="Other Generation Plant"/>
    <x v="3"/>
    <n v="5"/>
    <s v="134600 - Ele Oth-Misc Plant Equip"/>
    <x v="58"/>
    <n v="0"/>
    <n v="0"/>
    <n v="0"/>
    <n v="0"/>
    <n v="0"/>
  </r>
  <r>
    <x v="11"/>
    <s v="12/2022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11"/>
    <s v="12/2022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11"/>
    <s v="12/2022"/>
    <s v="SEC"/>
    <s v="BH Colorado Electric Oper Co"/>
    <s v="Regulated Electric (122)"/>
    <x v="0"/>
    <s v="Other Generation Plant"/>
    <x v="3"/>
    <n v="5"/>
    <s v="134100 - Ele Oth-Structure&amp;Improve"/>
    <x v="53"/>
    <n v="14778950.35"/>
    <n v="0"/>
    <n v="0"/>
    <n v="0"/>
    <n v="14778950.35"/>
  </r>
  <r>
    <x v="11"/>
    <s v="12/2022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11"/>
    <s v="12/2022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11"/>
    <s v="12/2022"/>
    <s v="SEC"/>
    <s v="BH Colorado Electric Oper Co"/>
    <s v="Regulated Electric (122)"/>
    <x v="0"/>
    <s v="Other Generation Plant"/>
    <x v="3"/>
    <n v="5"/>
    <s v="134410 - Ele Oth - Generators"/>
    <x v="56"/>
    <n v="370270346.66000003"/>
    <n v="0"/>
    <n v="0"/>
    <n v="0"/>
    <n v="370270346.66000003"/>
  </r>
  <r>
    <x v="11"/>
    <s v="12/2022"/>
    <s v="SEC"/>
    <s v="BH Colorado Electric Oper Co"/>
    <s v="Regulated Electric (122)"/>
    <x v="0"/>
    <s v="Other Generation Plant"/>
    <x v="3"/>
    <n v="5"/>
    <s v="134500 - Ele Oth-Accessory Ele Eqp"/>
    <x v="57"/>
    <n v="18788689.420000002"/>
    <n v="0"/>
    <n v="0"/>
    <n v="0"/>
    <n v="18788689.420000002"/>
  </r>
  <r>
    <x v="11"/>
    <s v="12/2022"/>
    <s v="SEC"/>
    <s v="BH Colorado Electric Oper Co"/>
    <s v="Regulated Electric (122)"/>
    <x v="0"/>
    <s v="Other Generation Plant"/>
    <x v="3"/>
    <n v="5"/>
    <s v="134600 - Ele Oth-Misc Plant Equip"/>
    <x v="58"/>
    <n v="2704470.7199999997"/>
    <n v="0"/>
    <n v="0"/>
    <n v="0"/>
    <n v="2704470.7199999997"/>
  </r>
  <r>
    <x v="11"/>
    <s v="12/2022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11"/>
    <s v="12/2022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11"/>
    <s v="12/2022"/>
    <s v="SEC"/>
    <s v="BH Colorado Electric Oper Co"/>
    <s v="Regulated Electric (122)"/>
    <x v="2"/>
    <s v="Other Generation Plant"/>
    <x v="3"/>
    <n v="5"/>
    <s v="134100 - Ele Oth-Structure&amp;Improve"/>
    <x v="53"/>
    <n v="0"/>
    <n v="0"/>
    <n v="0"/>
    <n v="0"/>
    <n v="0"/>
  </r>
  <r>
    <x v="11"/>
    <s v="12/2022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11"/>
    <s v="12/2022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11"/>
    <s v="12/2022"/>
    <s v="SEC"/>
    <s v="BH Colorado Electric Oper Co"/>
    <s v="Regulated Electric (122)"/>
    <x v="2"/>
    <s v="Other Generation Plant"/>
    <x v="3"/>
    <n v="5"/>
    <s v="134410 - Ele Oth - Generators"/>
    <x v="56"/>
    <n v="0"/>
    <n v="457364.64"/>
    <n v="0"/>
    <n v="0"/>
    <n v="457364.64"/>
  </r>
  <r>
    <x v="11"/>
    <s v="12/2022"/>
    <s v="SEC"/>
    <s v="BH Colorado Electric Oper Co"/>
    <s v="Regulated Electric (122)"/>
    <x v="2"/>
    <s v="Other Generation Plant"/>
    <x v="3"/>
    <n v="5"/>
    <s v="134500 - Ele Oth-Accessory Ele Eqp"/>
    <x v="57"/>
    <n v="0"/>
    <n v="0"/>
    <n v="0"/>
    <n v="0"/>
    <n v="0"/>
  </r>
  <r>
    <x v="11"/>
    <s v="12/2022"/>
    <s v="SEC"/>
    <s v="BH Colorado Electric Oper Co"/>
    <s v="Regulated Electric (122)"/>
    <x v="2"/>
    <s v="Other Generation Plant"/>
    <x v="3"/>
    <n v="5"/>
    <s v="134600 - Ele Oth-Misc Plant Equip"/>
    <x v="58"/>
    <n v="0"/>
    <n v="0"/>
    <n v="0"/>
    <n v="0"/>
    <n v="0"/>
  </r>
  <r>
    <x v="12"/>
    <s v="12/2021"/>
    <s v="SEC"/>
    <s v="BH Colorado Electric Oper Co"/>
    <s v="Regulated Electric (122)"/>
    <x v="0"/>
    <s v="Other Generation Plant"/>
    <x v="3"/>
    <n v="5"/>
    <s v="134001 - Ele Other-Land"/>
    <x v="51"/>
    <n v="207692.38"/>
    <n v="0"/>
    <n v="0"/>
    <n v="0"/>
    <n v="207692.38"/>
  </r>
  <r>
    <x v="12"/>
    <s v="12/2021"/>
    <s v="SEC"/>
    <s v="BH Colorado Electric Oper Co"/>
    <s v="Regulated Electric (122)"/>
    <x v="0"/>
    <s v="Other Generation Plant"/>
    <x v="3"/>
    <n v="5"/>
    <s v="134003 - Ele Other-Ld Rt/ROW-Deprec"/>
    <x v="52"/>
    <n v="6229050.5499999998"/>
    <n v="0"/>
    <n v="0"/>
    <n v="0"/>
    <n v="6229050.5499999998"/>
  </r>
  <r>
    <x v="12"/>
    <s v="12/2021"/>
    <s v="SEC"/>
    <s v="BH Colorado Electric Oper Co"/>
    <s v="Regulated Electric (122)"/>
    <x v="0"/>
    <s v="Other Generation Plant"/>
    <x v="3"/>
    <n v="5"/>
    <s v="134100 - Ele Oth-Structure&amp;Improve"/>
    <x v="53"/>
    <n v="14616439.75"/>
    <n v="46048.91"/>
    <n v="0"/>
    <n v="0"/>
    <n v="14662488.66"/>
  </r>
  <r>
    <x v="12"/>
    <s v="12/2021"/>
    <s v="SEC"/>
    <s v="BH Colorado Electric Oper Co"/>
    <s v="Regulated Electric (122)"/>
    <x v="0"/>
    <s v="Other Generation Plant"/>
    <x v="3"/>
    <n v="5"/>
    <s v="134200 - Ele Oth-Fuel Holder &amp; Acce"/>
    <x v="54"/>
    <n v="9115499.1500000004"/>
    <n v="0"/>
    <n v="0"/>
    <n v="0"/>
    <n v="9115499.1500000004"/>
  </r>
  <r>
    <x v="12"/>
    <s v="12/2021"/>
    <s v="SEC"/>
    <s v="BH Colorado Electric Oper Co"/>
    <s v="Regulated Electric (122)"/>
    <x v="0"/>
    <s v="Other Generation Plant"/>
    <x v="3"/>
    <n v="5"/>
    <s v="134300 - Ele Oth-Prime Movers"/>
    <x v="55"/>
    <n v="2273004.89"/>
    <n v="0"/>
    <n v="0"/>
    <n v="0"/>
    <n v="2273004.89"/>
  </r>
  <r>
    <x v="12"/>
    <s v="12/2021"/>
    <s v="SEC"/>
    <s v="BH Colorado Electric Oper Co"/>
    <s v="Regulated Electric (122)"/>
    <x v="0"/>
    <s v="Other Generation Plant"/>
    <x v="3"/>
    <n v="5"/>
    <s v="134410 - Ele Oth - Generators"/>
    <x v="56"/>
    <n v="366372866.24000001"/>
    <n v="85782.8"/>
    <n v="-86822.8"/>
    <n v="0"/>
    <n v="366371826.24000001"/>
  </r>
  <r>
    <x v="12"/>
    <s v="12/2021"/>
    <s v="SEC"/>
    <s v="BH Colorado Electric Oper Co"/>
    <s v="Regulated Electric (122)"/>
    <x v="0"/>
    <s v="Other Generation Plant"/>
    <x v="3"/>
    <n v="5"/>
    <s v="134500 - Ele Oth-Accessory Ele Eqp"/>
    <x v="57"/>
    <n v="18656129.329999998"/>
    <n v="32021.79"/>
    <n v="0"/>
    <n v="0"/>
    <n v="18688151.120000001"/>
  </r>
  <r>
    <x v="12"/>
    <s v="12/2021"/>
    <s v="SEC"/>
    <s v="BH Colorado Electric Oper Co"/>
    <s v="Regulated Electric (122)"/>
    <x v="0"/>
    <s v="Other Generation Plant"/>
    <x v="3"/>
    <n v="5"/>
    <s v="134600 - Ele Oth-Misc Plant Equip"/>
    <x v="58"/>
    <n v="1001454.77"/>
    <n v="26547.99"/>
    <n v="0"/>
    <n v="0"/>
    <n v="1028002.76"/>
  </r>
  <r>
    <x v="12"/>
    <s v="12/2021"/>
    <s v="SEC"/>
    <s v="BH Colorado Electric Oper Co"/>
    <s v="Regulated Electric (122)"/>
    <x v="2"/>
    <s v="Other Generation Plant"/>
    <x v="3"/>
    <n v="5"/>
    <s v="134001 - Ele Other-Land"/>
    <x v="51"/>
    <n v="0"/>
    <n v="0"/>
    <n v="0"/>
    <n v="0"/>
    <n v="0"/>
  </r>
  <r>
    <x v="12"/>
    <s v="12/2021"/>
    <s v="SEC"/>
    <s v="BH Colorado Electric Oper Co"/>
    <s v="Regulated Electric (122)"/>
    <x v="2"/>
    <s v="Other Generation Plant"/>
    <x v="3"/>
    <n v="5"/>
    <s v="134002 - Ele Other-Ld Rt/ROW-Non-D"/>
    <x v="59"/>
    <n v="0"/>
    <n v="0"/>
    <n v="0"/>
    <n v="0"/>
    <n v="0"/>
  </r>
  <r>
    <x v="12"/>
    <s v="12/2021"/>
    <s v="SEC"/>
    <s v="BH Colorado Electric Oper Co"/>
    <s v="Regulated Electric (122)"/>
    <x v="2"/>
    <s v="Other Generation Plant"/>
    <x v="3"/>
    <n v="5"/>
    <s v="134100 - Ele Oth-Structure&amp;Improve"/>
    <x v="53"/>
    <n v="367369.09"/>
    <n v="-46048.91"/>
    <n v="0"/>
    <n v="0"/>
    <n v="321320.18"/>
  </r>
  <r>
    <x v="12"/>
    <s v="12/2021"/>
    <s v="SEC"/>
    <s v="BH Colorado Electric Oper Co"/>
    <s v="Regulated Electric (122)"/>
    <x v="2"/>
    <s v="Other Generation Plant"/>
    <x v="3"/>
    <n v="5"/>
    <s v="134200 - Ele Oth-Fuel Holder &amp; Acce"/>
    <x v="54"/>
    <n v="0"/>
    <n v="0"/>
    <n v="0"/>
    <n v="0"/>
    <n v="0"/>
  </r>
  <r>
    <x v="12"/>
    <s v="12/2021"/>
    <s v="SEC"/>
    <s v="BH Colorado Electric Oper Co"/>
    <s v="Regulated Electric (122)"/>
    <x v="2"/>
    <s v="Other Generation Plant"/>
    <x v="3"/>
    <n v="5"/>
    <s v="134300 - Ele Oth-Prime Movers"/>
    <x v="55"/>
    <n v="0"/>
    <n v="0"/>
    <n v="0"/>
    <n v="0"/>
    <n v="0"/>
  </r>
  <r>
    <x v="12"/>
    <s v="12/2021"/>
    <s v="SEC"/>
    <s v="BH Colorado Electric Oper Co"/>
    <s v="Regulated Electric (122)"/>
    <x v="2"/>
    <s v="Other Generation Plant"/>
    <x v="3"/>
    <n v="5"/>
    <s v="134410 - Ele Oth - Generators"/>
    <x v="56"/>
    <n v="9022157.1199999992"/>
    <n v="167568.05000000002"/>
    <n v="0"/>
    <n v="0"/>
    <n v="9189725.1699999999"/>
  </r>
  <r>
    <x v="12"/>
    <s v="12/2021"/>
    <s v="SEC"/>
    <s v="BH Colorado Electric Oper Co"/>
    <s v="Regulated Electric (122)"/>
    <x v="2"/>
    <s v="Other Generation Plant"/>
    <x v="3"/>
    <n v="5"/>
    <s v="134500 - Ele Oth-Accessory Ele Eqp"/>
    <x v="57"/>
    <n v="205564.57"/>
    <n v="-32021.79"/>
    <n v="0"/>
    <n v="0"/>
    <n v="173542.78"/>
  </r>
  <r>
    <x v="12"/>
    <s v="12/2021"/>
    <s v="SEC"/>
    <s v="BH Colorado Electric Oper Co"/>
    <s v="Regulated Electric (122)"/>
    <x v="2"/>
    <s v="Other Generation Plant"/>
    <x v="3"/>
    <n v="5"/>
    <s v="134600 - Ele Oth-Misc Plant Equip"/>
    <x v="58"/>
    <n v="1703015.9500000002"/>
    <n v="-26547.99"/>
    <n v="0"/>
    <n v="0"/>
    <n v="1676467.96"/>
  </r>
  <r>
    <x v="0"/>
    <s v="01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0"/>
    <s v="01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0"/>
    <s v="01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0"/>
    <s v="01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0"/>
    <s v="01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0"/>
    <s v="01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0"/>
    <s v="01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0"/>
    <s v="01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0"/>
    <s v="01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0"/>
    <s v="01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0"/>
    <s v="01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0"/>
    <s v="01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0"/>
    <s v="01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0"/>
    <s v="01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0"/>
    <s v="01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1"/>
    <s v="02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1"/>
    <s v="02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1"/>
    <s v="02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1"/>
    <s v="02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1"/>
    <s v="02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1"/>
    <s v="02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1"/>
    <s v="02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1"/>
    <s v="02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1"/>
    <s v="02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1"/>
    <s v="02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1"/>
    <s v="02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1"/>
    <s v="02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1"/>
    <s v="02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1"/>
    <s v="02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1"/>
    <s v="02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2"/>
    <s v="03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2"/>
    <s v="03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2"/>
    <s v="03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2"/>
    <s v="03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2"/>
    <s v="03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2"/>
    <s v="03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2"/>
    <s v="03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2"/>
    <s v="03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2"/>
    <s v="03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2"/>
    <s v="03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2"/>
    <s v="03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2"/>
    <s v="03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2"/>
    <s v="03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2"/>
    <s v="03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2"/>
    <s v="03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3"/>
    <s v="04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3"/>
    <s v="04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3"/>
    <s v="04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3"/>
    <s v="04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3"/>
    <s v="04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3"/>
    <s v="04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3"/>
    <s v="04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3"/>
    <s v="04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3"/>
    <s v="04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3"/>
    <s v="04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3"/>
    <s v="04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3"/>
    <s v="04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3"/>
    <s v="04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3"/>
    <s v="04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3"/>
    <s v="04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4"/>
    <s v="05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4"/>
    <s v="05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4"/>
    <s v="05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4"/>
    <s v="05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4"/>
    <s v="05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4"/>
    <s v="05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4"/>
    <s v="05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4"/>
    <s v="05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4"/>
    <s v="05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4"/>
    <s v="05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4"/>
    <s v="05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4"/>
    <s v="05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4"/>
    <s v="05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4"/>
    <s v="05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4"/>
    <s v="05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5"/>
    <s v="06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5"/>
    <s v="06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5"/>
    <s v="06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5"/>
    <s v="06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5"/>
    <s v="06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5"/>
    <s v="06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5"/>
    <s v="06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5"/>
    <s v="06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5"/>
    <s v="06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5"/>
    <s v="06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5"/>
    <s v="06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5"/>
    <s v="06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5"/>
    <s v="06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5"/>
    <s v="06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5"/>
    <s v="06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6"/>
    <s v="07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6"/>
    <s v="07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6"/>
    <s v="07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6"/>
    <s v="07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6"/>
    <s v="07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6"/>
    <s v="07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6"/>
    <s v="07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6"/>
    <s v="07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6"/>
    <s v="07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6"/>
    <s v="07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6"/>
    <s v="07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6"/>
    <s v="07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6"/>
    <s v="07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6"/>
    <s v="07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6"/>
    <s v="07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7"/>
    <s v="08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7"/>
    <s v="08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7"/>
    <s v="08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7"/>
    <s v="08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7"/>
    <s v="08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7"/>
    <s v="08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7"/>
    <s v="08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7"/>
    <s v="08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7"/>
    <s v="08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7"/>
    <s v="08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7"/>
    <s v="08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7"/>
    <s v="08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7"/>
    <s v="08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7"/>
    <s v="08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7"/>
    <s v="08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8"/>
    <s v="09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8"/>
    <s v="09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8"/>
    <s v="09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8"/>
    <s v="09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8"/>
    <s v="09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8"/>
    <s v="09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8"/>
    <s v="09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8"/>
    <s v="09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8"/>
    <s v="09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8"/>
    <s v="09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8"/>
    <s v="09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8"/>
    <s v="09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8"/>
    <s v="09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8"/>
    <s v="09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8"/>
    <s v="09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9"/>
    <s v="10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9"/>
    <s v="10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9"/>
    <s v="10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9"/>
    <s v="10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9"/>
    <s v="10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9"/>
    <s v="10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9"/>
    <s v="10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9"/>
    <s v="10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9"/>
    <s v="10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9"/>
    <s v="10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9"/>
    <s v="10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9"/>
    <s v="10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9"/>
    <s v="10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9"/>
    <s v="10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9"/>
    <s v="10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10"/>
    <s v="11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10"/>
    <s v="11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10"/>
    <s v="11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10"/>
    <s v="11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10"/>
    <s v="11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10"/>
    <s v="11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10"/>
    <s v="11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10"/>
    <s v="11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10"/>
    <s v="11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10"/>
    <s v="11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10"/>
    <s v="11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10"/>
    <s v="11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10"/>
    <s v="11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10"/>
    <s v="11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10"/>
    <s v="11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11"/>
    <s v="12/2022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11"/>
    <s v="12/2022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11"/>
    <s v="12/2022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11"/>
    <s v="12/2022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11"/>
    <s v="12/2022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11"/>
    <s v="12/2022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11"/>
    <s v="12/2022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11"/>
    <s v="12/2022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11"/>
    <s v="12/2022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11"/>
    <s v="12/2022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11"/>
    <s v="12/2022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11"/>
    <s v="12/2022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11"/>
    <s v="12/2022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11"/>
    <s v="12/2022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11"/>
    <s v="12/2022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12"/>
    <s v="12/2021"/>
    <s v="SEC"/>
    <s v="BH Colorado Electric Oper Co"/>
    <s v="Regulated Electric (122)"/>
    <x v="0"/>
    <s v="Steam Generation Plant"/>
    <x v="3"/>
    <n v="2"/>
    <s v="131001 - Elec Steam- Land"/>
    <x v="50"/>
    <n v="168504.26"/>
    <n v="0"/>
    <n v="0"/>
    <n v="0"/>
    <n v="168504.26"/>
  </r>
  <r>
    <x v="12"/>
    <s v="12/2021"/>
    <s v="SEC"/>
    <s v="BH Colorado Electric Oper Co"/>
    <s v="Regulated Electric (122)"/>
    <x v="0"/>
    <s v="Steam Generation Plant"/>
    <x v="3"/>
    <n v="2"/>
    <s v="131002 - Elec Stm-Ld Rt/ROW-NonDe"/>
    <x v="60"/>
    <n v="85743.6"/>
    <n v="0"/>
    <n v="0"/>
    <n v="0"/>
    <n v="85743.6"/>
  </r>
  <r>
    <x v="12"/>
    <s v="12/2021"/>
    <s v="SEC"/>
    <s v="BH Colorado Electric Oper Co"/>
    <s v="Regulated Electric (122)"/>
    <x v="0"/>
    <s v="Steam Generation Plant"/>
    <x v="3"/>
    <n v="2"/>
    <s v="131100 - Elec Steam-Struct&amp;Improve"/>
    <x v="61"/>
    <n v="0"/>
    <n v="0"/>
    <n v="0"/>
    <n v="0"/>
    <n v="0"/>
  </r>
  <r>
    <x v="12"/>
    <s v="12/2021"/>
    <s v="SEC"/>
    <s v="BH Colorado Electric Oper Co"/>
    <s v="Regulated Electric (122)"/>
    <x v="0"/>
    <s v="Steam Generation Plant"/>
    <x v="3"/>
    <n v="2"/>
    <s v="131201 - Elec Steam-Boiler Plnt Eqp"/>
    <x v="62"/>
    <n v="0"/>
    <n v="0"/>
    <n v="0"/>
    <n v="0"/>
    <n v="0"/>
  </r>
  <r>
    <x v="12"/>
    <s v="12/2021"/>
    <s v="SEC"/>
    <s v="BH Colorado Electric Oper Co"/>
    <s v="Regulated Electric (122)"/>
    <x v="0"/>
    <s v="Steam Generation Plant"/>
    <x v="3"/>
    <n v="2"/>
    <s v="131202 - Ele Steam-Boiler-Pollution"/>
    <x v="63"/>
    <n v="0"/>
    <n v="0"/>
    <n v="0"/>
    <n v="0"/>
    <n v="0"/>
  </r>
  <r>
    <x v="12"/>
    <s v="12/2021"/>
    <s v="SEC"/>
    <s v="BH Colorado Electric Oper Co"/>
    <s v="Regulated Electric (122)"/>
    <x v="0"/>
    <s v="Steam Generation Plant"/>
    <x v="3"/>
    <n v="2"/>
    <s v="131209 - Indus Stm-Boiler Plnt Eqp"/>
    <x v="64"/>
    <n v="0"/>
    <n v="0"/>
    <n v="0"/>
    <n v="0"/>
    <n v="0"/>
  </r>
  <r>
    <x v="12"/>
    <s v="12/2021"/>
    <s v="SEC"/>
    <s v="BH Colorado Electric Oper Co"/>
    <s v="Regulated Electric (122)"/>
    <x v="0"/>
    <s v="Steam Generation Plant"/>
    <x v="3"/>
    <n v="2"/>
    <s v="131400 - Ele Steam-Turbogen Units"/>
    <x v="65"/>
    <n v="0"/>
    <n v="0"/>
    <n v="0"/>
    <n v="0"/>
    <n v="0"/>
  </r>
  <r>
    <x v="12"/>
    <s v="12/2021"/>
    <s v="SEC"/>
    <s v="BH Colorado Electric Oper Co"/>
    <s v="Regulated Electric (122)"/>
    <x v="0"/>
    <s v="Steam Generation Plant"/>
    <x v="3"/>
    <n v="2"/>
    <s v="131500 - Ele Steam-Accessry Ele Eqp"/>
    <x v="66"/>
    <n v="0"/>
    <n v="0"/>
    <n v="0"/>
    <n v="0"/>
    <n v="0"/>
  </r>
  <r>
    <x v="12"/>
    <s v="12/2021"/>
    <s v="SEC"/>
    <s v="BH Colorado Electric Oper Co"/>
    <s v="Regulated Electric (122)"/>
    <x v="0"/>
    <s v="Steam Generation Plant"/>
    <x v="3"/>
    <n v="2"/>
    <s v="131600 - Ele Steam-Misc Plant Equip"/>
    <x v="67"/>
    <n v="0"/>
    <n v="0"/>
    <n v="0"/>
    <n v="0"/>
    <n v="0"/>
  </r>
  <r>
    <x v="12"/>
    <s v="12/2021"/>
    <s v="SEC"/>
    <s v="BH Colorado Electric Oper Co"/>
    <s v="Regulated Electric (122)"/>
    <x v="2"/>
    <s v="Steam Generation Plant"/>
    <x v="3"/>
    <n v="2"/>
    <s v="131001 - Elec Steam- Land"/>
    <x v="50"/>
    <n v="0"/>
    <n v="0"/>
    <n v="0"/>
    <n v="0"/>
    <n v="0"/>
  </r>
  <r>
    <x v="12"/>
    <s v="12/2021"/>
    <s v="SEC"/>
    <s v="BH Colorado Electric Oper Co"/>
    <s v="Regulated Electric (122)"/>
    <x v="2"/>
    <s v="Steam Generation Plant"/>
    <x v="3"/>
    <n v="2"/>
    <s v="131100 - Elec Steam-Struct&amp;Improve"/>
    <x v="61"/>
    <n v="0"/>
    <n v="0"/>
    <n v="0"/>
    <n v="0"/>
    <n v="0"/>
  </r>
  <r>
    <x v="12"/>
    <s v="12/2021"/>
    <s v="SEC"/>
    <s v="BH Colorado Electric Oper Co"/>
    <s v="Regulated Electric (122)"/>
    <x v="2"/>
    <s v="Steam Generation Plant"/>
    <x v="3"/>
    <n v="2"/>
    <s v="131201 - Elec Steam-Boiler Plnt Eqp"/>
    <x v="62"/>
    <n v="0"/>
    <n v="0"/>
    <n v="0"/>
    <n v="0"/>
    <n v="0"/>
  </r>
  <r>
    <x v="12"/>
    <s v="12/2021"/>
    <s v="SEC"/>
    <s v="BH Colorado Electric Oper Co"/>
    <s v="Regulated Electric (122)"/>
    <x v="2"/>
    <s v="Steam Generation Plant"/>
    <x v="3"/>
    <n v="2"/>
    <s v="131400 - Ele Steam-Turbogen Units"/>
    <x v="65"/>
    <n v="0"/>
    <n v="0"/>
    <n v="0"/>
    <n v="0"/>
    <n v="0"/>
  </r>
  <r>
    <x v="12"/>
    <s v="12/2021"/>
    <s v="SEC"/>
    <s v="BH Colorado Electric Oper Co"/>
    <s v="Regulated Electric (122)"/>
    <x v="2"/>
    <s v="Steam Generation Plant"/>
    <x v="3"/>
    <n v="2"/>
    <s v="131500 - Ele Steam-Accessry Ele Eqp"/>
    <x v="66"/>
    <n v="0"/>
    <n v="0"/>
    <n v="0"/>
    <n v="0"/>
    <n v="0"/>
  </r>
  <r>
    <x v="12"/>
    <s v="12/2021"/>
    <s v="SEC"/>
    <s v="BH Colorado Electric Oper Co"/>
    <s v="Regulated Electric (122)"/>
    <x v="2"/>
    <s v="Steam Generation Plant"/>
    <x v="3"/>
    <n v="2"/>
    <s v="131600 - Ele Steam-Misc Plant Equip"/>
    <x v="67"/>
    <n v="0"/>
    <n v="0"/>
    <n v="0"/>
    <n v="0"/>
    <n v="0"/>
  </r>
  <r>
    <x v="0"/>
    <s v="01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0"/>
    <s v="01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0"/>
    <s v="01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0"/>
    <s v="01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0"/>
    <s v="01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0"/>
    <s v="01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0"/>
    <s v="01/2022"/>
    <s v="SEC"/>
    <s v="BH Colorado Electric Oper Co"/>
    <s v="Regulated Electric (122)"/>
    <x v="0"/>
    <s v="Transmission Plant - Electric"/>
    <x v="4"/>
    <n v="6"/>
    <s v="135300 - Ele Trans Sub-Station Equi"/>
    <x v="74"/>
    <n v="101144293.13"/>
    <n v="582499.29"/>
    <n v="-125460.01000000001"/>
    <n v="0"/>
    <n v="101601332.41"/>
  </r>
  <r>
    <x v="0"/>
    <s v="01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0"/>
    <s v="01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0"/>
    <s v="01/2022"/>
    <s v="SEC"/>
    <s v="BH Colorado Electric Oper Co"/>
    <s v="Regulated Electric (122)"/>
    <x v="0"/>
    <s v="Transmission Plant - Electric"/>
    <x v="4"/>
    <n v="6"/>
    <s v="135500 - Ele Trans-Poles &amp; Fixtures"/>
    <x v="77"/>
    <n v="54543168.270000003"/>
    <n v="1758353.52"/>
    <n v="-506638.01"/>
    <n v="0"/>
    <n v="55794883.780000001"/>
  </r>
  <r>
    <x v="0"/>
    <s v="01/2022"/>
    <s v="SEC"/>
    <s v="BH Colorado Electric Oper Co"/>
    <s v="Regulated Electric (122)"/>
    <x v="0"/>
    <s v="Transmission Plant - Electric"/>
    <x v="4"/>
    <n v="6"/>
    <s v="135600 - Ele Trans-OH Conductors"/>
    <x v="78"/>
    <n v="53882261.420000002"/>
    <n v="782539.03"/>
    <n v="-23225.670000000002"/>
    <n v="0"/>
    <n v="54641574.780000001"/>
  </r>
  <r>
    <x v="0"/>
    <s v="01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0"/>
    <s v="01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0"/>
    <s v="01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0"/>
    <s v="01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0"/>
    <s v="01/2022"/>
    <s v="SEC"/>
    <s v="BH Colorado Electric Oper Co"/>
    <s v="Regulated Electric (122)"/>
    <x v="2"/>
    <s v="Transmission Plant - Electric"/>
    <x v="4"/>
    <n v="6"/>
    <s v="135001 - Ele Trans-Land"/>
    <x v="68"/>
    <n v="0"/>
    <n v="0"/>
    <n v="0"/>
    <n v="0"/>
    <n v="0"/>
  </r>
  <r>
    <x v="0"/>
    <s v="01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0"/>
    <s v="01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0"/>
    <s v="01/2022"/>
    <s v="SEC"/>
    <s v="BH Colorado Electric Oper Co"/>
    <s v="Regulated Electric (122)"/>
    <x v="2"/>
    <s v="Transmission Plant - Electric"/>
    <x v="4"/>
    <n v="6"/>
    <s v="135300 - Ele Trans Sub-Station Equi"/>
    <x v="74"/>
    <n v="867068.97"/>
    <n v="-818452.94000000006"/>
    <n v="0"/>
    <n v="0"/>
    <n v="48616.03"/>
  </r>
  <r>
    <x v="0"/>
    <s v="01/2022"/>
    <s v="SEC"/>
    <s v="BH Colorado Electric Oper Co"/>
    <s v="Regulated Electric (122)"/>
    <x v="2"/>
    <s v="Transmission Plant - Electric"/>
    <x v="4"/>
    <n v="6"/>
    <s v="135301 - Ele Trans Sub-Stn Eq GSU"/>
    <x v="75"/>
    <n v="22762.21"/>
    <n v="-22762.21"/>
    <n v="0"/>
    <n v="0"/>
    <n v="0"/>
  </r>
  <r>
    <x v="0"/>
    <s v="01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0"/>
    <s v="01/2022"/>
    <s v="SEC"/>
    <s v="BH Colorado Electric Oper Co"/>
    <s v="Regulated Electric (122)"/>
    <x v="2"/>
    <s v="Transmission Plant - Electric"/>
    <x v="4"/>
    <n v="6"/>
    <s v="135500 - Ele Trans-Poles &amp; Fixtures"/>
    <x v="77"/>
    <n v="1932927.02"/>
    <n v="-1837051.21"/>
    <n v="0"/>
    <n v="0"/>
    <n v="95875.81"/>
  </r>
  <r>
    <x v="0"/>
    <s v="01/2022"/>
    <s v="SEC"/>
    <s v="BH Colorado Electric Oper Co"/>
    <s v="Regulated Electric (122)"/>
    <x v="2"/>
    <s v="Transmission Plant - Electric"/>
    <x v="4"/>
    <n v="6"/>
    <s v="135600 - Ele Trans-OH Conductors"/>
    <x v="78"/>
    <n v="724367.98"/>
    <n v="-724367.98"/>
    <n v="0"/>
    <n v="0"/>
    <n v="0"/>
  </r>
  <r>
    <x v="0"/>
    <s v="01/2022"/>
    <s v="SEC"/>
    <s v="BH Colorado Electric Oper Co"/>
    <s v="Regulated Electric (122)"/>
    <x v="2"/>
    <s v="Transmission Plant - Electric"/>
    <x v="4"/>
    <n v="6"/>
    <s v="135700 - Ele Trans-UG Conduit"/>
    <x v="79"/>
    <n v="0"/>
    <n v="0"/>
    <n v="0"/>
    <n v="0"/>
    <n v="0"/>
  </r>
  <r>
    <x v="0"/>
    <s v="01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1"/>
    <s v="02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1"/>
    <s v="02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1"/>
    <s v="02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1"/>
    <s v="02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1"/>
    <s v="02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1"/>
    <s v="02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1"/>
    <s v="02/2022"/>
    <s v="SEC"/>
    <s v="BH Colorado Electric Oper Co"/>
    <s v="Regulated Electric (122)"/>
    <x v="0"/>
    <s v="Transmission Plant - Electric"/>
    <x v="4"/>
    <n v="6"/>
    <s v="135300 - Ele Trans Sub-Station Equi"/>
    <x v="74"/>
    <n v="101601332.41"/>
    <n v="-11016.72"/>
    <n v="0"/>
    <n v="0"/>
    <n v="101590315.69"/>
  </r>
  <r>
    <x v="1"/>
    <s v="02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1"/>
    <s v="02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1"/>
    <s v="02/2022"/>
    <s v="SEC"/>
    <s v="BH Colorado Electric Oper Co"/>
    <s v="Regulated Electric (122)"/>
    <x v="0"/>
    <s v="Transmission Plant - Electric"/>
    <x v="4"/>
    <n v="6"/>
    <s v="135500 - Ele Trans-Poles &amp; Fixtures"/>
    <x v="77"/>
    <n v="55794883.780000001"/>
    <n v="143852.61000000002"/>
    <n v="-7287.71"/>
    <n v="0"/>
    <n v="55931448.68"/>
  </r>
  <r>
    <x v="1"/>
    <s v="02/2022"/>
    <s v="SEC"/>
    <s v="BH Colorado Electric Oper Co"/>
    <s v="Regulated Electric (122)"/>
    <x v="0"/>
    <s v="Transmission Plant - Electric"/>
    <x v="4"/>
    <n v="6"/>
    <s v="135600 - Ele Trans-OH Conductors"/>
    <x v="78"/>
    <n v="54641574.780000001"/>
    <n v="1479.54"/>
    <n v="0"/>
    <n v="0"/>
    <n v="54643054.32"/>
  </r>
  <r>
    <x v="1"/>
    <s v="02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1"/>
    <s v="02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1"/>
    <s v="02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1"/>
    <s v="02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1"/>
    <s v="02/2022"/>
    <s v="SEC"/>
    <s v="BH Colorado Electric Oper Co"/>
    <s v="Regulated Electric (122)"/>
    <x v="2"/>
    <s v="Transmission Plant - Electric"/>
    <x v="4"/>
    <n v="6"/>
    <s v="135001 - Ele Trans-Land"/>
    <x v="68"/>
    <n v="0"/>
    <n v="0"/>
    <n v="0"/>
    <n v="0"/>
    <n v="0"/>
  </r>
  <r>
    <x v="1"/>
    <s v="02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1"/>
    <s v="02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1"/>
    <s v="02/2022"/>
    <s v="SEC"/>
    <s v="BH Colorado Electric Oper Co"/>
    <s v="Regulated Electric (122)"/>
    <x v="2"/>
    <s v="Transmission Plant - Electric"/>
    <x v="4"/>
    <n v="6"/>
    <s v="135300 - Ele Trans Sub-Station Equi"/>
    <x v="74"/>
    <n v="48616.03"/>
    <n v="-38773.71"/>
    <n v="0"/>
    <n v="0"/>
    <n v="9842.32"/>
  </r>
  <r>
    <x v="1"/>
    <s v="02/2022"/>
    <s v="SEC"/>
    <s v="BH Colorado Electric Oper Co"/>
    <s v="Regulated Electric (122)"/>
    <x v="2"/>
    <s v="Transmission Plant - Electric"/>
    <x v="4"/>
    <n v="6"/>
    <s v="135301 - Ele Trans Sub-Stn Eq GSU"/>
    <x v="75"/>
    <n v="0"/>
    <n v="0"/>
    <n v="0"/>
    <n v="0"/>
    <n v="0"/>
  </r>
  <r>
    <x v="1"/>
    <s v="02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1"/>
    <s v="02/2022"/>
    <s v="SEC"/>
    <s v="BH Colorado Electric Oper Co"/>
    <s v="Regulated Electric (122)"/>
    <x v="2"/>
    <s v="Transmission Plant - Electric"/>
    <x v="4"/>
    <n v="6"/>
    <s v="135500 - Ele Trans-Poles &amp; Fixtures"/>
    <x v="77"/>
    <n v="95875.81"/>
    <n v="-95875.81"/>
    <n v="0"/>
    <n v="0"/>
    <n v="0"/>
  </r>
  <r>
    <x v="1"/>
    <s v="02/2022"/>
    <s v="SEC"/>
    <s v="BH Colorado Electric Oper Co"/>
    <s v="Regulated Electric (122)"/>
    <x v="2"/>
    <s v="Transmission Plant - Electric"/>
    <x v="4"/>
    <n v="6"/>
    <s v="135600 - Ele Trans-OH Conductors"/>
    <x v="78"/>
    <n v="0"/>
    <n v="0"/>
    <n v="0"/>
    <n v="0"/>
    <n v="0"/>
  </r>
  <r>
    <x v="1"/>
    <s v="02/2022"/>
    <s v="SEC"/>
    <s v="BH Colorado Electric Oper Co"/>
    <s v="Regulated Electric (122)"/>
    <x v="2"/>
    <s v="Transmission Plant - Electric"/>
    <x v="4"/>
    <n v="6"/>
    <s v="135700 - Ele Trans-UG Conduit"/>
    <x v="79"/>
    <n v="0"/>
    <n v="0"/>
    <n v="0"/>
    <n v="0"/>
    <n v="0"/>
  </r>
  <r>
    <x v="1"/>
    <s v="02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2"/>
    <s v="03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2"/>
    <s v="03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2"/>
    <s v="03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2"/>
    <s v="03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2"/>
    <s v="03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2"/>
    <s v="03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2"/>
    <s v="03/2022"/>
    <s v="SEC"/>
    <s v="BH Colorado Electric Oper Co"/>
    <s v="Regulated Electric (122)"/>
    <x v="0"/>
    <s v="Transmission Plant - Electric"/>
    <x v="4"/>
    <n v="6"/>
    <s v="135300 - Ele Trans Sub-Station Equi"/>
    <x v="74"/>
    <n v="101590315.69"/>
    <n v="0"/>
    <n v="0"/>
    <n v="0"/>
    <n v="101590315.69"/>
  </r>
  <r>
    <x v="2"/>
    <s v="03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2"/>
    <s v="03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2"/>
    <s v="03/2022"/>
    <s v="SEC"/>
    <s v="BH Colorado Electric Oper Co"/>
    <s v="Regulated Electric (122)"/>
    <x v="0"/>
    <s v="Transmission Plant - Electric"/>
    <x v="4"/>
    <n v="6"/>
    <s v="135500 - Ele Trans-Poles &amp; Fixtures"/>
    <x v="77"/>
    <n v="55931448.68"/>
    <n v="3984.12"/>
    <n v="0"/>
    <n v="0"/>
    <n v="55935432.799999997"/>
  </r>
  <r>
    <x v="2"/>
    <s v="03/2022"/>
    <s v="SEC"/>
    <s v="BH Colorado Electric Oper Co"/>
    <s v="Regulated Electric (122)"/>
    <x v="0"/>
    <s v="Transmission Plant - Electric"/>
    <x v="4"/>
    <n v="6"/>
    <s v="135600 - Ele Trans-OH Conductors"/>
    <x v="78"/>
    <n v="54643054.32"/>
    <n v="2148.17"/>
    <n v="0"/>
    <n v="-1220.05"/>
    <n v="54643982.439999998"/>
  </r>
  <r>
    <x v="2"/>
    <s v="03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2"/>
    <s v="03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2"/>
    <s v="03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2"/>
    <s v="03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2"/>
    <s v="03/2022"/>
    <s v="SEC"/>
    <s v="BH Colorado Electric Oper Co"/>
    <s v="Regulated Electric (122)"/>
    <x v="2"/>
    <s v="Transmission Plant - Electric"/>
    <x v="4"/>
    <n v="6"/>
    <s v="135001 - Ele Trans-Land"/>
    <x v="68"/>
    <n v="0"/>
    <n v="0"/>
    <n v="0"/>
    <n v="0"/>
    <n v="0"/>
  </r>
  <r>
    <x v="2"/>
    <s v="03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2"/>
    <s v="03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2"/>
    <s v="03/2022"/>
    <s v="SEC"/>
    <s v="BH Colorado Electric Oper Co"/>
    <s v="Regulated Electric (122)"/>
    <x v="2"/>
    <s v="Transmission Plant - Electric"/>
    <x v="4"/>
    <n v="6"/>
    <s v="135300 - Ele Trans Sub-Station Equi"/>
    <x v="74"/>
    <n v="9842.32"/>
    <n v="64139.360000000001"/>
    <n v="0"/>
    <n v="0"/>
    <n v="73981.680000000008"/>
  </r>
  <r>
    <x v="2"/>
    <s v="03/2022"/>
    <s v="SEC"/>
    <s v="BH Colorado Electric Oper Co"/>
    <s v="Regulated Electric (122)"/>
    <x v="2"/>
    <s v="Transmission Plant - Electric"/>
    <x v="4"/>
    <n v="6"/>
    <s v="135301 - Ele Trans Sub-Stn Eq GSU"/>
    <x v="75"/>
    <n v="0"/>
    <n v="0"/>
    <n v="0"/>
    <n v="0"/>
    <n v="0"/>
  </r>
  <r>
    <x v="2"/>
    <s v="03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2"/>
    <s v="03/2022"/>
    <s v="SEC"/>
    <s v="BH Colorado Electric Oper Co"/>
    <s v="Regulated Electric (122)"/>
    <x v="2"/>
    <s v="Transmission Plant - Electric"/>
    <x v="4"/>
    <n v="6"/>
    <s v="135500 - Ele Trans-Poles &amp; Fixtures"/>
    <x v="77"/>
    <n v="0"/>
    <n v="25368.43"/>
    <n v="0"/>
    <n v="0"/>
    <n v="25368.43"/>
  </r>
  <r>
    <x v="2"/>
    <s v="03/2022"/>
    <s v="SEC"/>
    <s v="BH Colorado Electric Oper Co"/>
    <s v="Regulated Electric (122)"/>
    <x v="2"/>
    <s v="Transmission Plant - Electric"/>
    <x v="4"/>
    <n v="6"/>
    <s v="135600 - Ele Trans-OH Conductors"/>
    <x v="78"/>
    <n v="0"/>
    <n v="0"/>
    <n v="0"/>
    <n v="0"/>
    <n v="0"/>
  </r>
  <r>
    <x v="2"/>
    <s v="03/2022"/>
    <s v="SEC"/>
    <s v="BH Colorado Electric Oper Co"/>
    <s v="Regulated Electric (122)"/>
    <x v="2"/>
    <s v="Transmission Plant - Electric"/>
    <x v="4"/>
    <n v="6"/>
    <s v="135700 - Ele Trans-UG Conduit"/>
    <x v="79"/>
    <n v="0"/>
    <n v="4563.5"/>
    <n v="0"/>
    <n v="0"/>
    <n v="4563.5"/>
  </r>
  <r>
    <x v="2"/>
    <s v="03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3"/>
    <s v="04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3"/>
    <s v="04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3"/>
    <s v="04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3"/>
    <s v="04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3"/>
    <s v="04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3"/>
    <s v="04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3"/>
    <s v="04/2022"/>
    <s v="SEC"/>
    <s v="BH Colorado Electric Oper Co"/>
    <s v="Regulated Electric (122)"/>
    <x v="0"/>
    <s v="Transmission Plant - Electric"/>
    <x v="4"/>
    <n v="6"/>
    <s v="135300 - Ele Trans Sub-Station Equi"/>
    <x v="74"/>
    <n v="101590315.69"/>
    <n v="0"/>
    <n v="0"/>
    <n v="0"/>
    <n v="101590315.69"/>
  </r>
  <r>
    <x v="3"/>
    <s v="04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3"/>
    <s v="04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3"/>
    <s v="04/2022"/>
    <s v="SEC"/>
    <s v="BH Colorado Electric Oper Co"/>
    <s v="Regulated Electric (122)"/>
    <x v="0"/>
    <s v="Transmission Plant - Electric"/>
    <x v="4"/>
    <n v="6"/>
    <s v="135500 - Ele Trans-Poles &amp; Fixtures"/>
    <x v="77"/>
    <n v="55935432.799999997"/>
    <n v="0.6"/>
    <n v="0"/>
    <n v="0"/>
    <n v="55935433.399999999"/>
  </r>
  <r>
    <x v="3"/>
    <s v="04/2022"/>
    <s v="SEC"/>
    <s v="BH Colorado Electric Oper Co"/>
    <s v="Regulated Electric (122)"/>
    <x v="0"/>
    <s v="Transmission Plant - Electric"/>
    <x v="4"/>
    <n v="6"/>
    <s v="135600 - Ele Trans-OH Conductors"/>
    <x v="78"/>
    <n v="54643982.439999998"/>
    <n v="1290.1000000000001"/>
    <n v="0"/>
    <n v="0"/>
    <n v="54645272.539999999"/>
  </r>
  <r>
    <x v="3"/>
    <s v="04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3"/>
    <s v="04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3"/>
    <s v="04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3"/>
    <s v="04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3"/>
    <s v="04/2022"/>
    <s v="SEC"/>
    <s v="BH Colorado Electric Oper Co"/>
    <s v="Regulated Electric (122)"/>
    <x v="2"/>
    <s v="Transmission Plant - Electric"/>
    <x v="4"/>
    <n v="6"/>
    <s v="135001 - Ele Trans-Land"/>
    <x v="68"/>
    <n v="0"/>
    <n v="0"/>
    <n v="0"/>
    <n v="0"/>
    <n v="0"/>
  </r>
  <r>
    <x v="3"/>
    <s v="04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3"/>
    <s v="04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3"/>
    <s v="04/2022"/>
    <s v="SEC"/>
    <s v="BH Colorado Electric Oper Co"/>
    <s v="Regulated Electric (122)"/>
    <x v="2"/>
    <s v="Transmission Plant - Electric"/>
    <x v="4"/>
    <n v="6"/>
    <s v="135300 - Ele Trans Sub-Station Equi"/>
    <x v="74"/>
    <n v="73981.680000000008"/>
    <n v="2888007.4699999997"/>
    <n v="0"/>
    <n v="0"/>
    <n v="2961989.15"/>
  </r>
  <r>
    <x v="3"/>
    <s v="04/2022"/>
    <s v="SEC"/>
    <s v="BH Colorado Electric Oper Co"/>
    <s v="Regulated Electric (122)"/>
    <x v="2"/>
    <s v="Transmission Plant - Electric"/>
    <x v="4"/>
    <n v="6"/>
    <s v="135301 - Ele Trans Sub-Stn Eq GSU"/>
    <x v="75"/>
    <n v="0"/>
    <n v="0"/>
    <n v="0"/>
    <n v="0"/>
    <n v="0"/>
  </r>
  <r>
    <x v="3"/>
    <s v="04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3"/>
    <s v="04/2022"/>
    <s v="SEC"/>
    <s v="BH Colorado Electric Oper Co"/>
    <s v="Regulated Electric (122)"/>
    <x v="2"/>
    <s v="Transmission Plant - Electric"/>
    <x v="4"/>
    <n v="6"/>
    <s v="135500 - Ele Trans-Poles &amp; Fixtures"/>
    <x v="77"/>
    <n v="25368.43"/>
    <n v="8954357.8000000007"/>
    <n v="0"/>
    <n v="0"/>
    <n v="8979726.2300000004"/>
  </r>
  <r>
    <x v="3"/>
    <s v="04/2022"/>
    <s v="SEC"/>
    <s v="BH Colorado Electric Oper Co"/>
    <s v="Regulated Electric (122)"/>
    <x v="2"/>
    <s v="Transmission Plant - Electric"/>
    <x v="4"/>
    <n v="6"/>
    <s v="135600 - Ele Trans-OH Conductors"/>
    <x v="78"/>
    <n v="0"/>
    <n v="4477218.16"/>
    <n v="0"/>
    <n v="0"/>
    <n v="4477218.16"/>
  </r>
  <r>
    <x v="3"/>
    <s v="04/2022"/>
    <s v="SEC"/>
    <s v="BH Colorado Electric Oper Co"/>
    <s v="Regulated Electric (122)"/>
    <x v="2"/>
    <s v="Transmission Plant - Electric"/>
    <x v="4"/>
    <n v="6"/>
    <s v="135700 - Ele Trans-UG Conduit"/>
    <x v="79"/>
    <n v="4563.5"/>
    <n v="-1.61"/>
    <n v="0"/>
    <n v="0"/>
    <n v="4561.8900000000003"/>
  </r>
  <r>
    <x v="3"/>
    <s v="04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4"/>
    <s v="05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4"/>
    <s v="05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4"/>
    <s v="05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4"/>
    <s v="05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4"/>
    <s v="05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4"/>
    <s v="05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4"/>
    <s v="05/2022"/>
    <s v="SEC"/>
    <s v="BH Colorado Electric Oper Co"/>
    <s v="Regulated Electric (122)"/>
    <x v="0"/>
    <s v="Transmission Plant - Electric"/>
    <x v="4"/>
    <n v="6"/>
    <s v="135300 - Ele Trans Sub-Station Equi"/>
    <x v="74"/>
    <n v="101590315.69"/>
    <n v="0"/>
    <n v="0"/>
    <n v="15497.42"/>
    <n v="101605813.11"/>
  </r>
  <r>
    <x v="4"/>
    <s v="05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4"/>
    <s v="05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4"/>
    <s v="05/2022"/>
    <s v="SEC"/>
    <s v="BH Colorado Electric Oper Co"/>
    <s v="Regulated Electric (122)"/>
    <x v="0"/>
    <s v="Transmission Plant - Electric"/>
    <x v="4"/>
    <n v="6"/>
    <s v="135500 - Ele Trans-Poles &amp; Fixtures"/>
    <x v="77"/>
    <n v="55935433.399999999"/>
    <n v="7192.75"/>
    <n v="0"/>
    <n v="0"/>
    <n v="55942626.149999999"/>
  </r>
  <r>
    <x v="4"/>
    <s v="05/2022"/>
    <s v="SEC"/>
    <s v="BH Colorado Electric Oper Co"/>
    <s v="Regulated Electric (122)"/>
    <x v="0"/>
    <s v="Transmission Plant - Electric"/>
    <x v="4"/>
    <n v="6"/>
    <s v="135600 - Ele Trans-OH Conductors"/>
    <x v="78"/>
    <n v="54645272.539999999"/>
    <n v="3865.08"/>
    <n v="0"/>
    <n v="0"/>
    <n v="54649137.619999997"/>
  </r>
  <r>
    <x v="4"/>
    <s v="05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4"/>
    <s v="05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4"/>
    <s v="05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4"/>
    <s v="05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4"/>
    <s v="05/2022"/>
    <s v="SEC"/>
    <s v="BH Colorado Electric Oper Co"/>
    <s v="Regulated Electric (122)"/>
    <x v="2"/>
    <s v="Transmission Plant - Electric"/>
    <x v="4"/>
    <n v="6"/>
    <s v="135001 - Ele Trans-Land"/>
    <x v="68"/>
    <n v="0"/>
    <n v="0"/>
    <n v="0"/>
    <n v="0"/>
    <n v="0"/>
  </r>
  <r>
    <x v="4"/>
    <s v="05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4"/>
    <s v="05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4"/>
    <s v="05/2022"/>
    <s v="SEC"/>
    <s v="BH Colorado Electric Oper Co"/>
    <s v="Regulated Electric (122)"/>
    <x v="2"/>
    <s v="Transmission Plant - Electric"/>
    <x v="4"/>
    <n v="6"/>
    <s v="135300 - Ele Trans Sub-Station Equi"/>
    <x v="74"/>
    <n v="2961989.15"/>
    <n v="159054.33000000002"/>
    <n v="0"/>
    <n v="0"/>
    <n v="3121043.48"/>
  </r>
  <r>
    <x v="4"/>
    <s v="05/2022"/>
    <s v="SEC"/>
    <s v="BH Colorado Electric Oper Co"/>
    <s v="Regulated Electric (122)"/>
    <x v="2"/>
    <s v="Transmission Plant - Electric"/>
    <x v="4"/>
    <n v="6"/>
    <s v="135301 - Ele Trans Sub-Stn Eq GSU"/>
    <x v="75"/>
    <n v="0"/>
    <n v="172989.45"/>
    <n v="0"/>
    <n v="0"/>
    <n v="172989.45"/>
  </r>
  <r>
    <x v="4"/>
    <s v="05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4"/>
    <s v="05/2022"/>
    <s v="SEC"/>
    <s v="BH Colorado Electric Oper Co"/>
    <s v="Regulated Electric (122)"/>
    <x v="2"/>
    <s v="Transmission Plant - Electric"/>
    <x v="4"/>
    <n v="6"/>
    <s v="135500 - Ele Trans-Poles &amp; Fixtures"/>
    <x v="77"/>
    <n v="8979726.2300000004"/>
    <n v="280489.82"/>
    <n v="0"/>
    <n v="0"/>
    <n v="9260216.0500000007"/>
  </r>
  <r>
    <x v="4"/>
    <s v="05/2022"/>
    <s v="SEC"/>
    <s v="BH Colorado Electric Oper Co"/>
    <s v="Regulated Electric (122)"/>
    <x v="2"/>
    <s v="Transmission Plant - Electric"/>
    <x v="4"/>
    <n v="6"/>
    <s v="135600 - Ele Trans-OH Conductors"/>
    <x v="78"/>
    <n v="4477218.16"/>
    <n v="40834.050000000003"/>
    <n v="0"/>
    <n v="0"/>
    <n v="4518052.21"/>
  </r>
  <r>
    <x v="4"/>
    <s v="05/2022"/>
    <s v="SEC"/>
    <s v="BH Colorado Electric Oper Co"/>
    <s v="Regulated Electric (122)"/>
    <x v="2"/>
    <s v="Transmission Plant - Electric"/>
    <x v="4"/>
    <n v="6"/>
    <s v="135700 - Ele Trans-UG Conduit"/>
    <x v="79"/>
    <n v="4561.8900000000003"/>
    <n v="0"/>
    <n v="0"/>
    <n v="0"/>
    <n v="4561.8900000000003"/>
  </r>
  <r>
    <x v="4"/>
    <s v="05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5"/>
    <s v="06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5"/>
    <s v="06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5"/>
    <s v="06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5"/>
    <s v="06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5"/>
    <s v="06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5"/>
    <s v="06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5"/>
    <s v="06/2022"/>
    <s v="SEC"/>
    <s v="BH Colorado Electric Oper Co"/>
    <s v="Regulated Electric (122)"/>
    <x v="0"/>
    <s v="Transmission Plant - Electric"/>
    <x v="4"/>
    <n v="6"/>
    <s v="135300 - Ele Trans Sub-Station Equi"/>
    <x v="74"/>
    <n v="101605813.11"/>
    <n v="0"/>
    <n v="0"/>
    <n v="0"/>
    <n v="101605813.11"/>
  </r>
  <r>
    <x v="5"/>
    <s v="06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5"/>
    <s v="06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5"/>
    <s v="06/2022"/>
    <s v="SEC"/>
    <s v="BH Colorado Electric Oper Co"/>
    <s v="Regulated Electric (122)"/>
    <x v="0"/>
    <s v="Transmission Plant - Electric"/>
    <x v="4"/>
    <n v="6"/>
    <s v="135500 - Ele Trans-Poles &amp; Fixtures"/>
    <x v="77"/>
    <n v="55942626.149999999"/>
    <n v="12757.9"/>
    <n v="0"/>
    <n v="0"/>
    <n v="55955384.049999997"/>
  </r>
  <r>
    <x v="5"/>
    <s v="06/2022"/>
    <s v="SEC"/>
    <s v="BH Colorado Electric Oper Co"/>
    <s v="Regulated Electric (122)"/>
    <x v="0"/>
    <s v="Transmission Plant - Electric"/>
    <x v="4"/>
    <n v="6"/>
    <s v="135600 - Ele Trans-OH Conductors"/>
    <x v="78"/>
    <n v="54649137.619999997"/>
    <n v="10890.550000000001"/>
    <n v="0"/>
    <n v="0"/>
    <n v="54660028.170000002"/>
  </r>
  <r>
    <x v="5"/>
    <s v="06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5"/>
    <s v="06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5"/>
    <s v="06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5"/>
    <s v="06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5"/>
    <s v="06/2022"/>
    <s v="SEC"/>
    <s v="BH Colorado Electric Oper Co"/>
    <s v="Regulated Electric (122)"/>
    <x v="2"/>
    <s v="Transmission Plant - Electric"/>
    <x v="4"/>
    <n v="6"/>
    <s v="135001 - Ele Trans-Land"/>
    <x v="68"/>
    <n v="0"/>
    <n v="0"/>
    <n v="0"/>
    <n v="0"/>
    <n v="0"/>
  </r>
  <r>
    <x v="5"/>
    <s v="06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5"/>
    <s v="06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5"/>
    <s v="06/2022"/>
    <s v="SEC"/>
    <s v="BH Colorado Electric Oper Co"/>
    <s v="Regulated Electric (122)"/>
    <x v="2"/>
    <s v="Transmission Plant - Electric"/>
    <x v="4"/>
    <n v="6"/>
    <s v="135300 - Ele Trans Sub-Station Equi"/>
    <x v="74"/>
    <n v="3121043.48"/>
    <n v="34442.25"/>
    <n v="0"/>
    <n v="0"/>
    <n v="3155485.73"/>
  </r>
  <r>
    <x v="5"/>
    <s v="06/2022"/>
    <s v="SEC"/>
    <s v="BH Colorado Electric Oper Co"/>
    <s v="Regulated Electric (122)"/>
    <x v="2"/>
    <s v="Transmission Plant - Electric"/>
    <x v="4"/>
    <n v="6"/>
    <s v="135301 - Ele Trans Sub-Stn Eq GSU"/>
    <x v="75"/>
    <n v="172989.45"/>
    <n v="13372.59"/>
    <n v="0"/>
    <n v="0"/>
    <n v="186362.04"/>
  </r>
  <r>
    <x v="5"/>
    <s v="06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5"/>
    <s v="06/2022"/>
    <s v="SEC"/>
    <s v="BH Colorado Electric Oper Co"/>
    <s v="Regulated Electric (122)"/>
    <x v="2"/>
    <s v="Transmission Plant - Electric"/>
    <x v="4"/>
    <n v="6"/>
    <s v="135500 - Ele Trans-Poles &amp; Fixtures"/>
    <x v="77"/>
    <n v="9260216.0500000007"/>
    <n v="878289.22"/>
    <n v="0"/>
    <n v="0"/>
    <n v="10138505.27"/>
  </r>
  <r>
    <x v="5"/>
    <s v="06/2022"/>
    <s v="SEC"/>
    <s v="BH Colorado Electric Oper Co"/>
    <s v="Regulated Electric (122)"/>
    <x v="2"/>
    <s v="Transmission Plant - Electric"/>
    <x v="4"/>
    <n v="6"/>
    <s v="135600 - Ele Trans-OH Conductors"/>
    <x v="78"/>
    <n v="4518052.21"/>
    <n v="435123.88"/>
    <n v="0"/>
    <n v="0"/>
    <n v="4953176.09"/>
  </r>
  <r>
    <x v="5"/>
    <s v="06/2022"/>
    <s v="SEC"/>
    <s v="BH Colorado Electric Oper Co"/>
    <s v="Regulated Electric (122)"/>
    <x v="2"/>
    <s v="Transmission Plant - Electric"/>
    <x v="4"/>
    <n v="6"/>
    <s v="135700 - Ele Trans-UG Conduit"/>
    <x v="79"/>
    <n v="4561.8900000000003"/>
    <n v="0"/>
    <n v="0"/>
    <n v="0"/>
    <n v="4561.8900000000003"/>
  </r>
  <r>
    <x v="5"/>
    <s v="06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6"/>
    <s v="07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6"/>
    <s v="07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6"/>
    <s v="07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6"/>
    <s v="07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6"/>
    <s v="07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6"/>
    <s v="07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6"/>
    <s v="07/2022"/>
    <s v="SEC"/>
    <s v="BH Colorado Electric Oper Co"/>
    <s v="Regulated Electric (122)"/>
    <x v="0"/>
    <s v="Transmission Plant - Electric"/>
    <x v="4"/>
    <n v="6"/>
    <s v="135300 - Ele Trans Sub-Station Equi"/>
    <x v="74"/>
    <n v="101605813.11"/>
    <n v="0"/>
    <n v="0"/>
    <n v="0"/>
    <n v="101605813.11"/>
  </r>
  <r>
    <x v="6"/>
    <s v="07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6"/>
    <s v="07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6"/>
    <s v="07/2022"/>
    <s v="SEC"/>
    <s v="BH Colorado Electric Oper Co"/>
    <s v="Regulated Electric (122)"/>
    <x v="0"/>
    <s v="Transmission Plant - Electric"/>
    <x v="4"/>
    <n v="6"/>
    <s v="135500 - Ele Trans-Poles &amp; Fixtures"/>
    <x v="77"/>
    <n v="55955384.049999997"/>
    <n v="143.64000000000001"/>
    <n v="0"/>
    <n v="0"/>
    <n v="55955527.689999998"/>
  </r>
  <r>
    <x v="6"/>
    <s v="07/2022"/>
    <s v="SEC"/>
    <s v="BH Colorado Electric Oper Co"/>
    <s v="Regulated Electric (122)"/>
    <x v="0"/>
    <s v="Transmission Plant - Electric"/>
    <x v="4"/>
    <n v="6"/>
    <s v="135600 - Ele Trans-OH Conductors"/>
    <x v="78"/>
    <n v="54660028.170000002"/>
    <n v="79.81"/>
    <n v="0"/>
    <n v="0"/>
    <n v="54660107.979999997"/>
  </r>
  <r>
    <x v="6"/>
    <s v="07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6"/>
    <s v="07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6"/>
    <s v="07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6"/>
    <s v="07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6"/>
    <s v="07/2022"/>
    <s v="SEC"/>
    <s v="BH Colorado Electric Oper Co"/>
    <s v="Regulated Electric (122)"/>
    <x v="2"/>
    <s v="Transmission Plant - Electric"/>
    <x v="4"/>
    <n v="6"/>
    <s v="135001 - Ele Trans-Land"/>
    <x v="68"/>
    <n v="0"/>
    <n v="0"/>
    <n v="0"/>
    <n v="0"/>
    <n v="0"/>
  </r>
  <r>
    <x v="6"/>
    <s v="07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6"/>
    <s v="07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6"/>
    <s v="07/2022"/>
    <s v="SEC"/>
    <s v="BH Colorado Electric Oper Co"/>
    <s v="Regulated Electric (122)"/>
    <x v="2"/>
    <s v="Transmission Plant - Electric"/>
    <x v="4"/>
    <n v="6"/>
    <s v="135300 - Ele Trans Sub-Station Equi"/>
    <x v="74"/>
    <n v="3155485.73"/>
    <n v="101487.95"/>
    <n v="0"/>
    <n v="0"/>
    <n v="3256973.68"/>
  </r>
  <r>
    <x v="6"/>
    <s v="07/2022"/>
    <s v="SEC"/>
    <s v="BH Colorado Electric Oper Co"/>
    <s v="Regulated Electric (122)"/>
    <x v="2"/>
    <s v="Transmission Plant - Electric"/>
    <x v="4"/>
    <n v="6"/>
    <s v="135301 - Ele Trans Sub-Stn Eq GSU"/>
    <x v="75"/>
    <n v="186362.04"/>
    <n v="-1746.6200000000001"/>
    <n v="0"/>
    <n v="0"/>
    <n v="184615.42"/>
  </r>
  <r>
    <x v="6"/>
    <s v="07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6"/>
    <s v="07/2022"/>
    <s v="SEC"/>
    <s v="BH Colorado Electric Oper Co"/>
    <s v="Regulated Electric (122)"/>
    <x v="2"/>
    <s v="Transmission Plant - Electric"/>
    <x v="4"/>
    <n v="6"/>
    <s v="135500 - Ele Trans-Poles &amp; Fixtures"/>
    <x v="77"/>
    <n v="10138505.27"/>
    <n v="73694.64"/>
    <n v="0"/>
    <n v="0"/>
    <n v="10212199.91"/>
  </r>
  <r>
    <x v="6"/>
    <s v="07/2022"/>
    <s v="SEC"/>
    <s v="BH Colorado Electric Oper Co"/>
    <s v="Regulated Electric (122)"/>
    <x v="2"/>
    <s v="Transmission Plant - Electric"/>
    <x v="4"/>
    <n v="6"/>
    <s v="135600 - Ele Trans-OH Conductors"/>
    <x v="78"/>
    <n v="4953176.09"/>
    <n v="36998.620000000003"/>
    <n v="0"/>
    <n v="0"/>
    <n v="4990174.71"/>
  </r>
  <r>
    <x v="6"/>
    <s v="07/2022"/>
    <s v="SEC"/>
    <s v="BH Colorado Electric Oper Co"/>
    <s v="Regulated Electric (122)"/>
    <x v="2"/>
    <s v="Transmission Plant - Electric"/>
    <x v="4"/>
    <n v="6"/>
    <s v="135700 - Ele Trans-UG Conduit"/>
    <x v="79"/>
    <n v="4561.8900000000003"/>
    <n v="0"/>
    <n v="0"/>
    <n v="0"/>
    <n v="4561.8900000000003"/>
  </r>
  <r>
    <x v="6"/>
    <s v="07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7"/>
    <s v="08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7"/>
    <s v="08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7"/>
    <s v="08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7"/>
    <s v="08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7"/>
    <s v="08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7"/>
    <s v="08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7"/>
    <s v="08/2022"/>
    <s v="SEC"/>
    <s v="BH Colorado Electric Oper Co"/>
    <s v="Regulated Electric (122)"/>
    <x v="0"/>
    <s v="Transmission Plant - Electric"/>
    <x v="4"/>
    <n v="6"/>
    <s v="135300 - Ele Trans Sub-Station Equi"/>
    <x v="74"/>
    <n v="101605813.11"/>
    <n v="9275.64"/>
    <n v="0"/>
    <n v="0"/>
    <n v="101615088.75"/>
  </r>
  <r>
    <x v="7"/>
    <s v="08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7"/>
    <s v="08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7"/>
    <s v="08/2022"/>
    <s v="SEC"/>
    <s v="BH Colorado Electric Oper Co"/>
    <s v="Regulated Electric (122)"/>
    <x v="0"/>
    <s v="Transmission Plant - Electric"/>
    <x v="4"/>
    <n v="6"/>
    <s v="135500 - Ele Trans-Poles &amp; Fixtures"/>
    <x v="77"/>
    <n v="55955527.689999998"/>
    <n v="25289.97"/>
    <n v="0"/>
    <n v="0"/>
    <n v="55980817.659999996"/>
  </r>
  <r>
    <x v="7"/>
    <s v="08/2022"/>
    <s v="SEC"/>
    <s v="BH Colorado Electric Oper Co"/>
    <s v="Regulated Electric (122)"/>
    <x v="0"/>
    <s v="Transmission Plant - Electric"/>
    <x v="4"/>
    <n v="6"/>
    <s v="135600 - Ele Trans-OH Conductors"/>
    <x v="78"/>
    <n v="54660107.979999997"/>
    <n v="64706.04"/>
    <n v="0"/>
    <n v="0"/>
    <n v="54724814.020000003"/>
  </r>
  <r>
    <x v="7"/>
    <s v="08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7"/>
    <s v="08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7"/>
    <s v="08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7"/>
    <s v="08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7"/>
    <s v="08/2022"/>
    <s v="SEC"/>
    <s v="BH Colorado Electric Oper Co"/>
    <s v="Regulated Electric (122)"/>
    <x v="2"/>
    <s v="Transmission Plant - Electric"/>
    <x v="4"/>
    <n v="6"/>
    <s v="135001 - Ele Trans-Land"/>
    <x v="68"/>
    <n v="0"/>
    <n v="0"/>
    <n v="0"/>
    <n v="0"/>
    <n v="0"/>
  </r>
  <r>
    <x v="7"/>
    <s v="08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7"/>
    <s v="08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7"/>
    <s v="08/2022"/>
    <s v="SEC"/>
    <s v="BH Colorado Electric Oper Co"/>
    <s v="Regulated Electric (122)"/>
    <x v="2"/>
    <s v="Transmission Plant - Electric"/>
    <x v="4"/>
    <n v="6"/>
    <s v="135300 - Ele Trans Sub-Station Equi"/>
    <x v="74"/>
    <n v="3256973.68"/>
    <n v="-76393.3"/>
    <n v="0"/>
    <n v="0"/>
    <n v="3180580.38"/>
  </r>
  <r>
    <x v="7"/>
    <s v="08/2022"/>
    <s v="SEC"/>
    <s v="BH Colorado Electric Oper Co"/>
    <s v="Regulated Electric (122)"/>
    <x v="2"/>
    <s v="Transmission Plant - Electric"/>
    <x v="4"/>
    <n v="6"/>
    <s v="135301 - Ele Trans Sub-Stn Eq GSU"/>
    <x v="75"/>
    <n v="184615.42"/>
    <n v="0"/>
    <n v="0"/>
    <n v="0"/>
    <n v="184615.42"/>
  </r>
  <r>
    <x v="7"/>
    <s v="08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7"/>
    <s v="08/2022"/>
    <s v="SEC"/>
    <s v="BH Colorado Electric Oper Co"/>
    <s v="Regulated Electric (122)"/>
    <x v="2"/>
    <s v="Transmission Plant - Electric"/>
    <x v="4"/>
    <n v="6"/>
    <s v="135500 - Ele Trans-Poles &amp; Fixtures"/>
    <x v="77"/>
    <n v="10212199.91"/>
    <n v="-12734.06"/>
    <n v="0"/>
    <n v="0"/>
    <n v="10199465.85"/>
  </r>
  <r>
    <x v="7"/>
    <s v="08/2022"/>
    <s v="SEC"/>
    <s v="BH Colorado Electric Oper Co"/>
    <s v="Regulated Electric (122)"/>
    <x v="2"/>
    <s v="Transmission Plant - Electric"/>
    <x v="4"/>
    <n v="6"/>
    <s v="135600 - Ele Trans-OH Conductors"/>
    <x v="78"/>
    <n v="4990174.71"/>
    <n v="6284.37"/>
    <n v="0"/>
    <n v="0"/>
    <n v="4996459.08"/>
  </r>
  <r>
    <x v="7"/>
    <s v="08/2022"/>
    <s v="SEC"/>
    <s v="BH Colorado Electric Oper Co"/>
    <s v="Regulated Electric (122)"/>
    <x v="2"/>
    <s v="Transmission Plant - Electric"/>
    <x v="4"/>
    <n v="6"/>
    <s v="135700 - Ele Trans-UG Conduit"/>
    <x v="79"/>
    <n v="4561.8900000000003"/>
    <n v="-4561.8900000000003"/>
    <n v="0"/>
    <n v="0"/>
    <n v="0"/>
  </r>
  <r>
    <x v="7"/>
    <s v="08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8"/>
    <s v="09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8"/>
    <s v="09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8"/>
    <s v="09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8"/>
    <s v="09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8"/>
    <s v="09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8"/>
    <s v="09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8"/>
    <s v="09/2022"/>
    <s v="SEC"/>
    <s v="BH Colorado Electric Oper Co"/>
    <s v="Regulated Electric (122)"/>
    <x v="0"/>
    <s v="Transmission Plant - Electric"/>
    <x v="4"/>
    <n v="6"/>
    <s v="135300 - Ele Trans Sub-Station Equi"/>
    <x v="74"/>
    <n v="101615088.75"/>
    <n v="297777.89"/>
    <n v="0"/>
    <n v="0"/>
    <n v="101912866.64"/>
  </r>
  <r>
    <x v="8"/>
    <s v="09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8"/>
    <s v="09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8"/>
    <s v="09/2022"/>
    <s v="SEC"/>
    <s v="BH Colorado Electric Oper Co"/>
    <s v="Regulated Electric (122)"/>
    <x v="0"/>
    <s v="Transmission Plant - Electric"/>
    <x v="4"/>
    <n v="6"/>
    <s v="135500 - Ele Trans-Poles &amp; Fixtures"/>
    <x v="77"/>
    <n v="55980817.659999996"/>
    <n v="107146.14"/>
    <n v="0"/>
    <n v="0"/>
    <n v="56087963.799999997"/>
  </r>
  <r>
    <x v="8"/>
    <s v="09/2022"/>
    <s v="SEC"/>
    <s v="BH Colorado Electric Oper Co"/>
    <s v="Regulated Electric (122)"/>
    <x v="0"/>
    <s v="Transmission Plant - Electric"/>
    <x v="4"/>
    <n v="6"/>
    <s v="135600 - Ele Trans-OH Conductors"/>
    <x v="78"/>
    <n v="54724814.020000003"/>
    <n v="0"/>
    <n v="0"/>
    <n v="0"/>
    <n v="54724814.020000003"/>
  </r>
  <r>
    <x v="8"/>
    <s v="09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8"/>
    <s v="09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8"/>
    <s v="09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8"/>
    <s v="09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8"/>
    <s v="09/2022"/>
    <s v="SEC"/>
    <s v="BH Colorado Electric Oper Co"/>
    <s v="Regulated Electric (122)"/>
    <x v="2"/>
    <s v="Transmission Plant - Electric"/>
    <x v="4"/>
    <n v="6"/>
    <s v="135001 - Ele Trans-Land"/>
    <x v="68"/>
    <n v="0"/>
    <n v="0"/>
    <n v="0"/>
    <n v="0"/>
    <n v="0"/>
  </r>
  <r>
    <x v="8"/>
    <s v="09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8"/>
    <s v="09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8"/>
    <s v="09/2022"/>
    <s v="SEC"/>
    <s v="BH Colorado Electric Oper Co"/>
    <s v="Regulated Electric (122)"/>
    <x v="2"/>
    <s v="Transmission Plant - Electric"/>
    <x v="4"/>
    <n v="6"/>
    <s v="135300 - Ele Trans Sub-Station Equi"/>
    <x v="74"/>
    <n v="3180580.38"/>
    <n v="-107031.93000000001"/>
    <n v="0"/>
    <n v="0"/>
    <n v="3073548.45"/>
  </r>
  <r>
    <x v="8"/>
    <s v="09/2022"/>
    <s v="SEC"/>
    <s v="BH Colorado Electric Oper Co"/>
    <s v="Regulated Electric (122)"/>
    <x v="2"/>
    <s v="Transmission Plant - Electric"/>
    <x v="4"/>
    <n v="6"/>
    <s v="135301 - Ele Trans Sub-Stn Eq GSU"/>
    <x v="75"/>
    <n v="184615.42"/>
    <n v="-184615.42"/>
    <n v="0"/>
    <n v="0"/>
    <n v="0"/>
  </r>
  <r>
    <x v="8"/>
    <s v="09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8"/>
    <s v="09/2022"/>
    <s v="SEC"/>
    <s v="BH Colorado Electric Oper Co"/>
    <s v="Regulated Electric (122)"/>
    <x v="2"/>
    <s v="Transmission Plant - Electric"/>
    <x v="4"/>
    <n v="6"/>
    <s v="135500 - Ele Trans-Poles &amp; Fixtures"/>
    <x v="77"/>
    <n v="10199465.85"/>
    <n v="-134611.34"/>
    <n v="0"/>
    <n v="0"/>
    <n v="10064854.51"/>
  </r>
  <r>
    <x v="8"/>
    <s v="09/2022"/>
    <s v="SEC"/>
    <s v="BH Colorado Electric Oper Co"/>
    <s v="Regulated Electric (122)"/>
    <x v="2"/>
    <s v="Transmission Plant - Electric"/>
    <x v="4"/>
    <n v="6"/>
    <s v="135600 - Ele Trans-OH Conductors"/>
    <x v="78"/>
    <n v="4996459.08"/>
    <n v="-13732.6"/>
    <n v="0"/>
    <n v="0"/>
    <n v="4982726.4800000004"/>
  </r>
  <r>
    <x v="8"/>
    <s v="09/2022"/>
    <s v="SEC"/>
    <s v="BH Colorado Electric Oper Co"/>
    <s v="Regulated Electric (122)"/>
    <x v="2"/>
    <s v="Transmission Plant - Electric"/>
    <x v="4"/>
    <n v="6"/>
    <s v="135700 - Ele Trans-UG Conduit"/>
    <x v="79"/>
    <n v="0"/>
    <n v="0"/>
    <n v="0"/>
    <n v="0"/>
    <n v="0"/>
  </r>
  <r>
    <x v="8"/>
    <s v="09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9"/>
    <s v="10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0"/>
    <n v="0"/>
    <n v="0"/>
    <n v="1988509.0899999999"/>
  </r>
  <r>
    <x v="9"/>
    <s v="10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9"/>
    <s v="10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9"/>
    <s v="10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9"/>
    <s v="10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9"/>
    <s v="10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9"/>
    <s v="10/2022"/>
    <s v="SEC"/>
    <s v="BH Colorado Electric Oper Co"/>
    <s v="Regulated Electric (122)"/>
    <x v="0"/>
    <s v="Transmission Plant - Electric"/>
    <x v="4"/>
    <n v="6"/>
    <s v="135300 - Ele Trans Sub-Station Equi"/>
    <x v="74"/>
    <n v="101912866.64"/>
    <n v="0"/>
    <n v="0"/>
    <n v="0"/>
    <n v="101912866.64"/>
  </r>
  <r>
    <x v="9"/>
    <s v="10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9"/>
    <s v="10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9"/>
    <s v="10/2022"/>
    <s v="SEC"/>
    <s v="BH Colorado Electric Oper Co"/>
    <s v="Regulated Electric (122)"/>
    <x v="0"/>
    <s v="Transmission Plant - Electric"/>
    <x v="4"/>
    <n v="6"/>
    <s v="135500 - Ele Trans-Poles &amp; Fixtures"/>
    <x v="77"/>
    <n v="56087963.799999997"/>
    <n v="87253.400000000009"/>
    <n v="0"/>
    <n v="0"/>
    <n v="56175217.200000003"/>
  </r>
  <r>
    <x v="9"/>
    <s v="10/2022"/>
    <s v="SEC"/>
    <s v="BH Colorado Electric Oper Co"/>
    <s v="Regulated Electric (122)"/>
    <x v="0"/>
    <s v="Transmission Plant - Electric"/>
    <x v="4"/>
    <n v="6"/>
    <s v="135600 - Ele Trans-OH Conductors"/>
    <x v="78"/>
    <n v="54724814.020000003"/>
    <n v="0"/>
    <n v="0"/>
    <n v="0"/>
    <n v="54724814.020000003"/>
  </r>
  <r>
    <x v="9"/>
    <s v="10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9"/>
    <s v="10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9"/>
    <s v="10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9"/>
    <s v="10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9"/>
    <s v="10/2022"/>
    <s v="SEC"/>
    <s v="BH Colorado Electric Oper Co"/>
    <s v="Regulated Electric (122)"/>
    <x v="2"/>
    <s v="Transmission Plant - Electric"/>
    <x v="4"/>
    <n v="6"/>
    <s v="135001 - Ele Trans-Land"/>
    <x v="68"/>
    <n v="0"/>
    <n v="1081662.08"/>
    <n v="0"/>
    <n v="0"/>
    <n v="1081662.08"/>
  </r>
  <r>
    <x v="9"/>
    <s v="10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9"/>
    <s v="10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9"/>
    <s v="10/2022"/>
    <s v="SEC"/>
    <s v="BH Colorado Electric Oper Co"/>
    <s v="Regulated Electric (122)"/>
    <x v="2"/>
    <s v="Transmission Plant - Electric"/>
    <x v="4"/>
    <n v="6"/>
    <s v="135300 - Ele Trans Sub-Station Equi"/>
    <x v="74"/>
    <n v="3073548.45"/>
    <n v="960.33"/>
    <n v="0"/>
    <n v="0"/>
    <n v="3074508.78"/>
  </r>
  <r>
    <x v="9"/>
    <s v="10/2022"/>
    <s v="SEC"/>
    <s v="BH Colorado Electric Oper Co"/>
    <s v="Regulated Electric (122)"/>
    <x v="2"/>
    <s v="Transmission Plant - Electric"/>
    <x v="4"/>
    <n v="6"/>
    <s v="135301 - Ele Trans Sub-Stn Eq GSU"/>
    <x v="75"/>
    <n v="0"/>
    <n v="0"/>
    <n v="0"/>
    <n v="0"/>
    <n v="0"/>
  </r>
  <r>
    <x v="9"/>
    <s v="10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9"/>
    <s v="10/2022"/>
    <s v="SEC"/>
    <s v="BH Colorado Electric Oper Co"/>
    <s v="Regulated Electric (122)"/>
    <x v="2"/>
    <s v="Transmission Plant - Electric"/>
    <x v="4"/>
    <n v="6"/>
    <s v="135500 - Ele Trans-Poles &amp; Fixtures"/>
    <x v="77"/>
    <n v="10064854.51"/>
    <n v="-84233.430000000008"/>
    <n v="0"/>
    <n v="0"/>
    <n v="9980621.0800000001"/>
  </r>
  <r>
    <x v="9"/>
    <s v="10/2022"/>
    <s v="SEC"/>
    <s v="BH Colorado Electric Oper Co"/>
    <s v="Regulated Electric (122)"/>
    <x v="2"/>
    <s v="Transmission Plant - Electric"/>
    <x v="4"/>
    <n v="6"/>
    <s v="135600 - Ele Trans-OH Conductors"/>
    <x v="78"/>
    <n v="4982726.4800000004"/>
    <n v="2219.89"/>
    <n v="0"/>
    <n v="0"/>
    <n v="4984946.37"/>
  </r>
  <r>
    <x v="9"/>
    <s v="10/2022"/>
    <s v="SEC"/>
    <s v="BH Colorado Electric Oper Co"/>
    <s v="Regulated Electric (122)"/>
    <x v="2"/>
    <s v="Transmission Plant - Electric"/>
    <x v="4"/>
    <n v="6"/>
    <s v="135700 - Ele Trans-UG Conduit"/>
    <x v="79"/>
    <n v="0"/>
    <n v="0"/>
    <n v="0"/>
    <n v="0"/>
    <n v="0"/>
  </r>
  <r>
    <x v="9"/>
    <s v="10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10"/>
    <s v="11/2022"/>
    <s v="SEC"/>
    <s v="BH Colorado Electric Oper Co"/>
    <s v="Regulated Electric (122)"/>
    <x v="0"/>
    <s v="Transmission Plant - Electric"/>
    <x v="4"/>
    <n v="6"/>
    <s v="135001 - Ele Trans-Land"/>
    <x v="68"/>
    <n v="1988509.0899999999"/>
    <n v="1089295.06"/>
    <n v="0"/>
    <n v="0"/>
    <n v="3077804.15"/>
  </r>
  <r>
    <x v="10"/>
    <s v="11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10"/>
    <s v="11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10"/>
    <s v="11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10"/>
    <s v="11/2022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22700.37"/>
    <n v="0"/>
    <n v="0"/>
    <n v="296854.7"/>
  </r>
  <r>
    <x v="10"/>
    <s v="11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10"/>
    <s v="11/2022"/>
    <s v="SEC"/>
    <s v="BH Colorado Electric Oper Co"/>
    <s v="Regulated Electric (122)"/>
    <x v="0"/>
    <s v="Transmission Plant - Electric"/>
    <x v="4"/>
    <n v="6"/>
    <s v="135300 - Ele Trans Sub-Station Equi"/>
    <x v="74"/>
    <n v="101912866.64"/>
    <n v="866049.69000000006"/>
    <n v="-80242.84"/>
    <n v="0"/>
    <n v="102698673.48999999"/>
  </r>
  <r>
    <x v="10"/>
    <s v="11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10"/>
    <s v="11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10"/>
    <s v="11/2022"/>
    <s v="SEC"/>
    <s v="BH Colorado Electric Oper Co"/>
    <s v="Regulated Electric (122)"/>
    <x v="0"/>
    <s v="Transmission Plant - Electric"/>
    <x v="4"/>
    <n v="6"/>
    <s v="135500 - Ele Trans-Poles &amp; Fixtures"/>
    <x v="77"/>
    <n v="56175217.200000003"/>
    <n v="10728.37"/>
    <n v="0"/>
    <n v="0"/>
    <n v="56185945.57"/>
  </r>
  <r>
    <x v="10"/>
    <s v="11/2022"/>
    <s v="SEC"/>
    <s v="BH Colorado Electric Oper Co"/>
    <s v="Regulated Electric (122)"/>
    <x v="0"/>
    <s v="Transmission Plant - Electric"/>
    <x v="4"/>
    <n v="6"/>
    <s v="135600 - Ele Trans-OH Conductors"/>
    <x v="78"/>
    <n v="54724814.020000003"/>
    <n v="0"/>
    <n v="0"/>
    <n v="0"/>
    <n v="54724814.020000003"/>
  </r>
  <r>
    <x v="10"/>
    <s v="11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10"/>
    <s v="11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10"/>
    <s v="11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10"/>
    <s v="11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10"/>
    <s v="11/2022"/>
    <s v="SEC"/>
    <s v="BH Colorado Electric Oper Co"/>
    <s v="Regulated Electric (122)"/>
    <x v="2"/>
    <s v="Transmission Plant - Electric"/>
    <x v="4"/>
    <n v="6"/>
    <s v="135001 - Ele Trans-Land"/>
    <x v="68"/>
    <n v="1081662.08"/>
    <n v="-1081662.08"/>
    <n v="0"/>
    <n v="0"/>
    <n v="0"/>
  </r>
  <r>
    <x v="10"/>
    <s v="11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10"/>
    <s v="11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10"/>
    <s v="11/2022"/>
    <s v="SEC"/>
    <s v="BH Colorado Electric Oper Co"/>
    <s v="Regulated Electric (122)"/>
    <x v="2"/>
    <s v="Transmission Plant - Electric"/>
    <x v="4"/>
    <n v="6"/>
    <s v="135300 - Ele Trans Sub-Station Equi"/>
    <x v="74"/>
    <n v="3074508.78"/>
    <n v="1816535.42"/>
    <n v="0"/>
    <n v="0"/>
    <n v="4891044.2"/>
  </r>
  <r>
    <x v="10"/>
    <s v="11/2022"/>
    <s v="SEC"/>
    <s v="BH Colorado Electric Oper Co"/>
    <s v="Regulated Electric (122)"/>
    <x v="2"/>
    <s v="Transmission Plant - Electric"/>
    <x v="4"/>
    <n v="6"/>
    <s v="135301 - Ele Trans Sub-Stn Eq GSU"/>
    <x v="75"/>
    <n v="0"/>
    <n v="0"/>
    <n v="0"/>
    <n v="0"/>
    <n v="0"/>
  </r>
  <r>
    <x v="10"/>
    <s v="11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10"/>
    <s v="11/2022"/>
    <s v="SEC"/>
    <s v="BH Colorado Electric Oper Co"/>
    <s v="Regulated Electric (122)"/>
    <x v="2"/>
    <s v="Transmission Plant - Electric"/>
    <x v="4"/>
    <n v="6"/>
    <s v="135500 - Ele Trans-Poles &amp; Fixtures"/>
    <x v="77"/>
    <n v="9980621.0800000001"/>
    <n v="-400246.19"/>
    <n v="0"/>
    <n v="0"/>
    <n v="9580374.8900000006"/>
  </r>
  <r>
    <x v="10"/>
    <s v="11/2022"/>
    <s v="SEC"/>
    <s v="BH Colorado Electric Oper Co"/>
    <s v="Regulated Electric (122)"/>
    <x v="2"/>
    <s v="Transmission Plant - Electric"/>
    <x v="4"/>
    <n v="6"/>
    <s v="135600 - Ele Trans-OH Conductors"/>
    <x v="78"/>
    <n v="4984946.37"/>
    <n v="-194758.9"/>
    <n v="0"/>
    <n v="0"/>
    <n v="4790187.47"/>
  </r>
  <r>
    <x v="10"/>
    <s v="11/2022"/>
    <s v="SEC"/>
    <s v="BH Colorado Electric Oper Co"/>
    <s v="Regulated Electric (122)"/>
    <x v="2"/>
    <s v="Transmission Plant - Electric"/>
    <x v="4"/>
    <n v="6"/>
    <s v="135700 - Ele Trans-UG Conduit"/>
    <x v="79"/>
    <n v="0"/>
    <n v="0"/>
    <n v="0"/>
    <n v="0"/>
    <n v="0"/>
  </r>
  <r>
    <x v="10"/>
    <s v="11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11"/>
    <s v="12/2022"/>
    <s v="SEC"/>
    <s v="BH Colorado Electric Oper Co"/>
    <s v="Regulated Electric (122)"/>
    <x v="0"/>
    <s v="Transmission Plant - Electric"/>
    <x v="4"/>
    <n v="6"/>
    <s v="135001 - Ele Trans-Land"/>
    <x v="68"/>
    <n v="3077804.15"/>
    <n v="116206.5"/>
    <n v="0"/>
    <n v="-86206.5"/>
    <n v="3107804.15"/>
  </r>
  <r>
    <x v="11"/>
    <s v="12/2022"/>
    <s v="SEC"/>
    <s v="BH Colorado Electric Oper Co"/>
    <s v="Regulated Electric (122)"/>
    <x v="0"/>
    <s v="Transmission Plant - Electric"/>
    <x v="4"/>
    <n v="6"/>
    <s v="135002 - Ele Trans - Ld Rt/ROW-NonD"/>
    <x v="69"/>
    <n v="4313014.6500000004"/>
    <n v="0"/>
    <n v="0"/>
    <n v="0"/>
    <n v="4313014.6500000004"/>
  </r>
  <r>
    <x v="11"/>
    <s v="12/2022"/>
    <s v="SEC"/>
    <s v="BH Colorado Electric Oper Co"/>
    <s v="Regulated Electric (122)"/>
    <x v="0"/>
    <s v="Transmission Plant - Electric"/>
    <x v="4"/>
    <n v="6"/>
    <s v="135003 - Ele Trans - Ld Rt/ROW-Depr"/>
    <x v="70"/>
    <n v="0"/>
    <n v="36879.700000000004"/>
    <n v="0"/>
    <n v="57154.85"/>
    <n v="94034.55"/>
  </r>
  <r>
    <x v="11"/>
    <s v="12/2022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11"/>
    <s v="12/2022"/>
    <s v="SEC"/>
    <s v="BH Colorado Electric Oper Co"/>
    <s v="Regulated Electric (122)"/>
    <x v="0"/>
    <s v="Transmission Plant - Electric"/>
    <x v="4"/>
    <n v="6"/>
    <s v="135205 - Ele Trans Sub-Land Improve"/>
    <x v="72"/>
    <n v="296854.7"/>
    <n v="356473.21"/>
    <n v="0"/>
    <n v="0"/>
    <n v="653327.91"/>
  </r>
  <r>
    <x v="11"/>
    <s v="12/2022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11"/>
    <s v="12/2022"/>
    <s v="SEC"/>
    <s v="BH Colorado Electric Oper Co"/>
    <s v="Regulated Electric (122)"/>
    <x v="0"/>
    <s v="Transmission Plant - Electric"/>
    <x v="4"/>
    <n v="6"/>
    <s v="135300 - Ele Trans Sub-Station Equi"/>
    <x v="74"/>
    <n v="102698673.48999999"/>
    <n v="1112438.3700000001"/>
    <n v="0"/>
    <n v="362462.11"/>
    <n v="104173573.97"/>
  </r>
  <r>
    <x v="11"/>
    <s v="12/2022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11"/>
    <s v="12/2022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-362462.11"/>
    <n v="3864601.38"/>
  </r>
  <r>
    <x v="11"/>
    <s v="12/2022"/>
    <s v="SEC"/>
    <s v="BH Colorado Electric Oper Co"/>
    <s v="Regulated Electric (122)"/>
    <x v="0"/>
    <s v="Transmission Plant - Electric"/>
    <x v="4"/>
    <n v="6"/>
    <s v="135500 - Ele Trans-Poles &amp; Fixtures"/>
    <x v="77"/>
    <n v="56185945.57"/>
    <n v="9501884.0099999998"/>
    <n v="-287533.28000000003"/>
    <n v="0"/>
    <n v="65400296.299999997"/>
  </r>
  <r>
    <x v="11"/>
    <s v="12/2022"/>
    <s v="SEC"/>
    <s v="BH Colorado Electric Oper Co"/>
    <s v="Regulated Electric (122)"/>
    <x v="0"/>
    <s v="Transmission Plant - Electric"/>
    <x v="4"/>
    <n v="6"/>
    <s v="135600 - Ele Trans-OH Conductors"/>
    <x v="78"/>
    <n v="54724814.020000003"/>
    <n v="4475697.3899999997"/>
    <n v="-146667.30000000002"/>
    <n v="0"/>
    <n v="59053844.109999999"/>
  </r>
  <r>
    <x v="11"/>
    <s v="12/2022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11"/>
    <s v="12/2022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11"/>
    <s v="12/2022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11"/>
    <s v="12/2022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11"/>
    <s v="12/2022"/>
    <s v="SEC"/>
    <s v="BH Colorado Electric Oper Co"/>
    <s v="Regulated Electric (122)"/>
    <x v="2"/>
    <s v="Transmission Plant - Electric"/>
    <x v="4"/>
    <n v="6"/>
    <s v="135001 - Ele Trans-Land"/>
    <x v="68"/>
    <n v="0"/>
    <n v="34062.5"/>
    <n v="0"/>
    <n v="0"/>
    <n v="34062.5"/>
  </r>
  <r>
    <x v="11"/>
    <s v="12/2022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11"/>
    <s v="12/2022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11"/>
    <s v="12/2022"/>
    <s v="SEC"/>
    <s v="BH Colorado Electric Oper Co"/>
    <s v="Regulated Electric (122)"/>
    <x v="2"/>
    <s v="Transmission Plant - Electric"/>
    <x v="4"/>
    <n v="6"/>
    <s v="135300 - Ele Trans Sub-Station Equi"/>
    <x v="74"/>
    <n v="4891044.2"/>
    <n v="-1733412.53"/>
    <n v="0"/>
    <n v="0"/>
    <n v="3157631.67"/>
  </r>
  <r>
    <x v="11"/>
    <s v="12/2022"/>
    <s v="SEC"/>
    <s v="BH Colorado Electric Oper Co"/>
    <s v="Regulated Electric (122)"/>
    <x v="2"/>
    <s v="Transmission Plant - Electric"/>
    <x v="4"/>
    <n v="6"/>
    <s v="135301 - Ele Trans Sub-Stn Eq GSU"/>
    <x v="75"/>
    <n v="0"/>
    <n v="228351.67"/>
    <n v="0"/>
    <n v="0"/>
    <n v="228351.67"/>
  </r>
  <r>
    <x v="11"/>
    <s v="12/2022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11"/>
    <s v="12/2022"/>
    <s v="SEC"/>
    <s v="BH Colorado Electric Oper Co"/>
    <s v="Regulated Electric (122)"/>
    <x v="2"/>
    <s v="Transmission Plant - Electric"/>
    <x v="4"/>
    <n v="6"/>
    <s v="135500 - Ele Trans-Poles &amp; Fixtures"/>
    <x v="77"/>
    <n v="9580374.8900000006"/>
    <n v="-8554771.8399999999"/>
    <n v="0"/>
    <n v="0"/>
    <n v="1025603.05"/>
  </r>
  <r>
    <x v="11"/>
    <s v="12/2022"/>
    <s v="SEC"/>
    <s v="BH Colorado Electric Oper Co"/>
    <s v="Regulated Electric (122)"/>
    <x v="2"/>
    <s v="Transmission Plant - Electric"/>
    <x v="4"/>
    <n v="6"/>
    <s v="135600 - Ele Trans-OH Conductors"/>
    <x v="78"/>
    <n v="4790187.47"/>
    <n v="-4372743.2"/>
    <n v="0"/>
    <n v="0"/>
    <n v="417444.27"/>
  </r>
  <r>
    <x v="11"/>
    <s v="12/2022"/>
    <s v="SEC"/>
    <s v="BH Colorado Electric Oper Co"/>
    <s v="Regulated Electric (122)"/>
    <x v="2"/>
    <s v="Transmission Plant - Electric"/>
    <x v="4"/>
    <n v="6"/>
    <s v="135700 - Ele Trans-UG Conduit"/>
    <x v="79"/>
    <n v="0"/>
    <n v="0"/>
    <n v="0"/>
    <n v="0"/>
    <n v="0"/>
  </r>
  <r>
    <x v="11"/>
    <s v="12/2022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  <r>
    <x v="12"/>
    <s v="12/2021"/>
    <s v="SEC"/>
    <s v="BH Colorado Electric Oper Co"/>
    <s v="Regulated Electric (122)"/>
    <x v="0"/>
    <s v="Transmission Plant - Electric"/>
    <x v="4"/>
    <n v="6"/>
    <s v="135001 - Ele Trans-Land"/>
    <x v="68"/>
    <n v="1144772.3400000001"/>
    <n v="843736.75"/>
    <n v="0"/>
    <n v="0"/>
    <n v="1988509.0899999999"/>
  </r>
  <r>
    <x v="12"/>
    <s v="12/2021"/>
    <s v="SEC"/>
    <s v="BH Colorado Electric Oper Co"/>
    <s v="Regulated Electric (122)"/>
    <x v="0"/>
    <s v="Transmission Plant - Electric"/>
    <x v="4"/>
    <n v="6"/>
    <s v="135002 - Ele Trans - Ld Rt/ROW-NonD"/>
    <x v="69"/>
    <n v="1945063.8599999999"/>
    <n v="2367950.79"/>
    <n v="0"/>
    <n v="0"/>
    <n v="4313014.6500000004"/>
  </r>
  <r>
    <x v="12"/>
    <s v="12/2021"/>
    <s v="SEC"/>
    <s v="BH Colorado Electric Oper Co"/>
    <s v="Regulated Electric (122)"/>
    <x v="0"/>
    <s v="Transmission Plant - Electric"/>
    <x v="4"/>
    <n v="6"/>
    <s v="135003 - Ele Trans - Ld Rt/ROW-Depr"/>
    <x v="70"/>
    <n v="0"/>
    <n v="0"/>
    <n v="0"/>
    <n v="0"/>
    <n v="0"/>
  </r>
  <r>
    <x v="12"/>
    <s v="12/2021"/>
    <s v="SEC"/>
    <s v="BH Colorado Electric Oper Co"/>
    <s v="Regulated Electric (122)"/>
    <x v="0"/>
    <s v="Transmission Plant - Electric"/>
    <x v="4"/>
    <n v="6"/>
    <s v="135200 - Ele Trans Sub-Str &amp; Improv"/>
    <x v="71"/>
    <n v="10463520.74"/>
    <n v="0"/>
    <n v="0"/>
    <n v="0"/>
    <n v="10463520.74"/>
  </r>
  <r>
    <x v="12"/>
    <s v="12/2021"/>
    <s v="SEC"/>
    <s v="BH Colorado Electric Oper Co"/>
    <s v="Regulated Electric (122)"/>
    <x v="0"/>
    <s v="Transmission Plant - Electric"/>
    <x v="4"/>
    <n v="6"/>
    <s v="135205 - Ele Trans Sub-Land Improve"/>
    <x v="72"/>
    <n v="274154.33"/>
    <n v="0"/>
    <n v="0"/>
    <n v="0"/>
    <n v="274154.33"/>
  </r>
  <r>
    <x v="12"/>
    <s v="12/2021"/>
    <s v="SEC"/>
    <s v="BH Colorado Electric Oper Co"/>
    <s v="Regulated Electric (122)"/>
    <x v="0"/>
    <s v="Transmission Plant - Electric"/>
    <x v="4"/>
    <n v="6"/>
    <s v="135259 - Ele Trans Sub-Str&amp;Im Amort"/>
    <x v="73"/>
    <n v="220613.03"/>
    <n v="0"/>
    <n v="0"/>
    <n v="0"/>
    <n v="220613.03"/>
  </r>
  <r>
    <x v="12"/>
    <s v="12/2021"/>
    <s v="SEC"/>
    <s v="BH Colorado Electric Oper Co"/>
    <s v="Regulated Electric (122)"/>
    <x v="0"/>
    <s v="Transmission Plant - Electric"/>
    <x v="4"/>
    <n v="6"/>
    <s v="135300 - Ele Trans Sub-Station Equi"/>
    <x v="74"/>
    <n v="101013895.56999999"/>
    <n v="130397.56"/>
    <n v="0"/>
    <n v="0"/>
    <n v="101144293.13"/>
  </r>
  <r>
    <x v="12"/>
    <s v="12/2021"/>
    <s v="SEC"/>
    <s v="BH Colorado Electric Oper Co"/>
    <s v="Regulated Electric (122)"/>
    <x v="0"/>
    <s v="Transmission Plant - Electric"/>
    <x v="4"/>
    <n v="6"/>
    <s v="135301 - Ele Trans Sub-Stn Eq GSU"/>
    <x v="75"/>
    <n v="8243520.1799999997"/>
    <n v="0"/>
    <n v="0"/>
    <n v="0"/>
    <n v="8243520.1799999997"/>
  </r>
  <r>
    <x v="12"/>
    <s v="12/2021"/>
    <s v="SEC"/>
    <s v="BH Colorado Electric Oper Co"/>
    <s v="Regulated Electric (122)"/>
    <x v="0"/>
    <s v="Transmission Plant - Electric"/>
    <x v="4"/>
    <n v="6"/>
    <s v="135359 - Ele Trans Sub-StnEqp Amort"/>
    <x v="76"/>
    <n v="4227063.49"/>
    <n v="0"/>
    <n v="0"/>
    <n v="0"/>
    <n v="4227063.49"/>
  </r>
  <r>
    <x v="12"/>
    <s v="12/2021"/>
    <s v="SEC"/>
    <s v="BH Colorado Electric Oper Co"/>
    <s v="Regulated Electric (122)"/>
    <x v="0"/>
    <s v="Transmission Plant - Electric"/>
    <x v="4"/>
    <n v="6"/>
    <s v="135500 - Ele Trans-Poles &amp; Fixtures"/>
    <x v="77"/>
    <n v="54543168.270000003"/>
    <n v="0"/>
    <n v="0"/>
    <n v="0"/>
    <n v="54543168.270000003"/>
  </r>
  <r>
    <x v="12"/>
    <s v="12/2021"/>
    <s v="SEC"/>
    <s v="BH Colorado Electric Oper Co"/>
    <s v="Regulated Electric (122)"/>
    <x v="0"/>
    <s v="Transmission Plant - Electric"/>
    <x v="4"/>
    <n v="6"/>
    <s v="135600 - Ele Trans-OH Conductors"/>
    <x v="78"/>
    <n v="53882261.420000002"/>
    <n v="0"/>
    <n v="0"/>
    <n v="0"/>
    <n v="53882261.420000002"/>
  </r>
  <r>
    <x v="12"/>
    <s v="12/2021"/>
    <s v="SEC"/>
    <s v="BH Colorado Electric Oper Co"/>
    <s v="Regulated Electric (122)"/>
    <x v="0"/>
    <s v="Transmission Plant - Electric"/>
    <x v="4"/>
    <n v="6"/>
    <s v="135700 - Ele Trans-UG Conduit"/>
    <x v="79"/>
    <n v="0"/>
    <n v="0"/>
    <n v="0"/>
    <n v="0"/>
    <n v="0"/>
  </r>
  <r>
    <x v="12"/>
    <s v="12/2021"/>
    <s v="SEC"/>
    <s v="BH Colorado Electric Oper Co"/>
    <s v="Regulated Electric (122)"/>
    <x v="0"/>
    <s v="Transmission Plant - Electric"/>
    <x v="4"/>
    <n v="6"/>
    <s v="135800 - Ele Trans-UG Conductors"/>
    <x v="80"/>
    <n v="0"/>
    <n v="0"/>
    <n v="0"/>
    <n v="0"/>
    <n v="0"/>
  </r>
  <r>
    <x v="12"/>
    <s v="12/2021"/>
    <s v="SEC"/>
    <s v="BH Colorado Electric Oper Co"/>
    <s v="Regulated Electric (122)"/>
    <x v="4"/>
    <s v="Transmission Plant - Electric"/>
    <x v="4"/>
    <n v="6"/>
    <s v="135003 - Ele Trans - Ld Rt/ROW-Depr"/>
    <x v="70"/>
    <n v="0"/>
    <n v="0"/>
    <n v="0"/>
    <n v="0"/>
    <n v="0"/>
  </r>
  <r>
    <x v="12"/>
    <s v="12/2021"/>
    <s v="SEC"/>
    <s v="BH Colorado Electric Oper Co"/>
    <s v="Regulated Electric (122)"/>
    <x v="1"/>
    <s v="Transmission Plant - Electric"/>
    <x v="4"/>
    <n v="6"/>
    <s v="135300 - Ele Trans Sub-Station Equi"/>
    <x v="74"/>
    <n v="158336.61000000002"/>
    <n v="0"/>
    <n v="0"/>
    <n v="0"/>
    <n v="158336.61000000002"/>
  </r>
  <r>
    <x v="12"/>
    <s v="12/2021"/>
    <s v="SEC"/>
    <s v="BH Colorado Electric Oper Co"/>
    <s v="Regulated Electric (122)"/>
    <x v="2"/>
    <s v="Transmission Plant - Electric"/>
    <x v="4"/>
    <n v="6"/>
    <s v="135001 - Ele Trans-Land"/>
    <x v="68"/>
    <n v="3207009.46"/>
    <n v="-3207009.46"/>
    <n v="0"/>
    <n v="0"/>
    <n v="0"/>
  </r>
  <r>
    <x v="12"/>
    <s v="12/2021"/>
    <s v="SEC"/>
    <s v="BH Colorado Electric Oper Co"/>
    <s v="Regulated Electric (122)"/>
    <x v="2"/>
    <s v="Transmission Plant - Electric"/>
    <x v="4"/>
    <n v="6"/>
    <s v="135002 - Ele Trans - Ld Rt/ROW-NonD"/>
    <x v="69"/>
    <n v="0"/>
    <n v="0"/>
    <n v="0"/>
    <n v="0"/>
    <n v="0"/>
  </r>
  <r>
    <x v="12"/>
    <s v="12/2021"/>
    <s v="SEC"/>
    <s v="BH Colorado Electric Oper Co"/>
    <s v="Regulated Electric (122)"/>
    <x v="2"/>
    <s v="Transmission Plant - Electric"/>
    <x v="4"/>
    <n v="6"/>
    <s v="135200 - Ele Trans Sub-Str &amp; Improv"/>
    <x v="71"/>
    <n v="0"/>
    <n v="0"/>
    <n v="0"/>
    <n v="0"/>
    <n v="0"/>
  </r>
  <r>
    <x v="12"/>
    <s v="12/2021"/>
    <s v="SEC"/>
    <s v="BH Colorado Electric Oper Co"/>
    <s v="Regulated Electric (122)"/>
    <x v="2"/>
    <s v="Transmission Plant - Electric"/>
    <x v="4"/>
    <n v="6"/>
    <s v="135300 - Ele Trans Sub-Station Equi"/>
    <x v="74"/>
    <n v="898185.81"/>
    <n v="-31116.84"/>
    <n v="0"/>
    <n v="0"/>
    <n v="867068.97"/>
  </r>
  <r>
    <x v="12"/>
    <s v="12/2021"/>
    <s v="SEC"/>
    <s v="BH Colorado Electric Oper Co"/>
    <s v="Regulated Electric (122)"/>
    <x v="2"/>
    <s v="Transmission Plant - Electric"/>
    <x v="4"/>
    <n v="6"/>
    <s v="135301 - Ele Trans Sub-Stn Eq GSU"/>
    <x v="75"/>
    <n v="60579.950000000004"/>
    <n v="-37817.74"/>
    <n v="0"/>
    <n v="0"/>
    <n v="22762.21"/>
  </r>
  <r>
    <x v="12"/>
    <s v="12/2021"/>
    <s v="SEC"/>
    <s v="BH Colorado Electric Oper Co"/>
    <s v="Regulated Electric (122)"/>
    <x v="2"/>
    <s v="Transmission Plant - Electric"/>
    <x v="4"/>
    <n v="6"/>
    <s v="135400 - Ele Trans-Towers &amp; Fixtres"/>
    <x v="81"/>
    <n v="0"/>
    <n v="0"/>
    <n v="0"/>
    <n v="0"/>
    <n v="0"/>
  </r>
  <r>
    <x v="12"/>
    <s v="12/2021"/>
    <s v="SEC"/>
    <s v="BH Colorado Electric Oper Co"/>
    <s v="Regulated Electric (122)"/>
    <x v="2"/>
    <s v="Transmission Plant - Electric"/>
    <x v="4"/>
    <n v="6"/>
    <s v="135500 - Ele Trans-Poles &amp; Fixtures"/>
    <x v="77"/>
    <n v="1874448.9500000002"/>
    <n v="58478.07"/>
    <n v="0"/>
    <n v="0"/>
    <n v="1932927.02"/>
  </r>
  <r>
    <x v="12"/>
    <s v="12/2021"/>
    <s v="SEC"/>
    <s v="BH Colorado Electric Oper Co"/>
    <s v="Regulated Electric (122)"/>
    <x v="2"/>
    <s v="Transmission Plant - Electric"/>
    <x v="4"/>
    <n v="6"/>
    <s v="135600 - Ele Trans-OH Conductors"/>
    <x v="78"/>
    <n v="724367.98"/>
    <n v="0"/>
    <n v="0"/>
    <n v="0"/>
    <n v="724367.98"/>
  </r>
  <r>
    <x v="12"/>
    <s v="12/2021"/>
    <s v="SEC"/>
    <s v="BH Colorado Electric Oper Co"/>
    <s v="Regulated Electric (122)"/>
    <x v="2"/>
    <s v="Transmission Plant - Electric"/>
    <x v="4"/>
    <n v="6"/>
    <s v="135700 - Ele Trans-UG Conduit"/>
    <x v="79"/>
    <n v="0"/>
    <n v="0"/>
    <n v="0"/>
    <n v="0"/>
    <n v="0"/>
  </r>
  <r>
    <x v="12"/>
    <s v="12/2021"/>
    <s v="SEC"/>
    <s v="BH Colorado Electric Oper Co"/>
    <s v="Regulated Electric (122)"/>
    <x v="2"/>
    <s v="Transmission Plant - Electric"/>
    <x v="4"/>
    <n v="6"/>
    <s v="135800 - Ele Trans-UG Conductors"/>
    <x v="80"/>
    <n v="0"/>
    <n v="0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52">
  <r>
    <x v="0"/>
    <s v="12/2021"/>
    <s v="BHCOE - 130100 - Electric - Intang"/>
    <x v="0"/>
    <x v="0"/>
    <s v="BH Colorado Electric Oper Co"/>
    <s v="SEC"/>
    <x v="0"/>
    <n v="185041.94"/>
    <n v="689.48"/>
    <n v="0"/>
    <n v="0"/>
    <n v="0"/>
    <n v="0"/>
    <n v="0"/>
    <n v="185731.42"/>
  </r>
  <r>
    <x v="1"/>
    <s v="01/2022"/>
    <s v="BHCOE - 130100 - Electric - Intang"/>
    <x v="0"/>
    <x v="0"/>
    <s v="BH Colorado Electric Oper Co"/>
    <s v="SEC"/>
    <x v="0"/>
    <n v="185731.42"/>
    <n v="689.51"/>
    <n v="0"/>
    <n v="0"/>
    <n v="0"/>
    <n v="0"/>
    <n v="0"/>
    <n v="186420.93"/>
  </r>
  <r>
    <x v="2"/>
    <s v="02/2022"/>
    <s v="BHCOE - 130100 - Electric - Intang"/>
    <x v="0"/>
    <x v="0"/>
    <s v="BH Colorado Electric Oper Co"/>
    <s v="SEC"/>
    <x v="0"/>
    <n v="186420.93"/>
    <n v="689.48"/>
    <n v="0"/>
    <n v="0"/>
    <n v="0"/>
    <n v="0"/>
    <n v="0"/>
    <n v="187110.41"/>
  </r>
  <r>
    <x v="3"/>
    <s v="03/2022"/>
    <s v="BHCOE - 130100 - Electric - Intang"/>
    <x v="0"/>
    <x v="0"/>
    <s v="BH Colorado Electric Oper Co"/>
    <s v="SEC"/>
    <x v="0"/>
    <n v="187110.41"/>
    <n v="689.51"/>
    <n v="0"/>
    <n v="0"/>
    <n v="0"/>
    <n v="0"/>
    <n v="0"/>
    <n v="187799.92"/>
  </r>
  <r>
    <x v="4"/>
    <s v="04/2022"/>
    <s v="BHCOE - 130100 - Electric - Intang"/>
    <x v="0"/>
    <x v="0"/>
    <s v="BH Colorado Electric Oper Co"/>
    <s v="SEC"/>
    <x v="0"/>
    <n v="187799.92"/>
    <n v="689.48"/>
    <n v="0"/>
    <n v="0"/>
    <n v="0"/>
    <n v="0"/>
    <n v="0"/>
    <n v="188489.4"/>
  </r>
  <r>
    <x v="5"/>
    <s v="05/2022"/>
    <s v="BHCOE - 130100 - Electric - Intang"/>
    <x v="0"/>
    <x v="0"/>
    <s v="BH Colorado Electric Oper Co"/>
    <s v="SEC"/>
    <x v="0"/>
    <n v="188489.4"/>
    <n v="689.51"/>
    <n v="0"/>
    <n v="0"/>
    <n v="0"/>
    <n v="0"/>
    <n v="0"/>
    <n v="189178.91"/>
  </r>
  <r>
    <x v="6"/>
    <s v="06/2022"/>
    <s v="BHCOE - 130100 - Electric - Intang"/>
    <x v="0"/>
    <x v="0"/>
    <s v="BH Colorado Electric Oper Co"/>
    <s v="SEC"/>
    <x v="0"/>
    <n v="189178.91"/>
    <n v="689.48"/>
    <n v="0"/>
    <n v="0"/>
    <n v="0"/>
    <n v="0"/>
    <n v="0"/>
    <n v="189868.39"/>
  </r>
  <r>
    <x v="7"/>
    <s v="07/2022"/>
    <s v="BHCOE - 130100 - Electric - Intang"/>
    <x v="0"/>
    <x v="0"/>
    <s v="BH Colorado Electric Oper Co"/>
    <s v="SEC"/>
    <x v="0"/>
    <n v="189868.39"/>
    <n v="689.51"/>
    <n v="0"/>
    <n v="0"/>
    <n v="0"/>
    <n v="0"/>
    <n v="0"/>
    <n v="190557.9"/>
  </r>
  <r>
    <x v="8"/>
    <s v="08/2022"/>
    <s v="BHCOE - 130100 - Electric - Intang"/>
    <x v="0"/>
    <x v="0"/>
    <s v="BH Colorado Electric Oper Co"/>
    <s v="SEC"/>
    <x v="0"/>
    <n v="190557.9"/>
    <n v="689.48"/>
    <n v="0"/>
    <n v="0"/>
    <n v="0"/>
    <n v="0"/>
    <n v="0"/>
    <n v="191247.38"/>
  </r>
  <r>
    <x v="9"/>
    <s v="09/2022"/>
    <s v="BHCOE - 130100 - Electric - Intang"/>
    <x v="0"/>
    <x v="0"/>
    <s v="BH Colorado Electric Oper Co"/>
    <s v="SEC"/>
    <x v="0"/>
    <n v="191247.38"/>
    <n v="689.48"/>
    <n v="0"/>
    <n v="0"/>
    <n v="0"/>
    <n v="0"/>
    <n v="0"/>
    <n v="191936.86000000002"/>
  </r>
  <r>
    <x v="10"/>
    <s v="10/2022"/>
    <s v="BHCOE - 130100 - Electric - Intang"/>
    <x v="0"/>
    <x v="0"/>
    <s v="BH Colorado Electric Oper Co"/>
    <s v="SEC"/>
    <x v="0"/>
    <n v="191936.86000000002"/>
    <n v="689.51"/>
    <n v="0"/>
    <n v="0"/>
    <n v="0"/>
    <n v="0"/>
    <n v="0"/>
    <n v="192626.37"/>
  </r>
  <r>
    <x v="11"/>
    <s v="11/2022"/>
    <s v="BHCOE - 130100 - Electric - Intang"/>
    <x v="0"/>
    <x v="0"/>
    <s v="BH Colorado Electric Oper Co"/>
    <s v="SEC"/>
    <x v="0"/>
    <n v="192626.37"/>
    <n v="689.48"/>
    <n v="0"/>
    <n v="0"/>
    <n v="0"/>
    <n v="0"/>
    <n v="0"/>
    <n v="193315.85"/>
  </r>
  <r>
    <x v="12"/>
    <s v="12/2022"/>
    <s v="BHCOE - 130100 - Electric - Intang"/>
    <x v="0"/>
    <x v="0"/>
    <s v="BH Colorado Electric Oper Co"/>
    <s v="SEC"/>
    <x v="0"/>
    <n v="193315.85"/>
    <n v="689.51"/>
    <n v="0"/>
    <n v="0"/>
    <n v="0"/>
    <n v="0"/>
    <n v="0"/>
    <n v="194005.36000000002"/>
  </r>
  <r>
    <x v="0"/>
    <s v="12/2021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1"/>
    <s v="01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2"/>
    <s v="02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3"/>
    <s v="03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4"/>
    <s v="04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5"/>
    <s v="05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6"/>
    <s v="06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7"/>
    <s v="07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8"/>
    <s v="08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9"/>
    <s v="09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10"/>
    <s v="10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11"/>
    <s v="11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12"/>
    <s v="12/2022"/>
    <s v="BHCOE - 130201 - F&amp;C - Franchise"/>
    <x v="1"/>
    <x v="0"/>
    <s v="BH Colorado Electric Oper Co"/>
    <s v="SEC"/>
    <x v="0"/>
    <n v="0"/>
    <n v="0"/>
    <n v="0"/>
    <n v="0"/>
    <n v="0"/>
    <n v="0"/>
    <n v="0"/>
    <n v="0"/>
  </r>
  <r>
    <x v="0"/>
    <s v="12/2021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1"/>
    <s v="01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2"/>
    <s v="02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3"/>
    <s v="03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4"/>
    <s v="04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5"/>
    <s v="05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6"/>
    <s v="06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7"/>
    <s v="07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8"/>
    <s v="08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9"/>
    <s v="09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10"/>
    <s v="10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11"/>
    <s v="11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12"/>
    <s v="12/2022"/>
    <s v="BHCOE - 130301 - Intang - Easements"/>
    <x v="2"/>
    <x v="0"/>
    <s v="BH Colorado Electric Oper Co"/>
    <s v="SEC"/>
    <x v="0"/>
    <n v="40041.770000000004"/>
    <n v="0"/>
    <n v="0"/>
    <n v="0"/>
    <n v="0"/>
    <n v="0"/>
    <n v="0"/>
    <n v="40041.770000000004"/>
  </r>
  <r>
    <x v="0"/>
    <s v="12/2021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1"/>
    <s v="01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2"/>
    <s v="02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3"/>
    <s v="03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4"/>
    <s v="04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5"/>
    <s v="05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6"/>
    <s v="06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7"/>
    <s v="07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8"/>
    <s v="08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9"/>
    <s v="09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10"/>
    <s v="10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0"/>
    <s v="12/2021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1"/>
    <s v="01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2"/>
    <s v="02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3"/>
    <s v="03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4"/>
    <s v="04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5"/>
    <s v="05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11"/>
    <s v="11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6"/>
    <s v="06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7"/>
    <s v="07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8"/>
    <s v="08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9"/>
    <s v="09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10"/>
    <s v="10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11"/>
    <s v="11/2022"/>
    <s v="BHCOE-130302- IntangMisc-Trademarks"/>
    <x v="3"/>
    <x v="0"/>
    <s v="BH Colorado Electric Oper Co"/>
    <s v="SEC"/>
    <x v="1"/>
    <n v="-0.01"/>
    <n v="0"/>
    <n v="0"/>
    <n v="0"/>
    <n v="0"/>
    <n v="0"/>
    <n v="0"/>
    <n v="-0.01"/>
  </r>
  <r>
    <x v="12"/>
    <s v="12/2022"/>
    <s v="BHCOE-130302- IntangMisc-Trademarks"/>
    <x v="3"/>
    <x v="0"/>
    <s v="BH Colorado Electric Oper Co"/>
    <s v="SEC"/>
    <x v="1"/>
    <n v="-0.01"/>
    <n v="0"/>
    <n v="0"/>
    <n v="0"/>
    <n v="0"/>
    <n v="-23.98"/>
    <n v="0"/>
    <n v="-23.990000000000002"/>
  </r>
  <r>
    <x v="12"/>
    <s v="12/2022"/>
    <s v="BHCOE - 130302 - Intang - Trademark"/>
    <x v="3"/>
    <x v="0"/>
    <s v="BH Colorado Electric Oper Co"/>
    <s v="SEC"/>
    <x v="0"/>
    <n v="0"/>
    <n v="0"/>
    <n v="0"/>
    <n v="0"/>
    <n v="0"/>
    <n v="0"/>
    <n v="0"/>
    <n v="0"/>
  </r>
  <r>
    <x v="0"/>
    <s v="12/2021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1"/>
    <s v="01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2"/>
    <s v="02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3"/>
    <s v="03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4"/>
    <s v="04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5"/>
    <s v="05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6"/>
    <s v="06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7"/>
    <s v="07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8"/>
    <s v="08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9"/>
    <s v="09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10"/>
    <s v="10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11"/>
    <s v="11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12"/>
    <s v="12/2022"/>
    <s v="BHCOE - 130303 - IntangMisc - WorkF"/>
    <x v="4"/>
    <x v="0"/>
    <s v="BH Colorado Electric Oper Co"/>
    <s v="SEC"/>
    <x v="0"/>
    <n v="0"/>
    <n v="0"/>
    <n v="0"/>
    <n v="0"/>
    <n v="0"/>
    <n v="0"/>
    <n v="0"/>
    <n v="0"/>
  </r>
  <r>
    <x v="0"/>
    <s v="12/2021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1"/>
    <s v="01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2"/>
    <s v="02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3"/>
    <s v="03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4"/>
    <s v="04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5"/>
    <s v="05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6"/>
    <s v="06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7"/>
    <s v="07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8"/>
    <s v="08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9"/>
    <s v="09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10"/>
    <s v="10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11"/>
    <s v="11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12"/>
    <s v="12/2022"/>
    <s v="BHCOE - 131001 - Electric - Prod"/>
    <x v="5"/>
    <x v="0"/>
    <s v="BH Colorado Electric Oper Co"/>
    <s v="SEC"/>
    <x v="2"/>
    <n v="0"/>
    <n v="0"/>
    <n v="0"/>
    <n v="0"/>
    <n v="0"/>
    <n v="0"/>
    <n v="0"/>
    <n v="0"/>
  </r>
  <r>
    <x v="0"/>
    <s v="12/2021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1"/>
    <s v="01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2"/>
    <s v="02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3"/>
    <s v="03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4"/>
    <s v="04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5"/>
    <s v="05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6"/>
    <s v="06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7"/>
    <s v="07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8"/>
    <s v="08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9"/>
    <s v="09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10"/>
    <s v="10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11"/>
    <s v="11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12"/>
    <s v="12/2022"/>
    <s v="BHCOE - 131002 - Electric - Prod"/>
    <x v="6"/>
    <x v="0"/>
    <s v="BH Colorado Electric Oper Co"/>
    <s v="SEC"/>
    <x v="2"/>
    <n v="-1526.96"/>
    <n v="0"/>
    <n v="0"/>
    <n v="0"/>
    <n v="0"/>
    <n v="0"/>
    <n v="0"/>
    <n v="-1526.96"/>
  </r>
  <r>
    <x v="0"/>
    <s v="12/2021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0"/>
    <s v="12/2021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1"/>
    <s v="01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1"/>
    <s v="01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2"/>
    <s v="02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2"/>
    <s v="02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3"/>
    <s v="03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3"/>
    <s v="03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4"/>
    <s v="04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4"/>
    <s v="04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5"/>
    <s v="05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5"/>
    <s v="05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6"/>
    <s v="06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6"/>
    <s v="06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7"/>
    <s v="07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7"/>
    <s v="07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8"/>
    <s v="08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8"/>
    <s v="08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9"/>
    <s v="09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9"/>
    <s v="09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10"/>
    <s v="10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10"/>
    <s v="10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11"/>
    <s v="11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11"/>
    <s v="11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12"/>
    <s v="12/2022"/>
    <s v="BHCOE - 131100 - Electric - Prod -"/>
    <x v="7"/>
    <x v="1"/>
    <s v="BH Colorado Electric Oper Co"/>
    <s v="SEC"/>
    <x v="1"/>
    <n v="472563.59"/>
    <n v="0"/>
    <n v="0"/>
    <n v="0"/>
    <n v="0"/>
    <n v="0"/>
    <n v="0"/>
    <n v="472563.59"/>
  </r>
  <r>
    <x v="12"/>
    <s v="12/2022"/>
    <s v="BHCOE - 131100 - Electric - Prod -"/>
    <x v="7"/>
    <x v="1"/>
    <s v="BH Colorado Electric Oper Co"/>
    <s v="SEC"/>
    <x v="3"/>
    <n v="-472563.59"/>
    <n v="0"/>
    <n v="0"/>
    <n v="0"/>
    <n v="0"/>
    <n v="0"/>
    <n v="0"/>
    <n v="-472563.59"/>
  </r>
  <r>
    <x v="0"/>
    <s v="12/2021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0"/>
    <s v="12/2021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1"/>
    <s v="01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1"/>
    <s v="01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2"/>
    <s v="02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2"/>
    <s v="02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3"/>
    <s v="03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3"/>
    <s v="03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4"/>
    <s v="04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4"/>
    <s v="04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5"/>
    <s v="05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5"/>
    <s v="05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6"/>
    <s v="06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6"/>
    <s v="06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7"/>
    <s v="07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7"/>
    <s v="07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8"/>
    <s v="08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8"/>
    <s v="08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9"/>
    <s v="09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9"/>
    <s v="09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10"/>
    <s v="10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10"/>
    <s v="10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11"/>
    <s v="11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11"/>
    <s v="11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12"/>
    <s v="12/2022"/>
    <s v="BHCOE - 131201 - Electric - Prod"/>
    <x v="8"/>
    <x v="1"/>
    <s v="BH Colorado Electric Oper Co"/>
    <s v="SEC"/>
    <x v="1"/>
    <n v="-268697.81"/>
    <n v="0"/>
    <n v="0"/>
    <n v="0"/>
    <n v="0"/>
    <n v="0"/>
    <n v="0"/>
    <n v="-268697.81"/>
  </r>
  <r>
    <x v="12"/>
    <s v="12/2022"/>
    <s v="BHCOE - 131201 - Electric - Prod"/>
    <x v="8"/>
    <x v="1"/>
    <s v="BH Colorado Electric Oper Co"/>
    <s v="SEC"/>
    <x v="3"/>
    <n v="268697.81"/>
    <n v="0"/>
    <n v="0"/>
    <n v="0"/>
    <n v="0"/>
    <n v="0"/>
    <n v="0"/>
    <n v="268697.81"/>
  </r>
  <r>
    <x v="0"/>
    <s v="12/2021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0"/>
    <s v="12/2021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1"/>
    <s v="01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1"/>
    <s v="01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2"/>
    <s v="02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2"/>
    <s v="02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3"/>
    <s v="03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3"/>
    <s v="03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4"/>
    <s v="04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4"/>
    <s v="04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5"/>
    <s v="05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5"/>
    <s v="05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6"/>
    <s v="06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6"/>
    <s v="06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7"/>
    <s v="07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7"/>
    <s v="07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8"/>
    <s v="08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8"/>
    <s v="08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9"/>
    <s v="09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9"/>
    <s v="09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10"/>
    <s v="10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10"/>
    <s v="10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11"/>
    <s v="11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11"/>
    <s v="11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12"/>
    <s v="12/2022"/>
    <s v="BHCOE - 131202 - Electric - Prod"/>
    <x v="9"/>
    <x v="1"/>
    <s v="BH Colorado Electric Oper Co"/>
    <s v="SEC"/>
    <x v="1"/>
    <n v="337169.03"/>
    <n v="0"/>
    <n v="0"/>
    <n v="0"/>
    <n v="0"/>
    <n v="0"/>
    <n v="0"/>
    <n v="337169.03"/>
  </r>
  <r>
    <x v="12"/>
    <s v="12/2022"/>
    <s v="BHCOE - 131202 - Electric - Prod"/>
    <x v="9"/>
    <x v="1"/>
    <s v="BH Colorado Electric Oper Co"/>
    <s v="SEC"/>
    <x v="3"/>
    <n v="-337169.03"/>
    <n v="0"/>
    <n v="0"/>
    <n v="0"/>
    <n v="0"/>
    <n v="0"/>
    <n v="0"/>
    <n v="-337169.03"/>
  </r>
  <r>
    <x v="0"/>
    <s v="12/2021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1209 - Indus Stm-Boiler P"/>
    <x v="10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0"/>
    <s v="12/2021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1"/>
    <s v="01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1"/>
    <s v="01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2"/>
    <s v="02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2"/>
    <s v="02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3"/>
    <s v="03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3"/>
    <s v="03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4"/>
    <s v="04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4"/>
    <s v="04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5"/>
    <s v="05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5"/>
    <s v="05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6"/>
    <s v="06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6"/>
    <s v="06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7"/>
    <s v="07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7"/>
    <s v="07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8"/>
    <s v="08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8"/>
    <s v="08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9"/>
    <s v="09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9"/>
    <s v="09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10"/>
    <s v="10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10"/>
    <s v="10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11"/>
    <s v="11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11"/>
    <s v="11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12"/>
    <s v="12/2022"/>
    <s v="BHCOE - 131400 - Electric - Prod -"/>
    <x v="11"/>
    <x v="1"/>
    <s v="BH Colorado Electric Oper Co"/>
    <s v="SEC"/>
    <x v="1"/>
    <n v="256113.31"/>
    <n v="0"/>
    <n v="0"/>
    <n v="0"/>
    <n v="0"/>
    <n v="0"/>
    <n v="0"/>
    <n v="256113.31"/>
  </r>
  <r>
    <x v="12"/>
    <s v="12/2022"/>
    <s v="BHCOE - 131400 - Electric - Prod -"/>
    <x v="11"/>
    <x v="1"/>
    <s v="BH Colorado Electric Oper Co"/>
    <s v="SEC"/>
    <x v="3"/>
    <n v="-256113.32"/>
    <n v="0"/>
    <n v="0"/>
    <n v="0"/>
    <n v="0"/>
    <n v="0"/>
    <n v="0"/>
    <n v="-256113.32"/>
  </r>
  <r>
    <x v="0"/>
    <s v="12/2021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0"/>
    <s v="12/2021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1"/>
    <s v="01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1"/>
    <s v="01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2"/>
    <s v="02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2"/>
    <s v="02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3"/>
    <s v="03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3"/>
    <s v="03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4"/>
    <s v="04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4"/>
    <s v="04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5"/>
    <s v="05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5"/>
    <s v="05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6"/>
    <s v="06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6"/>
    <s v="06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7"/>
    <s v="07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7"/>
    <s v="07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8"/>
    <s v="08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8"/>
    <s v="08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9"/>
    <s v="09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9"/>
    <s v="09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10"/>
    <s v="10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10"/>
    <s v="10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11"/>
    <s v="11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11"/>
    <s v="11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12"/>
    <s v="12/2022"/>
    <s v="BHCOE - 131500 - Electric - Prod"/>
    <x v="12"/>
    <x v="1"/>
    <s v="BH Colorado Electric Oper Co"/>
    <s v="SEC"/>
    <x v="1"/>
    <n v="-316701.93"/>
    <n v="0"/>
    <n v="0"/>
    <n v="0"/>
    <n v="0"/>
    <n v="0"/>
    <n v="0"/>
    <n v="-316701.93"/>
  </r>
  <r>
    <x v="12"/>
    <s v="12/2022"/>
    <s v="BHCOE - 131500 - Electric - Prod"/>
    <x v="12"/>
    <x v="1"/>
    <s v="BH Colorado Electric Oper Co"/>
    <s v="SEC"/>
    <x v="3"/>
    <n v="356971.34"/>
    <n v="0"/>
    <n v="0"/>
    <n v="0"/>
    <n v="0"/>
    <n v="0"/>
    <n v="0"/>
    <n v="356971.34"/>
  </r>
  <r>
    <x v="0"/>
    <s v="12/2021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0"/>
    <s v="12/2021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1"/>
    <s v="01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1"/>
    <s v="01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2"/>
    <s v="02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2"/>
    <s v="02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3"/>
    <s v="03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3"/>
    <s v="03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4"/>
    <s v="04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4"/>
    <s v="04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5"/>
    <s v="05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5"/>
    <s v="05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6"/>
    <s v="06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6"/>
    <s v="06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7"/>
    <s v="07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7"/>
    <s v="07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8"/>
    <s v="08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8"/>
    <s v="08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9"/>
    <s v="09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9"/>
    <s v="09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10"/>
    <s v="10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10"/>
    <s v="10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11"/>
    <s v="11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11"/>
    <s v="11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12"/>
    <s v="12/2022"/>
    <s v="BHCOE - 131600 - Electric - Prod"/>
    <x v="13"/>
    <x v="1"/>
    <s v="BH Colorado Electric Oper Co"/>
    <s v="SEC"/>
    <x v="1"/>
    <n v="62198.62"/>
    <n v="0"/>
    <n v="0"/>
    <n v="0"/>
    <n v="0"/>
    <n v="0"/>
    <n v="0"/>
    <n v="62198.62"/>
  </r>
  <r>
    <x v="12"/>
    <s v="12/2022"/>
    <s v="BHCOE - 131600 - Electric - Prod"/>
    <x v="13"/>
    <x v="1"/>
    <s v="BH Colorado Electric Oper Co"/>
    <s v="SEC"/>
    <x v="3"/>
    <n v="-62198.62"/>
    <n v="0"/>
    <n v="0"/>
    <n v="0"/>
    <n v="0"/>
    <n v="0"/>
    <n v="0"/>
    <n v="-62198.62"/>
  </r>
  <r>
    <x v="0"/>
    <s v="12/2021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0"/>
    <s v="12/2021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1"/>
    <s v="01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1"/>
    <s v="01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2"/>
    <s v="02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2"/>
    <s v="02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3"/>
    <s v="03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3"/>
    <s v="03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4"/>
    <s v="04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4"/>
    <s v="04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5"/>
    <s v="05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5"/>
    <s v="05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6"/>
    <s v="06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6"/>
    <s v="06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7"/>
    <s v="07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7"/>
    <s v="07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8"/>
    <s v="08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8"/>
    <s v="08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9"/>
    <s v="09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9"/>
    <s v="09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10"/>
    <s v="10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10"/>
    <s v="10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11"/>
    <s v="11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11"/>
    <s v="11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12"/>
    <s v="12/2022"/>
    <s v="BHCOE - 134001 - PAGS 1&amp;2 COMMON"/>
    <x v="14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001 - PAGS UNIT 1"/>
    <x v="14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001 - PAGS UNIT 2"/>
    <x v="14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001 - Electric - Prod"/>
    <x v="14"/>
    <x v="1"/>
    <s v="BH Colorado Electric Oper Co"/>
    <s v="SEC"/>
    <x v="2"/>
    <n v="0"/>
    <n v="0"/>
    <n v="0"/>
    <n v="0"/>
    <n v="0"/>
    <n v="0"/>
    <n v="0"/>
    <n v="0"/>
  </r>
  <r>
    <x v="12"/>
    <s v="12/2022"/>
    <s v="BHCOE - 134001 - Elec-Wind-Peak Vie"/>
    <x v="14"/>
    <x v="1"/>
    <s v="BH Colorado Electric Oper Co"/>
    <s v="SEC"/>
    <x v="2"/>
    <n v="0"/>
    <n v="0"/>
    <n v="0"/>
    <n v="0"/>
    <n v="0"/>
    <n v="0"/>
    <n v="0"/>
    <n v="0"/>
  </r>
  <r>
    <x v="0"/>
    <s v="12/2021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0"/>
    <s v="12/2021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1"/>
    <s v="01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1"/>
    <s v="01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2"/>
    <s v="02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2"/>
    <s v="02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3"/>
    <s v="03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3"/>
    <s v="03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4"/>
    <s v="04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4"/>
    <s v="04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5"/>
    <s v="05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5"/>
    <s v="05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6"/>
    <s v="06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6"/>
    <s v="06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7"/>
    <s v="07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7"/>
    <s v="07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8"/>
    <s v="08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8"/>
    <s v="08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9"/>
    <s v="09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9"/>
    <s v="09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10"/>
    <s v="10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10"/>
    <s v="10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11"/>
    <s v="11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11"/>
    <s v="11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12"/>
    <s v="12/2022"/>
    <s v="BHCOE - 134002 - PAGS 1&amp;2 COMMON"/>
    <x v="15"/>
    <x v="1"/>
    <s v="BH Colorado Electric Oper Co"/>
    <s v="SEC"/>
    <x v="1"/>
    <n v="-2572.3000000000002"/>
    <n v="0"/>
    <n v="0"/>
    <n v="0"/>
    <n v="0"/>
    <n v="0"/>
    <n v="0"/>
    <n v="-2572.3000000000002"/>
  </r>
  <r>
    <x v="12"/>
    <s v="12/2022"/>
    <s v="BHCOE - 134002 - PAGS UNIT 1"/>
    <x v="15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002 - PAGS UNIT 2"/>
    <x v="15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002 - PAGS 1&amp;2 COMMON"/>
    <x v="15"/>
    <x v="1"/>
    <s v="BH Colorado Electric Oper Co"/>
    <s v="SEC"/>
    <x v="3"/>
    <n v="2572.3000000000002"/>
    <n v="0"/>
    <n v="0"/>
    <n v="0"/>
    <n v="0"/>
    <n v="0"/>
    <n v="0"/>
    <n v="2572.3000000000002"/>
  </r>
  <r>
    <x v="0"/>
    <s v="12/2021"/>
    <s v="BHCOE - 134003 - PAGS 1&amp;2 COMMON"/>
    <x v="16"/>
    <x v="1"/>
    <s v="BH Colorado Electric Oper Co"/>
    <s v="SEC"/>
    <x v="1"/>
    <n v="2196272.0299999998"/>
    <n v="16091.710000000001"/>
    <n v="0"/>
    <n v="0"/>
    <n v="0"/>
    <n v="0"/>
    <n v="0"/>
    <n v="2212363.7400000002"/>
  </r>
  <r>
    <x v="0"/>
    <s v="12/2021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003 - PAGS 1&amp;2 COMMON"/>
    <x v="16"/>
    <x v="1"/>
    <s v="BH Colorado Electric Oper Co"/>
    <s v="SEC"/>
    <x v="3"/>
    <n v="202545.36000000002"/>
    <n v="1956.96"/>
    <n v="0"/>
    <n v="0"/>
    <n v="0"/>
    <n v="0"/>
    <n v="0"/>
    <n v="204502.32"/>
  </r>
  <r>
    <x v="1"/>
    <s v="01/2022"/>
    <s v="BHCOE - 134003 - PAGS 1&amp;2 COMMON"/>
    <x v="16"/>
    <x v="1"/>
    <s v="BH Colorado Electric Oper Co"/>
    <s v="SEC"/>
    <x v="1"/>
    <n v="2212363.7400000002"/>
    <n v="16091.710000000001"/>
    <n v="0"/>
    <n v="0"/>
    <n v="0"/>
    <n v="0"/>
    <n v="0"/>
    <n v="2228455.4500000002"/>
  </r>
  <r>
    <x v="1"/>
    <s v="01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003 - PAGS 1&amp;2 COMMON"/>
    <x v="16"/>
    <x v="1"/>
    <s v="BH Colorado Electric Oper Co"/>
    <s v="SEC"/>
    <x v="3"/>
    <n v="204502.32"/>
    <n v="1956.96"/>
    <n v="0"/>
    <n v="0"/>
    <n v="0"/>
    <n v="0"/>
    <n v="0"/>
    <n v="206459.28"/>
  </r>
  <r>
    <x v="2"/>
    <s v="02/2022"/>
    <s v="BHCOE - 134003 - PAGS 1&amp;2 COMMON"/>
    <x v="16"/>
    <x v="1"/>
    <s v="BH Colorado Electric Oper Co"/>
    <s v="SEC"/>
    <x v="1"/>
    <n v="2228455.4500000002"/>
    <n v="16091.710000000001"/>
    <n v="0"/>
    <n v="0"/>
    <n v="0"/>
    <n v="0"/>
    <n v="0"/>
    <n v="2244547.16"/>
  </r>
  <r>
    <x v="2"/>
    <s v="02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003 - PAGS 1&amp;2 COMMON"/>
    <x v="16"/>
    <x v="1"/>
    <s v="BH Colorado Electric Oper Co"/>
    <s v="SEC"/>
    <x v="3"/>
    <n v="206459.28"/>
    <n v="1956.96"/>
    <n v="0"/>
    <n v="0"/>
    <n v="0"/>
    <n v="0"/>
    <n v="0"/>
    <n v="208416.24"/>
  </r>
  <r>
    <x v="3"/>
    <s v="03/2022"/>
    <s v="BHCOE - 134003 - PAGS 1&amp;2 COMMON"/>
    <x v="16"/>
    <x v="1"/>
    <s v="BH Colorado Electric Oper Co"/>
    <s v="SEC"/>
    <x v="1"/>
    <n v="2244547.16"/>
    <n v="16091.710000000001"/>
    <n v="0"/>
    <n v="0"/>
    <n v="0"/>
    <n v="0"/>
    <n v="0"/>
    <n v="2260638.87"/>
  </r>
  <r>
    <x v="3"/>
    <s v="03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003 - PAGS 1&amp;2 COMMON"/>
    <x v="16"/>
    <x v="1"/>
    <s v="BH Colorado Electric Oper Co"/>
    <s v="SEC"/>
    <x v="3"/>
    <n v="208416.24"/>
    <n v="1956.96"/>
    <n v="0"/>
    <n v="0"/>
    <n v="0"/>
    <n v="0"/>
    <n v="0"/>
    <n v="210373.2"/>
  </r>
  <r>
    <x v="4"/>
    <s v="04/2022"/>
    <s v="BHCOE - 134003 - PAGS 1&amp;2 COMMON"/>
    <x v="16"/>
    <x v="1"/>
    <s v="BH Colorado Electric Oper Co"/>
    <s v="SEC"/>
    <x v="1"/>
    <n v="2260638.87"/>
    <n v="16091.710000000001"/>
    <n v="0"/>
    <n v="0"/>
    <n v="0"/>
    <n v="0"/>
    <n v="0"/>
    <n v="2276730.58"/>
  </r>
  <r>
    <x v="4"/>
    <s v="04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003 - PAGS 1&amp;2 COMMON"/>
    <x v="16"/>
    <x v="1"/>
    <s v="BH Colorado Electric Oper Co"/>
    <s v="SEC"/>
    <x v="3"/>
    <n v="210373.2"/>
    <n v="1956.96"/>
    <n v="0"/>
    <n v="0"/>
    <n v="0"/>
    <n v="0"/>
    <n v="0"/>
    <n v="212330.16"/>
  </r>
  <r>
    <x v="5"/>
    <s v="05/2022"/>
    <s v="BHCOE - 134003 - PAGS 1&amp;2 COMMON"/>
    <x v="16"/>
    <x v="1"/>
    <s v="BH Colorado Electric Oper Co"/>
    <s v="SEC"/>
    <x v="1"/>
    <n v="2276730.58"/>
    <n v="16091.710000000001"/>
    <n v="0"/>
    <n v="0"/>
    <n v="0"/>
    <n v="0"/>
    <n v="0"/>
    <n v="2292822.29"/>
  </r>
  <r>
    <x v="5"/>
    <s v="05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003 - PAGS 1&amp;2 COMMON"/>
    <x v="16"/>
    <x v="1"/>
    <s v="BH Colorado Electric Oper Co"/>
    <s v="SEC"/>
    <x v="3"/>
    <n v="212330.16"/>
    <n v="1956.96"/>
    <n v="0"/>
    <n v="0"/>
    <n v="0"/>
    <n v="0"/>
    <n v="0"/>
    <n v="214287.12"/>
  </r>
  <r>
    <x v="6"/>
    <s v="06/2022"/>
    <s v="BHCOE - 134003 - PAGS 1&amp;2 COMMON"/>
    <x v="16"/>
    <x v="1"/>
    <s v="BH Colorado Electric Oper Co"/>
    <s v="SEC"/>
    <x v="1"/>
    <n v="2292822.29"/>
    <n v="16091.710000000001"/>
    <n v="0"/>
    <n v="0"/>
    <n v="0"/>
    <n v="0"/>
    <n v="0"/>
    <n v="2308914"/>
  </r>
  <r>
    <x v="6"/>
    <s v="06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003 - PAGS 1&amp;2 COMMON"/>
    <x v="16"/>
    <x v="1"/>
    <s v="BH Colorado Electric Oper Co"/>
    <s v="SEC"/>
    <x v="3"/>
    <n v="214287.12"/>
    <n v="1956.96"/>
    <n v="0"/>
    <n v="0"/>
    <n v="0"/>
    <n v="0"/>
    <n v="0"/>
    <n v="216244.08000000002"/>
  </r>
  <r>
    <x v="7"/>
    <s v="07/2022"/>
    <s v="BHCOE - 134003 - PAGS 1&amp;2 COMMON"/>
    <x v="16"/>
    <x v="1"/>
    <s v="BH Colorado Electric Oper Co"/>
    <s v="SEC"/>
    <x v="1"/>
    <n v="2308914"/>
    <n v="16091.710000000001"/>
    <n v="0"/>
    <n v="0"/>
    <n v="0"/>
    <n v="0"/>
    <n v="0"/>
    <n v="2325005.71"/>
  </r>
  <r>
    <x v="7"/>
    <s v="07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003 - PAGS 1&amp;2 COMMON"/>
    <x v="16"/>
    <x v="1"/>
    <s v="BH Colorado Electric Oper Co"/>
    <s v="SEC"/>
    <x v="3"/>
    <n v="216244.08000000002"/>
    <n v="1956.96"/>
    <n v="0"/>
    <n v="0"/>
    <n v="0"/>
    <n v="0"/>
    <n v="0"/>
    <n v="218201.04"/>
  </r>
  <r>
    <x v="8"/>
    <s v="08/2022"/>
    <s v="BHCOE - 134003 - PAGS 1&amp;2 COMMON"/>
    <x v="16"/>
    <x v="1"/>
    <s v="BH Colorado Electric Oper Co"/>
    <s v="SEC"/>
    <x v="1"/>
    <n v="2325005.71"/>
    <n v="16091.710000000001"/>
    <n v="0"/>
    <n v="0"/>
    <n v="0"/>
    <n v="0"/>
    <n v="0"/>
    <n v="2341097.42"/>
  </r>
  <r>
    <x v="8"/>
    <s v="08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003 - PAGS 1&amp;2 COMMON"/>
    <x v="16"/>
    <x v="1"/>
    <s v="BH Colorado Electric Oper Co"/>
    <s v="SEC"/>
    <x v="3"/>
    <n v="218201.04"/>
    <n v="1956.96"/>
    <n v="0"/>
    <n v="0"/>
    <n v="0"/>
    <n v="0"/>
    <n v="0"/>
    <n v="220158"/>
  </r>
  <r>
    <x v="9"/>
    <s v="09/2022"/>
    <s v="BHCOE - 134003 - PAGS 1&amp;2 COMMON"/>
    <x v="16"/>
    <x v="1"/>
    <s v="BH Colorado Electric Oper Co"/>
    <s v="SEC"/>
    <x v="1"/>
    <n v="2341097.42"/>
    <n v="16091.710000000001"/>
    <n v="0"/>
    <n v="0"/>
    <n v="0"/>
    <n v="0"/>
    <n v="0"/>
    <n v="2357189.13"/>
  </r>
  <r>
    <x v="9"/>
    <s v="09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003 - PAGS 1&amp;2 COMMON"/>
    <x v="16"/>
    <x v="1"/>
    <s v="BH Colorado Electric Oper Co"/>
    <s v="SEC"/>
    <x v="3"/>
    <n v="220158"/>
    <n v="1956.96"/>
    <n v="0"/>
    <n v="0"/>
    <n v="0"/>
    <n v="0"/>
    <n v="0"/>
    <n v="222114.96"/>
  </r>
  <r>
    <x v="10"/>
    <s v="10/2022"/>
    <s v="BHCOE - 134003 - PAGS 1&amp;2 COMMON"/>
    <x v="16"/>
    <x v="1"/>
    <s v="BH Colorado Electric Oper Co"/>
    <s v="SEC"/>
    <x v="1"/>
    <n v="2357189.13"/>
    <n v="16091.710000000001"/>
    <n v="0"/>
    <n v="0"/>
    <n v="0"/>
    <n v="0"/>
    <n v="0"/>
    <n v="2373280.84"/>
  </r>
  <r>
    <x v="10"/>
    <s v="10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003 - PAGS 1&amp;2 COMMON"/>
    <x v="16"/>
    <x v="1"/>
    <s v="BH Colorado Electric Oper Co"/>
    <s v="SEC"/>
    <x v="3"/>
    <n v="222114.96"/>
    <n v="1956.96"/>
    <n v="0"/>
    <n v="0"/>
    <n v="0"/>
    <n v="0"/>
    <n v="0"/>
    <n v="224071.92"/>
  </r>
  <r>
    <x v="11"/>
    <s v="11/2022"/>
    <s v="BHCOE - 134003 - PAGS 1&amp;2 COMMON"/>
    <x v="16"/>
    <x v="1"/>
    <s v="BH Colorado Electric Oper Co"/>
    <s v="SEC"/>
    <x v="1"/>
    <n v="2373280.84"/>
    <n v="16091.710000000001"/>
    <n v="0"/>
    <n v="0"/>
    <n v="0"/>
    <n v="0"/>
    <n v="0"/>
    <n v="2389372.5499999998"/>
  </r>
  <r>
    <x v="11"/>
    <s v="11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003 - PAGS 1&amp;2 COMMON"/>
    <x v="16"/>
    <x v="1"/>
    <s v="BH Colorado Electric Oper Co"/>
    <s v="SEC"/>
    <x v="3"/>
    <n v="224071.92"/>
    <n v="1956.96"/>
    <n v="0"/>
    <n v="0"/>
    <n v="0"/>
    <n v="0"/>
    <n v="0"/>
    <n v="226028.88"/>
  </r>
  <r>
    <x v="12"/>
    <s v="12/2022"/>
    <s v="BHCOE - 134003 - PAGS 1&amp;2 COMMON"/>
    <x v="16"/>
    <x v="1"/>
    <s v="BH Colorado Electric Oper Co"/>
    <s v="SEC"/>
    <x v="1"/>
    <n v="2389372.5499999998"/>
    <n v="16091.710000000001"/>
    <n v="0"/>
    <n v="0"/>
    <n v="0"/>
    <n v="0"/>
    <n v="0"/>
    <n v="2405464.2599999998"/>
  </r>
  <r>
    <x v="12"/>
    <s v="12/2022"/>
    <s v="BHCOE - 134003 - PAGS UNIT 1"/>
    <x v="16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003 - PAGS UNIT 2"/>
    <x v="16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003 - PAGS 1&amp;2 COMMON"/>
    <x v="16"/>
    <x v="1"/>
    <s v="BH Colorado Electric Oper Co"/>
    <s v="SEC"/>
    <x v="3"/>
    <n v="226028.88"/>
    <n v="1956.96"/>
    <n v="0"/>
    <n v="0"/>
    <n v="0"/>
    <n v="0"/>
    <n v="0"/>
    <n v="227985.84"/>
  </r>
  <r>
    <x v="0"/>
    <s v="12/2021"/>
    <s v="BHCOE - 134100 - Electric - Prod"/>
    <x v="17"/>
    <x v="1"/>
    <s v="BH Colorado Electric Oper Co"/>
    <s v="SEC"/>
    <x v="1"/>
    <n v="275406.01"/>
    <n v="534.79999999999995"/>
    <n v="0"/>
    <n v="0"/>
    <n v="0"/>
    <n v="0"/>
    <n v="0"/>
    <n v="275940.81"/>
  </r>
  <r>
    <x v="0"/>
    <s v="12/2021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100 - PAGS 1&amp;2 COMMON"/>
    <x v="17"/>
    <x v="1"/>
    <s v="BH Colorado Electric Oper Co"/>
    <s v="SEC"/>
    <x v="1"/>
    <n v="434367.9"/>
    <n v="7436.43"/>
    <n v="0"/>
    <n v="0"/>
    <n v="0"/>
    <n v="0"/>
    <n v="0"/>
    <n v="441804.33"/>
  </r>
  <r>
    <x v="0"/>
    <s v="12/2021"/>
    <s v="BHCOE - 134100 - PAGS UNIT 1"/>
    <x v="17"/>
    <x v="1"/>
    <s v="BH Colorado Electric Oper Co"/>
    <s v="SEC"/>
    <x v="1"/>
    <n v="1751749.63"/>
    <n v="15547.24"/>
    <n v="0"/>
    <n v="0"/>
    <n v="0"/>
    <n v="0"/>
    <n v="0"/>
    <n v="1767296.87"/>
  </r>
  <r>
    <x v="0"/>
    <s v="12/2021"/>
    <s v="BHCOE - 134100 - PAGS UNIT 2"/>
    <x v="17"/>
    <x v="1"/>
    <s v="BH Colorado Electric Oper Co"/>
    <s v="SEC"/>
    <x v="1"/>
    <n v="1747719.6600000001"/>
    <n v="15009.91"/>
    <n v="0"/>
    <n v="0"/>
    <n v="0"/>
    <n v="0"/>
    <n v="0"/>
    <n v="1762729.57"/>
  </r>
  <r>
    <x v="0"/>
    <s v="12/2021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100 - Electric - Prod"/>
    <x v="17"/>
    <x v="1"/>
    <s v="BH Colorado Electric Oper Co"/>
    <s v="SEC"/>
    <x v="3"/>
    <n v="2451.3000000000002"/>
    <n v="27.66"/>
    <n v="0"/>
    <n v="0"/>
    <n v="0"/>
    <n v="0"/>
    <n v="0"/>
    <n v="2478.96"/>
  </r>
  <r>
    <x v="0"/>
    <s v="12/2021"/>
    <s v="BHCOE - 134100 - PAGS 1&amp;2 COMMON"/>
    <x v="17"/>
    <x v="1"/>
    <s v="BH Colorado Electric Oper Co"/>
    <s v="SEC"/>
    <x v="3"/>
    <n v="50092.41"/>
    <n v="904.37"/>
    <n v="0"/>
    <n v="0"/>
    <n v="0"/>
    <n v="0"/>
    <n v="0"/>
    <n v="50996.78"/>
  </r>
  <r>
    <x v="0"/>
    <s v="12/2021"/>
    <s v="BHCOE - 134100 - PAGS UNIT 1"/>
    <x v="17"/>
    <x v="1"/>
    <s v="BH Colorado Electric Oper Co"/>
    <s v="SEC"/>
    <x v="3"/>
    <n v="193065.29"/>
    <n v="1890.74"/>
    <n v="0"/>
    <n v="0"/>
    <n v="0"/>
    <n v="0"/>
    <n v="0"/>
    <n v="194956.03"/>
  </r>
  <r>
    <x v="0"/>
    <s v="12/2021"/>
    <s v="BHCOE - 134100 - PAGS UNIT 2"/>
    <x v="17"/>
    <x v="1"/>
    <s v="BH Colorado Electric Oper Co"/>
    <s v="SEC"/>
    <x v="3"/>
    <n v="192575.24"/>
    <n v="1825.4"/>
    <n v="0"/>
    <n v="0"/>
    <n v="0"/>
    <n v="0"/>
    <n v="0"/>
    <n v="194400.64000000001"/>
  </r>
  <r>
    <x v="1"/>
    <s v="01/2022"/>
    <s v="BHCOE - 134100 - Electric - Prod"/>
    <x v="17"/>
    <x v="1"/>
    <s v="BH Colorado Electric Oper Co"/>
    <s v="SEC"/>
    <x v="1"/>
    <n v="275940.81"/>
    <n v="534.79999999999995"/>
    <n v="0"/>
    <n v="0"/>
    <n v="0"/>
    <n v="0"/>
    <n v="0"/>
    <n v="276475.61"/>
  </r>
  <r>
    <x v="1"/>
    <s v="01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100 - PAGS 1&amp;2 COMMON"/>
    <x v="17"/>
    <x v="1"/>
    <s v="BH Colorado Electric Oper Co"/>
    <s v="SEC"/>
    <x v="1"/>
    <n v="441804.33"/>
    <n v="7436.43"/>
    <n v="0"/>
    <n v="0"/>
    <n v="0"/>
    <n v="0"/>
    <n v="0"/>
    <n v="449240.76"/>
  </r>
  <r>
    <x v="1"/>
    <s v="01/2022"/>
    <s v="BHCOE - 134100 - PAGS UNIT 1"/>
    <x v="17"/>
    <x v="1"/>
    <s v="BH Colorado Electric Oper Co"/>
    <s v="SEC"/>
    <x v="1"/>
    <n v="1767296.87"/>
    <n v="15547.24"/>
    <n v="0"/>
    <n v="0"/>
    <n v="0"/>
    <n v="0"/>
    <n v="0"/>
    <n v="1782844.1099999999"/>
  </r>
  <r>
    <x v="1"/>
    <s v="01/2022"/>
    <s v="BHCOE - 134100 - PAGS UNIT 2"/>
    <x v="17"/>
    <x v="1"/>
    <s v="BH Colorado Electric Oper Co"/>
    <s v="SEC"/>
    <x v="1"/>
    <n v="1762729.57"/>
    <n v="15009.91"/>
    <n v="0"/>
    <n v="0"/>
    <n v="0"/>
    <n v="0"/>
    <n v="0"/>
    <n v="1777739.48"/>
  </r>
  <r>
    <x v="1"/>
    <s v="01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100 - Electric - Prod"/>
    <x v="17"/>
    <x v="1"/>
    <s v="BH Colorado Electric Oper Co"/>
    <s v="SEC"/>
    <x v="3"/>
    <n v="2478.96"/>
    <n v="27.66"/>
    <n v="0"/>
    <n v="0"/>
    <n v="0"/>
    <n v="0"/>
    <n v="0"/>
    <n v="2506.62"/>
  </r>
  <r>
    <x v="1"/>
    <s v="01/2022"/>
    <s v="BHCOE - 134100 - PAGS 1&amp;2 COMMON"/>
    <x v="17"/>
    <x v="1"/>
    <s v="BH Colorado Electric Oper Co"/>
    <s v="SEC"/>
    <x v="3"/>
    <n v="50996.78"/>
    <n v="904.37"/>
    <n v="0"/>
    <n v="0"/>
    <n v="0"/>
    <n v="0"/>
    <n v="0"/>
    <n v="51901.15"/>
  </r>
  <r>
    <x v="1"/>
    <s v="01/2022"/>
    <s v="BHCOE - 134100 - PAGS UNIT 1"/>
    <x v="17"/>
    <x v="1"/>
    <s v="BH Colorado Electric Oper Co"/>
    <s v="SEC"/>
    <x v="3"/>
    <n v="194956.03"/>
    <n v="1890.74"/>
    <n v="0"/>
    <n v="0"/>
    <n v="0"/>
    <n v="0"/>
    <n v="0"/>
    <n v="196846.77000000002"/>
  </r>
  <r>
    <x v="1"/>
    <s v="01/2022"/>
    <s v="BHCOE - 134100 - PAGS UNIT 2"/>
    <x v="17"/>
    <x v="1"/>
    <s v="BH Colorado Electric Oper Co"/>
    <s v="SEC"/>
    <x v="3"/>
    <n v="194400.64000000001"/>
    <n v="1825.4"/>
    <n v="0"/>
    <n v="0"/>
    <n v="0"/>
    <n v="0"/>
    <n v="0"/>
    <n v="196226.04"/>
  </r>
  <r>
    <x v="2"/>
    <s v="02/2022"/>
    <s v="BHCOE - 134100 - Electric - Prod"/>
    <x v="17"/>
    <x v="1"/>
    <s v="BH Colorado Electric Oper Co"/>
    <s v="SEC"/>
    <x v="1"/>
    <n v="276475.61"/>
    <n v="534.79999999999995"/>
    <n v="0"/>
    <n v="0"/>
    <n v="0"/>
    <n v="0"/>
    <n v="0"/>
    <n v="277010.41000000003"/>
  </r>
  <r>
    <x v="2"/>
    <s v="02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100 - PAGS 1&amp;2 COMMON"/>
    <x v="17"/>
    <x v="1"/>
    <s v="BH Colorado Electric Oper Co"/>
    <s v="SEC"/>
    <x v="1"/>
    <n v="449240.76"/>
    <n v="7436.43"/>
    <n v="0"/>
    <n v="0"/>
    <n v="0"/>
    <n v="0"/>
    <n v="0"/>
    <n v="456677.19"/>
  </r>
  <r>
    <x v="2"/>
    <s v="02/2022"/>
    <s v="BHCOE - 134100 - PAGS UNIT 1"/>
    <x v="17"/>
    <x v="1"/>
    <s v="BH Colorado Electric Oper Co"/>
    <s v="SEC"/>
    <x v="1"/>
    <n v="1782844.1099999999"/>
    <n v="15547.24"/>
    <n v="0"/>
    <n v="0"/>
    <n v="0"/>
    <n v="0"/>
    <n v="0"/>
    <n v="1798391.35"/>
  </r>
  <r>
    <x v="2"/>
    <s v="02/2022"/>
    <s v="BHCOE - 134100 - PAGS UNIT 2"/>
    <x v="17"/>
    <x v="1"/>
    <s v="BH Colorado Electric Oper Co"/>
    <s v="SEC"/>
    <x v="1"/>
    <n v="1777739.48"/>
    <n v="15009.91"/>
    <n v="0"/>
    <n v="0"/>
    <n v="0"/>
    <n v="0"/>
    <n v="0"/>
    <n v="1792749.3900000001"/>
  </r>
  <r>
    <x v="2"/>
    <s v="02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100 - Electric - Prod"/>
    <x v="17"/>
    <x v="1"/>
    <s v="BH Colorado Electric Oper Co"/>
    <s v="SEC"/>
    <x v="3"/>
    <n v="2506.62"/>
    <n v="27.66"/>
    <n v="0"/>
    <n v="0"/>
    <n v="0"/>
    <n v="0"/>
    <n v="0"/>
    <n v="2534.2800000000002"/>
  </r>
  <r>
    <x v="2"/>
    <s v="02/2022"/>
    <s v="BHCOE - 134100 - PAGS 1&amp;2 COMMON"/>
    <x v="17"/>
    <x v="1"/>
    <s v="BH Colorado Electric Oper Co"/>
    <s v="SEC"/>
    <x v="3"/>
    <n v="51901.15"/>
    <n v="904.37"/>
    <n v="0"/>
    <n v="0"/>
    <n v="0"/>
    <n v="0"/>
    <n v="0"/>
    <n v="52805.520000000004"/>
  </r>
  <r>
    <x v="2"/>
    <s v="02/2022"/>
    <s v="BHCOE - 134100 - PAGS UNIT 1"/>
    <x v="17"/>
    <x v="1"/>
    <s v="BH Colorado Electric Oper Co"/>
    <s v="SEC"/>
    <x v="3"/>
    <n v="196846.77000000002"/>
    <n v="1890.74"/>
    <n v="0"/>
    <n v="0"/>
    <n v="0"/>
    <n v="0"/>
    <n v="0"/>
    <n v="198737.51"/>
  </r>
  <r>
    <x v="2"/>
    <s v="02/2022"/>
    <s v="BHCOE - 134100 - PAGS UNIT 2"/>
    <x v="17"/>
    <x v="1"/>
    <s v="BH Colorado Electric Oper Co"/>
    <s v="SEC"/>
    <x v="3"/>
    <n v="196226.04"/>
    <n v="1825.4"/>
    <n v="0"/>
    <n v="0"/>
    <n v="0"/>
    <n v="0"/>
    <n v="0"/>
    <n v="198051.44"/>
  </r>
  <r>
    <x v="3"/>
    <s v="03/2022"/>
    <s v="BHCOE - 134100 - Electric - Prod"/>
    <x v="17"/>
    <x v="1"/>
    <s v="BH Colorado Electric Oper Co"/>
    <s v="SEC"/>
    <x v="1"/>
    <n v="277010.41000000003"/>
    <n v="534.79999999999995"/>
    <n v="0"/>
    <n v="0"/>
    <n v="0"/>
    <n v="0"/>
    <n v="0"/>
    <n v="277545.21000000002"/>
  </r>
  <r>
    <x v="3"/>
    <s v="03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100 - PAGS 1&amp;2 COMMON"/>
    <x v="17"/>
    <x v="1"/>
    <s v="BH Colorado Electric Oper Co"/>
    <s v="SEC"/>
    <x v="1"/>
    <n v="456677.19"/>
    <n v="7414.76"/>
    <n v="0"/>
    <n v="0"/>
    <n v="0"/>
    <n v="0"/>
    <n v="0"/>
    <n v="464091.95"/>
  </r>
  <r>
    <x v="3"/>
    <s v="03/2022"/>
    <s v="BHCOE - 134100 - PAGS UNIT 1"/>
    <x v="17"/>
    <x v="1"/>
    <s v="BH Colorado Electric Oper Co"/>
    <s v="SEC"/>
    <x v="1"/>
    <n v="1798391.35"/>
    <n v="15547.24"/>
    <n v="0"/>
    <n v="0"/>
    <n v="0"/>
    <n v="0"/>
    <n v="0"/>
    <n v="1813938.5899999999"/>
  </r>
  <r>
    <x v="3"/>
    <s v="03/2022"/>
    <s v="BHCOE - 134100 - PAGS UNIT 2"/>
    <x v="17"/>
    <x v="1"/>
    <s v="BH Colorado Electric Oper Co"/>
    <s v="SEC"/>
    <x v="1"/>
    <n v="1792749.3900000001"/>
    <n v="15009.91"/>
    <n v="0"/>
    <n v="0"/>
    <n v="0"/>
    <n v="0"/>
    <n v="0"/>
    <n v="1807759.3"/>
  </r>
  <r>
    <x v="3"/>
    <s v="03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100 - Electric - Prod"/>
    <x v="17"/>
    <x v="1"/>
    <s v="BH Colorado Electric Oper Co"/>
    <s v="SEC"/>
    <x v="3"/>
    <n v="2534.2800000000002"/>
    <n v="27.66"/>
    <n v="0"/>
    <n v="0"/>
    <n v="0"/>
    <n v="0"/>
    <n v="0"/>
    <n v="2561.94"/>
  </r>
  <r>
    <x v="3"/>
    <s v="03/2022"/>
    <s v="BHCOE - 134100 - PAGS 1&amp;2 COMMON"/>
    <x v="17"/>
    <x v="1"/>
    <s v="BH Colorado Electric Oper Co"/>
    <s v="SEC"/>
    <x v="3"/>
    <n v="52805.520000000004"/>
    <n v="901.73"/>
    <n v="0"/>
    <n v="0"/>
    <n v="0"/>
    <n v="0"/>
    <n v="0"/>
    <n v="53707.25"/>
  </r>
  <r>
    <x v="3"/>
    <s v="03/2022"/>
    <s v="BHCOE - 134100 - PAGS UNIT 1"/>
    <x v="17"/>
    <x v="1"/>
    <s v="BH Colorado Electric Oper Co"/>
    <s v="SEC"/>
    <x v="3"/>
    <n v="198737.51"/>
    <n v="1890.74"/>
    <n v="0"/>
    <n v="0"/>
    <n v="0"/>
    <n v="0"/>
    <n v="0"/>
    <n v="200628.25"/>
  </r>
  <r>
    <x v="3"/>
    <s v="03/2022"/>
    <s v="BHCOE - 134100 - PAGS UNIT 2"/>
    <x v="17"/>
    <x v="1"/>
    <s v="BH Colorado Electric Oper Co"/>
    <s v="SEC"/>
    <x v="3"/>
    <n v="198051.44"/>
    <n v="1825.4"/>
    <n v="0"/>
    <n v="0"/>
    <n v="0"/>
    <n v="0"/>
    <n v="0"/>
    <n v="199876.84"/>
  </r>
  <r>
    <x v="4"/>
    <s v="04/2022"/>
    <s v="BHCOE - 134100 - Electric - Prod"/>
    <x v="17"/>
    <x v="1"/>
    <s v="BH Colorado Electric Oper Co"/>
    <s v="SEC"/>
    <x v="1"/>
    <n v="277545.21000000002"/>
    <n v="534.79999999999995"/>
    <n v="0"/>
    <n v="0"/>
    <n v="0"/>
    <n v="0"/>
    <n v="0"/>
    <n v="278080.01"/>
  </r>
  <r>
    <x v="4"/>
    <s v="04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100 - PAGS 1&amp;2 COMMON"/>
    <x v="17"/>
    <x v="1"/>
    <s v="BH Colorado Electric Oper Co"/>
    <s v="SEC"/>
    <x v="1"/>
    <n v="464091.95"/>
    <n v="7393.1"/>
    <n v="0"/>
    <n v="0"/>
    <n v="0"/>
    <n v="0"/>
    <n v="0"/>
    <n v="471485.05"/>
  </r>
  <r>
    <x v="4"/>
    <s v="04/2022"/>
    <s v="BHCOE - 134100 - PAGS UNIT 1"/>
    <x v="17"/>
    <x v="1"/>
    <s v="BH Colorado Electric Oper Co"/>
    <s v="SEC"/>
    <x v="1"/>
    <n v="1813938.5899999999"/>
    <n v="15547.24"/>
    <n v="0"/>
    <n v="0"/>
    <n v="0"/>
    <n v="0"/>
    <n v="0"/>
    <n v="1829485.83"/>
  </r>
  <r>
    <x v="4"/>
    <s v="04/2022"/>
    <s v="BHCOE - 134100 - PAGS UNIT 2"/>
    <x v="17"/>
    <x v="1"/>
    <s v="BH Colorado Electric Oper Co"/>
    <s v="SEC"/>
    <x v="1"/>
    <n v="1807759.3"/>
    <n v="15009.91"/>
    <n v="0"/>
    <n v="0"/>
    <n v="0"/>
    <n v="0"/>
    <n v="0"/>
    <n v="1822769.21"/>
  </r>
  <r>
    <x v="4"/>
    <s v="04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100 - Electric - Prod"/>
    <x v="17"/>
    <x v="1"/>
    <s v="BH Colorado Electric Oper Co"/>
    <s v="SEC"/>
    <x v="3"/>
    <n v="2561.94"/>
    <n v="27.66"/>
    <n v="0"/>
    <n v="0"/>
    <n v="0"/>
    <n v="0"/>
    <n v="0"/>
    <n v="2589.6"/>
  </r>
  <r>
    <x v="4"/>
    <s v="04/2022"/>
    <s v="BHCOE - 134100 - PAGS 1&amp;2 COMMON"/>
    <x v="17"/>
    <x v="1"/>
    <s v="BH Colorado Electric Oper Co"/>
    <s v="SEC"/>
    <x v="3"/>
    <n v="53707.25"/>
    <n v="899.1"/>
    <n v="0"/>
    <n v="0"/>
    <n v="0"/>
    <n v="0"/>
    <n v="0"/>
    <n v="54606.35"/>
  </r>
  <r>
    <x v="4"/>
    <s v="04/2022"/>
    <s v="BHCOE - 134100 - PAGS UNIT 1"/>
    <x v="17"/>
    <x v="1"/>
    <s v="BH Colorado Electric Oper Co"/>
    <s v="SEC"/>
    <x v="3"/>
    <n v="200628.25"/>
    <n v="1890.74"/>
    <n v="0"/>
    <n v="0"/>
    <n v="0"/>
    <n v="0"/>
    <n v="0"/>
    <n v="202518.99"/>
  </r>
  <r>
    <x v="4"/>
    <s v="04/2022"/>
    <s v="BHCOE - 134100 - PAGS UNIT 2"/>
    <x v="17"/>
    <x v="1"/>
    <s v="BH Colorado Electric Oper Co"/>
    <s v="SEC"/>
    <x v="3"/>
    <n v="199876.84"/>
    <n v="1825.4"/>
    <n v="0"/>
    <n v="0"/>
    <n v="0"/>
    <n v="0"/>
    <n v="0"/>
    <n v="201702.24"/>
  </r>
  <r>
    <x v="5"/>
    <s v="05/2022"/>
    <s v="BHCOE - 134100 - Electric - Prod"/>
    <x v="17"/>
    <x v="1"/>
    <s v="BH Colorado Electric Oper Co"/>
    <s v="SEC"/>
    <x v="1"/>
    <n v="278080.01"/>
    <n v="534.79999999999995"/>
    <n v="0"/>
    <n v="0"/>
    <n v="0"/>
    <n v="0"/>
    <n v="0"/>
    <n v="278614.81"/>
  </r>
  <r>
    <x v="5"/>
    <s v="05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100 - PAGS 1&amp;2 COMMON"/>
    <x v="17"/>
    <x v="1"/>
    <s v="BH Colorado Electric Oper Co"/>
    <s v="SEC"/>
    <x v="1"/>
    <n v="471485.05"/>
    <n v="7393.1"/>
    <n v="0"/>
    <n v="0"/>
    <n v="0"/>
    <n v="0"/>
    <n v="0"/>
    <n v="478878.15"/>
  </r>
  <r>
    <x v="5"/>
    <s v="05/2022"/>
    <s v="BHCOE - 134100 - PAGS UNIT 1"/>
    <x v="17"/>
    <x v="1"/>
    <s v="BH Colorado Electric Oper Co"/>
    <s v="SEC"/>
    <x v="1"/>
    <n v="1829485.83"/>
    <n v="15547.24"/>
    <n v="0"/>
    <n v="0"/>
    <n v="0"/>
    <n v="0"/>
    <n v="0"/>
    <n v="1845033.07"/>
  </r>
  <r>
    <x v="5"/>
    <s v="05/2022"/>
    <s v="BHCOE - 134100 - PAGS UNIT 2"/>
    <x v="17"/>
    <x v="1"/>
    <s v="BH Colorado Electric Oper Co"/>
    <s v="SEC"/>
    <x v="1"/>
    <n v="1822769.21"/>
    <n v="15009.91"/>
    <n v="0"/>
    <n v="0"/>
    <n v="0"/>
    <n v="0"/>
    <n v="0"/>
    <n v="1837779.12"/>
  </r>
  <r>
    <x v="5"/>
    <s v="05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100 - Electric - Prod"/>
    <x v="17"/>
    <x v="1"/>
    <s v="BH Colorado Electric Oper Co"/>
    <s v="SEC"/>
    <x v="3"/>
    <n v="2589.6"/>
    <n v="27.66"/>
    <n v="0"/>
    <n v="0"/>
    <n v="0"/>
    <n v="0"/>
    <n v="0"/>
    <n v="2617.2600000000002"/>
  </r>
  <r>
    <x v="5"/>
    <s v="05/2022"/>
    <s v="BHCOE - 134100 - PAGS 1&amp;2 COMMON"/>
    <x v="17"/>
    <x v="1"/>
    <s v="BH Colorado Electric Oper Co"/>
    <s v="SEC"/>
    <x v="3"/>
    <n v="54606.35"/>
    <n v="899.1"/>
    <n v="0"/>
    <n v="0"/>
    <n v="0"/>
    <n v="0"/>
    <n v="0"/>
    <n v="55505.450000000004"/>
  </r>
  <r>
    <x v="1"/>
    <s v="01/2022"/>
    <s v="BHCOE - 631001 - Non-Reg -"/>
    <x v="5"/>
    <x v="1"/>
    <s v="BH Colorado Electric Oper Co"/>
    <s v="SEC"/>
    <x v="4"/>
    <n v="0"/>
    <n v="0"/>
    <n v="0"/>
    <n v="0"/>
    <n v="0"/>
    <n v="0"/>
    <n v="0"/>
    <n v="0"/>
  </r>
  <r>
    <x v="1"/>
    <s v="01/2022"/>
    <s v="BHCOE - 631001 - Non-Reg - zero"/>
    <x v="5"/>
    <x v="1"/>
    <s v="BH Colorado Electric Oper Co"/>
    <s v="SEC"/>
    <x v="4"/>
    <n v="0"/>
    <n v="0"/>
    <n v="0"/>
    <n v="0"/>
    <n v="0"/>
    <n v="0"/>
    <n v="0"/>
    <n v="0"/>
  </r>
  <r>
    <x v="5"/>
    <s v="05/2022"/>
    <s v="BHCOE - 134100 - PAGS UNIT 1"/>
    <x v="17"/>
    <x v="1"/>
    <s v="BH Colorado Electric Oper Co"/>
    <s v="SEC"/>
    <x v="3"/>
    <n v="202518.99"/>
    <n v="1890.74"/>
    <n v="0"/>
    <n v="0"/>
    <n v="0"/>
    <n v="0"/>
    <n v="0"/>
    <n v="204409.73"/>
  </r>
  <r>
    <x v="5"/>
    <s v="05/2022"/>
    <s v="BHCOE - 134100 - PAGS UNIT 2"/>
    <x v="17"/>
    <x v="1"/>
    <s v="BH Colorado Electric Oper Co"/>
    <s v="SEC"/>
    <x v="3"/>
    <n v="201702.24"/>
    <n v="1825.4"/>
    <n v="0"/>
    <n v="0"/>
    <n v="0"/>
    <n v="0"/>
    <n v="0"/>
    <n v="203527.64"/>
  </r>
  <r>
    <x v="6"/>
    <s v="06/2022"/>
    <s v="BHCOE - 134100 - Electric - Prod"/>
    <x v="17"/>
    <x v="1"/>
    <s v="BH Colorado Electric Oper Co"/>
    <s v="SEC"/>
    <x v="1"/>
    <n v="278614.81"/>
    <n v="534.79999999999995"/>
    <n v="0"/>
    <n v="0"/>
    <n v="0"/>
    <n v="0"/>
    <n v="0"/>
    <n v="279149.61"/>
  </r>
  <r>
    <x v="6"/>
    <s v="06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100 - PAGS 1&amp;2 COMMON"/>
    <x v="17"/>
    <x v="1"/>
    <s v="BH Colorado Electric Oper Co"/>
    <s v="SEC"/>
    <x v="1"/>
    <n v="478878.15"/>
    <n v="7393.1"/>
    <n v="0"/>
    <n v="0"/>
    <n v="0"/>
    <n v="0"/>
    <n v="0"/>
    <n v="486271.25"/>
  </r>
  <r>
    <x v="6"/>
    <s v="06/2022"/>
    <s v="BHCOE - 134100 - PAGS UNIT 1"/>
    <x v="17"/>
    <x v="1"/>
    <s v="BH Colorado Electric Oper Co"/>
    <s v="SEC"/>
    <x v="1"/>
    <n v="1845033.07"/>
    <n v="15278.57"/>
    <n v="0"/>
    <n v="0"/>
    <n v="0"/>
    <n v="0"/>
    <n v="0"/>
    <n v="1860311.6400000001"/>
  </r>
  <r>
    <x v="6"/>
    <s v="06/2022"/>
    <s v="BHCOE - 134100 - PAGS UNIT 2"/>
    <x v="17"/>
    <x v="1"/>
    <s v="BH Colorado Electric Oper Co"/>
    <s v="SEC"/>
    <x v="1"/>
    <n v="1837779.12"/>
    <n v="15009.91"/>
    <n v="0"/>
    <n v="0"/>
    <n v="0"/>
    <n v="0"/>
    <n v="0"/>
    <n v="1852789.03"/>
  </r>
  <r>
    <x v="6"/>
    <s v="06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100 - Electric - Prod"/>
    <x v="17"/>
    <x v="1"/>
    <s v="BH Colorado Electric Oper Co"/>
    <s v="SEC"/>
    <x v="3"/>
    <n v="2617.2600000000002"/>
    <n v="27.66"/>
    <n v="0"/>
    <n v="0"/>
    <n v="0"/>
    <n v="0"/>
    <n v="0"/>
    <n v="2644.92"/>
  </r>
  <r>
    <x v="6"/>
    <s v="06/2022"/>
    <s v="BHCOE - 134100 - PAGS 1&amp;2 COMMON"/>
    <x v="17"/>
    <x v="1"/>
    <s v="BH Colorado Electric Oper Co"/>
    <s v="SEC"/>
    <x v="3"/>
    <n v="55505.450000000004"/>
    <n v="899.1"/>
    <n v="0"/>
    <n v="0"/>
    <n v="0"/>
    <n v="0"/>
    <n v="0"/>
    <n v="56404.55"/>
  </r>
  <r>
    <x v="6"/>
    <s v="06/2022"/>
    <s v="BHCOE - 134100 - PAGS UNIT 1"/>
    <x v="17"/>
    <x v="1"/>
    <s v="BH Colorado Electric Oper Co"/>
    <s v="SEC"/>
    <x v="3"/>
    <n v="204409.73"/>
    <n v="1858.07"/>
    <n v="0"/>
    <n v="0"/>
    <n v="0"/>
    <n v="0"/>
    <n v="0"/>
    <n v="206267.80000000002"/>
  </r>
  <r>
    <x v="6"/>
    <s v="06/2022"/>
    <s v="BHCOE - 134100 - PAGS UNIT 2"/>
    <x v="17"/>
    <x v="1"/>
    <s v="BH Colorado Electric Oper Co"/>
    <s v="SEC"/>
    <x v="3"/>
    <n v="203527.64"/>
    <n v="1825.4"/>
    <n v="0"/>
    <n v="0"/>
    <n v="0"/>
    <n v="0"/>
    <n v="0"/>
    <n v="205353.04"/>
  </r>
  <r>
    <x v="7"/>
    <s v="07/2022"/>
    <s v="BHCOE - 134100 - Electric - Prod"/>
    <x v="17"/>
    <x v="1"/>
    <s v="BH Colorado Electric Oper Co"/>
    <s v="SEC"/>
    <x v="1"/>
    <n v="279149.61"/>
    <n v="534.79999999999995"/>
    <n v="0"/>
    <n v="0"/>
    <n v="0"/>
    <n v="0"/>
    <n v="0"/>
    <n v="279684.41000000003"/>
  </r>
  <r>
    <x v="7"/>
    <s v="07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100 - PAGS 1&amp;2 COMMON"/>
    <x v="17"/>
    <x v="1"/>
    <s v="BH Colorado Electric Oper Co"/>
    <s v="SEC"/>
    <x v="1"/>
    <n v="486271.25"/>
    <n v="7393.1"/>
    <n v="0"/>
    <n v="0"/>
    <n v="0"/>
    <n v="0"/>
    <n v="0"/>
    <n v="493664.35000000003"/>
  </r>
  <r>
    <x v="7"/>
    <s v="07/2022"/>
    <s v="BHCOE - 134100 - PAGS UNIT 1"/>
    <x v="17"/>
    <x v="1"/>
    <s v="BH Colorado Electric Oper Co"/>
    <s v="SEC"/>
    <x v="1"/>
    <n v="1860311.6400000001"/>
    <n v="15009.91"/>
    <n v="0"/>
    <n v="0"/>
    <n v="0"/>
    <n v="0"/>
    <n v="0"/>
    <n v="1875321.55"/>
  </r>
  <r>
    <x v="7"/>
    <s v="07/2022"/>
    <s v="BHCOE - 134100 - PAGS UNIT 2"/>
    <x v="17"/>
    <x v="1"/>
    <s v="BH Colorado Electric Oper Co"/>
    <s v="SEC"/>
    <x v="1"/>
    <n v="1852789.03"/>
    <n v="15009.91"/>
    <n v="0"/>
    <n v="0"/>
    <n v="0"/>
    <n v="0"/>
    <n v="0"/>
    <n v="1867798.94"/>
  </r>
  <r>
    <x v="7"/>
    <s v="07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100 - Electric - Prod"/>
    <x v="17"/>
    <x v="1"/>
    <s v="BH Colorado Electric Oper Co"/>
    <s v="SEC"/>
    <x v="3"/>
    <n v="2644.92"/>
    <n v="27.66"/>
    <n v="0"/>
    <n v="0"/>
    <n v="0"/>
    <n v="0"/>
    <n v="0"/>
    <n v="2672.58"/>
  </r>
  <r>
    <x v="7"/>
    <s v="07/2022"/>
    <s v="BHCOE - 134100 - PAGS 1&amp;2 COMMON"/>
    <x v="17"/>
    <x v="1"/>
    <s v="BH Colorado Electric Oper Co"/>
    <s v="SEC"/>
    <x v="3"/>
    <n v="56404.55"/>
    <n v="899.1"/>
    <n v="0"/>
    <n v="0"/>
    <n v="0"/>
    <n v="0"/>
    <n v="0"/>
    <n v="57303.65"/>
  </r>
  <r>
    <x v="7"/>
    <s v="07/2022"/>
    <s v="BHCOE - 134100 - PAGS UNIT 1"/>
    <x v="17"/>
    <x v="1"/>
    <s v="BH Colorado Electric Oper Co"/>
    <s v="SEC"/>
    <x v="3"/>
    <n v="206267.80000000002"/>
    <n v="1825.4"/>
    <n v="0"/>
    <n v="0"/>
    <n v="0"/>
    <n v="0"/>
    <n v="0"/>
    <n v="208093.2"/>
  </r>
  <r>
    <x v="7"/>
    <s v="07/2022"/>
    <s v="BHCOE - 134100 - PAGS UNIT 2"/>
    <x v="17"/>
    <x v="1"/>
    <s v="BH Colorado Electric Oper Co"/>
    <s v="SEC"/>
    <x v="3"/>
    <n v="205353.04"/>
    <n v="1825.4"/>
    <n v="0"/>
    <n v="0"/>
    <n v="0"/>
    <n v="0"/>
    <n v="0"/>
    <n v="207178.44"/>
  </r>
  <r>
    <x v="8"/>
    <s v="08/2022"/>
    <s v="BHCOE - 134100 - Electric - Prod"/>
    <x v="17"/>
    <x v="1"/>
    <s v="BH Colorado Electric Oper Co"/>
    <s v="SEC"/>
    <x v="1"/>
    <n v="279684.41000000003"/>
    <n v="534.79999999999995"/>
    <n v="0"/>
    <n v="0"/>
    <n v="0"/>
    <n v="0"/>
    <n v="0"/>
    <n v="280219.21000000002"/>
  </r>
  <r>
    <x v="8"/>
    <s v="08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100 - PAGS 1&amp;2 COMMON"/>
    <x v="17"/>
    <x v="1"/>
    <s v="BH Colorado Electric Oper Co"/>
    <s v="SEC"/>
    <x v="1"/>
    <n v="493664.35000000003"/>
    <n v="7393.1"/>
    <n v="0"/>
    <n v="0"/>
    <n v="0"/>
    <n v="0"/>
    <n v="0"/>
    <n v="501057.45"/>
  </r>
  <r>
    <x v="8"/>
    <s v="08/2022"/>
    <s v="BHCOE - 134100 - PAGS UNIT 1"/>
    <x v="17"/>
    <x v="1"/>
    <s v="BH Colorado Electric Oper Co"/>
    <s v="SEC"/>
    <x v="1"/>
    <n v="1875321.55"/>
    <n v="15009.91"/>
    <n v="0"/>
    <n v="0"/>
    <n v="0"/>
    <n v="0"/>
    <n v="0"/>
    <n v="1890331.46"/>
  </r>
  <r>
    <x v="8"/>
    <s v="08/2022"/>
    <s v="BHCOE - 134100 - PAGS UNIT 2"/>
    <x v="17"/>
    <x v="1"/>
    <s v="BH Colorado Electric Oper Co"/>
    <s v="SEC"/>
    <x v="1"/>
    <n v="1867798.94"/>
    <n v="15009.91"/>
    <n v="0"/>
    <n v="0"/>
    <n v="0"/>
    <n v="0"/>
    <n v="0"/>
    <n v="1882808.85"/>
  </r>
  <r>
    <x v="8"/>
    <s v="08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100 - Electric - Prod"/>
    <x v="17"/>
    <x v="1"/>
    <s v="BH Colorado Electric Oper Co"/>
    <s v="SEC"/>
    <x v="3"/>
    <n v="2672.58"/>
    <n v="27.66"/>
    <n v="0"/>
    <n v="0"/>
    <n v="0"/>
    <n v="0"/>
    <n v="0"/>
    <n v="2700.2400000000002"/>
  </r>
  <r>
    <x v="8"/>
    <s v="08/2022"/>
    <s v="BHCOE - 134100 - PAGS 1&amp;2 COMMON"/>
    <x v="17"/>
    <x v="1"/>
    <s v="BH Colorado Electric Oper Co"/>
    <s v="SEC"/>
    <x v="3"/>
    <n v="57303.65"/>
    <n v="899.1"/>
    <n v="0"/>
    <n v="0"/>
    <n v="0"/>
    <n v="0"/>
    <n v="0"/>
    <n v="58202.75"/>
  </r>
  <r>
    <x v="8"/>
    <s v="08/2022"/>
    <s v="BHCOE - 134100 - PAGS UNIT 1"/>
    <x v="17"/>
    <x v="1"/>
    <s v="BH Colorado Electric Oper Co"/>
    <s v="SEC"/>
    <x v="3"/>
    <n v="208093.2"/>
    <n v="1825.4"/>
    <n v="0"/>
    <n v="0"/>
    <n v="0"/>
    <n v="0"/>
    <n v="0"/>
    <n v="209918.6"/>
  </r>
  <r>
    <x v="8"/>
    <s v="08/2022"/>
    <s v="BHCOE - 134100 - PAGS UNIT 2"/>
    <x v="17"/>
    <x v="1"/>
    <s v="BH Colorado Electric Oper Co"/>
    <s v="SEC"/>
    <x v="3"/>
    <n v="207178.44"/>
    <n v="1825.4"/>
    <n v="0"/>
    <n v="0"/>
    <n v="0"/>
    <n v="0"/>
    <n v="0"/>
    <n v="209003.84"/>
  </r>
  <r>
    <x v="9"/>
    <s v="09/2022"/>
    <s v="BHCOE - 134100 - Electric - Prod"/>
    <x v="17"/>
    <x v="1"/>
    <s v="BH Colorado Electric Oper Co"/>
    <s v="SEC"/>
    <x v="1"/>
    <n v="280219.21000000002"/>
    <n v="534.79999999999995"/>
    <n v="0"/>
    <n v="0"/>
    <n v="0"/>
    <n v="0"/>
    <n v="0"/>
    <n v="280754.01"/>
  </r>
  <r>
    <x v="9"/>
    <s v="09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100 - PAGS 1&amp;2 COMMON"/>
    <x v="17"/>
    <x v="1"/>
    <s v="BH Colorado Electric Oper Co"/>
    <s v="SEC"/>
    <x v="1"/>
    <n v="501057.45"/>
    <n v="7393.1"/>
    <n v="0"/>
    <n v="0"/>
    <n v="0"/>
    <n v="0"/>
    <n v="0"/>
    <n v="508450.55"/>
  </r>
  <r>
    <x v="9"/>
    <s v="09/2022"/>
    <s v="BHCOE - 134100 - PAGS UNIT 1"/>
    <x v="17"/>
    <x v="1"/>
    <s v="BH Colorado Electric Oper Co"/>
    <s v="SEC"/>
    <x v="1"/>
    <n v="1890331.46"/>
    <n v="15009.91"/>
    <n v="0"/>
    <n v="0"/>
    <n v="0"/>
    <n v="0"/>
    <n v="0"/>
    <n v="1905341.37"/>
  </r>
  <r>
    <x v="9"/>
    <s v="09/2022"/>
    <s v="BHCOE - 134100 - PAGS UNIT 2"/>
    <x v="17"/>
    <x v="1"/>
    <s v="BH Colorado Electric Oper Co"/>
    <s v="SEC"/>
    <x v="1"/>
    <n v="1882808.85"/>
    <n v="15009.91"/>
    <n v="0"/>
    <n v="0"/>
    <n v="0"/>
    <n v="0"/>
    <n v="0"/>
    <n v="1897818.76"/>
  </r>
  <r>
    <x v="9"/>
    <s v="09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100 - Electric - Prod"/>
    <x v="17"/>
    <x v="1"/>
    <s v="BH Colorado Electric Oper Co"/>
    <s v="SEC"/>
    <x v="3"/>
    <n v="2700.2400000000002"/>
    <n v="27.66"/>
    <n v="0"/>
    <n v="0"/>
    <n v="0"/>
    <n v="0"/>
    <n v="0"/>
    <n v="2727.9"/>
  </r>
  <r>
    <x v="9"/>
    <s v="09/2022"/>
    <s v="BHCOE - 134100 - PAGS 1&amp;2 COMMON"/>
    <x v="17"/>
    <x v="1"/>
    <s v="BH Colorado Electric Oper Co"/>
    <s v="SEC"/>
    <x v="3"/>
    <n v="58202.75"/>
    <n v="899.1"/>
    <n v="0"/>
    <n v="0"/>
    <n v="0"/>
    <n v="0"/>
    <n v="0"/>
    <n v="59101.85"/>
  </r>
  <r>
    <x v="9"/>
    <s v="09/2022"/>
    <s v="BHCOE - 134100 - PAGS UNIT 1"/>
    <x v="17"/>
    <x v="1"/>
    <s v="BH Colorado Electric Oper Co"/>
    <s v="SEC"/>
    <x v="3"/>
    <n v="209918.6"/>
    <n v="1825.4"/>
    <n v="0"/>
    <n v="0"/>
    <n v="0"/>
    <n v="0"/>
    <n v="0"/>
    <n v="211744"/>
  </r>
  <r>
    <x v="9"/>
    <s v="09/2022"/>
    <s v="BHCOE - 134100 - PAGS UNIT 2"/>
    <x v="17"/>
    <x v="1"/>
    <s v="BH Colorado Electric Oper Co"/>
    <s v="SEC"/>
    <x v="3"/>
    <n v="209003.84"/>
    <n v="1825.4"/>
    <n v="0"/>
    <n v="0"/>
    <n v="0"/>
    <n v="0"/>
    <n v="0"/>
    <n v="210829.24"/>
  </r>
  <r>
    <x v="10"/>
    <s v="10/2022"/>
    <s v="BHCOE - 134100 - Electric - Prod"/>
    <x v="17"/>
    <x v="1"/>
    <s v="BH Colorado Electric Oper Co"/>
    <s v="SEC"/>
    <x v="1"/>
    <n v="280754.01"/>
    <n v="534.79999999999995"/>
    <n v="0"/>
    <n v="0"/>
    <n v="0"/>
    <n v="0"/>
    <n v="0"/>
    <n v="281288.81"/>
  </r>
  <r>
    <x v="10"/>
    <s v="10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100 - PAGS 1&amp;2 COMMON"/>
    <x v="17"/>
    <x v="1"/>
    <s v="BH Colorado Electric Oper Co"/>
    <s v="SEC"/>
    <x v="1"/>
    <n v="508450.55"/>
    <n v="7418.82"/>
    <n v="0"/>
    <n v="0"/>
    <n v="0"/>
    <n v="0"/>
    <n v="0"/>
    <n v="515869.37"/>
  </r>
  <r>
    <x v="10"/>
    <s v="10/2022"/>
    <s v="BHCOE - 134100 - PAGS UNIT 1"/>
    <x v="17"/>
    <x v="1"/>
    <s v="BH Colorado Electric Oper Co"/>
    <s v="SEC"/>
    <x v="1"/>
    <n v="1905341.37"/>
    <n v="15009.91"/>
    <n v="0"/>
    <n v="0"/>
    <n v="0"/>
    <n v="0"/>
    <n v="0"/>
    <n v="1920351.28"/>
  </r>
  <r>
    <x v="10"/>
    <s v="10/2022"/>
    <s v="BHCOE - 134100 - PAGS UNIT 2"/>
    <x v="17"/>
    <x v="1"/>
    <s v="BH Colorado Electric Oper Co"/>
    <s v="SEC"/>
    <x v="1"/>
    <n v="1897818.76"/>
    <n v="15009.91"/>
    <n v="0"/>
    <n v="0"/>
    <n v="0"/>
    <n v="0"/>
    <n v="0"/>
    <n v="1912828.67"/>
  </r>
  <r>
    <x v="10"/>
    <s v="10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100 - Electric - Prod"/>
    <x v="17"/>
    <x v="1"/>
    <s v="BH Colorado Electric Oper Co"/>
    <s v="SEC"/>
    <x v="3"/>
    <n v="2727.9"/>
    <n v="27.66"/>
    <n v="0"/>
    <n v="0"/>
    <n v="0"/>
    <n v="0"/>
    <n v="0"/>
    <n v="2755.56"/>
  </r>
  <r>
    <x v="10"/>
    <s v="10/2022"/>
    <s v="BHCOE - 134100 - PAGS 1&amp;2 COMMON"/>
    <x v="17"/>
    <x v="1"/>
    <s v="BH Colorado Electric Oper Co"/>
    <s v="SEC"/>
    <x v="3"/>
    <n v="59101.85"/>
    <n v="902.22"/>
    <n v="0"/>
    <n v="0"/>
    <n v="0"/>
    <n v="0"/>
    <n v="0"/>
    <n v="60004.07"/>
  </r>
  <r>
    <x v="10"/>
    <s v="10/2022"/>
    <s v="BHCOE - 134100 - PAGS UNIT 1"/>
    <x v="17"/>
    <x v="1"/>
    <s v="BH Colorado Electric Oper Co"/>
    <s v="SEC"/>
    <x v="3"/>
    <n v="211744"/>
    <n v="1825.4"/>
    <n v="0"/>
    <n v="0"/>
    <n v="0"/>
    <n v="0"/>
    <n v="0"/>
    <n v="213569.4"/>
  </r>
  <r>
    <x v="10"/>
    <s v="10/2022"/>
    <s v="BHCOE - 134100 - PAGS UNIT 2"/>
    <x v="17"/>
    <x v="1"/>
    <s v="BH Colorado Electric Oper Co"/>
    <s v="SEC"/>
    <x v="3"/>
    <n v="210829.24"/>
    <n v="1825.4"/>
    <n v="0"/>
    <n v="0"/>
    <n v="0"/>
    <n v="0"/>
    <n v="0"/>
    <n v="212654.64"/>
  </r>
  <r>
    <x v="11"/>
    <s v="11/2022"/>
    <s v="BHCOE - 134100 - Electric - Prod"/>
    <x v="17"/>
    <x v="1"/>
    <s v="BH Colorado Electric Oper Co"/>
    <s v="SEC"/>
    <x v="1"/>
    <n v="281288.81"/>
    <n v="534.79999999999995"/>
    <n v="0"/>
    <n v="0"/>
    <n v="0"/>
    <n v="0"/>
    <n v="0"/>
    <n v="281823.61"/>
  </r>
  <r>
    <x v="11"/>
    <s v="11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100 - PAGS 1&amp;2 COMMON"/>
    <x v="17"/>
    <x v="1"/>
    <s v="BH Colorado Electric Oper Co"/>
    <s v="SEC"/>
    <x v="1"/>
    <n v="515869.37"/>
    <n v="7444.53"/>
    <n v="0"/>
    <n v="0"/>
    <n v="0"/>
    <n v="0"/>
    <n v="0"/>
    <n v="523313.9"/>
  </r>
  <r>
    <x v="11"/>
    <s v="11/2022"/>
    <s v="BHCOE - 134100 - PAGS UNIT 1"/>
    <x v="17"/>
    <x v="1"/>
    <s v="BH Colorado Electric Oper Co"/>
    <s v="SEC"/>
    <x v="1"/>
    <n v="1920351.28"/>
    <n v="15009.91"/>
    <n v="0"/>
    <n v="0"/>
    <n v="0"/>
    <n v="0"/>
    <n v="0"/>
    <n v="1935361.19"/>
  </r>
  <r>
    <x v="11"/>
    <s v="11/2022"/>
    <s v="BHCOE - 134100 - PAGS UNIT 2"/>
    <x v="17"/>
    <x v="1"/>
    <s v="BH Colorado Electric Oper Co"/>
    <s v="SEC"/>
    <x v="1"/>
    <n v="1912828.67"/>
    <n v="15009.91"/>
    <n v="0"/>
    <n v="0"/>
    <n v="0"/>
    <n v="0"/>
    <n v="0"/>
    <n v="1927838.58"/>
  </r>
  <r>
    <x v="11"/>
    <s v="11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100 - Electric - Prod"/>
    <x v="17"/>
    <x v="1"/>
    <s v="BH Colorado Electric Oper Co"/>
    <s v="SEC"/>
    <x v="3"/>
    <n v="2755.56"/>
    <n v="27.66"/>
    <n v="0"/>
    <n v="0"/>
    <n v="0"/>
    <n v="0"/>
    <n v="0"/>
    <n v="2783.2200000000003"/>
  </r>
  <r>
    <x v="11"/>
    <s v="11/2022"/>
    <s v="BHCOE - 134100 - PAGS 1&amp;2 COMMON"/>
    <x v="17"/>
    <x v="1"/>
    <s v="BH Colorado Electric Oper Co"/>
    <s v="SEC"/>
    <x v="3"/>
    <n v="60004.07"/>
    <n v="905.35"/>
    <n v="0"/>
    <n v="0"/>
    <n v="0"/>
    <n v="0"/>
    <n v="0"/>
    <n v="60909.42"/>
  </r>
  <r>
    <x v="11"/>
    <s v="11/2022"/>
    <s v="BHCOE - 134100 - PAGS UNIT 1"/>
    <x v="17"/>
    <x v="1"/>
    <s v="BH Colorado Electric Oper Co"/>
    <s v="SEC"/>
    <x v="3"/>
    <n v="213569.4"/>
    <n v="1825.4"/>
    <n v="0"/>
    <n v="0"/>
    <n v="0"/>
    <n v="0"/>
    <n v="0"/>
    <n v="215394.80000000002"/>
  </r>
  <r>
    <x v="11"/>
    <s v="11/2022"/>
    <s v="BHCOE - 134100 - PAGS UNIT 2"/>
    <x v="17"/>
    <x v="1"/>
    <s v="BH Colorado Electric Oper Co"/>
    <s v="SEC"/>
    <x v="3"/>
    <n v="212654.64"/>
    <n v="1825.4"/>
    <n v="0"/>
    <n v="0"/>
    <n v="0"/>
    <n v="0"/>
    <n v="0"/>
    <n v="214480.04"/>
  </r>
  <r>
    <x v="12"/>
    <s v="12/2022"/>
    <s v="BHCOE - 134100 - Electric - Prod"/>
    <x v="17"/>
    <x v="1"/>
    <s v="BH Colorado Electric Oper Co"/>
    <s v="SEC"/>
    <x v="1"/>
    <n v="281823.61"/>
    <n v="534.79999999999995"/>
    <n v="0"/>
    <n v="0"/>
    <n v="0"/>
    <n v="0"/>
    <n v="0"/>
    <n v="282358.41000000003"/>
  </r>
  <r>
    <x v="12"/>
    <s v="12/2022"/>
    <s v="BHCOE - 134100 - Electric - Wind"/>
    <x v="17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100 - PAGS 1&amp;2 COMMON"/>
    <x v="17"/>
    <x v="1"/>
    <s v="BH Colorado Electric Oper Co"/>
    <s v="SEC"/>
    <x v="1"/>
    <n v="523313.9"/>
    <n v="7444.53"/>
    <n v="0"/>
    <n v="0"/>
    <n v="0"/>
    <n v="0"/>
    <n v="0"/>
    <n v="530758.43000000005"/>
  </r>
  <r>
    <x v="12"/>
    <s v="12/2022"/>
    <s v="BHCOE - 134100 - PAGS UNIT 1"/>
    <x v="17"/>
    <x v="1"/>
    <s v="BH Colorado Electric Oper Co"/>
    <s v="SEC"/>
    <x v="1"/>
    <n v="1935361.19"/>
    <n v="15009.91"/>
    <n v="0"/>
    <n v="0"/>
    <n v="0"/>
    <n v="0"/>
    <n v="0"/>
    <n v="1950371.1"/>
  </r>
  <r>
    <x v="12"/>
    <s v="12/2022"/>
    <s v="BHCOE - 134100 - PAGS UNIT 2"/>
    <x v="17"/>
    <x v="1"/>
    <s v="BH Colorado Electric Oper Co"/>
    <s v="SEC"/>
    <x v="1"/>
    <n v="1927838.58"/>
    <n v="15009.91"/>
    <n v="0"/>
    <n v="0"/>
    <n v="0"/>
    <n v="0"/>
    <n v="0"/>
    <n v="1942848.49"/>
  </r>
  <r>
    <x v="12"/>
    <s v="12/2022"/>
    <s v="BHCOE - 134100 - PAGS UNIT 3"/>
    <x v="17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100 - Electric - Prod"/>
    <x v="17"/>
    <x v="1"/>
    <s v="BH Colorado Electric Oper Co"/>
    <s v="SEC"/>
    <x v="3"/>
    <n v="2783.2200000000003"/>
    <n v="27.66"/>
    <n v="0"/>
    <n v="0"/>
    <n v="0"/>
    <n v="0"/>
    <n v="0"/>
    <n v="2810.88"/>
  </r>
  <r>
    <x v="12"/>
    <s v="12/2022"/>
    <s v="BHCOE - 134100 - PAGS 1&amp;2 COMMON"/>
    <x v="17"/>
    <x v="1"/>
    <s v="BH Colorado Electric Oper Co"/>
    <s v="SEC"/>
    <x v="3"/>
    <n v="60909.42"/>
    <n v="905.35"/>
    <n v="0"/>
    <n v="0"/>
    <n v="0"/>
    <n v="0"/>
    <n v="0"/>
    <n v="61814.770000000004"/>
  </r>
  <r>
    <x v="12"/>
    <s v="12/2022"/>
    <s v="BHCOE - 134100 - PAGS UNIT 1"/>
    <x v="17"/>
    <x v="1"/>
    <s v="BH Colorado Electric Oper Co"/>
    <s v="SEC"/>
    <x v="3"/>
    <n v="215394.80000000002"/>
    <n v="1825.4"/>
    <n v="0"/>
    <n v="0"/>
    <n v="0"/>
    <n v="0"/>
    <n v="0"/>
    <n v="217220.2"/>
  </r>
  <r>
    <x v="12"/>
    <s v="12/2022"/>
    <s v="BHCOE - 134100 - PAGS UNIT 2"/>
    <x v="17"/>
    <x v="1"/>
    <s v="BH Colorado Electric Oper Co"/>
    <s v="SEC"/>
    <x v="3"/>
    <n v="214480.04"/>
    <n v="1825.4"/>
    <n v="0"/>
    <n v="0"/>
    <n v="0"/>
    <n v="0"/>
    <n v="0"/>
    <n v="216305.44"/>
  </r>
  <r>
    <x v="0"/>
    <s v="12/2021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134105 - PAGS 1&amp;2 COMMON"/>
    <x v="18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134105 - PAGS UNIT 1"/>
    <x v="18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134105 - PAGS UNIT 2"/>
    <x v="18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134200 - Electric - Prod"/>
    <x v="19"/>
    <x v="1"/>
    <s v="BH Colorado Electric Oper Co"/>
    <s v="SEC"/>
    <x v="1"/>
    <n v="141116.85"/>
    <n v="786.96"/>
    <n v="0"/>
    <n v="0"/>
    <n v="0"/>
    <n v="0"/>
    <n v="0"/>
    <n v="141903.81"/>
  </r>
  <r>
    <x v="0"/>
    <s v="12/2021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200 - PAGS 1&amp;2 COMMON"/>
    <x v="19"/>
    <x v="1"/>
    <s v="BH Colorado Electric Oper Co"/>
    <s v="SEC"/>
    <x v="1"/>
    <n v="44186.71"/>
    <n v="1278.8700000000001"/>
    <n v="0"/>
    <n v="0"/>
    <n v="0"/>
    <n v="0"/>
    <n v="0"/>
    <n v="45465.58"/>
  </r>
  <r>
    <x v="0"/>
    <s v="12/2021"/>
    <s v="BHCOE - 134200 - PAGS UNIT 1"/>
    <x v="19"/>
    <x v="1"/>
    <s v="BH Colorado Electric Oper Co"/>
    <s v="SEC"/>
    <x v="1"/>
    <n v="1216050.8700000001"/>
    <n v="10127.27"/>
    <n v="0"/>
    <n v="0"/>
    <n v="0"/>
    <n v="0"/>
    <n v="0"/>
    <n v="1226178.1400000001"/>
  </r>
  <r>
    <x v="0"/>
    <s v="12/2021"/>
    <s v="BHCOE - 134200 - PAGS UNIT 2"/>
    <x v="19"/>
    <x v="1"/>
    <s v="BH Colorado Electric Oper Co"/>
    <s v="SEC"/>
    <x v="1"/>
    <n v="1216050.8700000001"/>
    <n v="10127.27"/>
    <n v="0"/>
    <n v="0"/>
    <n v="0"/>
    <n v="0"/>
    <n v="0"/>
    <n v="1226178.1400000001"/>
  </r>
  <r>
    <x v="0"/>
    <s v="12/2021"/>
    <s v="BHCOE - 134200 - PAGS UNIT 3"/>
    <x v="19"/>
    <x v="1"/>
    <s v="BH Colorado Electric Oper Co"/>
    <s v="SEC"/>
    <x v="1"/>
    <n v="54239.42"/>
    <n v="1115.5899999999999"/>
    <n v="0"/>
    <n v="0"/>
    <n v="0"/>
    <n v="0"/>
    <n v="0"/>
    <n v="55355.01"/>
  </r>
  <r>
    <x v="0"/>
    <s v="12/2021"/>
    <s v="BHCOE - 134200 - Electric - Prod"/>
    <x v="19"/>
    <x v="1"/>
    <s v="BH Colorado Electric Oper Co"/>
    <s v="SEC"/>
    <x v="3"/>
    <n v="112095.69"/>
    <n v="156.88"/>
    <n v="0"/>
    <n v="0"/>
    <n v="0"/>
    <n v="0"/>
    <n v="0"/>
    <n v="112252.57"/>
  </r>
  <r>
    <x v="0"/>
    <s v="12/2021"/>
    <s v="BHCOE - 134200 - PAGS 1&amp;2 COMMON"/>
    <x v="19"/>
    <x v="1"/>
    <s v="BH Colorado Electric Oper Co"/>
    <s v="SEC"/>
    <x v="3"/>
    <n v="5373.4000000000005"/>
    <n v="155.53"/>
    <n v="0"/>
    <n v="0"/>
    <n v="0"/>
    <n v="0"/>
    <n v="0"/>
    <n v="5528.93"/>
  </r>
  <r>
    <x v="0"/>
    <s v="12/2021"/>
    <s v="BHCOE - 134200 - PAGS UNIT 1"/>
    <x v="19"/>
    <x v="1"/>
    <s v="BH Colorado Electric Oper Co"/>
    <s v="SEC"/>
    <x v="3"/>
    <n v="133081.60000000001"/>
    <n v="1231.6100000000001"/>
    <n v="0"/>
    <n v="0"/>
    <n v="0"/>
    <n v="0"/>
    <n v="0"/>
    <n v="134313.21"/>
  </r>
  <r>
    <x v="0"/>
    <s v="12/2021"/>
    <s v="BHCOE - 134200 - PAGS UNIT 2"/>
    <x v="19"/>
    <x v="1"/>
    <s v="BH Colorado Electric Oper Co"/>
    <s v="SEC"/>
    <x v="3"/>
    <n v="133081.60000000001"/>
    <n v="1231.6100000000001"/>
    <n v="0"/>
    <n v="0"/>
    <n v="0"/>
    <n v="0"/>
    <n v="0"/>
    <n v="134313.21"/>
  </r>
  <r>
    <x v="0"/>
    <s v="12/2021"/>
    <s v="BHCOE - 134200 - PAGS UNIT 3"/>
    <x v="19"/>
    <x v="1"/>
    <s v="BH Colorado Electric Oper Co"/>
    <s v="SEC"/>
    <x v="3"/>
    <n v="2100.85"/>
    <n v="43.21"/>
    <n v="0"/>
    <n v="0"/>
    <n v="0"/>
    <n v="0"/>
    <n v="0"/>
    <n v="2144.06"/>
  </r>
  <r>
    <x v="1"/>
    <s v="01/2022"/>
    <s v="BHCOE - 134200 - Electric - Prod"/>
    <x v="19"/>
    <x v="1"/>
    <s v="BH Colorado Electric Oper Co"/>
    <s v="SEC"/>
    <x v="1"/>
    <n v="141903.81"/>
    <n v="786.96"/>
    <n v="0"/>
    <n v="0"/>
    <n v="0"/>
    <n v="0"/>
    <n v="0"/>
    <n v="142690.76999999999"/>
  </r>
  <r>
    <x v="1"/>
    <s v="01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200 - PAGS 1&amp;2 COMMON"/>
    <x v="19"/>
    <x v="1"/>
    <s v="BH Colorado Electric Oper Co"/>
    <s v="SEC"/>
    <x v="1"/>
    <n v="45465.58"/>
    <n v="1278.8700000000001"/>
    <n v="0"/>
    <n v="0"/>
    <n v="0"/>
    <n v="0"/>
    <n v="0"/>
    <n v="46744.450000000004"/>
  </r>
  <r>
    <x v="1"/>
    <s v="01/2022"/>
    <s v="BHCOE - 134200 - PAGS UNIT 1"/>
    <x v="19"/>
    <x v="1"/>
    <s v="BH Colorado Electric Oper Co"/>
    <s v="SEC"/>
    <x v="1"/>
    <n v="1226178.1400000001"/>
    <n v="10127.27"/>
    <n v="0"/>
    <n v="0"/>
    <n v="0"/>
    <n v="0"/>
    <n v="0"/>
    <n v="1236305.4099999999"/>
  </r>
  <r>
    <x v="1"/>
    <s v="01/2022"/>
    <s v="BHCOE - 134200 - PAGS UNIT 2"/>
    <x v="19"/>
    <x v="1"/>
    <s v="BH Colorado Electric Oper Co"/>
    <s v="SEC"/>
    <x v="1"/>
    <n v="1226178.1400000001"/>
    <n v="10127.27"/>
    <n v="0"/>
    <n v="0"/>
    <n v="0"/>
    <n v="0"/>
    <n v="0"/>
    <n v="1236305.4099999999"/>
  </r>
  <r>
    <x v="1"/>
    <s v="01/2022"/>
    <s v="BHCOE - 134200 - PAGS UNIT 3"/>
    <x v="19"/>
    <x v="1"/>
    <s v="BH Colorado Electric Oper Co"/>
    <s v="SEC"/>
    <x v="1"/>
    <n v="55355.01"/>
    <n v="1115.5899999999999"/>
    <n v="0"/>
    <n v="0"/>
    <n v="0"/>
    <n v="0"/>
    <n v="0"/>
    <n v="56470.6"/>
  </r>
  <r>
    <x v="1"/>
    <s v="01/2022"/>
    <s v="BHCOE - 134200 - Electric - Prod"/>
    <x v="19"/>
    <x v="1"/>
    <s v="BH Colorado Electric Oper Co"/>
    <s v="SEC"/>
    <x v="3"/>
    <n v="112252.57"/>
    <n v="156.88"/>
    <n v="0"/>
    <n v="0"/>
    <n v="0"/>
    <n v="0"/>
    <n v="0"/>
    <n v="112409.45"/>
  </r>
  <r>
    <x v="1"/>
    <s v="01/2022"/>
    <s v="BHCOE - 134200 - PAGS 1&amp;2 COMMON"/>
    <x v="19"/>
    <x v="1"/>
    <s v="BH Colorado Electric Oper Co"/>
    <s v="SEC"/>
    <x v="3"/>
    <n v="5528.93"/>
    <n v="155.53"/>
    <n v="0"/>
    <n v="0"/>
    <n v="0"/>
    <n v="0"/>
    <n v="0"/>
    <n v="5684.46"/>
  </r>
  <r>
    <x v="1"/>
    <s v="01/2022"/>
    <s v="BHCOE - 134200 - PAGS UNIT 1"/>
    <x v="19"/>
    <x v="1"/>
    <s v="BH Colorado Electric Oper Co"/>
    <s v="SEC"/>
    <x v="3"/>
    <n v="134313.21"/>
    <n v="1231.6100000000001"/>
    <n v="0"/>
    <n v="0"/>
    <n v="0"/>
    <n v="0"/>
    <n v="0"/>
    <n v="135544.82"/>
  </r>
  <r>
    <x v="1"/>
    <s v="01/2022"/>
    <s v="BHCOE - 134200 - PAGS UNIT 2"/>
    <x v="19"/>
    <x v="1"/>
    <s v="BH Colorado Electric Oper Co"/>
    <s v="SEC"/>
    <x v="3"/>
    <n v="134313.21"/>
    <n v="1231.6100000000001"/>
    <n v="0"/>
    <n v="0"/>
    <n v="0"/>
    <n v="0"/>
    <n v="0"/>
    <n v="135544.82"/>
  </r>
  <r>
    <x v="1"/>
    <s v="01/2022"/>
    <s v="BHCOE - 134200 - PAGS UNIT 3"/>
    <x v="19"/>
    <x v="1"/>
    <s v="BH Colorado Electric Oper Co"/>
    <s v="SEC"/>
    <x v="3"/>
    <n v="2144.06"/>
    <n v="43.21"/>
    <n v="0"/>
    <n v="0"/>
    <n v="0"/>
    <n v="0"/>
    <n v="0"/>
    <n v="2187.27"/>
  </r>
  <r>
    <x v="2"/>
    <s v="02/2022"/>
    <s v="BHCOE - 134200 - Electric - Prod"/>
    <x v="19"/>
    <x v="1"/>
    <s v="BH Colorado Electric Oper Co"/>
    <s v="SEC"/>
    <x v="1"/>
    <n v="142690.76999999999"/>
    <n v="786.96"/>
    <n v="0"/>
    <n v="0"/>
    <n v="0"/>
    <n v="0"/>
    <n v="0"/>
    <n v="143477.73000000001"/>
  </r>
  <r>
    <x v="2"/>
    <s v="02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200 - PAGS 1&amp;2 COMMON"/>
    <x v="19"/>
    <x v="1"/>
    <s v="BH Colorado Electric Oper Co"/>
    <s v="SEC"/>
    <x v="1"/>
    <n v="46744.450000000004"/>
    <n v="1278.8700000000001"/>
    <n v="0"/>
    <n v="0"/>
    <n v="0"/>
    <n v="0"/>
    <n v="0"/>
    <n v="48023.32"/>
  </r>
  <r>
    <x v="2"/>
    <s v="02/2022"/>
    <s v="BHCOE - 134200 - PAGS UNIT 1"/>
    <x v="19"/>
    <x v="1"/>
    <s v="BH Colorado Electric Oper Co"/>
    <s v="SEC"/>
    <x v="1"/>
    <n v="1236305.4099999999"/>
    <n v="10127.27"/>
    <n v="0"/>
    <n v="0"/>
    <n v="0"/>
    <n v="0"/>
    <n v="0"/>
    <n v="1246432.68"/>
  </r>
  <r>
    <x v="2"/>
    <s v="02/2022"/>
    <s v="BHCOE - 134200 - PAGS UNIT 2"/>
    <x v="19"/>
    <x v="1"/>
    <s v="BH Colorado Electric Oper Co"/>
    <s v="SEC"/>
    <x v="1"/>
    <n v="1236305.4099999999"/>
    <n v="10127.27"/>
    <n v="0"/>
    <n v="0"/>
    <n v="0"/>
    <n v="0"/>
    <n v="0"/>
    <n v="1246432.68"/>
  </r>
  <r>
    <x v="2"/>
    <s v="02/2022"/>
    <s v="BHCOE - 134200 - PAGS UNIT 3"/>
    <x v="19"/>
    <x v="1"/>
    <s v="BH Colorado Electric Oper Co"/>
    <s v="SEC"/>
    <x v="1"/>
    <n v="56470.6"/>
    <n v="1115.5899999999999"/>
    <n v="0"/>
    <n v="0"/>
    <n v="0"/>
    <n v="0"/>
    <n v="0"/>
    <n v="57586.19"/>
  </r>
  <r>
    <x v="2"/>
    <s v="02/2022"/>
    <s v="BHCOE - 134200 - Electric - Prod"/>
    <x v="19"/>
    <x v="1"/>
    <s v="BH Colorado Electric Oper Co"/>
    <s v="SEC"/>
    <x v="3"/>
    <n v="112409.45"/>
    <n v="156.88"/>
    <n v="0"/>
    <n v="0"/>
    <n v="0"/>
    <n v="0"/>
    <n v="0"/>
    <n v="112566.33"/>
  </r>
  <r>
    <x v="2"/>
    <s v="02/2022"/>
    <s v="BHCOE - 134200 - PAGS 1&amp;2 COMMON"/>
    <x v="19"/>
    <x v="1"/>
    <s v="BH Colorado Electric Oper Co"/>
    <s v="SEC"/>
    <x v="3"/>
    <n v="5684.46"/>
    <n v="155.53"/>
    <n v="0"/>
    <n v="0"/>
    <n v="0"/>
    <n v="0"/>
    <n v="0"/>
    <n v="5839.99"/>
  </r>
  <r>
    <x v="2"/>
    <s v="02/2022"/>
    <s v="BHCOE - 134200 - PAGS UNIT 1"/>
    <x v="19"/>
    <x v="1"/>
    <s v="BH Colorado Electric Oper Co"/>
    <s v="SEC"/>
    <x v="3"/>
    <n v="135544.82"/>
    <n v="1231.6100000000001"/>
    <n v="0"/>
    <n v="0"/>
    <n v="0"/>
    <n v="0"/>
    <n v="0"/>
    <n v="136776.43"/>
  </r>
  <r>
    <x v="2"/>
    <s v="02/2022"/>
    <s v="BHCOE - 134200 - PAGS UNIT 2"/>
    <x v="19"/>
    <x v="1"/>
    <s v="BH Colorado Electric Oper Co"/>
    <s v="SEC"/>
    <x v="3"/>
    <n v="135544.82"/>
    <n v="1231.6100000000001"/>
    <n v="0"/>
    <n v="0"/>
    <n v="0"/>
    <n v="0"/>
    <n v="0"/>
    <n v="136776.43"/>
  </r>
  <r>
    <x v="2"/>
    <s v="02/2022"/>
    <s v="BHCOE - 134200 - PAGS UNIT 3"/>
    <x v="19"/>
    <x v="1"/>
    <s v="BH Colorado Electric Oper Co"/>
    <s v="SEC"/>
    <x v="3"/>
    <n v="2187.27"/>
    <n v="43.21"/>
    <n v="0"/>
    <n v="0"/>
    <n v="0"/>
    <n v="0"/>
    <n v="0"/>
    <n v="2230.48"/>
  </r>
  <r>
    <x v="3"/>
    <s v="03/2022"/>
    <s v="BHCOE - 134200 - Electric - Prod"/>
    <x v="19"/>
    <x v="1"/>
    <s v="BH Colorado Electric Oper Co"/>
    <s v="SEC"/>
    <x v="1"/>
    <n v="143477.73000000001"/>
    <n v="786.96"/>
    <n v="0"/>
    <n v="0"/>
    <n v="0"/>
    <n v="0"/>
    <n v="0"/>
    <n v="144264.69"/>
  </r>
  <r>
    <x v="3"/>
    <s v="03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200 - PAGS 1&amp;2 COMMON"/>
    <x v="19"/>
    <x v="1"/>
    <s v="BH Colorado Electric Oper Co"/>
    <s v="SEC"/>
    <x v="1"/>
    <n v="48023.32"/>
    <n v="1278.8700000000001"/>
    <n v="0"/>
    <n v="0"/>
    <n v="0"/>
    <n v="0"/>
    <n v="0"/>
    <n v="49302.19"/>
  </r>
  <r>
    <x v="3"/>
    <s v="03/2022"/>
    <s v="BHCOE - 134200 - PAGS UNIT 1"/>
    <x v="19"/>
    <x v="1"/>
    <s v="BH Colorado Electric Oper Co"/>
    <s v="SEC"/>
    <x v="1"/>
    <n v="1246432.68"/>
    <n v="10127.27"/>
    <n v="0"/>
    <n v="0"/>
    <n v="0"/>
    <n v="0"/>
    <n v="0"/>
    <n v="1256559.95"/>
  </r>
  <r>
    <x v="3"/>
    <s v="03/2022"/>
    <s v="BHCOE - 134200 - PAGS UNIT 2"/>
    <x v="19"/>
    <x v="1"/>
    <s v="BH Colorado Electric Oper Co"/>
    <s v="SEC"/>
    <x v="1"/>
    <n v="1246432.68"/>
    <n v="10127.27"/>
    <n v="0"/>
    <n v="0"/>
    <n v="0"/>
    <n v="0"/>
    <n v="0"/>
    <n v="1256559.95"/>
  </r>
  <r>
    <x v="3"/>
    <s v="03/2022"/>
    <s v="BHCOE - 134200 - PAGS UNIT 3"/>
    <x v="19"/>
    <x v="1"/>
    <s v="BH Colorado Electric Oper Co"/>
    <s v="SEC"/>
    <x v="1"/>
    <n v="57586.19"/>
    <n v="1115.5899999999999"/>
    <n v="0"/>
    <n v="0"/>
    <n v="0"/>
    <n v="0"/>
    <n v="0"/>
    <n v="58701.78"/>
  </r>
  <r>
    <x v="3"/>
    <s v="03/2022"/>
    <s v="BHCOE - 134200 - Electric - Prod"/>
    <x v="19"/>
    <x v="1"/>
    <s v="BH Colorado Electric Oper Co"/>
    <s v="SEC"/>
    <x v="3"/>
    <n v="112566.33"/>
    <n v="156.88"/>
    <n v="0"/>
    <n v="0"/>
    <n v="0"/>
    <n v="0"/>
    <n v="0"/>
    <n v="112723.21"/>
  </r>
  <r>
    <x v="3"/>
    <s v="03/2022"/>
    <s v="BHCOE - 134200 - PAGS 1&amp;2 COMMON"/>
    <x v="19"/>
    <x v="1"/>
    <s v="BH Colorado Electric Oper Co"/>
    <s v="SEC"/>
    <x v="3"/>
    <n v="5839.99"/>
    <n v="155.53"/>
    <n v="0"/>
    <n v="0"/>
    <n v="0"/>
    <n v="0"/>
    <n v="0"/>
    <n v="5995.52"/>
  </r>
  <r>
    <x v="3"/>
    <s v="03/2022"/>
    <s v="BHCOE - 134200 - PAGS UNIT 1"/>
    <x v="19"/>
    <x v="1"/>
    <s v="BH Colorado Electric Oper Co"/>
    <s v="SEC"/>
    <x v="3"/>
    <n v="136776.43"/>
    <n v="1231.6100000000001"/>
    <n v="0"/>
    <n v="0"/>
    <n v="0"/>
    <n v="0"/>
    <n v="0"/>
    <n v="138008.04"/>
  </r>
  <r>
    <x v="3"/>
    <s v="03/2022"/>
    <s v="BHCOE - 134200 - PAGS UNIT 2"/>
    <x v="19"/>
    <x v="1"/>
    <s v="BH Colorado Electric Oper Co"/>
    <s v="SEC"/>
    <x v="3"/>
    <n v="136776.43"/>
    <n v="1231.6100000000001"/>
    <n v="0"/>
    <n v="0"/>
    <n v="0"/>
    <n v="0"/>
    <n v="0"/>
    <n v="138008.04"/>
  </r>
  <r>
    <x v="3"/>
    <s v="03/2022"/>
    <s v="BHCOE - 134200 - PAGS UNIT 3"/>
    <x v="19"/>
    <x v="1"/>
    <s v="BH Colorado Electric Oper Co"/>
    <s v="SEC"/>
    <x v="3"/>
    <n v="2230.48"/>
    <n v="43.21"/>
    <n v="0"/>
    <n v="0"/>
    <n v="0"/>
    <n v="0"/>
    <n v="0"/>
    <n v="2273.69"/>
  </r>
  <r>
    <x v="4"/>
    <s v="04/2022"/>
    <s v="BHCOE - 134200 - Electric - Prod"/>
    <x v="19"/>
    <x v="1"/>
    <s v="BH Colorado Electric Oper Co"/>
    <s v="SEC"/>
    <x v="1"/>
    <n v="144264.69"/>
    <n v="786.96"/>
    <n v="0"/>
    <n v="0"/>
    <n v="0"/>
    <n v="0"/>
    <n v="0"/>
    <n v="145051.65"/>
  </r>
  <r>
    <x v="4"/>
    <s v="04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200 - PAGS 1&amp;2 COMMON"/>
    <x v="19"/>
    <x v="1"/>
    <s v="BH Colorado Electric Oper Co"/>
    <s v="SEC"/>
    <x v="1"/>
    <n v="49302.19"/>
    <n v="1278.8700000000001"/>
    <n v="0"/>
    <n v="0"/>
    <n v="0"/>
    <n v="0"/>
    <n v="0"/>
    <n v="50581.06"/>
  </r>
  <r>
    <x v="4"/>
    <s v="04/2022"/>
    <s v="BHCOE - 134200 - PAGS UNIT 1"/>
    <x v="19"/>
    <x v="1"/>
    <s v="BH Colorado Electric Oper Co"/>
    <s v="SEC"/>
    <x v="1"/>
    <n v="1256559.95"/>
    <n v="10127.27"/>
    <n v="0"/>
    <n v="0"/>
    <n v="0"/>
    <n v="0"/>
    <n v="0"/>
    <n v="1266687.22"/>
  </r>
  <r>
    <x v="4"/>
    <s v="04/2022"/>
    <s v="BHCOE - 134200 - PAGS UNIT 2"/>
    <x v="19"/>
    <x v="1"/>
    <s v="BH Colorado Electric Oper Co"/>
    <s v="SEC"/>
    <x v="1"/>
    <n v="1256559.95"/>
    <n v="10127.27"/>
    <n v="0"/>
    <n v="0"/>
    <n v="0"/>
    <n v="0"/>
    <n v="0"/>
    <n v="1266687.22"/>
  </r>
  <r>
    <x v="4"/>
    <s v="04/2022"/>
    <s v="BHCOE - 134200 - PAGS UNIT 3"/>
    <x v="19"/>
    <x v="1"/>
    <s v="BH Colorado Electric Oper Co"/>
    <s v="SEC"/>
    <x v="1"/>
    <n v="58701.78"/>
    <n v="1115.5899999999999"/>
    <n v="0"/>
    <n v="0"/>
    <n v="0"/>
    <n v="0"/>
    <n v="0"/>
    <n v="59817.37"/>
  </r>
  <r>
    <x v="4"/>
    <s v="04/2022"/>
    <s v="BHCOE - 134200 - Electric - Prod"/>
    <x v="19"/>
    <x v="1"/>
    <s v="BH Colorado Electric Oper Co"/>
    <s v="SEC"/>
    <x v="3"/>
    <n v="112723.21"/>
    <n v="156.88"/>
    <n v="0"/>
    <n v="0"/>
    <n v="0"/>
    <n v="0"/>
    <n v="0"/>
    <n v="112880.09"/>
  </r>
  <r>
    <x v="4"/>
    <s v="04/2022"/>
    <s v="BHCOE - 134200 - PAGS 1&amp;2 COMMON"/>
    <x v="19"/>
    <x v="1"/>
    <s v="BH Colorado Electric Oper Co"/>
    <s v="SEC"/>
    <x v="3"/>
    <n v="5995.52"/>
    <n v="155.53"/>
    <n v="0"/>
    <n v="0"/>
    <n v="0"/>
    <n v="0"/>
    <n v="0"/>
    <n v="6151.05"/>
  </r>
  <r>
    <x v="4"/>
    <s v="04/2022"/>
    <s v="BHCOE - 134200 - PAGS UNIT 1"/>
    <x v="19"/>
    <x v="1"/>
    <s v="BH Colorado Electric Oper Co"/>
    <s v="SEC"/>
    <x v="3"/>
    <n v="138008.04"/>
    <n v="1231.6100000000001"/>
    <n v="0"/>
    <n v="0"/>
    <n v="0"/>
    <n v="0"/>
    <n v="0"/>
    <n v="139239.65"/>
  </r>
  <r>
    <x v="4"/>
    <s v="04/2022"/>
    <s v="BHCOE - 134200 - PAGS UNIT 2"/>
    <x v="19"/>
    <x v="1"/>
    <s v="BH Colorado Electric Oper Co"/>
    <s v="SEC"/>
    <x v="3"/>
    <n v="138008.04"/>
    <n v="1231.6100000000001"/>
    <n v="0"/>
    <n v="0"/>
    <n v="0"/>
    <n v="0"/>
    <n v="0"/>
    <n v="139239.65"/>
  </r>
  <r>
    <x v="4"/>
    <s v="04/2022"/>
    <s v="BHCOE - 134200 - PAGS UNIT 3"/>
    <x v="19"/>
    <x v="1"/>
    <s v="BH Colorado Electric Oper Co"/>
    <s v="SEC"/>
    <x v="3"/>
    <n v="2273.69"/>
    <n v="43.21"/>
    <n v="0"/>
    <n v="0"/>
    <n v="0"/>
    <n v="0"/>
    <n v="0"/>
    <n v="2316.9"/>
  </r>
  <r>
    <x v="5"/>
    <s v="05/2022"/>
    <s v="BHCOE - 134200 - Electric - Prod"/>
    <x v="19"/>
    <x v="1"/>
    <s v="BH Colorado Electric Oper Co"/>
    <s v="SEC"/>
    <x v="1"/>
    <n v="145051.65"/>
    <n v="786.96"/>
    <n v="0"/>
    <n v="0"/>
    <n v="0"/>
    <n v="0"/>
    <n v="0"/>
    <n v="145838.61000000002"/>
  </r>
  <r>
    <x v="5"/>
    <s v="05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200 - PAGS 1&amp;2 COMMON"/>
    <x v="19"/>
    <x v="1"/>
    <s v="BH Colorado Electric Oper Co"/>
    <s v="SEC"/>
    <x v="1"/>
    <n v="50581.06"/>
    <n v="1278.8700000000001"/>
    <n v="0"/>
    <n v="0"/>
    <n v="0"/>
    <n v="0"/>
    <n v="0"/>
    <n v="51859.93"/>
  </r>
  <r>
    <x v="5"/>
    <s v="05/2022"/>
    <s v="BHCOE - 134200 - PAGS UNIT 1"/>
    <x v="19"/>
    <x v="1"/>
    <s v="BH Colorado Electric Oper Co"/>
    <s v="SEC"/>
    <x v="1"/>
    <n v="1266687.22"/>
    <n v="10127.27"/>
    <n v="0"/>
    <n v="0"/>
    <n v="0"/>
    <n v="0"/>
    <n v="0"/>
    <n v="1276814.49"/>
  </r>
  <r>
    <x v="5"/>
    <s v="05/2022"/>
    <s v="BHCOE - 134200 - PAGS UNIT 2"/>
    <x v="19"/>
    <x v="1"/>
    <s v="BH Colorado Electric Oper Co"/>
    <s v="SEC"/>
    <x v="1"/>
    <n v="1266687.22"/>
    <n v="10127.27"/>
    <n v="0"/>
    <n v="0"/>
    <n v="0"/>
    <n v="0"/>
    <n v="0"/>
    <n v="1276814.49"/>
  </r>
  <r>
    <x v="5"/>
    <s v="05/2022"/>
    <s v="BHCOE - 134200 - PAGS UNIT 3"/>
    <x v="19"/>
    <x v="1"/>
    <s v="BH Colorado Electric Oper Co"/>
    <s v="SEC"/>
    <x v="1"/>
    <n v="59817.37"/>
    <n v="1115.5899999999999"/>
    <n v="0"/>
    <n v="0"/>
    <n v="0"/>
    <n v="0"/>
    <n v="0"/>
    <n v="60932.959999999999"/>
  </r>
  <r>
    <x v="5"/>
    <s v="05/2022"/>
    <s v="BHCOE - 134200 - Electric - Prod"/>
    <x v="19"/>
    <x v="1"/>
    <s v="BH Colorado Electric Oper Co"/>
    <s v="SEC"/>
    <x v="3"/>
    <n v="112880.09"/>
    <n v="156.88"/>
    <n v="0"/>
    <n v="0"/>
    <n v="0"/>
    <n v="0"/>
    <n v="0"/>
    <n v="113036.97"/>
  </r>
  <r>
    <x v="5"/>
    <s v="05/2022"/>
    <s v="BHCOE - 134200 - PAGS 1&amp;2 COMMON"/>
    <x v="19"/>
    <x v="1"/>
    <s v="BH Colorado Electric Oper Co"/>
    <s v="SEC"/>
    <x v="3"/>
    <n v="6151.05"/>
    <n v="155.53"/>
    <n v="0"/>
    <n v="0"/>
    <n v="0"/>
    <n v="0"/>
    <n v="0"/>
    <n v="6306.58"/>
  </r>
  <r>
    <x v="5"/>
    <s v="05/2022"/>
    <s v="BHCOE - 134200 - PAGS UNIT 1"/>
    <x v="19"/>
    <x v="1"/>
    <s v="BH Colorado Electric Oper Co"/>
    <s v="SEC"/>
    <x v="3"/>
    <n v="139239.65"/>
    <n v="1231.6100000000001"/>
    <n v="0"/>
    <n v="0"/>
    <n v="0"/>
    <n v="0"/>
    <n v="0"/>
    <n v="140471.26"/>
  </r>
  <r>
    <x v="5"/>
    <s v="05/2022"/>
    <s v="BHCOE - 134200 - PAGS UNIT 2"/>
    <x v="19"/>
    <x v="1"/>
    <s v="BH Colorado Electric Oper Co"/>
    <s v="SEC"/>
    <x v="3"/>
    <n v="139239.65"/>
    <n v="1231.6100000000001"/>
    <n v="0"/>
    <n v="0"/>
    <n v="0"/>
    <n v="0"/>
    <n v="0"/>
    <n v="140471.26"/>
  </r>
  <r>
    <x v="5"/>
    <s v="05/2022"/>
    <s v="BHCOE - 134200 - PAGS UNIT 3"/>
    <x v="19"/>
    <x v="1"/>
    <s v="BH Colorado Electric Oper Co"/>
    <s v="SEC"/>
    <x v="3"/>
    <n v="2316.9"/>
    <n v="43.21"/>
    <n v="0"/>
    <n v="0"/>
    <n v="0"/>
    <n v="0"/>
    <n v="0"/>
    <n v="2360.11"/>
  </r>
  <r>
    <x v="6"/>
    <s v="06/2022"/>
    <s v="BHCOE - 134200 - Electric - Prod"/>
    <x v="19"/>
    <x v="1"/>
    <s v="BH Colorado Electric Oper Co"/>
    <s v="SEC"/>
    <x v="1"/>
    <n v="145838.61000000002"/>
    <n v="786.96"/>
    <n v="0"/>
    <n v="0"/>
    <n v="0"/>
    <n v="0"/>
    <n v="0"/>
    <n v="146625.57"/>
  </r>
  <r>
    <x v="6"/>
    <s v="06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200 - PAGS 1&amp;2 COMMON"/>
    <x v="19"/>
    <x v="1"/>
    <s v="BH Colorado Electric Oper Co"/>
    <s v="SEC"/>
    <x v="1"/>
    <n v="51859.93"/>
    <n v="1278.8700000000001"/>
    <n v="0"/>
    <n v="0"/>
    <n v="0"/>
    <n v="0"/>
    <n v="0"/>
    <n v="53138.8"/>
  </r>
  <r>
    <x v="6"/>
    <s v="06/2022"/>
    <s v="BHCOE - 134200 - PAGS UNIT 1"/>
    <x v="19"/>
    <x v="1"/>
    <s v="BH Colorado Electric Oper Co"/>
    <s v="SEC"/>
    <x v="1"/>
    <n v="1276814.49"/>
    <n v="10127.27"/>
    <n v="0"/>
    <n v="0"/>
    <n v="0"/>
    <n v="0"/>
    <n v="0"/>
    <n v="1286941.76"/>
  </r>
  <r>
    <x v="6"/>
    <s v="06/2022"/>
    <s v="BHCOE - 134200 - PAGS UNIT 2"/>
    <x v="19"/>
    <x v="1"/>
    <s v="BH Colorado Electric Oper Co"/>
    <s v="SEC"/>
    <x v="1"/>
    <n v="1276814.49"/>
    <n v="10127.27"/>
    <n v="0"/>
    <n v="0"/>
    <n v="0"/>
    <n v="0"/>
    <n v="0"/>
    <n v="1286941.76"/>
  </r>
  <r>
    <x v="6"/>
    <s v="06/2022"/>
    <s v="BHCOE - 134200 - PAGS UNIT 3"/>
    <x v="19"/>
    <x v="1"/>
    <s v="BH Colorado Electric Oper Co"/>
    <s v="SEC"/>
    <x v="1"/>
    <n v="60932.959999999999"/>
    <n v="1115.5899999999999"/>
    <n v="0"/>
    <n v="0"/>
    <n v="0"/>
    <n v="0"/>
    <n v="0"/>
    <n v="62048.55"/>
  </r>
  <r>
    <x v="6"/>
    <s v="06/2022"/>
    <s v="BHCOE - 134200 - Electric - Prod"/>
    <x v="19"/>
    <x v="1"/>
    <s v="BH Colorado Electric Oper Co"/>
    <s v="SEC"/>
    <x v="3"/>
    <n v="113036.97"/>
    <n v="156.88"/>
    <n v="0"/>
    <n v="0"/>
    <n v="0"/>
    <n v="0"/>
    <n v="0"/>
    <n v="113193.85"/>
  </r>
  <r>
    <x v="6"/>
    <s v="06/2022"/>
    <s v="BHCOE - 134200 - PAGS 1&amp;2 COMMON"/>
    <x v="19"/>
    <x v="1"/>
    <s v="BH Colorado Electric Oper Co"/>
    <s v="SEC"/>
    <x v="3"/>
    <n v="6306.58"/>
    <n v="155.53"/>
    <n v="0"/>
    <n v="0"/>
    <n v="0"/>
    <n v="0"/>
    <n v="0"/>
    <n v="6462.1100000000006"/>
  </r>
  <r>
    <x v="6"/>
    <s v="06/2022"/>
    <s v="BHCOE - 134200 - PAGS UNIT 1"/>
    <x v="19"/>
    <x v="1"/>
    <s v="BH Colorado Electric Oper Co"/>
    <s v="SEC"/>
    <x v="3"/>
    <n v="140471.26"/>
    <n v="1231.6100000000001"/>
    <n v="0"/>
    <n v="0"/>
    <n v="0"/>
    <n v="0"/>
    <n v="0"/>
    <n v="141702.87"/>
  </r>
  <r>
    <x v="6"/>
    <s v="06/2022"/>
    <s v="BHCOE - 134200 - PAGS UNIT 2"/>
    <x v="19"/>
    <x v="1"/>
    <s v="BH Colorado Electric Oper Co"/>
    <s v="SEC"/>
    <x v="3"/>
    <n v="140471.26"/>
    <n v="1231.6100000000001"/>
    <n v="0"/>
    <n v="0"/>
    <n v="0"/>
    <n v="0"/>
    <n v="0"/>
    <n v="141702.87"/>
  </r>
  <r>
    <x v="6"/>
    <s v="06/2022"/>
    <s v="BHCOE - 134200 - PAGS UNIT 3"/>
    <x v="19"/>
    <x v="1"/>
    <s v="BH Colorado Electric Oper Co"/>
    <s v="SEC"/>
    <x v="3"/>
    <n v="2360.11"/>
    <n v="43.21"/>
    <n v="0"/>
    <n v="0"/>
    <n v="0"/>
    <n v="0"/>
    <n v="0"/>
    <n v="2403.3200000000002"/>
  </r>
  <r>
    <x v="7"/>
    <s v="07/2022"/>
    <s v="BHCOE - 134200 - Electric - Prod"/>
    <x v="19"/>
    <x v="1"/>
    <s v="BH Colorado Electric Oper Co"/>
    <s v="SEC"/>
    <x v="1"/>
    <n v="146625.57"/>
    <n v="786.96"/>
    <n v="0"/>
    <n v="0"/>
    <n v="0"/>
    <n v="0"/>
    <n v="0"/>
    <n v="147412.53"/>
  </r>
  <r>
    <x v="7"/>
    <s v="07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200 - PAGS 1&amp;2 COMMON"/>
    <x v="19"/>
    <x v="1"/>
    <s v="BH Colorado Electric Oper Co"/>
    <s v="SEC"/>
    <x v="1"/>
    <n v="53138.8"/>
    <n v="1278.8700000000001"/>
    <n v="0"/>
    <n v="0"/>
    <n v="0"/>
    <n v="0"/>
    <n v="0"/>
    <n v="54417.67"/>
  </r>
  <r>
    <x v="7"/>
    <s v="07/2022"/>
    <s v="BHCOE - 134200 - PAGS UNIT 1"/>
    <x v="19"/>
    <x v="1"/>
    <s v="BH Colorado Electric Oper Co"/>
    <s v="SEC"/>
    <x v="1"/>
    <n v="1286941.76"/>
    <n v="10127.27"/>
    <n v="0"/>
    <n v="0"/>
    <n v="0"/>
    <n v="0"/>
    <n v="0"/>
    <n v="1297069.03"/>
  </r>
  <r>
    <x v="7"/>
    <s v="07/2022"/>
    <s v="BHCOE - 134200 - PAGS UNIT 2"/>
    <x v="19"/>
    <x v="1"/>
    <s v="BH Colorado Electric Oper Co"/>
    <s v="SEC"/>
    <x v="1"/>
    <n v="1286941.76"/>
    <n v="10127.27"/>
    <n v="0"/>
    <n v="0"/>
    <n v="0"/>
    <n v="0"/>
    <n v="0"/>
    <n v="1297069.03"/>
  </r>
  <r>
    <x v="7"/>
    <s v="07/2022"/>
    <s v="BHCOE - 134200 - PAGS UNIT 3"/>
    <x v="19"/>
    <x v="1"/>
    <s v="BH Colorado Electric Oper Co"/>
    <s v="SEC"/>
    <x v="1"/>
    <n v="62048.55"/>
    <n v="1115.5899999999999"/>
    <n v="0"/>
    <n v="0"/>
    <n v="0"/>
    <n v="0"/>
    <n v="0"/>
    <n v="63164.14"/>
  </r>
  <r>
    <x v="7"/>
    <s v="07/2022"/>
    <s v="BHCOE - 134200 - Electric - Prod"/>
    <x v="19"/>
    <x v="1"/>
    <s v="BH Colorado Electric Oper Co"/>
    <s v="SEC"/>
    <x v="3"/>
    <n v="113193.85"/>
    <n v="156.88"/>
    <n v="0"/>
    <n v="0"/>
    <n v="0"/>
    <n v="0"/>
    <n v="0"/>
    <n v="113350.73"/>
  </r>
  <r>
    <x v="7"/>
    <s v="07/2022"/>
    <s v="BHCOE - 134200 - PAGS 1&amp;2 COMMON"/>
    <x v="19"/>
    <x v="1"/>
    <s v="BH Colorado Electric Oper Co"/>
    <s v="SEC"/>
    <x v="3"/>
    <n v="6462.1100000000006"/>
    <n v="155.53"/>
    <n v="0"/>
    <n v="0"/>
    <n v="0"/>
    <n v="0"/>
    <n v="0"/>
    <n v="6617.64"/>
  </r>
  <r>
    <x v="7"/>
    <s v="07/2022"/>
    <s v="BHCOE - 134200 - PAGS UNIT 1"/>
    <x v="19"/>
    <x v="1"/>
    <s v="BH Colorado Electric Oper Co"/>
    <s v="SEC"/>
    <x v="3"/>
    <n v="141702.87"/>
    <n v="1231.6100000000001"/>
    <n v="0"/>
    <n v="0"/>
    <n v="0"/>
    <n v="0"/>
    <n v="0"/>
    <n v="142934.48000000001"/>
  </r>
  <r>
    <x v="7"/>
    <s v="07/2022"/>
    <s v="BHCOE - 134200 - PAGS UNIT 2"/>
    <x v="19"/>
    <x v="1"/>
    <s v="BH Colorado Electric Oper Co"/>
    <s v="SEC"/>
    <x v="3"/>
    <n v="141702.87"/>
    <n v="1231.6100000000001"/>
    <n v="0"/>
    <n v="0"/>
    <n v="0"/>
    <n v="0"/>
    <n v="0"/>
    <n v="142934.48000000001"/>
  </r>
  <r>
    <x v="7"/>
    <s v="07/2022"/>
    <s v="BHCOE - 134200 - PAGS UNIT 3"/>
    <x v="19"/>
    <x v="1"/>
    <s v="BH Colorado Electric Oper Co"/>
    <s v="SEC"/>
    <x v="3"/>
    <n v="2403.3200000000002"/>
    <n v="43.21"/>
    <n v="0"/>
    <n v="0"/>
    <n v="0"/>
    <n v="0"/>
    <n v="0"/>
    <n v="2446.5300000000002"/>
  </r>
  <r>
    <x v="8"/>
    <s v="08/2022"/>
    <s v="BHCOE - 134200 - Electric - Prod"/>
    <x v="19"/>
    <x v="1"/>
    <s v="BH Colorado Electric Oper Co"/>
    <s v="SEC"/>
    <x v="1"/>
    <n v="147412.53"/>
    <n v="786.96"/>
    <n v="0"/>
    <n v="0"/>
    <n v="0"/>
    <n v="0"/>
    <n v="0"/>
    <n v="148199.49"/>
  </r>
  <r>
    <x v="8"/>
    <s v="08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200 - PAGS 1&amp;2 COMMON"/>
    <x v="19"/>
    <x v="1"/>
    <s v="BH Colorado Electric Oper Co"/>
    <s v="SEC"/>
    <x v="1"/>
    <n v="54417.67"/>
    <n v="1278.8700000000001"/>
    <n v="0"/>
    <n v="0"/>
    <n v="0"/>
    <n v="0"/>
    <n v="0"/>
    <n v="55696.54"/>
  </r>
  <r>
    <x v="8"/>
    <s v="08/2022"/>
    <s v="BHCOE - 134200 - PAGS UNIT 1"/>
    <x v="19"/>
    <x v="1"/>
    <s v="BH Colorado Electric Oper Co"/>
    <s v="SEC"/>
    <x v="1"/>
    <n v="1297069.03"/>
    <n v="10127.27"/>
    <n v="0"/>
    <n v="0"/>
    <n v="0"/>
    <n v="0"/>
    <n v="0"/>
    <n v="1307196.3"/>
  </r>
  <r>
    <x v="8"/>
    <s v="08/2022"/>
    <s v="BHCOE - 134200 - PAGS UNIT 2"/>
    <x v="19"/>
    <x v="1"/>
    <s v="BH Colorado Electric Oper Co"/>
    <s v="SEC"/>
    <x v="1"/>
    <n v="1297069.03"/>
    <n v="10127.27"/>
    <n v="0"/>
    <n v="0"/>
    <n v="0"/>
    <n v="0"/>
    <n v="0"/>
    <n v="1307196.3"/>
  </r>
  <r>
    <x v="8"/>
    <s v="08/2022"/>
    <s v="BHCOE - 134200 - PAGS UNIT 3"/>
    <x v="19"/>
    <x v="1"/>
    <s v="BH Colorado Electric Oper Co"/>
    <s v="SEC"/>
    <x v="1"/>
    <n v="63164.14"/>
    <n v="1115.5899999999999"/>
    <n v="0"/>
    <n v="0"/>
    <n v="0"/>
    <n v="0"/>
    <n v="0"/>
    <n v="64279.73"/>
  </r>
  <r>
    <x v="8"/>
    <s v="08/2022"/>
    <s v="BHCOE - 134200 - Electric - Prod"/>
    <x v="19"/>
    <x v="1"/>
    <s v="BH Colorado Electric Oper Co"/>
    <s v="SEC"/>
    <x v="3"/>
    <n v="113350.73"/>
    <n v="156.88"/>
    <n v="0"/>
    <n v="0"/>
    <n v="0"/>
    <n v="0"/>
    <n v="0"/>
    <n v="113507.61"/>
  </r>
  <r>
    <x v="8"/>
    <s v="08/2022"/>
    <s v="BHCOE - 134200 - PAGS 1&amp;2 COMMON"/>
    <x v="19"/>
    <x v="1"/>
    <s v="BH Colorado Electric Oper Co"/>
    <s v="SEC"/>
    <x v="3"/>
    <n v="6617.64"/>
    <n v="155.53"/>
    <n v="0"/>
    <n v="0"/>
    <n v="0"/>
    <n v="0"/>
    <n v="0"/>
    <n v="6773.17"/>
  </r>
  <r>
    <x v="8"/>
    <s v="08/2022"/>
    <s v="BHCOE - 134200 - PAGS UNIT 1"/>
    <x v="19"/>
    <x v="1"/>
    <s v="BH Colorado Electric Oper Co"/>
    <s v="SEC"/>
    <x v="3"/>
    <n v="142934.48000000001"/>
    <n v="1231.6100000000001"/>
    <n v="0"/>
    <n v="0"/>
    <n v="0"/>
    <n v="0"/>
    <n v="0"/>
    <n v="144166.09"/>
  </r>
  <r>
    <x v="8"/>
    <s v="08/2022"/>
    <s v="BHCOE - 134200 - PAGS UNIT 2"/>
    <x v="19"/>
    <x v="1"/>
    <s v="BH Colorado Electric Oper Co"/>
    <s v="SEC"/>
    <x v="3"/>
    <n v="142934.48000000001"/>
    <n v="1231.6100000000001"/>
    <n v="0"/>
    <n v="0"/>
    <n v="0"/>
    <n v="0"/>
    <n v="0"/>
    <n v="144166.09"/>
  </r>
  <r>
    <x v="8"/>
    <s v="08/2022"/>
    <s v="BHCOE - 134200 - PAGS UNIT 3"/>
    <x v="19"/>
    <x v="1"/>
    <s v="BH Colorado Electric Oper Co"/>
    <s v="SEC"/>
    <x v="3"/>
    <n v="2446.5300000000002"/>
    <n v="43.21"/>
    <n v="0"/>
    <n v="0"/>
    <n v="0"/>
    <n v="0"/>
    <n v="0"/>
    <n v="2489.7400000000002"/>
  </r>
  <r>
    <x v="9"/>
    <s v="09/2022"/>
    <s v="BHCOE - 134200 - Electric - Prod"/>
    <x v="19"/>
    <x v="1"/>
    <s v="BH Colorado Electric Oper Co"/>
    <s v="SEC"/>
    <x v="1"/>
    <n v="148199.49"/>
    <n v="786.96"/>
    <n v="0"/>
    <n v="0"/>
    <n v="0"/>
    <n v="0"/>
    <n v="0"/>
    <n v="148986.45000000001"/>
  </r>
  <r>
    <x v="9"/>
    <s v="09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200 - PAGS 1&amp;2 COMMON"/>
    <x v="19"/>
    <x v="1"/>
    <s v="BH Colorado Electric Oper Co"/>
    <s v="SEC"/>
    <x v="1"/>
    <n v="55696.54"/>
    <n v="1278.8700000000001"/>
    <n v="0"/>
    <n v="0"/>
    <n v="0"/>
    <n v="0"/>
    <n v="0"/>
    <n v="56975.41"/>
  </r>
  <r>
    <x v="9"/>
    <s v="09/2022"/>
    <s v="BHCOE - 134200 - PAGS UNIT 1"/>
    <x v="19"/>
    <x v="1"/>
    <s v="BH Colorado Electric Oper Co"/>
    <s v="SEC"/>
    <x v="1"/>
    <n v="1307196.3"/>
    <n v="10127.27"/>
    <n v="0"/>
    <n v="0"/>
    <n v="0"/>
    <n v="0"/>
    <n v="0"/>
    <n v="1317323.57"/>
  </r>
  <r>
    <x v="9"/>
    <s v="09/2022"/>
    <s v="BHCOE - 134200 - PAGS UNIT 2"/>
    <x v="19"/>
    <x v="1"/>
    <s v="BH Colorado Electric Oper Co"/>
    <s v="SEC"/>
    <x v="1"/>
    <n v="1307196.3"/>
    <n v="10127.27"/>
    <n v="0"/>
    <n v="0"/>
    <n v="0"/>
    <n v="0"/>
    <n v="0"/>
    <n v="1317323.57"/>
  </r>
  <r>
    <x v="9"/>
    <s v="09/2022"/>
    <s v="BHCOE - 134200 - PAGS UNIT 3"/>
    <x v="19"/>
    <x v="1"/>
    <s v="BH Colorado Electric Oper Co"/>
    <s v="SEC"/>
    <x v="1"/>
    <n v="64279.73"/>
    <n v="1115.5899999999999"/>
    <n v="0"/>
    <n v="0"/>
    <n v="0"/>
    <n v="0"/>
    <n v="0"/>
    <n v="65395.32"/>
  </r>
  <r>
    <x v="9"/>
    <s v="09/2022"/>
    <s v="BHCOE - 134200 - Electric - Prod"/>
    <x v="19"/>
    <x v="1"/>
    <s v="BH Colorado Electric Oper Co"/>
    <s v="SEC"/>
    <x v="3"/>
    <n v="113507.61"/>
    <n v="156.88"/>
    <n v="0"/>
    <n v="0"/>
    <n v="0"/>
    <n v="0"/>
    <n v="0"/>
    <n v="113664.49"/>
  </r>
  <r>
    <x v="9"/>
    <s v="09/2022"/>
    <s v="BHCOE - 134200 - PAGS 1&amp;2 COMMON"/>
    <x v="19"/>
    <x v="1"/>
    <s v="BH Colorado Electric Oper Co"/>
    <s v="SEC"/>
    <x v="3"/>
    <n v="6773.17"/>
    <n v="155.53"/>
    <n v="0"/>
    <n v="0"/>
    <n v="0"/>
    <n v="0"/>
    <n v="0"/>
    <n v="6928.7"/>
  </r>
  <r>
    <x v="9"/>
    <s v="09/2022"/>
    <s v="BHCOE - 134200 - PAGS UNIT 1"/>
    <x v="19"/>
    <x v="1"/>
    <s v="BH Colorado Electric Oper Co"/>
    <s v="SEC"/>
    <x v="3"/>
    <n v="144166.09"/>
    <n v="1231.6100000000001"/>
    <n v="0"/>
    <n v="0"/>
    <n v="0"/>
    <n v="0"/>
    <n v="0"/>
    <n v="145397.70000000001"/>
  </r>
  <r>
    <x v="9"/>
    <s v="09/2022"/>
    <s v="BHCOE - 134200 - PAGS UNIT 2"/>
    <x v="19"/>
    <x v="1"/>
    <s v="BH Colorado Electric Oper Co"/>
    <s v="SEC"/>
    <x v="3"/>
    <n v="144166.09"/>
    <n v="1231.6100000000001"/>
    <n v="0"/>
    <n v="0"/>
    <n v="0"/>
    <n v="0"/>
    <n v="0"/>
    <n v="145397.70000000001"/>
  </r>
  <r>
    <x v="9"/>
    <s v="09/2022"/>
    <s v="BHCOE - 134200 - PAGS UNIT 3"/>
    <x v="19"/>
    <x v="1"/>
    <s v="BH Colorado Electric Oper Co"/>
    <s v="SEC"/>
    <x v="3"/>
    <n v="2489.7400000000002"/>
    <n v="43.21"/>
    <n v="0"/>
    <n v="0"/>
    <n v="0"/>
    <n v="0"/>
    <n v="0"/>
    <n v="2532.9500000000003"/>
  </r>
  <r>
    <x v="10"/>
    <s v="10/2022"/>
    <s v="BHCOE - 134200 - Electric - Prod"/>
    <x v="19"/>
    <x v="1"/>
    <s v="BH Colorado Electric Oper Co"/>
    <s v="SEC"/>
    <x v="1"/>
    <n v="148986.45000000001"/>
    <n v="786.96"/>
    <n v="0"/>
    <n v="0"/>
    <n v="0"/>
    <n v="0"/>
    <n v="0"/>
    <n v="149773.41"/>
  </r>
  <r>
    <x v="10"/>
    <s v="10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200 - PAGS 1&amp;2 COMMON"/>
    <x v="19"/>
    <x v="1"/>
    <s v="BH Colorado Electric Oper Co"/>
    <s v="SEC"/>
    <x v="1"/>
    <n v="56975.41"/>
    <n v="1278.8700000000001"/>
    <n v="0"/>
    <n v="0"/>
    <n v="0"/>
    <n v="0"/>
    <n v="0"/>
    <n v="58254.28"/>
  </r>
  <r>
    <x v="10"/>
    <s v="10/2022"/>
    <s v="BHCOE - 134200 - PAGS UNIT 1"/>
    <x v="19"/>
    <x v="1"/>
    <s v="BH Colorado Electric Oper Co"/>
    <s v="SEC"/>
    <x v="1"/>
    <n v="1317323.57"/>
    <n v="10127.27"/>
    <n v="0"/>
    <n v="0"/>
    <n v="0"/>
    <n v="0"/>
    <n v="0"/>
    <n v="1327450.8400000001"/>
  </r>
  <r>
    <x v="10"/>
    <s v="10/2022"/>
    <s v="BHCOE - 134200 - PAGS UNIT 2"/>
    <x v="19"/>
    <x v="1"/>
    <s v="BH Colorado Electric Oper Co"/>
    <s v="SEC"/>
    <x v="1"/>
    <n v="1317323.57"/>
    <n v="10127.27"/>
    <n v="0"/>
    <n v="0"/>
    <n v="0"/>
    <n v="0"/>
    <n v="0"/>
    <n v="1327450.8400000001"/>
  </r>
  <r>
    <x v="10"/>
    <s v="10/2022"/>
    <s v="BHCOE - 134200 - PAGS UNIT 3"/>
    <x v="19"/>
    <x v="1"/>
    <s v="BH Colorado Electric Oper Co"/>
    <s v="SEC"/>
    <x v="1"/>
    <n v="65395.32"/>
    <n v="1115.5899999999999"/>
    <n v="0"/>
    <n v="0"/>
    <n v="0"/>
    <n v="0"/>
    <n v="0"/>
    <n v="66510.91"/>
  </r>
  <r>
    <x v="10"/>
    <s v="10/2022"/>
    <s v="BHCOE - 134200 - Electric - Prod"/>
    <x v="19"/>
    <x v="1"/>
    <s v="BH Colorado Electric Oper Co"/>
    <s v="SEC"/>
    <x v="3"/>
    <n v="113664.49"/>
    <n v="156.88"/>
    <n v="0"/>
    <n v="0"/>
    <n v="0"/>
    <n v="0"/>
    <n v="0"/>
    <n v="113821.37"/>
  </r>
  <r>
    <x v="10"/>
    <s v="10/2022"/>
    <s v="BHCOE - 134200 - PAGS 1&amp;2 COMMON"/>
    <x v="19"/>
    <x v="1"/>
    <s v="BH Colorado Electric Oper Co"/>
    <s v="SEC"/>
    <x v="3"/>
    <n v="6928.7"/>
    <n v="155.53"/>
    <n v="0"/>
    <n v="0"/>
    <n v="0"/>
    <n v="0"/>
    <n v="0"/>
    <n v="7084.2300000000005"/>
  </r>
  <r>
    <x v="10"/>
    <s v="10/2022"/>
    <s v="BHCOE - 134200 - PAGS UNIT 1"/>
    <x v="19"/>
    <x v="1"/>
    <s v="BH Colorado Electric Oper Co"/>
    <s v="SEC"/>
    <x v="3"/>
    <n v="145397.70000000001"/>
    <n v="1231.6100000000001"/>
    <n v="0"/>
    <n v="0"/>
    <n v="0"/>
    <n v="0"/>
    <n v="0"/>
    <n v="146629.31"/>
  </r>
  <r>
    <x v="10"/>
    <s v="10/2022"/>
    <s v="BHCOE - 134200 - PAGS UNIT 2"/>
    <x v="19"/>
    <x v="1"/>
    <s v="BH Colorado Electric Oper Co"/>
    <s v="SEC"/>
    <x v="3"/>
    <n v="145397.70000000001"/>
    <n v="1231.6100000000001"/>
    <n v="0"/>
    <n v="0"/>
    <n v="0"/>
    <n v="0"/>
    <n v="0"/>
    <n v="146629.31"/>
  </r>
  <r>
    <x v="10"/>
    <s v="10/2022"/>
    <s v="BHCOE - 134200 - PAGS UNIT 3"/>
    <x v="19"/>
    <x v="1"/>
    <s v="BH Colorado Electric Oper Co"/>
    <s v="SEC"/>
    <x v="3"/>
    <n v="2532.9500000000003"/>
    <n v="43.21"/>
    <n v="0"/>
    <n v="0"/>
    <n v="0"/>
    <n v="0"/>
    <n v="0"/>
    <n v="2576.16"/>
  </r>
  <r>
    <x v="11"/>
    <s v="11/2022"/>
    <s v="BHCOE - 134200 - Electric - Prod"/>
    <x v="19"/>
    <x v="1"/>
    <s v="BH Colorado Electric Oper Co"/>
    <s v="SEC"/>
    <x v="1"/>
    <n v="149773.41"/>
    <n v="786.96"/>
    <n v="0"/>
    <n v="0"/>
    <n v="0"/>
    <n v="0"/>
    <n v="0"/>
    <n v="150560.37"/>
  </r>
  <r>
    <x v="11"/>
    <s v="11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200 - PAGS 1&amp;2 COMMON"/>
    <x v="19"/>
    <x v="1"/>
    <s v="BH Colorado Electric Oper Co"/>
    <s v="SEC"/>
    <x v="1"/>
    <n v="58254.28"/>
    <n v="1278.8700000000001"/>
    <n v="0"/>
    <n v="0"/>
    <n v="0"/>
    <n v="0"/>
    <n v="0"/>
    <n v="59533.15"/>
  </r>
  <r>
    <x v="11"/>
    <s v="11/2022"/>
    <s v="BHCOE - 134200 - PAGS UNIT 1"/>
    <x v="19"/>
    <x v="1"/>
    <s v="BH Colorado Electric Oper Co"/>
    <s v="SEC"/>
    <x v="1"/>
    <n v="1327450.8400000001"/>
    <n v="10127.27"/>
    <n v="0"/>
    <n v="0"/>
    <n v="0"/>
    <n v="0"/>
    <n v="0"/>
    <n v="1337578.1099999999"/>
  </r>
  <r>
    <x v="11"/>
    <s v="11/2022"/>
    <s v="BHCOE - 134200 - PAGS UNIT 2"/>
    <x v="19"/>
    <x v="1"/>
    <s v="BH Colorado Electric Oper Co"/>
    <s v="SEC"/>
    <x v="1"/>
    <n v="1327450.8400000001"/>
    <n v="10127.27"/>
    <n v="0"/>
    <n v="0"/>
    <n v="0"/>
    <n v="0"/>
    <n v="0"/>
    <n v="1337578.1099999999"/>
  </r>
  <r>
    <x v="11"/>
    <s v="11/2022"/>
    <s v="BHCOE - 134200 - PAGS UNIT 3"/>
    <x v="19"/>
    <x v="1"/>
    <s v="BH Colorado Electric Oper Co"/>
    <s v="SEC"/>
    <x v="1"/>
    <n v="66510.91"/>
    <n v="1115.5899999999999"/>
    <n v="0"/>
    <n v="0"/>
    <n v="0"/>
    <n v="0"/>
    <n v="0"/>
    <n v="67626.5"/>
  </r>
  <r>
    <x v="11"/>
    <s v="11/2022"/>
    <s v="BHCOE - 134200 - Electric - Prod"/>
    <x v="19"/>
    <x v="1"/>
    <s v="BH Colorado Electric Oper Co"/>
    <s v="SEC"/>
    <x v="3"/>
    <n v="113821.37"/>
    <n v="156.88"/>
    <n v="0"/>
    <n v="0"/>
    <n v="0"/>
    <n v="0"/>
    <n v="0"/>
    <n v="113978.25"/>
  </r>
  <r>
    <x v="11"/>
    <s v="11/2022"/>
    <s v="BHCOE - 134200 - PAGS 1&amp;2 COMMON"/>
    <x v="19"/>
    <x v="1"/>
    <s v="BH Colorado Electric Oper Co"/>
    <s v="SEC"/>
    <x v="3"/>
    <n v="7084.2300000000005"/>
    <n v="155.53"/>
    <n v="0"/>
    <n v="0"/>
    <n v="0"/>
    <n v="0"/>
    <n v="0"/>
    <n v="7239.76"/>
  </r>
  <r>
    <x v="11"/>
    <s v="11/2022"/>
    <s v="BHCOE - 134200 - PAGS UNIT 1"/>
    <x v="19"/>
    <x v="1"/>
    <s v="BH Colorado Electric Oper Co"/>
    <s v="SEC"/>
    <x v="3"/>
    <n v="146629.31"/>
    <n v="1231.6100000000001"/>
    <n v="0"/>
    <n v="0"/>
    <n v="0"/>
    <n v="0"/>
    <n v="0"/>
    <n v="147860.92000000001"/>
  </r>
  <r>
    <x v="11"/>
    <s v="11/2022"/>
    <s v="BHCOE - 134200 - PAGS UNIT 2"/>
    <x v="19"/>
    <x v="1"/>
    <s v="BH Colorado Electric Oper Co"/>
    <s v="SEC"/>
    <x v="3"/>
    <n v="146629.31"/>
    <n v="1231.6100000000001"/>
    <n v="0"/>
    <n v="0"/>
    <n v="0"/>
    <n v="0"/>
    <n v="0"/>
    <n v="147860.92000000001"/>
  </r>
  <r>
    <x v="11"/>
    <s v="11/2022"/>
    <s v="BHCOE - 134200 - PAGS UNIT 3"/>
    <x v="19"/>
    <x v="1"/>
    <s v="BH Colorado Electric Oper Co"/>
    <s v="SEC"/>
    <x v="3"/>
    <n v="2576.16"/>
    <n v="43.21"/>
    <n v="0"/>
    <n v="0"/>
    <n v="0"/>
    <n v="0"/>
    <n v="0"/>
    <n v="2619.37"/>
  </r>
  <r>
    <x v="12"/>
    <s v="12/2022"/>
    <s v="BHCOE - 134200 - Electric - Prod"/>
    <x v="19"/>
    <x v="1"/>
    <s v="BH Colorado Electric Oper Co"/>
    <s v="SEC"/>
    <x v="1"/>
    <n v="150560.37"/>
    <n v="786.96"/>
    <n v="0"/>
    <n v="0"/>
    <n v="0"/>
    <n v="0"/>
    <n v="0"/>
    <n v="151347.33000000002"/>
  </r>
  <r>
    <x v="12"/>
    <s v="12/2022"/>
    <s v="BHCOE - 134200 - Electric - Wind"/>
    <x v="19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200 - PAGS 1&amp;2 COMMON"/>
    <x v="19"/>
    <x v="1"/>
    <s v="BH Colorado Electric Oper Co"/>
    <s v="SEC"/>
    <x v="1"/>
    <n v="59533.15"/>
    <n v="1278.8700000000001"/>
    <n v="0"/>
    <n v="0"/>
    <n v="0"/>
    <n v="0"/>
    <n v="0"/>
    <n v="60812.020000000004"/>
  </r>
  <r>
    <x v="12"/>
    <s v="12/2022"/>
    <s v="BHCOE - 134200 - PAGS UNIT 1"/>
    <x v="19"/>
    <x v="1"/>
    <s v="BH Colorado Electric Oper Co"/>
    <s v="SEC"/>
    <x v="1"/>
    <n v="1337578.1099999999"/>
    <n v="10127.27"/>
    <n v="0"/>
    <n v="0"/>
    <n v="0"/>
    <n v="0"/>
    <n v="0"/>
    <n v="1347705.38"/>
  </r>
  <r>
    <x v="12"/>
    <s v="12/2022"/>
    <s v="BHCOE - 134200 - PAGS UNIT 2"/>
    <x v="19"/>
    <x v="1"/>
    <s v="BH Colorado Electric Oper Co"/>
    <s v="SEC"/>
    <x v="1"/>
    <n v="1337578.1099999999"/>
    <n v="10127.27"/>
    <n v="0"/>
    <n v="0"/>
    <n v="0"/>
    <n v="0"/>
    <n v="0"/>
    <n v="1347705.38"/>
  </r>
  <r>
    <x v="12"/>
    <s v="12/2022"/>
    <s v="BHCOE - 134200 - PAGS UNIT 3"/>
    <x v="19"/>
    <x v="1"/>
    <s v="BH Colorado Electric Oper Co"/>
    <s v="SEC"/>
    <x v="1"/>
    <n v="67626.5"/>
    <n v="1115.5899999999999"/>
    <n v="0"/>
    <n v="0"/>
    <n v="0"/>
    <n v="0"/>
    <n v="0"/>
    <n v="68742.09"/>
  </r>
  <r>
    <x v="12"/>
    <s v="12/2022"/>
    <s v="BHCOE - 134200 - Electric - Prod"/>
    <x v="19"/>
    <x v="1"/>
    <s v="BH Colorado Electric Oper Co"/>
    <s v="SEC"/>
    <x v="3"/>
    <n v="113978.25"/>
    <n v="156.88"/>
    <n v="0"/>
    <n v="0"/>
    <n v="0"/>
    <n v="0"/>
    <n v="0"/>
    <n v="114135.13"/>
  </r>
  <r>
    <x v="12"/>
    <s v="12/2022"/>
    <s v="BHCOE - 134200 - PAGS 1&amp;2 COMMON"/>
    <x v="19"/>
    <x v="1"/>
    <s v="BH Colorado Electric Oper Co"/>
    <s v="SEC"/>
    <x v="3"/>
    <n v="7239.76"/>
    <n v="155.53"/>
    <n v="0"/>
    <n v="0"/>
    <n v="0"/>
    <n v="0"/>
    <n v="0"/>
    <n v="7395.29"/>
  </r>
  <r>
    <x v="12"/>
    <s v="12/2022"/>
    <s v="BHCOE - 134200 - PAGS UNIT 1"/>
    <x v="19"/>
    <x v="1"/>
    <s v="BH Colorado Electric Oper Co"/>
    <s v="SEC"/>
    <x v="3"/>
    <n v="147860.92000000001"/>
    <n v="1231.6100000000001"/>
    <n v="0"/>
    <n v="0"/>
    <n v="0"/>
    <n v="0"/>
    <n v="0"/>
    <n v="149092.53"/>
  </r>
  <r>
    <x v="12"/>
    <s v="12/2022"/>
    <s v="BHCOE - 134200 - PAGS UNIT 2"/>
    <x v="19"/>
    <x v="1"/>
    <s v="BH Colorado Electric Oper Co"/>
    <s v="SEC"/>
    <x v="3"/>
    <n v="147860.92000000001"/>
    <n v="1231.6100000000001"/>
    <n v="0"/>
    <n v="0"/>
    <n v="0"/>
    <n v="0"/>
    <n v="0"/>
    <n v="149092.53"/>
  </r>
  <r>
    <x v="12"/>
    <s v="12/2022"/>
    <s v="BHCOE - 134200 - PAGS UNIT 3"/>
    <x v="19"/>
    <x v="1"/>
    <s v="BH Colorado Electric Oper Co"/>
    <s v="SEC"/>
    <x v="3"/>
    <n v="2619.37"/>
    <n v="43.21"/>
    <n v="0"/>
    <n v="0"/>
    <n v="0"/>
    <n v="0"/>
    <n v="0"/>
    <n v="2662.58"/>
  </r>
  <r>
    <x v="0"/>
    <s v="12/2021"/>
    <s v="BHCOE - 134300 - Elect -Prod-Other"/>
    <x v="20"/>
    <x v="1"/>
    <s v="BH Colorado Electric Oper Co"/>
    <s v="SEC"/>
    <x v="1"/>
    <n v="1339150.3999999999"/>
    <n v="8618.4699999999993"/>
    <n v="0"/>
    <n v="0"/>
    <n v="0"/>
    <n v="0"/>
    <n v="0"/>
    <n v="1347768.87"/>
  </r>
  <r>
    <x v="0"/>
    <s v="12/2021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300 - Elect -Prod-Other"/>
    <x v="20"/>
    <x v="1"/>
    <s v="BH Colorado Electric Oper Co"/>
    <s v="SEC"/>
    <x v="3"/>
    <n v="31669.600000000002"/>
    <n v="625.08000000000004"/>
    <n v="0"/>
    <n v="0"/>
    <n v="0"/>
    <n v="0"/>
    <n v="0"/>
    <n v="32294.68"/>
  </r>
  <r>
    <x v="1"/>
    <s v="01/2022"/>
    <s v="BHCOE - 134300 - Elect -Prod-Other"/>
    <x v="20"/>
    <x v="1"/>
    <s v="BH Colorado Electric Oper Co"/>
    <s v="SEC"/>
    <x v="1"/>
    <n v="1347768.87"/>
    <n v="8618.4699999999993"/>
    <n v="0"/>
    <n v="0"/>
    <n v="0"/>
    <n v="0"/>
    <n v="0"/>
    <n v="1356387.34"/>
  </r>
  <r>
    <x v="1"/>
    <s v="01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300 - Elect -Prod-Other"/>
    <x v="20"/>
    <x v="1"/>
    <s v="BH Colorado Electric Oper Co"/>
    <s v="SEC"/>
    <x v="3"/>
    <n v="32294.68"/>
    <n v="625.08000000000004"/>
    <n v="0"/>
    <n v="0"/>
    <n v="0"/>
    <n v="0"/>
    <n v="0"/>
    <n v="32919.760000000002"/>
  </r>
  <r>
    <x v="2"/>
    <s v="02/2022"/>
    <s v="BHCOE - 134300 - Elect -Prod-Other"/>
    <x v="20"/>
    <x v="1"/>
    <s v="BH Colorado Electric Oper Co"/>
    <s v="SEC"/>
    <x v="1"/>
    <n v="1356387.34"/>
    <n v="8618.4699999999993"/>
    <n v="0"/>
    <n v="0"/>
    <n v="0"/>
    <n v="0"/>
    <n v="0"/>
    <n v="1365005.81"/>
  </r>
  <r>
    <x v="2"/>
    <s v="02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300 - Elect -Prod-Other"/>
    <x v="20"/>
    <x v="1"/>
    <s v="BH Colorado Electric Oper Co"/>
    <s v="SEC"/>
    <x v="3"/>
    <n v="32919.760000000002"/>
    <n v="625.08000000000004"/>
    <n v="0"/>
    <n v="0"/>
    <n v="0"/>
    <n v="0"/>
    <n v="0"/>
    <n v="33544.840000000004"/>
  </r>
  <r>
    <x v="3"/>
    <s v="03/2022"/>
    <s v="BHCOE - 134300 - Elect -Prod-Other"/>
    <x v="20"/>
    <x v="1"/>
    <s v="BH Colorado Electric Oper Co"/>
    <s v="SEC"/>
    <x v="1"/>
    <n v="1365005.81"/>
    <n v="8618.4699999999993"/>
    <n v="0"/>
    <n v="0"/>
    <n v="0"/>
    <n v="0"/>
    <n v="0"/>
    <n v="1373624.28"/>
  </r>
  <r>
    <x v="3"/>
    <s v="03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300 - Elect -Prod-Other"/>
    <x v="20"/>
    <x v="1"/>
    <s v="BH Colorado Electric Oper Co"/>
    <s v="SEC"/>
    <x v="3"/>
    <n v="33544.840000000004"/>
    <n v="625.08000000000004"/>
    <n v="0"/>
    <n v="0"/>
    <n v="0"/>
    <n v="0"/>
    <n v="0"/>
    <n v="34169.919999999998"/>
  </r>
  <r>
    <x v="4"/>
    <s v="04/2022"/>
    <s v="BHCOE - 134300 - Elect -Prod-Other"/>
    <x v="20"/>
    <x v="1"/>
    <s v="BH Colorado Electric Oper Co"/>
    <s v="SEC"/>
    <x v="1"/>
    <n v="1373624.28"/>
    <n v="8618.4699999999993"/>
    <n v="0"/>
    <n v="0"/>
    <n v="0"/>
    <n v="0"/>
    <n v="0"/>
    <n v="1382242.75"/>
  </r>
  <r>
    <x v="4"/>
    <s v="04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300 - Elect -Prod-Other"/>
    <x v="20"/>
    <x v="1"/>
    <s v="BH Colorado Electric Oper Co"/>
    <s v="SEC"/>
    <x v="3"/>
    <n v="34169.919999999998"/>
    <n v="625.08000000000004"/>
    <n v="0"/>
    <n v="0"/>
    <n v="0"/>
    <n v="0"/>
    <n v="0"/>
    <n v="34795"/>
  </r>
  <r>
    <x v="5"/>
    <s v="05/2022"/>
    <s v="BHCOE - 134300 - Elect -Prod-Other"/>
    <x v="20"/>
    <x v="1"/>
    <s v="BH Colorado Electric Oper Co"/>
    <s v="SEC"/>
    <x v="1"/>
    <n v="1382242.75"/>
    <n v="8618.4699999999993"/>
    <n v="0"/>
    <n v="0"/>
    <n v="0"/>
    <n v="0"/>
    <n v="0"/>
    <n v="1390861.22"/>
  </r>
  <r>
    <x v="5"/>
    <s v="05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300 - Elect -Prod-Other"/>
    <x v="20"/>
    <x v="1"/>
    <s v="BH Colorado Electric Oper Co"/>
    <s v="SEC"/>
    <x v="3"/>
    <n v="34795"/>
    <n v="625.08000000000004"/>
    <n v="0"/>
    <n v="0"/>
    <n v="0"/>
    <n v="0"/>
    <n v="0"/>
    <n v="35420.080000000002"/>
  </r>
  <r>
    <x v="6"/>
    <s v="06/2022"/>
    <s v="BHCOE - 134300 - Elect -Prod-Other"/>
    <x v="20"/>
    <x v="1"/>
    <s v="BH Colorado Electric Oper Co"/>
    <s v="SEC"/>
    <x v="1"/>
    <n v="1390861.22"/>
    <n v="8618.4699999999993"/>
    <n v="0"/>
    <n v="0"/>
    <n v="0"/>
    <n v="0"/>
    <n v="0"/>
    <n v="1399479.69"/>
  </r>
  <r>
    <x v="6"/>
    <s v="06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300 - Elect -Prod-Other"/>
    <x v="20"/>
    <x v="1"/>
    <s v="BH Colorado Electric Oper Co"/>
    <s v="SEC"/>
    <x v="3"/>
    <n v="35420.080000000002"/>
    <n v="625.08000000000004"/>
    <n v="0"/>
    <n v="0"/>
    <n v="0"/>
    <n v="0"/>
    <n v="0"/>
    <n v="36045.160000000003"/>
  </r>
  <r>
    <x v="7"/>
    <s v="07/2022"/>
    <s v="BHCOE - 134300 - Elect -Prod-Other"/>
    <x v="20"/>
    <x v="1"/>
    <s v="BH Colorado Electric Oper Co"/>
    <s v="SEC"/>
    <x v="1"/>
    <n v="1399479.69"/>
    <n v="8618.4699999999993"/>
    <n v="0"/>
    <n v="0"/>
    <n v="0"/>
    <n v="0"/>
    <n v="0"/>
    <n v="1408098.1600000001"/>
  </r>
  <r>
    <x v="7"/>
    <s v="07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300 - Elect -Prod-Other"/>
    <x v="20"/>
    <x v="1"/>
    <s v="BH Colorado Electric Oper Co"/>
    <s v="SEC"/>
    <x v="3"/>
    <n v="36045.160000000003"/>
    <n v="625.08000000000004"/>
    <n v="0"/>
    <n v="0"/>
    <n v="0"/>
    <n v="0"/>
    <n v="0"/>
    <n v="36670.239999999998"/>
  </r>
  <r>
    <x v="8"/>
    <s v="08/2022"/>
    <s v="BHCOE - 134300 - Elect -Prod-Other"/>
    <x v="20"/>
    <x v="1"/>
    <s v="BH Colorado Electric Oper Co"/>
    <s v="SEC"/>
    <x v="1"/>
    <n v="1408098.1600000001"/>
    <n v="8618.4699999999993"/>
    <n v="0"/>
    <n v="0"/>
    <n v="0"/>
    <n v="0"/>
    <n v="0"/>
    <n v="1416716.63"/>
  </r>
  <r>
    <x v="8"/>
    <s v="08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300 - Elect -Prod-Other"/>
    <x v="20"/>
    <x v="1"/>
    <s v="BH Colorado Electric Oper Co"/>
    <s v="SEC"/>
    <x v="3"/>
    <n v="36670.239999999998"/>
    <n v="625.08000000000004"/>
    <n v="0"/>
    <n v="0"/>
    <n v="0"/>
    <n v="0"/>
    <n v="0"/>
    <n v="37295.32"/>
  </r>
  <r>
    <x v="9"/>
    <s v="09/2022"/>
    <s v="BHCOE - 134300 - Elect -Prod-Other"/>
    <x v="20"/>
    <x v="1"/>
    <s v="BH Colorado Electric Oper Co"/>
    <s v="SEC"/>
    <x v="1"/>
    <n v="1416716.63"/>
    <n v="8618.4699999999993"/>
    <n v="0"/>
    <n v="0"/>
    <n v="0"/>
    <n v="0"/>
    <n v="0"/>
    <n v="1425335.1"/>
  </r>
  <r>
    <x v="9"/>
    <s v="09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300 - Elect -Prod-Other"/>
    <x v="20"/>
    <x v="1"/>
    <s v="BH Colorado Electric Oper Co"/>
    <s v="SEC"/>
    <x v="3"/>
    <n v="37295.32"/>
    <n v="625.08000000000004"/>
    <n v="0"/>
    <n v="0"/>
    <n v="0"/>
    <n v="0"/>
    <n v="0"/>
    <n v="37920.400000000001"/>
  </r>
  <r>
    <x v="10"/>
    <s v="10/2022"/>
    <s v="BHCOE - 134300 - Elect -Prod-Other"/>
    <x v="20"/>
    <x v="1"/>
    <s v="BH Colorado Electric Oper Co"/>
    <s v="SEC"/>
    <x v="1"/>
    <n v="1425335.1"/>
    <n v="8618.4699999999993"/>
    <n v="0"/>
    <n v="0"/>
    <n v="0"/>
    <n v="0"/>
    <n v="0"/>
    <n v="1433953.57"/>
  </r>
  <r>
    <x v="10"/>
    <s v="10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300 - Elect -Prod-Other"/>
    <x v="20"/>
    <x v="1"/>
    <s v="BH Colorado Electric Oper Co"/>
    <s v="SEC"/>
    <x v="3"/>
    <n v="37920.400000000001"/>
    <n v="625.08000000000004"/>
    <n v="0"/>
    <n v="0"/>
    <n v="0"/>
    <n v="0"/>
    <n v="0"/>
    <n v="38545.480000000003"/>
  </r>
  <r>
    <x v="11"/>
    <s v="11/2022"/>
    <s v="BHCOE - 134300 - Elect -Prod-Other"/>
    <x v="20"/>
    <x v="1"/>
    <s v="BH Colorado Electric Oper Co"/>
    <s v="SEC"/>
    <x v="1"/>
    <n v="1433953.57"/>
    <n v="8618.4699999999993"/>
    <n v="0"/>
    <n v="0"/>
    <n v="0"/>
    <n v="0"/>
    <n v="0"/>
    <n v="1442572.04"/>
  </r>
  <r>
    <x v="11"/>
    <s v="11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300 - Elect -Prod-Other"/>
    <x v="20"/>
    <x v="1"/>
    <s v="BH Colorado Electric Oper Co"/>
    <s v="SEC"/>
    <x v="3"/>
    <n v="38545.480000000003"/>
    <n v="625.08000000000004"/>
    <n v="0"/>
    <n v="0"/>
    <n v="0"/>
    <n v="0"/>
    <n v="0"/>
    <n v="39170.559999999998"/>
  </r>
  <r>
    <x v="12"/>
    <s v="12/2022"/>
    <s v="BHCOE - 134300 - Elect -Prod-Other"/>
    <x v="20"/>
    <x v="1"/>
    <s v="BH Colorado Electric Oper Co"/>
    <s v="SEC"/>
    <x v="1"/>
    <n v="1442572.04"/>
    <n v="8618.4699999999993"/>
    <n v="0"/>
    <n v="0"/>
    <n v="0"/>
    <n v="0"/>
    <n v="0"/>
    <n v="1451190.51"/>
  </r>
  <r>
    <x v="12"/>
    <s v="12/2022"/>
    <s v="BHCOE - 134300 - Electric - Wind"/>
    <x v="20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300 - PAGS 1&amp;2 COMMON"/>
    <x v="20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300 - PAGS UNIT 1"/>
    <x v="20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300 - PAGS UNIT 2"/>
    <x v="20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300 - PAGS UNIT 3"/>
    <x v="20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300 - Elect -Prod-Other"/>
    <x v="20"/>
    <x v="1"/>
    <s v="BH Colorado Electric Oper Co"/>
    <s v="SEC"/>
    <x v="3"/>
    <n v="39170.559999999998"/>
    <n v="625.08000000000004"/>
    <n v="0"/>
    <n v="0"/>
    <n v="0"/>
    <n v="0"/>
    <n v="0"/>
    <n v="39795.64"/>
  </r>
  <r>
    <x v="0"/>
    <s v="12/2021"/>
    <s v="BHCOE - 134410 - Electric - Prod"/>
    <x v="21"/>
    <x v="1"/>
    <s v="BH Colorado Electric Oper Co"/>
    <s v="SEC"/>
    <x v="1"/>
    <n v="2602212.46"/>
    <n v="11221.56"/>
    <n v="0"/>
    <n v="0"/>
    <n v="0"/>
    <n v="0"/>
    <n v="0"/>
    <n v="2613434.02"/>
  </r>
  <r>
    <x v="0"/>
    <s v="12/2021"/>
    <s v="BHCOE - 134410 - Electric - Wind"/>
    <x v="21"/>
    <x v="1"/>
    <s v="BH Colorado Electric Oper Co"/>
    <s v="SEC"/>
    <x v="1"/>
    <n v="6719957.6500000004"/>
    <n v="61738.16"/>
    <n v="0"/>
    <n v="0"/>
    <n v="0"/>
    <n v="0"/>
    <n v="0"/>
    <n v="6781695.8100000005"/>
  </r>
  <r>
    <x v="0"/>
    <s v="12/2021"/>
    <s v="BHCOE - 134410 - Elec-Wind-Peak Vie"/>
    <x v="21"/>
    <x v="1"/>
    <s v="BH Colorado Electric Oper Co"/>
    <s v="SEC"/>
    <x v="1"/>
    <n v="19883291.77"/>
    <n v="328410.44"/>
    <n v="0"/>
    <n v="0"/>
    <n v="0"/>
    <n v="0"/>
    <n v="0"/>
    <n v="20211702.210000001"/>
  </r>
  <r>
    <x v="0"/>
    <s v="12/2021"/>
    <s v="BHCOE - 134410 - PAGS 1&amp;2 COMMON"/>
    <x v="21"/>
    <x v="1"/>
    <s v="BH Colorado Electric Oper Co"/>
    <s v="SEC"/>
    <x v="1"/>
    <n v="921209.61"/>
    <n v="7221.84"/>
    <n v="0"/>
    <n v="0"/>
    <n v="0"/>
    <n v="0"/>
    <n v="0"/>
    <n v="928431.45000000007"/>
  </r>
  <r>
    <x v="0"/>
    <s v="12/2021"/>
    <s v="BHCOE - 134410 - PAGS UNIT 1"/>
    <x v="21"/>
    <x v="1"/>
    <s v="BH Colorado Electric Oper Co"/>
    <s v="SEC"/>
    <x v="1"/>
    <n v="27479318.52"/>
    <n v="262494.09999999998"/>
    <n v="-43411.4"/>
    <n v="0"/>
    <n v="0"/>
    <n v="0"/>
    <n v="0"/>
    <n v="27698401.219999999"/>
  </r>
  <r>
    <x v="0"/>
    <s v="12/2021"/>
    <s v="BHCOE - 134410 - PAGS UNIT 2"/>
    <x v="21"/>
    <x v="1"/>
    <s v="BH Colorado Electric Oper Co"/>
    <s v="SEC"/>
    <x v="1"/>
    <n v="27864541.84"/>
    <n v="242043.08000000002"/>
    <n v="-43411.4"/>
    <n v="0"/>
    <n v="0"/>
    <n v="0"/>
    <n v="0"/>
    <n v="28063173.52"/>
  </r>
  <r>
    <x v="0"/>
    <s v="12/2021"/>
    <s v="BHCOE - 134410 - PAGS UNIT 3"/>
    <x v="21"/>
    <x v="1"/>
    <s v="BH Colorado Electric Oper Co"/>
    <s v="SEC"/>
    <x v="1"/>
    <n v="7780596.4100000001"/>
    <n v="129645.17"/>
    <n v="0"/>
    <n v="0"/>
    <n v="0"/>
    <n v="0"/>
    <n v="0"/>
    <n v="7910241.5800000001"/>
  </r>
  <r>
    <x v="0"/>
    <s v="12/2021"/>
    <s v="BHCOE - 134410 - Electric - Prod"/>
    <x v="21"/>
    <x v="1"/>
    <s v="BH Colorado Electric Oper Co"/>
    <s v="SEC"/>
    <x v="3"/>
    <n v="150386.76999999999"/>
    <n v="2111.81"/>
    <n v="0"/>
    <n v="0"/>
    <n v="0"/>
    <n v="0"/>
    <n v="0"/>
    <n v="152498.58000000002"/>
  </r>
  <r>
    <x v="0"/>
    <s v="12/2021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0"/>
    <s v="12/2021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0"/>
    <s v="12/2021"/>
    <s v="BHCOE - 134410 - PAGS 1&amp;2 COMMON"/>
    <x v="21"/>
    <x v="1"/>
    <s v="BH Colorado Electric Oper Co"/>
    <s v="SEC"/>
    <x v="3"/>
    <n v="142031.48000000001"/>
    <n v="878.27"/>
    <n v="0"/>
    <n v="0"/>
    <n v="0"/>
    <n v="0"/>
    <n v="0"/>
    <n v="142909.75"/>
  </r>
  <r>
    <x v="0"/>
    <s v="12/2021"/>
    <s v="BHCOE - 134410 - PAGS UNIT 1"/>
    <x v="21"/>
    <x v="1"/>
    <s v="BH Colorado Electric Oper Co"/>
    <s v="SEC"/>
    <x v="3"/>
    <n v="3073255.01"/>
    <n v="31922.670000000002"/>
    <n v="0"/>
    <n v="-520"/>
    <n v="0"/>
    <n v="0"/>
    <n v="0"/>
    <n v="3104657.68"/>
  </r>
  <r>
    <x v="0"/>
    <s v="12/2021"/>
    <s v="BHCOE - 134410 - PAGS UNIT 2"/>
    <x v="21"/>
    <x v="1"/>
    <s v="BH Colorado Electric Oper Co"/>
    <s v="SEC"/>
    <x v="3"/>
    <n v="3072217.42"/>
    <n v="29435.56"/>
    <n v="0"/>
    <n v="-520"/>
    <n v="0"/>
    <n v="0"/>
    <n v="0"/>
    <n v="3101132.98"/>
  </r>
  <r>
    <x v="0"/>
    <s v="12/2021"/>
    <s v="BHCOE - 134410 - PAGS UNIT 3"/>
    <x v="21"/>
    <x v="1"/>
    <s v="BH Colorado Electric Oper Co"/>
    <s v="SEC"/>
    <x v="3"/>
    <n v="393532.38"/>
    <n v="6459.1900000000005"/>
    <n v="0"/>
    <n v="0"/>
    <n v="0"/>
    <n v="0"/>
    <n v="0"/>
    <n v="399991.57"/>
  </r>
  <r>
    <x v="1"/>
    <s v="01/2022"/>
    <s v="BHCOE - 134410 - Electric - Prod"/>
    <x v="21"/>
    <x v="1"/>
    <s v="BH Colorado Electric Oper Co"/>
    <s v="SEC"/>
    <x v="1"/>
    <n v="2613434.02"/>
    <n v="11221.56"/>
    <n v="0"/>
    <n v="0"/>
    <n v="0"/>
    <n v="0"/>
    <n v="0"/>
    <n v="2624655.58"/>
  </r>
  <r>
    <x v="1"/>
    <s v="01/2022"/>
    <s v="BHCOE - 134410 - Electric - Wind"/>
    <x v="21"/>
    <x v="1"/>
    <s v="BH Colorado Electric Oper Co"/>
    <s v="SEC"/>
    <x v="1"/>
    <n v="6781695.8100000005"/>
    <n v="61738.16"/>
    <n v="0"/>
    <n v="0"/>
    <n v="0"/>
    <n v="0"/>
    <n v="0"/>
    <n v="6843433.9699999997"/>
  </r>
  <r>
    <x v="1"/>
    <s v="01/2022"/>
    <s v="BHCOE - 134410 - Elec-Wind-Peak Vie"/>
    <x v="21"/>
    <x v="1"/>
    <s v="BH Colorado Electric Oper Co"/>
    <s v="SEC"/>
    <x v="1"/>
    <n v="20211702.210000001"/>
    <n v="328410.44"/>
    <n v="0"/>
    <n v="0"/>
    <n v="0"/>
    <n v="0"/>
    <n v="0"/>
    <n v="20540112.649999999"/>
  </r>
  <r>
    <x v="1"/>
    <s v="01/2022"/>
    <s v="BHCOE - 134410 - PAGS 1&amp;2 COMMON"/>
    <x v="21"/>
    <x v="1"/>
    <s v="BH Colorado Electric Oper Co"/>
    <s v="SEC"/>
    <x v="1"/>
    <n v="928431.45000000007"/>
    <n v="7280.31"/>
    <n v="0"/>
    <n v="0"/>
    <n v="0"/>
    <n v="0"/>
    <n v="0"/>
    <n v="935711.76"/>
  </r>
  <r>
    <x v="1"/>
    <s v="01/2022"/>
    <s v="BHCOE - 134410 - PAGS UNIT 1"/>
    <x v="21"/>
    <x v="1"/>
    <s v="BH Colorado Electric Oper Co"/>
    <s v="SEC"/>
    <x v="1"/>
    <n v="27698401.219999999"/>
    <n v="262446.84999999998"/>
    <n v="-163261.98000000001"/>
    <n v="0"/>
    <n v="0"/>
    <n v="0"/>
    <n v="0"/>
    <n v="27797586.09"/>
  </r>
  <r>
    <x v="1"/>
    <s v="01/2022"/>
    <s v="BHCOE - 134410 - PAGS UNIT 2"/>
    <x v="21"/>
    <x v="1"/>
    <s v="BH Colorado Electric Oper Co"/>
    <s v="SEC"/>
    <x v="1"/>
    <n v="28063173.52"/>
    <n v="241995.83000000002"/>
    <n v="-163261.98000000001"/>
    <n v="0"/>
    <n v="0"/>
    <n v="0"/>
    <n v="0"/>
    <n v="28141907.370000001"/>
  </r>
  <r>
    <x v="1"/>
    <s v="01/2022"/>
    <s v="BHCOE - 134410 - PAGS UNIT 3"/>
    <x v="21"/>
    <x v="1"/>
    <s v="BH Colorado Electric Oper Co"/>
    <s v="SEC"/>
    <x v="1"/>
    <n v="7910241.5800000001"/>
    <n v="129645.17"/>
    <n v="0"/>
    <n v="0"/>
    <n v="0"/>
    <n v="0"/>
    <n v="0"/>
    <n v="8039886.75"/>
  </r>
  <r>
    <x v="1"/>
    <s v="01/2022"/>
    <s v="BHCOE - 134410 - Electric - Prod"/>
    <x v="21"/>
    <x v="1"/>
    <s v="BH Colorado Electric Oper Co"/>
    <s v="SEC"/>
    <x v="3"/>
    <n v="152498.58000000002"/>
    <n v="2111.81"/>
    <n v="0"/>
    <n v="0"/>
    <n v="0"/>
    <n v="0"/>
    <n v="0"/>
    <n v="154610.39000000001"/>
  </r>
  <r>
    <x v="1"/>
    <s v="01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1"/>
    <s v="01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1"/>
    <s v="01/2022"/>
    <s v="BHCOE - 134410 - PAGS 1&amp;2 COMMON"/>
    <x v="21"/>
    <x v="1"/>
    <s v="BH Colorado Electric Oper Co"/>
    <s v="SEC"/>
    <x v="3"/>
    <n v="142909.75"/>
    <n v="885.38"/>
    <n v="0"/>
    <n v="0"/>
    <n v="0"/>
    <n v="0"/>
    <n v="0"/>
    <n v="143795.13"/>
  </r>
  <r>
    <x v="1"/>
    <s v="01/2022"/>
    <s v="BHCOE - 134410 - PAGS UNIT 1"/>
    <x v="21"/>
    <x v="1"/>
    <s v="BH Colorado Electric Oper Co"/>
    <s v="SEC"/>
    <x v="3"/>
    <n v="3104657.68"/>
    <n v="31916.920000000002"/>
    <n v="0"/>
    <n v="-20729.5"/>
    <n v="0"/>
    <n v="0"/>
    <n v="0"/>
    <n v="3115845.1"/>
  </r>
  <r>
    <x v="1"/>
    <s v="01/2022"/>
    <s v="BHCOE - 134410 - PAGS UNIT 2"/>
    <x v="21"/>
    <x v="1"/>
    <s v="BH Colorado Electric Oper Co"/>
    <s v="SEC"/>
    <x v="3"/>
    <n v="3101132.98"/>
    <n v="29429.82"/>
    <n v="0"/>
    <n v="-20729.46"/>
    <n v="0"/>
    <n v="0"/>
    <n v="0"/>
    <n v="3109833.34"/>
  </r>
  <r>
    <x v="1"/>
    <s v="01/2022"/>
    <s v="BHCOE - 134410 - PAGS UNIT 3"/>
    <x v="21"/>
    <x v="1"/>
    <s v="BH Colorado Electric Oper Co"/>
    <s v="SEC"/>
    <x v="3"/>
    <n v="399991.57"/>
    <n v="6459.1900000000005"/>
    <n v="0"/>
    <n v="0"/>
    <n v="0"/>
    <n v="0"/>
    <n v="0"/>
    <n v="406450.76"/>
  </r>
  <r>
    <x v="2"/>
    <s v="02/2022"/>
    <s v="BHCOE - 134410 - Electric - Prod"/>
    <x v="21"/>
    <x v="1"/>
    <s v="BH Colorado Electric Oper Co"/>
    <s v="SEC"/>
    <x v="1"/>
    <n v="2624655.58"/>
    <n v="11221.56"/>
    <n v="0"/>
    <n v="0"/>
    <n v="0"/>
    <n v="0"/>
    <n v="0"/>
    <n v="2635877.14"/>
  </r>
  <r>
    <x v="2"/>
    <s v="02/2022"/>
    <s v="BHCOE - 134410 - Electric - Wind"/>
    <x v="21"/>
    <x v="1"/>
    <s v="BH Colorado Electric Oper Co"/>
    <s v="SEC"/>
    <x v="1"/>
    <n v="6843433.9699999997"/>
    <n v="61738.16"/>
    <n v="0"/>
    <n v="0"/>
    <n v="0"/>
    <n v="0"/>
    <n v="0"/>
    <n v="6905172.1299999999"/>
  </r>
  <r>
    <x v="2"/>
    <s v="02/2022"/>
    <s v="BHCOE - 134410 - Elec-Wind-Peak Vie"/>
    <x v="21"/>
    <x v="1"/>
    <s v="BH Colorado Electric Oper Co"/>
    <s v="SEC"/>
    <x v="1"/>
    <n v="20540112.649999999"/>
    <n v="328410.44"/>
    <n v="0"/>
    <n v="0"/>
    <n v="0"/>
    <n v="0"/>
    <n v="0"/>
    <n v="20868523.09"/>
  </r>
  <r>
    <x v="2"/>
    <s v="02/2022"/>
    <s v="BHCOE - 134410 - PAGS 1&amp;2 COMMON"/>
    <x v="21"/>
    <x v="1"/>
    <s v="BH Colorado Electric Oper Co"/>
    <s v="SEC"/>
    <x v="1"/>
    <n v="935711.76"/>
    <n v="7013.14"/>
    <n v="0"/>
    <n v="0"/>
    <n v="0"/>
    <n v="0"/>
    <n v="0"/>
    <n v="942724.9"/>
  </r>
  <r>
    <x v="2"/>
    <s v="02/2022"/>
    <s v="BHCOE - 134410 - PAGS UNIT 1"/>
    <x v="21"/>
    <x v="1"/>
    <s v="BH Colorado Electric Oper Co"/>
    <s v="SEC"/>
    <x v="1"/>
    <n v="27797586.09"/>
    <n v="262454.84999999998"/>
    <n v="0"/>
    <n v="0"/>
    <n v="0"/>
    <n v="0"/>
    <n v="0"/>
    <n v="28060040.940000001"/>
  </r>
  <r>
    <x v="2"/>
    <s v="02/2022"/>
    <s v="BHCOE - 134410 - PAGS UNIT 2"/>
    <x v="21"/>
    <x v="1"/>
    <s v="BH Colorado Electric Oper Co"/>
    <s v="SEC"/>
    <x v="1"/>
    <n v="28141907.370000001"/>
    <n v="242003.83000000002"/>
    <n v="0"/>
    <n v="0"/>
    <n v="0"/>
    <n v="0"/>
    <n v="0"/>
    <n v="28383911.199999999"/>
  </r>
  <r>
    <x v="2"/>
    <s v="02/2022"/>
    <s v="BHCOE - 134410 - PAGS UNIT 3"/>
    <x v="21"/>
    <x v="1"/>
    <s v="BH Colorado Electric Oper Co"/>
    <s v="SEC"/>
    <x v="1"/>
    <n v="8039886.75"/>
    <n v="129645.17"/>
    <n v="0"/>
    <n v="0"/>
    <n v="0"/>
    <n v="0"/>
    <n v="0"/>
    <n v="8169531.9199999999"/>
  </r>
  <r>
    <x v="2"/>
    <s v="02/2022"/>
    <s v="BHCOE - 134410 - Electric - Prod"/>
    <x v="21"/>
    <x v="1"/>
    <s v="BH Colorado Electric Oper Co"/>
    <s v="SEC"/>
    <x v="3"/>
    <n v="154610.39000000001"/>
    <n v="2111.81"/>
    <n v="0"/>
    <n v="0"/>
    <n v="0"/>
    <n v="0"/>
    <n v="0"/>
    <n v="156722.20000000001"/>
  </r>
  <r>
    <x v="2"/>
    <s v="02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2"/>
    <s v="02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2"/>
    <s v="02/2022"/>
    <s v="BHCOE - 134410 - PAGS 1&amp;2 COMMON"/>
    <x v="21"/>
    <x v="1"/>
    <s v="BH Colorado Electric Oper Co"/>
    <s v="SEC"/>
    <x v="3"/>
    <n v="143795.13"/>
    <n v="852.89"/>
    <n v="0"/>
    <n v="0"/>
    <n v="0"/>
    <n v="0"/>
    <n v="0"/>
    <n v="144648.01999999999"/>
  </r>
  <r>
    <x v="2"/>
    <s v="02/2022"/>
    <s v="BHCOE - 134410 - PAGS UNIT 1"/>
    <x v="21"/>
    <x v="1"/>
    <s v="BH Colorado Electric Oper Co"/>
    <s v="SEC"/>
    <x v="3"/>
    <n v="3115845.1"/>
    <n v="31917.9"/>
    <n v="0"/>
    <n v="0"/>
    <n v="0"/>
    <n v="0"/>
    <n v="0"/>
    <n v="3147763"/>
  </r>
  <r>
    <x v="2"/>
    <s v="02/2022"/>
    <s v="BHCOE - 134410 - PAGS UNIT 2"/>
    <x v="21"/>
    <x v="1"/>
    <s v="BH Colorado Electric Oper Co"/>
    <s v="SEC"/>
    <x v="3"/>
    <n v="3109833.34"/>
    <n v="29430.79"/>
    <n v="0"/>
    <n v="0"/>
    <n v="0"/>
    <n v="0"/>
    <n v="0"/>
    <n v="3139264.13"/>
  </r>
  <r>
    <x v="2"/>
    <s v="02/2022"/>
    <s v="BHCOE - 134410 - PAGS UNIT 3"/>
    <x v="21"/>
    <x v="1"/>
    <s v="BH Colorado Electric Oper Co"/>
    <s v="SEC"/>
    <x v="3"/>
    <n v="406450.76"/>
    <n v="6459.1900000000005"/>
    <n v="0"/>
    <n v="0"/>
    <n v="0"/>
    <n v="0"/>
    <n v="0"/>
    <n v="412909.95"/>
  </r>
  <r>
    <x v="3"/>
    <s v="03/2022"/>
    <s v="BHCOE - 134410 - Electric - Prod"/>
    <x v="21"/>
    <x v="1"/>
    <s v="BH Colorado Electric Oper Co"/>
    <s v="SEC"/>
    <x v="1"/>
    <n v="2635877.14"/>
    <n v="11221.56"/>
    <n v="0"/>
    <n v="0"/>
    <n v="0"/>
    <n v="0"/>
    <n v="0"/>
    <n v="2647098.7000000002"/>
  </r>
  <r>
    <x v="3"/>
    <s v="03/2022"/>
    <s v="BHCOE - 134410 - Electric - Wind"/>
    <x v="21"/>
    <x v="1"/>
    <s v="BH Colorado Electric Oper Co"/>
    <s v="SEC"/>
    <x v="1"/>
    <n v="6905172.1299999999"/>
    <n v="61738.16"/>
    <n v="0"/>
    <n v="0"/>
    <n v="0"/>
    <n v="0"/>
    <n v="0"/>
    <n v="6966910.29"/>
  </r>
  <r>
    <x v="3"/>
    <s v="03/2022"/>
    <s v="BHCOE - 134410 - Elec-Wind-Peak Vie"/>
    <x v="21"/>
    <x v="1"/>
    <s v="BH Colorado Electric Oper Co"/>
    <s v="SEC"/>
    <x v="1"/>
    <n v="20868523.09"/>
    <n v="328410.44"/>
    <n v="0"/>
    <n v="0"/>
    <n v="0"/>
    <n v="0"/>
    <n v="0"/>
    <n v="21196933.530000001"/>
  </r>
  <r>
    <x v="3"/>
    <s v="03/2022"/>
    <s v="BHCOE - 134410 - PAGS 1&amp;2 COMMON"/>
    <x v="21"/>
    <x v="1"/>
    <s v="BH Colorado Electric Oper Co"/>
    <s v="SEC"/>
    <x v="1"/>
    <n v="942724.9"/>
    <n v="7013.14"/>
    <n v="0"/>
    <n v="0"/>
    <n v="0"/>
    <n v="0"/>
    <n v="0"/>
    <n v="949738.04"/>
  </r>
  <r>
    <x v="3"/>
    <s v="03/2022"/>
    <s v="BHCOE - 134410 - PAGS UNIT 1"/>
    <x v="21"/>
    <x v="1"/>
    <s v="BH Colorado Electric Oper Co"/>
    <s v="SEC"/>
    <x v="1"/>
    <n v="28060040.940000001"/>
    <n v="262441.94"/>
    <n v="-10000"/>
    <n v="0"/>
    <n v="0"/>
    <n v="0"/>
    <n v="0"/>
    <n v="28312482.879999999"/>
  </r>
  <r>
    <x v="3"/>
    <s v="03/2022"/>
    <s v="BHCOE - 134410 - PAGS UNIT 2"/>
    <x v="21"/>
    <x v="1"/>
    <s v="BH Colorado Electric Oper Co"/>
    <s v="SEC"/>
    <x v="1"/>
    <n v="28383911.199999999"/>
    <n v="241990.92"/>
    <n v="-10000"/>
    <n v="0"/>
    <n v="0"/>
    <n v="0"/>
    <n v="0"/>
    <n v="28615902.120000001"/>
  </r>
  <r>
    <x v="3"/>
    <s v="03/2022"/>
    <s v="BHCOE - 134410 - PAGS UNIT 3"/>
    <x v="21"/>
    <x v="1"/>
    <s v="BH Colorado Electric Oper Co"/>
    <s v="SEC"/>
    <x v="1"/>
    <n v="8169531.9199999999"/>
    <n v="129645.17"/>
    <n v="0"/>
    <n v="0"/>
    <n v="0"/>
    <n v="0"/>
    <n v="0"/>
    <n v="8299177.0899999999"/>
  </r>
  <r>
    <x v="3"/>
    <s v="03/2022"/>
    <s v="BHCOE - 134410 - Electric - Prod"/>
    <x v="21"/>
    <x v="1"/>
    <s v="BH Colorado Electric Oper Co"/>
    <s v="SEC"/>
    <x v="3"/>
    <n v="156722.20000000001"/>
    <n v="2111.81"/>
    <n v="0"/>
    <n v="0"/>
    <n v="0"/>
    <n v="0"/>
    <n v="0"/>
    <n v="158834.01"/>
  </r>
  <r>
    <x v="3"/>
    <s v="03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3"/>
    <s v="03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3"/>
    <s v="03/2022"/>
    <s v="BHCOE - 134410 - PAGS 1&amp;2 COMMON"/>
    <x v="21"/>
    <x v="1"/>
    <s v="BH Colorado Electric Oper Co"/>
    <s v="SEC"/>
    <x v="3"/>
    <n v="144648.01999999999"/>
    <n v="852.89"/>
    <n v="0"/>
    <n v="0"/>
    <n v="0"/>
    <n v="0"/>
    <n v="0"/>
    <n v="145500.91"/>
  </r>
  <r>
    <x v="3"/>
    <s v="03/2022"/>
    <s v="BHCOE - 134410 - PAGS UNIT 1"/>
    <x v="21"/>
    <x v="1"/>
    <s v="BH Colorado Electric Oper Co"/>
    <s v="SEC"/>
    <x v="3"/>
    <n v="3147763"/>
    <n v="31916.33"/>
    <n v="0"/>
    <n v="-104"/>
    <n v="0"/>
    <n v="0"/>
    <n v="0"/>
    <n v="3179575.33"/>
  </r>
  <r>
    <x v="3"/>
    <s v="03/2022"/>
    <s v="BHCOE - 134410 - PAGS UNIT 2"/>
    <x v="21"/>
    <x v="1"/>
    <s v="BH Colorado Electric Oper Co"/>
    <s v="SEC"/>
    <x v="3"/>
    <n v="3139264.13"/>
    <n v="29429.22"/>
    <n v="0"/>
    <n v="-104"/>
    <n v="0"/>
    <n v="0"/>
    <n v="0"/>
    <n v="3168589.35"/>
  </r>
  <r>
    <x v="3"/>
    <s v="03/2022"/>
    <s v="BHCOE - 134410 - PAGS UNIT 3"/>
    <x v="21"/>
    <x v="1"/>
    <s v="BH Colorado Electric Oper Co"/>
    <s v="SEC"/>
    <x v="3"/>
    <n v="412909.95"/>
    <n v="6459.1900000000005"/>
    <n v="0"/>
    <n v="0"/>
    <n v="0"/>
    <n v="0"/>
    <n v="0"/>
    <n v="419369.14"/>
  </r>
  <r>
    <x v="4"/>
    <s v="04/2022"/>
    <s v="BHCOE - 134410 - Electric - Prod"/>
    <x v="21"/>
    <x v="1"/>
    <s v="BH Colorado Electric Oper Co"/>
    <s v="SEC"/>
    <x v="1"/>
    <n v="2647098.7000000002"/>
    <n v="11221.56"/>
    <n v="0"/>
    <n v="0"/>
    <n v="0"/>
    <n v="0"/>
    <n v="0"/>
    <n v="2658320.2599999998"/>
  </r>
  <r>
    <x v="4"/>
    <s v="04/2022"/>
    <s v="BHCOE - 134410 - Electric - Wind"/>
    <x v="21"/>
    <x v="1"/>
    <s v="BH Colorado Electric Oper Co"/>
    <s v="SEC"/>
    <x v="1"/>
    <n v="6966910.29"/>
    <n v="61738.16"/>
    <n v="0"/>
    <n v="0"/>
    <n v="0"/>
    <n v="0"/>
    <n v="0"/>
    <n v="7028648.4500000002"/>
  </r>
  <r>
    <x v="4"/>
    <s v="04/2022"/>
    <s v="BHCOE - 134410 - Elec-Wind-Peak Vie"/>
    <x v="21"/>
    <x v="1"/>
    <s v="BH Colorado Electric Oper Co"/>
    <s v="SEC"/>
    <x v="1"/>
    <n v="21196933.530000001"/>
    <n v="328410.44"/>
    <n v="0"/>
    <n v="0"/>
    <n v="0"/>
    <n v="0"/>
    <n v="0"/>
    <n v="21525343.969999999"/>
  </r>
  <r>
    <x v="4"/>
    <s v="04/2022"/>
    <s v="BHCOE - 134410 - PAGS 1&amp;2 COMMON"/>
    <x v="21"/>
    <x v="1"/>
    <s v="BH Colorado Electric Oper Co"/>
    <s v="SEC"/>
    <x v="1"/>
    <n v="949738.04"/>
    <n v="7013.14"/>
    <n v="0"/>
    <n v="0"/>
    <n v="0"/>
    <n v="0"/>
    <n v="0"/>
    <n v="956751.18"/>
  </r>
  <r>
    <x v="4"/>
    <s v="04/2022"/>
    <s v="BHCOE - 134410 - PAGS UNIT 1"/>
    <x v="21"/>
    <x v="1"/>
    <s v="BH Colorado Electric Oper Co"/>
    <s v="SEC"/>
    <x v="1"/>
    <n v="28312482.879999999"/>
    <n v="255134.12"/>
    <n v="-5375162.8799999999"/>
    <n v="0"/>
    <n v="0"/>
    <n v="0"/>
    <n v="0"/>
    <n v="23192454.120000001"/>
  </r>
  <r>
    <x v="4"/>
    <s v="04/2022"/>
    <s v="BHCOE - 134410 - PAGS UNIT 2"/>
    <x v="21"/>
    <x v="1"/>
    <s v="BH Colorado Electric Oper Co"/>
    <s v="SEC"/>
    <x v="1"/>
    <n v="28615902.120000001"/>
    <n v="241978"/>
    <n v="0"/>
    <n v="0"/>
    <n v="0"/>
    <n v="0"/>
    <n v="0"/>
    <n v="28857880.120000001"/>
  </r>
  <r>
    <x v="4"/>
    <s v="04/2022"/>
    <s v="BHCOE - 134410 - PAGS UNIT 3"/>
    <x v="21"/>
    <x v="1"/>
    <s v="BH Colorado Electric Oper Co"/>
    <s v="SEC"/>
    <x v="1"/>
    <n v="8299177.0899999999"/>
    <n v="129645.17"/>
    <n v="0"/>
    <n v="0"/>
    <n v="0"/>
    <n v="0"/>
    <n v="0"/>
    <n v="8428822.2599999998"/>
  </r>
  <r>
    <x v="4"/>
    <s v="04/2022"/>
    <s v="BHCOE - 134410 - Electric - Prod"/>
    <x v="21"/>
    <x v="1"/>
    <s v="BH Colorado Electric Oper Co"/>
    <s v="SEC"/>
    <x v="3"/>
    <n v="158834.01"/>
    <n v="2111.81"/>
    <n v="0"/>
    <n v="0"/>
    <n v="0"/>
    <n v="0"/>
    <n v="0"/>
    <n v="160945.82"/>
  </r>
  <r>
    <x v="4"/>
    <s v="04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4"/>
    <s v="04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4"/>
    <s v="04/2022"/>
    <s v="BHCOE - 134410 - PAGS 1&amp;2 COMMON"/>
    <x v="21"/>
    <x v="1"/>
    <s v="BH Colorado Electric Oper Co"/>
    <s v="SEC"/>
    <x v="3"/>
    <n v="145500.91"/>
    <n v="852.89"/>
    <n v="0"/>
    <n v="0"/>
    <n v="0"/>
    <n v="0"/>
    <n v="0"/>
    <n v="146353.80000000002"/>
  </r>
  <r>
    <x v="4"/>
    <s v="04/2022"/>
    <s v="BHCOE - 134410 - PAGS UNIT 1"/>
    <x v="21"/>
    <x v="1"/>
    <s v="BH Colorado Electric Oper Co"/>
    <s v="SEC"/>
    <x v="3"/>
    <n v="3179575.33"/>
    <n v="31027.600000000002"/>
    <n v="0"/>
    <n v="-272500"/>
    <n v="0"/>
    <n v="0"/>
    <n v="0"/>
    <n v="2938102.93"/>
  </r>
  <r>
    <x v="4"/>
    <s v="04/2022"/>
    <s v="BHCOE - 134410 - PAGS UNIT 2"/>
    <x v="21"/>
    <x v="1"/>
    <s v="BH Colorado Electric Oper Co"/>
    <s v="SEC"/>
    <x v="3"/>
    <n v="3168589.35"/>
    <n v="29427.65"/>
    <n v="0"/>
    <n v="0"/>
    <n v="0"/>
    <n v="0"/>
    <n v="0"/>
    <n v="3198017"/>
  </r>
  <r>
    <x v="4"/>
    <s v="04/2022"/>
    <s v="BHCOE - 134410 - PAGS UNIT 3"/>
    <x v="21"/>
    <x v="1"/>
    <s v="BH Colorado Electric Oper Co"/>
    <s v="SEC"/>
    <x v="3"/>
    <n v="419369.14"/>
    <n v="6459.1900000000005"/>
    <n v="0"/>
    <n v="0"/>
    <n v="0"/>
    <n v="0"/>
    <n v="0"/>
    <n v="425828.33"/>
  </r>
  <r>
    <x v="5"/>
    <s v="05/2022"/>
    <s v="BHCOE - 134410 - Electric - Prod"/>
    <x v="21"/>
    <x v="1"/>
    <s v="BH Colorado Electric Oper Co"/>
    <s v="SEC"/>
    <x v="1"/>
    <n v="2658320.2599999998"/>
    <n v="11221.56"/>
    <n v="0"/>
    <n v="0"/>
    <n v="0"/>
    <n v="0"/>
    <n v="0"/>
    <n v="2669541.8200000003"/>
  </r>
  <r>
    <x v="5"/>
    <s v="05/2022"/>
    <s v="BHCOE - 134410 - Electric - Wind"/>
    <x v="21"/>
    <x v="1"/>
    <s v="BH Colorado Electric Oper Co"/>
    <s v="SEC"/>
    <x v="1"/>
    <n v="7028648.4500000002"/>
    <n v="61738.16"/>
    <n v="0"/>
    <n v="0"/>
    <n v="0"/>
    <n v="0"/>
    <n v="0"/>
    <n v="7090386.6100000003"/>
  </r>
  <r>
    <x v="5"/>
    <s v="05/2022"/>
    <s v="BHCOE - 134410 - Elec-Wind-Peak Vie"/>
    <x v="21"/>
    <x v="1"/>
    <s v="BH Colorado Electric Oper Co"/>
    <s v="SEC"/>
    <x v="1"/>
    <n v="21525343.969999999"/>
    <n v="328410.44"/>
    <n v="0"/>
    <n v="0"/>
    <n v="0"/>
    <n v="0"/>
    <n v="0"/>
    <n v="21853754.41"/>
  </r>
  <r>
    <x v="5"/>
    <s v="05/2022"/>
    <s v="BHCOE - 134410 - PAGS 1&amp;2 COMMON"/>
    <x v="21"/>
    <x v="1"/>
    <s v="BH Colorado Electric Oper Co"/>
    <s v="SEC"/>
    <x v="1"/>
    <n v="956751.18"/>
    <n v="7015.9000000000005"/>
    <n v="0"/>
    <n v="0"/>
    <n v="0"/>
    <n v="0"/>
    <n v="0"/>
    <n v="963767.08000000007"/>
  </r>
  <r>
    <x v="5"/>
    <s v="05/2022"/>
    <s v="BHCOE - 134410 - PAGS UNIT 1"/>
    <x v="21"/>
    <x v="1"/>
    <s v="BH Colorado Electric Oper Co"/>
    <s v="SEC"/>
    <x v="1"/>
    <n v="23192454.120000001"/>
    <n v="247839.23"/>
    <n v="0"/>
    <n v="0"/>
    <n v="0"/>
    <n v="0"/>
    <n v="0"/>
    <n v="23440293.350000001"/>
  </r>
  <r>
    <x v="5"/>
    <s v="05/2022"/>
    <s v="BHCOE - 134410 - PAGS UNIT 2"/>
    <x v="21"/>
    <x v="1"/>
    <s v="BH Colorado Electric Oper Co"/>
    <s v="SEC"/>
    <x v="1"/>
    <n v="28857880.120000001"/>
    <n v="241978"/>
    <n v="0"/>
    <n v="0"/>
    <n v="0"/>
    <n v="0"/>
    <n v="0"/>
    <n v="29099858.120000001"/>
  </r>
  <r>
    <x v="5"/>
    <s v="05/2022"/>
    <s v="BHCOE - 134410 - PAGS UNIT 3"/>
    <x v="21"/>
    <x v="1"/>
    <s v="BH Colorado Electric Oper Co"/>
    <s v="SEC"/>
    <x v="1"/>
    <n v="8428822.2599999998"/>
    <n v="129645.17"/>
    <n v="0"/>
    <n v="0"/>
    <n v="0"/>
    <n v="0"/>
    <n v="0"/>
    <n v="8558467.4299999997"/>
  </r>
  <r>
    <x v="5"/>
    <s v="05/2022"/>
    <s v="BHCOE - 134410 - Electric - Prod"/>
    <x v="21"/>
    <x v="1"/>
    <s v="BH Colorado Electric Oper Co"/>
    <s v="SEC"/>
    <x v="3"/>
    <n v="160945.82"/>
    <n v="2111.81"/>
    <n v="0"/>
    <n v="0"/>
    <n v="0"/>
    <n v="0"/>
    <n v="0"/>
    <n v="163057.63"/>
  </r>
  <r>
    <x v="5"/>
    <s v="05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5"/>
    <s v="05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5"/>
    <s v="05/2022"/>
    <s v="BHCOE - 134410 - PAGS 1&amp;2 COMMON"/>
    <x v="21"/>
    <x v="1"/>
    <s v="BH Colorado Electric Oper Co"/>
    <s v="SEC"/>
    <x v="3"/>
    <n v="146353.80000000002"/>
    <n v="853.22"/>
    <n v="0"/>
    <n v="0"/>
    <n v="0"/>
    <n v="0"/>
    <n v="0"/>
    <n v="147207.01999999999"/>
  </r>
  <r>
    <x v="5"/>
    <s v="05/2022"/>
    <s v="BHCOE - 134410 - PAGS UNIT 1"/>
    <x v="21"/>
    <x v="1"/>
    <s v="BH Colorado Electric Oper Co"/>
    <s v="SEC"/>
    <x v="3"/>
    <n v="2938102.93"/>
    <n v="30140.45"/>
    <n v="0"/>
    <n v="0"/>
    <n v="0"/>
    <n v="0"/>
    <n v="0"/>
    <n v="2968243.38"/>
  </r>
  <r>
    <x v="5"/>
    <s v="05/2022"/>
    <s v="BHCOE - 134410 - PAGS UNIT 2"/>
    <x v="21"/>
    <x v="1"/>
    <s v="BH Colorado Electric Oper Co"/>
    <s v="SEC"/>
    <x v="3"/>
    <n v="3198017"/>
    <n v="29427.65"/>
    <n v="0"/>
    <n v="0"/>
    <n v="0"/>
    <n v="0"/>
    <n v="0"/>
    <n v="3227444.65"/>
  </r>
  <r>
    <x v="5"/>
    <s v="05/2022"/>
    <s v="BHCOE - 134410 - PAGS UNIT 3"/>
    <x v="21"/>
    <x v="1"/>
    <s v="BH Colorado Electric Oper Co"/>
    <s v="SEC"/>
    <x v="3"/>
    <n v="425828.33"/>
    <n v="6459.1900000000005"/>
    <n v="0"/>
    <n v="0"/>
    <n v="0"/>
    <n v="0"/>
    <n v="0"/>
    <n v="432287.52"/>
  </r>
  <r>
    <x v="6"/>
    <s v="06/2022"/>
    <s v="BHCOE - 134410 - Electric - Prod"/>
    <x v="21"/>
    <x v="1"/>
    <s v="BH Colorado Electric Oper Co"/>
    <s v="SEC"/>
    <x v="1"/>
    <n v="2669541.8200000003"/>
    <n v="11221.56"/>
    <n v="0"/>
    <n v="0"/>
    <n v="0"/>
    <n v="0"/>
    <n v="0"/>
    <n v="2680763.38"/>
  </r>
  <r>
    <x v="6"/>
    <s v="06/2022"/>
    <s v="BHCOE - 134410 - Electric - Wind"/>
    <x v="21"/>
    <x v="1"/>
    <s v="BH Colorado Electric Oper Co"/>
    <s v="SEC"/>
    <x v="1"/>
    <n v="7090386.6100000003"/>
    <n v="61738.16"/>
    <n v="0"/>
    <n v="0"/>
    <n v="0"/>
    <n v="0"/>
    <n v="0"/>
    <n v="7152124.7699999996"/>
  </r>
  <r>
    <x v="6"/>
    <s v="06/2022"/>
    <s v="BHCOE - 134410 - Elec-Wind-Peak Vie"/>
    <x v="21"/>
    <x v="1"/>
    <s v="BH Colorado Electric Oper Co"/>
    <s v="SEC"/>
    <x v="1"/>
    <n v="21853754.41"/>
    <n v="328410.44"/>
    <n v="0"/>
    <n v="0"/>
    <n v="0"/>
    <n v="0"/>
    <n v="0"/>
    <n v="22182164.850000001"/>
  </r>
  <r>
    <x v="6"/>
    <s v="06/2022"/>
    <s v="BHCOE - 134410 - PAGS 1&amp;2 COMMON"/>
    <x v="21"/>
    <x v="1"/>
    <s v="BH Colorado Electric Oper Co"/>
    <s v="SEC"/>
    <x v="1"/>
    <n v="963767.08000000007"/>
    <n v="7809.32"/>
    <n v="0"/>
    <n v="0"/>
    <n v="0"/>
    <n v="0"/>
    <n v="0"/>
    <n v="971576.4"/>
  </r>
  <r>
    <x v="6"/>
    <s v="06/2022"/>
    <s v="BHCOE - 134410 - PAGS UNIT 1"/>
    <x v="21"/>
    <x v="1"/>
    <s v="BH Colorado Electric Oper Co"/>
    <s v="SEC"/>
    <x v="1"/>
    <n v="23440293.350000001"/>
    <n v="247809.05000000002"/>
    <n v="-225899.61000000002"/>
    <n v="0"/>
    <n v="0"/>
    <n v="0"/>
    <n v="0"/>
    <n v="23462202.789999999"/>
  </r>
  <r>
    <x v="6"/>
    <s v="06/2022"/>
    <s v="BHCOE - 134410 - PAGS UNIT 2"/>
    <x v="21"/>
    <x v="1"/>
    <s v="BH Colorado Electric Oper Co"/>
    <s v="SEC"/>
    <x v="1"/>
    <n v="29099858.120000001"/>
    <n v="241978"/>
    <n v="0"/>
    <n v="0"/>
    <n v="0"/>
    <n v="0"/>
    <n v="0"/>
    <n v="29341836.120000001"/>
  </r>
  <r>
    <x v="6"/>
    <s v="06/2022"/>
    <s v="BHCOE - 134410 - PAGS UNIT 3"/>
    <x v="21"/>
    <x v="1"/>
    <s v="BH Colorado Electric Oper Co"/>
    <s v="SEC"/>
    <x v="1"/>
    <n v="8558467.4299999997"/>
    <n v="129645.17"/>
    <n v="0"/>
    <n v="0"/>
    <n v="0"/>
    <n v="0"/>
    <n v="0"/>
    <n v="8688112.5999999996"/>
  </r>
  <r>
    <x v="6"/>
    <s v="06/2022"/>
    <s v="BHCOE - 134410 - Electric - Prod"/>
    <x v="21"/>
    <x v="1"/>
    <s v="BH Colorado Electric Oper Co"/>
    <s v="SEC"/>
    <x v="3"/>
    <n v="163057.63"/>
    <n v="2111.81"/>
    <n v="0"/>
    <n v="0"/>
    <n v="0"/>
    <n v="0"/>
    <n v="0"/>
    <n v="165169.44"/>
  </r>
  <r>
    <x v="6"/>
    <s v="06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6"/>
    <s v="06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6"/>
    <s v="06/2022"/>
    <s v="BHCOE - 134410 - PAGS 1&amp;2 COMMON"/>
    <x v="21"/>
    <x v="1"/>
    <s v="BH Colorado Electric Oper Co"/>
    <s v="SEC"/>
    <x v="3"/>
    <n v="147207.01999999999"/>
    <n v="949.71"/>
    <n v="0"/>
    <n v="0"/>
    <n v="0"/>
    <n v="0"/>
    <n v="0"/>
    <n v="148156.73000000001"/>
  </r>
  <r>
    <x v="6"/>
    <s v="06/2022"/>
    <s v="BHCOE - 134410 - PAGS UNIT 1"/>
    <x v="21"/>
    <x v="1"/>
    <s v="BH Colorado Electric Oper Co"/>
    <s v="SEC"/>
    <x v="3"/>
    <n v="2968243.38"/>
    <n v="30136.78"/>
    <n v="0"/>
    <n v="-15011"/>
    <n v="0"/>
    <n v="0"/>
    <n v="0"/>
    <n v="2983369.16"/>
  </r>
  <r>
    <x v="6"/>
    <s v="06/2022"/>
    <s v="BHCOE - 134410 - PAGS UNIT 2"/>
    <x v="21"/>
    <x v="1"/>
    <s v="BH Colorado Electric Oper Co"/>
    <s v="SEC"/>
    <x v="3"/>
    <n v="3227444.65"/>
    <n v="29427.65"/>
    <n v="0"/>
    <n v="0"/>
    <n v="0"/>
    <n v="0"/>
    <n v="0"/>
    <n v="3256872.3"/>
  </r>
  <r>
    <x v="6"/>
    <s v="06/2022"/>
    <s v="BHCOE - 134410 - PAGS UNIT 3"/>
    <x v="21"/>
    <x v="1"/>
    <s v="BH Colorado Electric Oper Co"/>
    <s v="SEC"/>
    <x v="3"/>
    <n v="432287.52"/>
    <n v="6459.1900000000005"/>
    <n v="0"/>
    <n v="0"/>
    <n v="0"/>
    <n v="0"/>
    <n v="0"/>
    <n v="438746.71"/>
  </r>
  <r>
    <x v="7"/>
    <s v="07/2022"/>
    <s v="BHCOE - 134410 - Electric - Prod"/>
    <x v="21"/>
    <x v="1"/>
    <s v="BH Colorado Electric Oper Co"/>
    <s v="SEC"/>
    <x v="1"/>
    <n v="2680763.38"/>
    <n v="11221.56"/>
    <n v="0"/>
    <n v="0"/>
    <n v="0"/>
    <n v="0"/>
    <n v="0"/>
    <n v="2691984.94"/>
  </r>
  <r>
    <x v="7"/>
    <s v="07/2022"/>
    <s v="BHCOE - 134410 - Electric - Wind"/>
    <x v="21"/>
    <x v="1"/>
    <s v="BH Colorado Electric Oper Co"/>
    <s v="SEC"/>
    <x v="1"/>
    <n v="7152124.7699999996"/>
    <n v="61738.16"/>
    <n v="0"/>
    <n v="0"/>
    <n v="0"/>
    <n v="0"/>
    <n v="0"/>
    <n v="7213862.9299999997"/>
  </r>
  <r>
    <x v="7"/>
    <s v="07/2022"/>
    <s v="BHCOE - 134410 - Elec-Wind-Peak Vie"/>
    <x v="21"/>
    <x v="1"/>
    <s v="BH Colorado Electric Oper Co"/>
    <s v="SEC"/>
    <x v="1"/>
    <n v="22182164.850000001"/>
    <n v="328410.44"/>
    <n v="0"/>
    <n v="0"/>
    <n v="0"/>
    <n v="0"/>
    <n v="0"/>
    <n v="22510575.289999999"/>
  </r>
  <r>
    <x v="7"/>
    <s v="07/2022"/>
    <s v="BHCOE - 134410 - PAGS 1&amp;2 COMMON"/>
    <x v="21"/>
    <x v="1"/>
    <s v="BH Colorado Electric Oper Co"/>
    <s v="SEC"/>
    <x v="1"/>
    <n v="971576.4"/>
    <n v="8599.9500000000007"/>
    <n v="0"/>
    <n v="0"/>
    <n v="0"/>
    <n v="0"/>
    <n v="0"/>
    <n v="980176.35"/>
  </r>
  <r>
    <x v="7"/>
    <s v="07/2022"/>
    <s v="BHCOE - 134410 - PAGS UNIT 1"/>
    <x v="21"/>
    <x v="1"/>
    <s v="BH Colorado Electric Oper Co"/>
    <s v="SEC"/>
    <x v="1"/>
    <n v="23462202.789999999"/>
    <n v="247778.89"/>
    <n v="0"/>
    <n v="0"/>
    <n v="0"/>
    <n v="0"/>
    <n v="0"/>
    <n v="23709981.68"/>
  </r>
  <r>
    <x v="7"/>
    <s v="07/2022"/>
    <s v="BHCOE - 134410 - PAGS UNIT 2"/>
    <x v="21"/>
    <x v="1"/>
    <s v="BH Colorado Electric Oper Co"/>
    <s v="SEC"/>
    <x v="1"/>
    <n v="29341836.120000001"/>
    <n v="241978"/>
    <n v="0"/>
    <n v="0"/>
    <n v="0"/>
    <n v="0"/>
    <n v="0"/>
    <n v="29583814.120000001"/>
  </r>
  <r>
    <x v="7"/>
    <s v="07/2022"/>
    <s v="BHCOE - 134410 - PAGS UNIT 3"/>
    <x v="21"/>
    <x v="1"/>
    <s v="BH Colorado Electric Oper Co"/>
    <s v="SEC"/>
    <x v="1"/>
    <n v="8688112.5999999996"/>
    <n v="129645.17"/>
    <n v="0"/>
    <n v="0"/>
    <n v="0"/>
    <n v="0"/>
    <n v="0"/>
    <n v="8817757.7699999996"/>
  </r>
  <r>
    <x v="7"/>
    <s v="07/2022"/>
    <s v="BHCOE - 134410 - Electric - Prod"/>
    <x v="21"/>
    <x v="1"/>
    <s v="BH Colorado Electric Oper Co"/>
    <s v="SEC"/>
    <x v="3"/>
    <n v="165169.44"/>
    <n v="2111.81"/>
    <n v="0"/>
    <n v="0"/>
    <n v="0"/>
    <n v="0"/>
    <n v="0"/>
    <n v="167281.25"/>
  </r>
  <r>
    <x v="7"/>
    <s v="07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7"/>
    <s v="07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7"/>
    <s v="07/2022"/>
    <s v="BHCOE - 134410 - PAGS 1&amp;2 COMMON"/>
    <x v="21"/>
    <x v="1"/>
    <s v="BH Colorado Electric Oper Co"/>
    <s v="SEC"/>
    <x v="3"/>
    <n v="148156.73000000001"/>
    <n v="1045.8700000000001"/>
    <n v="0"/>
    <n v="0"/>
    <n v="0"/>
    <n v="0"/>
    <n v="0"/>
    <n v="149202.6"/>
  </r>
  <r>
    <x v="7"/>
    <s v="07/2022"/>
    <s v="BHCOE - 134410 - PAGS UNIT 1"/>
    <x v="21"/>
    <x v="1"/>
    <s v="BH Colorado Electric Oper Co"/>
    <s v="SEC"/>
    <x v="3"/>
    <n v="2983369.16"/>
    <n v="30133.11"/>
    <n v="0"/>
    <n v="0"/>
    <n v="0"/>
    <n v="0"/>
    <n v="0"/>
    <n v="3013502.27"/>
  </r>
  <r>
    <x v="7"/>
    <s v="07/2022"/>
    <s v="BHCOE - 134410 - PAGS UNIT 2"/>
    <x v="21"/>
    <x v="1"/>
    <s v="BH Colorado Electric Oper Co"/>
    <s v="SEC"/>
    <x v="3"/>
    <n v="3256872.3"/>
    <n v="29427.65"/>
    <n v="0"/>
    <n v="0"/>
    <n v="0"/>
    <n v="0"/>
    <n v="0"/>
    <n v="3286299.95"/>
  </r>
  <r>
    <x v="7"/>
    <s v="07/2022"/>
    <s v="BHCOE - 134410 - PAGS UNIT 3"/>
    <x v="21"/>
    <x v="1"/>
    <s v="BH Colorado Electric Oper Co"/>
    <s v="SEC"/>
    <x v="3"/>
    <n v="438746.71"/>
    <n v="6459.1900000000005"/>
    <n v="0"/>
    <n v="0"/>
    <n v="0"/>
    <n v="0"/>
    <n v="0"/>
    <n v="445205.9"/>
  </r>
  <r>
    <x v="8"/>
    <s v="08/2022"/>
    <s v="BHCOE - 134410 - Electric - Prod"/>
    <x v="21"/>
    <x v="1"/>
    <s v="BH Colorado Electric Oper Co"/>
    <s v="SEC"/>
    <x v="1"/>
    <n v="2691984.94"/>
    <n v="11221.56"/>
    <n v="0"/>
    <n v="0"/>
    <n v="0"/>
    <n v="0"/>
    <n v="0"/>
    <n v="2703206.5"/>
  </r>
  <r>
    <x v="8"/>
    <s v="08/2022"/>
    <s v="BHCOE - 134410 - Electric - Wind"/>
    <x v="21"/>
    <x v="1"/>
    <s v="BH Colorado Electric Oper Co"/>
    <s v="SEC"/>
    <x v="1"/>
    <n v="7213862.9299999997"/>
    <n v="61738.16"/>
    <n v="0"/>
    <n v="0"/>
    <n v="0"/>
    <n v="0"/>
    <n v="0"/>
    <n v="7275601.0899999999"/>
  </r>
  <r>
    <x v="8"/>
    <s v="08/2022"/>
    <s v="BHCOE - 134410 - Elec-Wind-Peak Vie"/>
    <x v="21"/>
    <x v="1"/>
    <s v="BH Colorado Electric Oper Co"/>
    <s v="SEC"/>
    <x v="1"/>
    <n v="22510575.289999999"/>
    <n v="328410.44"/>
    <n v="0"/>
    <n v="0"/>
    <n v="0"/>
    <n v="0"/>
    <n v="0"/>
    <n v="22838985.73"/>
  </r>
  <r>
    <x v="8"/>
    <s v="08/2022"/>
    <s v="BHCOE - 134410 - PAGS 1&amp;2 COMMON"/>
    <x v="21"/>
    <x v="1"/>
    <s v="BH Colorado Electric Oper Co"/>
    <s v="SEC"/>
    <x v="1"/>
    <n v="980176.35"/>
    <n v="8599.9500000000007"/>
    <n v="0"/>
    <n v="0"/>
    <n v="0"/>
    <n v="0"/>
    <n v="0"/>
    <n v="988776.3"/>
  </r>
  <r>
    <x v="8"/>
    <s v="08/2022"/>
    <s v="BHCOE - 134410 - PAGS UNIT 1"/>
    <x v="21"/>
    <x v="1"/>
    <s v="BH Colorado Electric Oper Co"/>
    <s v="SEC"/>
    <x v="1"/>
    <n v="23709981.68"/>
    <n v="247778.89"/>
    <n v="0"/>
    <n v="0"/>
    <n v="0"/>
    <n v="0"/>
    <n v="0"/>
    <n v="23957760.57"/>
  </r>
  <r>
    <x v="8"/>
    <s v="08/2022"/>
    <s v="BHCOE - 134410 - PAGS UNIT 2"/>
    <x v="21"/>
    <x v="1"/>
    <s v="BH Colorado Electric Oper Co"/>
    <s v="SEC"/>
    <x v="1"/>
    <n v="29583814.120000001"/>
    <n v="241978"/>
    <n v="0"/>
    <n v="0"/>
    <n v="0"/>
    <n v="0"/>
    <n v="0"/>
    <n v="29825792.120000001"/>
  </r>
  <r>
    <x v="8"/>
    <s v="08/2022"/>
    <s v="BHCOE - 134410 - PAGS UNIT 3"/>
    <x v="21"/>
    <x v="1"/>
    <s v="BH Colorado Electric Oper Co"/>
    <s v="SEC"/>
    <x v="1"/>
    <n v="8817757.7699999996"/>
    <n v="129645.17"/>
    <n v="0"/>
    <n v="0"/>
    <n v="0"/>
    <n v="0"/>
    <n v="0"/>
    <n v="8947402.9399999995"/>
  </r>
  <r>
    <x v="8"/>
    <s v="08/2022"/>
    <s v="BHCOE - 134410 - Electric - Prod"/>
    <x v="21"/>
    <x v="1"/>
    <s v="BH Colorado Electric Oper Co"/>
    <s v="SEC"/>
    <x v="3"/>
    <n v="167281.25"/>
    <n v="2111.81"/>
    <n v="0"/>
    <n v="0"/>
    <n v="0"/>
    <n v="0"/>
    <n v="0"/>
    <n v="169393.06"/>
  </r>
  <r>
    <x v="8"/>
    <s v="08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8"/>
    <s v="08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8"/>
    <s v="08/2022"/>
    <s v="BHCOE - 134410 - PAGS 1&amp;2 COMMON"/>
    <x v="21"/>
    <x v="1"/>
    <s v="BH Colorado Electric Oper Co"/>
    <s v="SEC"/>
    <x v="3"/>
    <n v="149202.6"/>
    <n v="1045.8700000000001"/>
    <n v="0"/>
    <n v="0"/>
    <n v="0"/>
    <n v="0"/>
    <n v="0"/>
    <n v="150248.47"/>
  </r>
  <r>
    <x v="8"/>
    <s v="08/2022"/>
    <s v="BHCOE - 134410 - PAGS UNIT 1"/>
    <x v="21"/>
    <x v="1"/>
    <s v="BH Colorado Electric Oper Co"/>
    <s v="SEC"/>
    <x v="3"/>
    <n v="3013502.27"/>
    <n v="30133.11"/>
    <n v="0"/>
    <n v="0"/>
    <n v="0"/>
    <n v="0"/>
    <n v="0"/>
    <n v="3043635.38"/>
  </r>
  <r>
    <x v="8"/>
    <s v="08/2022"/>
    <s v="BHCOE - 134410 - PAGS UNIT 2"/>
    <x v="21"/>
    <x v="1"/>
    <s v="BH Colorado Electric Oper Co"/>
    <s v="SEC"/>
    <x v="3"/>
    <n v="3286299.95"/>
    <n v="29427.65"/>
    <n v="0"/>
    <n v="0"/>
    <n v="0"/>
    <n v="0"/>
    <n v="0"/>
    <n v="3315727.6"/>
  </r>
  <r>
    <x v="8"/>
    <s v="08/2022"/>
    <s v="BHCOE - 134410 - PAGS UNIT 3"/>
    <x v="21"/>
    <x v="1"/>
    <s v="BH Colorado Electric Oper Co"/>
    <s v="SEC"/>
    <x v="3"/>
    <n v="445205.9"/>
    <n v="6459.1900000000005"/>
    <n v="0"/>
    <n v="0"/>
    <n v="0"/>
    <n v="0"/>
    <n v="0"/>
    <n v="451665.09"/>
  </r>
  <r>
    <x v="9"/>
    <s v="09/2022"/>
    <s v="BHCOE - 134410 - Electric - Prod"/>
    <x v="21"/>
    <x v="1"/>
    <s v="BH Colorado Electric Oper Co"/>
    <s v="SEC"/>
    <x v="1"/>
    <n v="2703206.5"/>
    <n v="11221.56"/>
    <n v="0"/>
    <n v="0"/>
    <n v="0"/>
    <n v="0"/>
    <n v="0"/>
    <n v="2714428.06"/>
  </r>
  <r>
    <x v="9"/>
    <s v="09/2022"/>
    <s v="BHCOE - 134410 - Electric - Wind"/>
    <x v="21"/>
    <x v="1"/>
    <s v="BH Colorado Electric Oper Co"/>
    <s v="SEC"/>
    <x v="1"/>
    <n v="7275601.0899999999"/>
    <n v="61738.16"/>
    <n v="0"/>
    <n v="0"/>
    <n v="0"/>
    <n v="0"/>
    <n v="0"/>
    <n v="7337339.25"/>
  </r>
  <r>
    <x v="9"/>
    <s v="09/2022"/>
    <s v="BHCOE - 134410 - Elec-Wind-Peak Vie"/>
    <x v="21"/>
    <x v="1"/>
    <s v="BH Colorado Electric Oper Co"/>
    <s v="SEC"/>
    <x v="1"/>
    <n v="22838985.73"/>
    <n v="328410.44"/>
    <n v="0"/>
    <n v="0"/>
    <n v="0"/>
    <n v="0"/>
    <n v="0"/>
    <n v="23167396.170000002"/>
  </r>
  <r>
    <x v="9"/>
    <s v="09/2022"/>
    <s v="BHCOE - 134410 - PAGS 1&amp;2 COMMON"/>
    <x v="21"/>
    <x v="1"/>
    <s v="BH Colorado Electric Oper Co"/>
    <s v="SEC"/>
    <x v="1"/>
    <n v="988776.3"/>
    <n v="7908.34"/>
    <n v="0"/>
    <n v="0"/>
    <n v="0"/>
    <n v="0"/>
    <n v="0"/>
    <n v="996684.64"/>
  </r>
  <r>
    <x v="9"/>
    <s v="09/2022"/>
    <s v="BHCOE - 134410 - PAGS UNIT 1"/>
    <x v="21"/>
    <x v="1"/>
    <s v="BH Colorado Electric Oper Co"/>
    <s v="SEC"/>
    <x v="1"/>
    <n v="23957760.57"/>
    <n v="247778.89"/>
    <n v="0"/>
    <n v="0"/>
    <n v="0"/>
    <n v="0"/>
    <n v="0"/>
    <n v="24205539.460000001"/>
  </r>
  <r>
    <x v="9"/>
    <s v="09/2022"/>
    <s v="BHCOE - 134410 - PAGS UNIT 2"/>
    <x v="21"/>
    <x v="1"/>
    <s v="BH Colorado Electric Oper Co"/>
    <s v="SEC"/>
    <x v="1"/>
    <n v="29825792.120000001"/>
    <n v="242656.7"/>
    <n v="-10000"/>
    <n v="0"/>
    <n v="0"/>
    <n v="0"/>
    <n v="0"/>
    <n v="30058448.82"/>
  </r>
  <r>
    <x v="9"/>
    <s v="09/2022"/>
    <s v="BHCOE - 134410 - PAGS UNIT 3"/>
    <x v="21"/>
    <x v="1"/>
    <s v="BH Colorado Electric Oper Co"/>
    <s v="SEC"/>
    <x v="1"/>
    <n v="8947402.9399999995"/>
    <n v="129645.17"/>
    <n v="0"/>
    <n v="0"/>
    <n v="0"/>
    <n v="0"/>
    <n v="0"/>
    <n v="9077048.1099999994"/>
  </r>
  <r>
    <x v="9"/>
    <s v="09/2022"/>
    <s v="BHCOE - 134410 - Electric - Prod"/>
    <x v="21"/>
    <x v="1"/>
    <s v="BH Colorado Electric Oper Co"/>
    <s v="SEC"/>
    <x v="3"/>
    <n v="169393.06"/>
    <n v="2111.81"/>
    <n v="0"/>
    <n v="0"/>
    <n v="0"/>
    <n v="0"/>
    <n v="0"/>
    <n v="171504.87"/>
  </r>
  <r>
    <x v="9"/>
    <s v="09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9"/>
    <s v="09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9"/>
    <s v="09/2022"/>
    <s v="BHCOE - 134410 - PAGS 1&amp;2 COMMON"/>
    <x v="21"/>
    <x v="1"/>
    <s v="BH Colorado Electric Oper Co"/>
    <s v="SEC"/>
    <x v="3"/>
    <n v="150248.47"/>
    <n v="961.76"/>
    <n v="0"/>
    <n v="0"/>
    <n v="0"/>
    <n v="0"/>
    <n v="0"/>
    <n v="151210.23000000001"/>
  </r>
  <r>
    <x v="9"/>
    <s v="09/2022"/>
    <s v="BHCOE - 134410 - PAGS UNIT 1"/>
    <x v="21"/>
    <x v="1"/>
    <s v="BH Colorado Electric Oper Co"/>
    <s v="SEC"/>
    <x v="3"/>
    <n v="3043635.38"/>
    <n v="30133.11"/>
    <n v="0"/>
    <n v="0"/>
    <n v="0"/>
    <n v="0"/>
    <n v="0"/>
    <n v="3073768.49"/>
  </r>
  <r>
    <x v="9"/>
    <s v="09/2022"/>
    <s v="BHCOE - 134410 - PAGS UNIT 2"/>
    <x v="21"/>
    <x v="1"/>
    <s v="BH Colorado Electric Oper Co"/>
    <s v="SEC"/>
    <x v="3"/>
    <n v="3315727.6"/>
    <n v="29510.190000000002"/>
    <n v="0"/>
    <n v="-21800"/>
    <n v="0"/>
    <n v="0"/>
    <n v="0"/>
    <n v="3323437.79"/>
  </r>
  <r>
    <x v="9"/>
    <s v="09/2022"/>
    <s v="BHCOE - 134410 - PAGS UNIT 3"/>
    <x v="21"/>
    <x v="1"/>
    <s v="BH Colorado Electric Oper Co"/>
    <s v="SEC"/>
    <x v="3"/>
    <n v="451665.09"/>
    <n v="6459.1900000000005"/>
    <n v="0"/>
    <n v="0"/>
    <n v="0"/>
    <n v="0"/>
    <n v="0"/>
    <n v="458124.28"/>
  </r>
  <r>
    <x v="10"/>
    <s v="10/2022"/>
    <s v="BHCOE - 134410 - Electric - Prod"/>
    <x v="21"/>
    <x v="1"/>
    <s v="BH Colorado Electric Oper Co"/>
    <s v="SEC"/>
    <x v="1"/>
    <n v="2714428.06"/>
    <n v="11221.56"/>
    <n v="0"/>
    <n v="0"/>
    <n v="0"/>
    <n v="0"/>
    <n v="0"/>
    <n v="2725649.62"/>
  </r>
  <r>
    <x v="10"/>
    <s v="10/2022"/>
    <s v="BHCOE - 134410 - Electric - Wind"/>
    <x v="21"/>
    <x v="1"/>
    <s v="BH Colorado Electric Oper Co"/>
    <s v="SEC"/>
    <x v="1"/>
    <n v="7337339.25"/>
    <n v="61738.16"/>
    <n v="0"/>
    <n v="0"/>
    <n v="0"/>
    <n v="0"/>
    <n v="0"/>
    <n v="7399077.4100000001"/>
  </r>
  <r>
    <x v="10"/>
    <s v="10/2022"/>
    <s v="BHCOE - 134410 - Elec-Wind-Peak Vie"/>
    <x v="21"/>
    <x v="1"/>
    <s v="BH Colorado Electric Oper Co"/>
    <s v="SEC"/>
    <x v="1"/>
    <n v="23167396.170000002"/>
    <n v="328410.44"/>
    <n v="0"/>
    <n v="0"/>
    <n v="0"/>
    <n v="0"/>
    <n v="0"/>
    <n v="23495806.609999999"/>
  </r>
  <r>
    <x v="10"/>
    <s v="10/2022"/>
    <s v="BHCOE - 134410 - PAGS 1&amp;2 COMMON"/>
    <x v="21"/>
    <x v="1"/>
    <s v="BH Colorado Electric Oper Co"/>
    <s v="SEC"/>
    <x v="1"/>
    <n v="996684.64"/>
    <n v="7216.7300000000005"/>
    <n v="0"/>
    <n v="0"/>
    <n v="0"/>
    <n v="0"/>
    <n v="0"/>
    <n v="1003901.37"/>
  </r>
  <r>
    <x v="10"/>
    <s v="10/2022"/>
    <s v="BHCOE - 134410 - PAGS UNIT 1"/>
    <x v="21"/>
    <x v="1"/>
    <s v="BH Colorado Electric Oper Co"/>
    <s v="SEC"/>
    <x v="1"/>
    <n v="24205539.460000001"/>
    <n v="247772.44"/>
    <n v="-5000"/>
    <n v="0"/>
    <n v="0"/>
    <n v="0"/>
    <n v="0"/>
    <n v="24448311.899999999"/>
  </r>
  <r>
    <x v="10"/>
    <s v="10/2022"/>
    <s v="BHCOE - 134410 - PAGS UNIT 2"/>
    <x v="21"/>
    <x v="1"/>
    <s v="BH Colorado Electric Oper Co"/>
    <s v="SEC"/>
    <x v="1"/>
    <n v="30058448.82"/>
    <n v="243328.94"/>
    <n v="-5000"/>
    <n v="0"/>
    <n v="0"/>
    <n v="0"/>
    <n v="0"/>
    <n v="30296777.760000002"/>
  </r>
  <r>
    <x v="10"/>
    <s v="10/2022"/>
    <s v="BHCOE - 134410 - PAGS UNIT 3"/>
    <x v="21"/>
    <x v="1"/>
    <s v="BH Colorado Electric Oper Co"/>
    <s v="SEC"/>
    <x v="1"/>
    <n v="9077048.1099999994"/>
    <n v="129645.17"/>
    <n v="0"/>
    <n v="0"/>
    <n v="0"/>
    <n v="0"/>
    <n v="0"/>
    <n v="9206693.2799999993"/>
  </r>
  <r>
    <x v="10"/>
    <s v="10/2022"/>
    <s v="BHCOE - 134410 - Electric - Prod"/>
    <x v="21"/>
    <x v="1"/>
    <s v="BH Colorado Electric Oper Co"/>
    <s v="SEC"/>
    <x v="3"/>
    <n v="171504.87"/>
    <n v="2111.81"/>
    <n v="0"/>
    <n v="0"/>
    <n v="0"/>
    <n v="0"/>
    <n v="0"/>
    <n v="173616.68"/>
  </r>
  <r>
    <x v="10"/>
    <s v="10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10"/>
    <s v="10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10"/>
    <s v="10/2022"/>
    <s v="BHCOE - 134410 - PAGS 1&amp;2 COMMON"/>
    <x v="21"/>
    <x v="1"/>
    <s v="BH Colorado Electric Oper Co"/>
    <s v="SEC"/>
    <x v="3"/>
    <n v="151210.23000000001"/>
    <n v="877.65"/>
    <n v="0"/>
    <n v="0"/>
    <n v="0"/>
    <n v="0"/>
    <n v="0"/>
    <n v="152087.88"/>
  </r>
  <r>
    <x v="10"/>
    <s v="10/2022"/>
    <s v="BHCOE - 134410 - PAGS UNIT 1"/>
    <x v="21"/>
    <x v="1"/>
    <s v="BH Colorado Electric Oper Co"/>
    <s v="SEC"/>
    <x v="3"/>
    <n v="3073768.49"/>
    <n v="30132.33"/>
    <n v="0"/>
    <n v="-4087.5"/>
    <n v="0"/>
    <n v="0"/>
    <n v="0"/>
    <n v="3099813.32"/>
  </r>
  <r>
    <x v="10"/>
    <s v="10/2022"/>
    <s v="BHCOE - 134410 - PAGS UNIT 2"/>
    <x v="21"/>
    <x v="1"/>
    <s v="BH Colorado Electric Oper Co"/>
    <s v="SEC"/>
    <x v="3"/>
    <n v="3323437.79"/>
    <n v="29591.940000000002"/>
    <n v="0"/>
    <n v="-4087.5"/>
    <n v="0"/>
    <n v="0"/>
    <n v="0"/>
    <n v="3348942.23"/>
  </r>
  <r>
    <x v="10"/>
    <s v="10/2022"/>
    <s v="BHCOE - 134410 - PAGS UNIT 3"/>
    <x v="21"/>
    <x v="1"/>
    <s v="BH Colorado Electric Oper Co"/>
    <s v="SEC"/>
    <x v="3"/>
    <n v="458124.28"/>
    <n v="6459.1900000000005"/>
    <n v="0"/>
    <n v="0"/>
    <n v="0"/>
    <n v="0"/>
    <n v="0"/>
    <n v="464583.47000000003"/>
  </r>
  <r>
    <x v="11"/>
    <s v="11/2022"/>
    <s v="BHCOE - 134410 - Electric - Prod"/>
    <x v="21"/>
    <x v="1"/>
    <s v="BH Colorado Electric Oper Co"/>
    <s v="SEC"/>
    <x v="1"/>
    <n v="2725649.62"/>
    <n v="11221.56"/>
    <n v="0"/>
    <n v="0"/>
    <n v="0"/>
    <n v="0"/>
    <n v="0"/>
    <n v="2736871.18"/>
  </r>
  <r>
    <x v="11"/>
    <s v="11/2022"/>
    <s v="BHCOE - 134410 - Electric - Wind"/>
    <x v="21"/>
    <x v="1"/>
    <s v="BH Colorado Electric Oper Co"/>
    <s v="SEC"/>
    <x v="1"/>
    <n v="7399077.4100000001"/>
    <n v="61738.16"/>
    <n v="0"/>
    <n v="0"/>
    <n v="0"/>
    <n v="0"/>
    <n v="0"/>
    <n v="7460815.5700000003"/>
  </r>
  <r>
    <x v="11"/>
    <s v="11/2022"/>
    <s v="BHCOE - 134410 - Elec-Wind-Peak Vie"/>
    <x v="21"/>
    <x v="1"/>
    <s v="BH Colorado Electric Oper Co"/>
    <s v="SEC"/>
    <x v="1"/>
    <n v="23495806.609999999"/>
    <n v="328410.44"/>
    <n v="0"/>
    <n v="0"/>
    <n v="0"/>
    <n v="0"/>
    <n v="0"/>
    <n v="23824217.050000001"/>
  </r>
  <r>
    <x v="11"/>
    <s v="11/2022"/>
    <s v="BHCOE - 134410 - PAGS 1&amp;2 COMMON"/>
    <x v="21"/>
    <x v="1"/>
    <s v="BH Colorado Electric Oper Co"/>
    <s v="SEC"/>
    <x v="1"/>
    <n v="1003901.37"/>
    <n v="7216.7300000000005"/>
    <n v="0"/>
    <n v="0"/>
    <n v="0"/>
    <n v="0"/>
    <n v="0"/>
    <n v="1011118.1"/>
  </r>
  <r>
    <x v="11"/>
    <s v="11/2022"/>
    <s v="BHCOE - 134410 - PAGS UNIT 1"/>
    <x v="21"/>
    <x v="1"/>
    <s v="BH Colorado Electric Oper Co"/>
    <s v="SEC"/>
    <x v="1"/>
    <n v="24448311.899999999"/>
    <n v="247765.98"/>
    <n v="0"/>
    <n v="0"/>
    <n v="0"/>
    <n v="0"/>
    <n v="0"/>
    <n v="24696077.879999999"/>
  </r>
  <r>
    <x v="11"/>
    <s v="11/2022"/>
    <s v="BHCOE - 134410 - PAGS UNIT 2"/>
    <x v="21"/>
    <x v="1"/>
    <s v="BH Colorado Electric Oper Co"/>
    <s v="SEC"/>
    <x v="1"/>
    <n v="30296777.760000002"/>
    <n v="243322.48"/>
    <n v="0"/>
    <n v="0"/>
    <n v="0"/>
    <n v="0"/>
    <n v="0"/>
    <n v="30540100.239999998"/>
  </r>
  <r>
    <x v="11"/>
    <s v="11/2022"/>
    <s v="BHCOE - 134410 - PAGS UNIT 3"/>
    <x v="21"/>
    <x v="1"/>
    <s v="BH Colorado Electric Oper Co"/>
    <s v="SEC"/>
    <x v="1"/>
    <n v="9206693.2799999993"/>
    <n v="129645.17"/>
    <n v="0"/>
    <n v="0"/>
    <n v="0"/>
    <n v="0"/>
    <n v="0"/>
    <n v="9336338.4499999993"/>
  </r>
  <r>
    <x v="11"/>
    <s v="11/2022"/>
    <s v="BHCOE - 134410 - Electric - Prod"/>
    <x v="21"/>
    <x v="1"/>
    <s v="BH Colorado Electric Oper Co"/>
    <s v="SEC"/>
    <x v="3"/>
    <n v="173616.68"/>
    <n v="2111.81"/>
    <n v="0"/>
    <n v="0"/>
    <n v="0"/>
    <n v="0"/>
    <n v="0"/>
    <n v="175728.49"/>
  </r>
  <r>
    <x v="11"/>
    <s v="11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11"/>
    <s v="11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11"/>
    <s v="11/2022"/>
    <s v="BHCOE - 134410 - PAGS 1&amp;2 COMMON"/>
    <x v="21"/>
    <x v="1"/>
    <s v="BH Colorado Electric Oper Co"/>
    <s v="SEC"/>
    <x v="3"/>
    <n v="152087.88"/>
    <n v="877.65"/>
    <n v="0"/>
    <n v="0"/>
    <n v="0"/>
    <n v="0"/>
    <n v="0"/>
    <n v="152965.53"/>
  </r>
  <r>
    <x v="11"/>
    <s v="11/2022"/>
    <s v="BHCOE - 134410 - PAGS UNIT 1"/>
    <x v="21"/>
    <x v="1"/>
    <s v="BH Colorado Electric Oper Co"/>
    <s v="SEC"/>
    <x v="3"/>
    <n v="3099813.32"/>
    <n v="30131.54"/>
    <n v="0"/>
    <n v="0"/>
    <n v="0"/>
    <n v="0"/>
    <n v="0"/>
    <n v="3129944.86"/>
  </r>
  <r>
    <x v="11"/>
    <s v="11/2022"/>
    <s v="BHCOE - 134410 - PAGS UNIT 2"/>
    <x v="21"/>
    <x v="1"/>
    <s v="BH Colorado Electric Oper Co"/>
    <s v="SEC"/>
    <x v="3"/>
    <n v="3348942.23"/>
    <n v="29591.15"/>
    <n v="0"/>
    <n v="0"/>
    <n v="0"/>
    <n v="0"/>
    <n v="0"/>
    <n v="3378533.38"/>
  </r>
  <r>
    <x v="11"/>
    <s v="11/2022"/>
    <s v="BHCOE - 134410 - PAGS UNIT 3"/>
    <x v="21"/>
    <x v="1"/>
    <s v="BH Colorado Electric Oper Co"/>
    <s v="SEC"/>
    <x v="3"/>
    <n v="464583.47000000003"/>
    <n v="6459.1900000000005"/>
    <n v="0"/>
    <n v="0"/>
    <n v="0"/>
    <n v="0"/>
    <n v="0"/>
    <n v="471042.66000000003"/>
  </r>
  <r>
    <x v="12"/>
    <s v="12/2022"/>
    <s v="BHCOE - 134410 - Electric - Prod"/>
    <x v="21"/>
    <x v="1"/>
    <s v="BH Colorado Electric Oper Co"/>
    <s v="SEC"/>
    <x v="1"/>
    <n v="2736871.18"/>
    <n v="11221.56"/>
    <n v="0"/>
    <n v="0"/>
    <n v="0"/>
    <n v="0"/>
    <n v="0"/>
    <n v="2748092.74"/>
  </r>
  <r>
    <x v="12"/>
    <s v="12/2022"/>
    <s v="BHCOE - 134410 - Electric - Wind"/>
    <x v="21"/>
    <x v="1"/>
    <s v="BH Colorado Electric Oper Co"/>
    <s v="SEC"/>
    <x v="1"/>
    <n v="7460815.5700000003"/>
    <n v="61738.16"/>
    <n v="0"/>
    <n v="0"/>
    <n v="0"/>
    <n v="0"/>
    <n v="0"/>
    <n v="7522553.7300000004"/>
  </r>
  <r>
    <x v="12"/>
    <s v="12/2022"/>
    <s v="BHCOE - 134410 - Elec-Wind-Peak Vie"/>
    <x v="21"/>
    <x v="1"/>
    <s v="BH Colorado Electric Oper Co"/>
    <s v="SEC"/>
    <x v="1"/>
    <n v="23824217.050000001"/>
    <n v="328410.44"/>
    <n v="0"/>
    <n v="0"/>
    <n v="0"/>
    <n v="0"/>
    <n v="0"/>
    <n v="24152627.489999998"/>
  </r>
  <r>
    <x v="12"/>
    <s v="12/2022"/>
    <s v="BHCOE - 134410 - PAGS 1&amp;2 COMMON"/>
    <x v="21"/>
    <x v="1"/>
    <s v="BH Colorado Electric Oper Co"/>
    <s v="SEC"/>
    <x v="1"/>
    <n v="1011118.1"/>
    <n v="7216.7300000000005"/>
    <n v="0"/>
    <n v="0"/>
    <n v="0"/>
    <n v="0"/>
    <n v="0"/>
    <n v="1018334.83"/>
  </r>
  <r>
    <x v="12"/>
    <s v="12/2022"/>
    <s v="BHCOE - 134410 - PAGS UNIT 1"/>
    <x v="21"/>
    <x v="1"/>
    <s v="BH Colorado Electric Oper Co"/>
    <s v="SEC"/>
    <x v="1"/>
    <n v="24696077.879999999"/>
    <n v="243658.38"/>
    <n v="0"/>
    <n v="0"/>
    <n v="0"/>
    <n v="0"/>
    <n v="0"/>
    <n v="24939736.260000002"/>
  </r>
  <r>
    <x v="12"/>
    <s v="12/2022"/>
    <s v="BHCOE - 134410 - PAGS UNIT 2"/>
    <x v="21"/>
    <x v="1"/>
    <s v="BH Colorado Electric Oper Co"/>
    <s v="SEC"/>
    <x v="1"/>
    <n v="30540100.239999998"/>
    <n v="243343.92"/>
    <n v="0"/>
    <n v="0"/>
    <n v="0"/>
    <n v="0"/>
    <n v="0"/>
    <n v="30783444.16"/>
  </r>
  <r>
    <x v="12"/>
    <s v="12/2022"/>
    <s v="BHCOE - 134410 - PAGS UNIT 3"/>
    <x v="21"/>
    <x v="1"/>
    <s v="BH Colorado Electric Oper Co"/>
    <s v="SEC"/>
    <x v="1"/>
    <n v="9336338.4499999993"/>
    <n v="129645.17"/>
    <n v="0"/>
    <n v="0"/>
    <n v="0"/>
    <n v="0"/>
    <n v="0"/>
    <n v="9465983.6199999992"/>
  </r>
  <r>
    <x v="12"/>
    <s v="12/2022"/>
    <s v="BHCOE - 134410 - Electric - Prod"/>
    <x v="21"/>
    <x v="1"/>
    <s v="BH Colorado Electric Oper Co"/>
    <s v="SEC"/>
    <x v="3"/>
    <n v="175728.49"/>
    <n v="2111.81"/>
    <n v="0"/>
    <n v="0"/>
    <n v="0"/>
    <n v="0"/>
    <n v="0"/>
    <n v="177840.30000000002"/>
  </r>
  <r>
    <x v="12"/>
    <s v="12/2022"/>
    <s v="BHCOE - 134410 - Electric - Wind"/>
    <x v="21"/>
    <x v="1"/>
    <s v="BH Colorado Electric Oper Co"/>
    <s v="SEC"/>
    <x v="3"/>
    <n v="-7.2"/>
    <n v="0"/>
    <n v="0"/>
    <n v="0"/>
    <n v="0"/>
    <n v="0"/>
    <n v="0"/>
    <n v="-7.2"/>
  </r>
  <r>
    <x v="12"/>
    <s v="12/2022"/>
    <s v="BHCOE - 134410 - Elec-Wind-Peak Vie"/>
    <x v="21"/>
    <x v="1"/>
    <s v="BH Colorado Electric Oper Co"/>
    <s v="SEC"/>
    <x v="3"/>
    <n v="1405.64"/>
    <n v="0"/>
    <n v="0"/>
    <n v="0"/>
    <n v="0"/>
    <n v="0"/>
    <n v="0"/>
    <n v="1405.64"/>
  </r>
  <r>
    <x v="12"/>
    <s v="12/2022"/>
    <s v="BHCOE - 134410 - PAGS 1&amp;2 COMMON"/>
    <x v="21"/>
    <x v="1"/>
    <s v="BH Colorado Electric Oper Co"/>
    <s v="SEC"/>
    <x v="3"/>
    <n v="152965.53"/>
    <n v="877.65"/>
    <n v="0"/>
    <n v="0"/>
    <n v="0"/>
    <n v="0"/>
    <n v="0"/>
    <n v="153843.18"/>
  </r>
  <r>
    <x v="12"/>
    <s v="12/2022"/>
    <s v="BHCOE - 134410 - PAGS UNIT 1"/>
    <x v="21"/>
    <x v="1"/>
    <s v="BH Colorado Electric Oper Co"/>
    <s v="SEC"/>
    <x v="3"/>
    <n v="3129944.86"/>
    <n v="30200.78"/>
    <n v="0"/>
    <n v="0"/>
    <n v="0"/>
    <n v="0"/>
    <n v="0"/>
    <n v="3160145.64"/>
  </r>
  <r>
    <x v="12"/>
    <s v="12/2022"/>
    <s v="BHCOE - 134410 - PAGS UNIT 2"/>
    <x v="21"/>
    <x v="1"/>
    <s v="BH Colorado Electric Oper Co"/>
    <s v="SEC"/>
    <x v="3"/>
    <n v="3378533.38"/>
    <n v="29593.760000000002"/>
    <n v="0"/>
    <n v="0"/>
    <n v="0"/>
    <n v="0"/>
    <n v="0"/>
    <n v="3408127.14"/>
  </r>
  <r>
    <x v="12"/>
    <s v="12/2022"/>
    <s v="BHCOE - 134410 - PAGS UNIT 3"/>
    <x v="21"/>
    <x v="1"/>
    <s v="BH Colorado Electric Oper Co"/>
    <s v="SEC"/>
    <x v="3"/>
    <n v="471042.66000000003"/>
    <n v="6459.1900000000005"/>
    <n v="0"/>
    <n v="0"/>
    <n v="0"/>
    <n v="0"/>
    <n v="0"/>
    <n v="477501.85000000003"/>
  </r>
  <r>
    <x v="0"/>
    <s v="12/2021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134451 - PAGS 1&amp;2 COMMON"/>
    <x v="22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134451 - PAGS UNIT 1"/>
    <x v="22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134451 - PAGS UNIT 2"/>
    <x v="22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134500 - Electric - Prod"/>
    <x v="23"/>
    <x v="1"/>
    <s v="BH Colorado Electric Oper Co"/>
    <s v="SEC"/>
    <x v="1"/>
    <n v="726440.39"/>
    <n v="2917.34"/>
    <n v="0"/>
    <n v="0"/>
    <n v="0"/>
    <n v="0"/>
    <n v="0"/>
    <n v="729357.73"/>
  </r>
  <r>
    <x v="0"/>
    <s v="12/2021"/>
    <s v="BHCOE - 134500 - Electric - Wind"/>
    <x v="23"/>
    <x v="1"/>
    <s v="BH Colorado Electric Oper Co"/>
    <s v="SEC"/>
    <x v="1"/>
    <n v="18856.400000000001"/>
    <n v="233.03"/>
    <n v="0"/>
    <n v="0"/>
    <n v="0"/>
    <n v="0"/>
    <n v="0"/>
    <n v="19089.43"/>
  </r>
  <r>
    <x v="0"/>
    <s v="12/2021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500 - PAGS 1&amp;2 COMMON"/>
    <x v="23"/>
    <x v="1"/>
    <s v="BH Colorado Electric Oper Co"/>
    <s v="SEC"/>
    <x v="1"/>
    <n v="74609.52"/>
    <n v="1267.6300000000001"/>
    <n v="0"/>
    <n v="0"/>
    <n v="0"/>
    <n v="0"/>
    <n v="0"/>
    <n v="75877.150000000009"/>
  </r>
  <r>
    <x v="0"/>
    <s v="12/2021"/>
    <s v="BHCOE - 134500 - PAGS UNIT 1"/>
    <x v="23"/>
    <x v="1"/>
    <s v="BH Colorado Electric Oper Co"/>
    <s v="SEC"/>
    <x v="1"/>
    <n v="2204132.98"/>
    <n v="18363.080000000002"/>
    <n v="0"/>
    <n v="0"/>
    <n v="0"/>
    <n v="0"/>
    <n v="0"/>
    <n v="2222496.06"/>
  </r>
  <r>
    <x v="0"/>
    <s v="12/2021"/>
    <s v="BHCOE - 134500 - PAGS UNIT 2"/>
    <x v="23"/>
    <x v="1"/>
    <s v="BH Colorado Electric Oper Co"/>
    <s v="SEC"/>
    <x v="1"/>
    <n v="2203182.6800000002"/>
    <n v="18363.080000000002"/>
    <n v="0"/>
    <n v="0"/>
    <n v="0"/>
    <n v="0"/>
    <n v="0"/>
    <n v="2221545.7599999998"/>
  </r>
  <r>
    <x v="0"/>
    <s v="12/2021"/>
    <s v="BHCOE - 134500 - PAGS UNIT 3"/>
    <x v="23"/>
    <x v="1"/>
    <s v="BH Colorado Electric Oper Co"/>
    <s v="SEC"/>
    <x v="1"/>
    <n v="404723.06"/>
    <n v="7691.17"/>
    <n v="0"/>
    <n v="0"/>
    <n v="0"/>
    <n v="0"/>
    <n v="0"/>
    <n v="412414.23"/>
  </r>
  <r>
    <x v="0"/>
    <s v="12/2021"/>
    <s v="BHCOE - 134500 - Electric - Prod"/>
    <x v="23"/>
    <x v="1"/>
    <s v="BH Colorado Electric Oper Co"/>
    <s v="SEC"/>
    <x v="3"/>
    <n v="19374.11"/>
    <n v="173.74"/>
    <n v="0"/>
    <n v="0"/>
    <n v="0"/>
    <n v="0"/>
    <n v="0"/>
    <n v="19547.850000000002"/>
  </r>
  <r>
    <x v="0"/>
    <s v="12/2021"/>
    <s v="BHCOE - 134500 - PAGS 1&amp;2 COMMON"/>
    <x v="23"/>
    <x v="1"/>
    <s v="BH Colorado Electric Oper Co"/>
    <s v="SEC"/>
    <x v="3"/>
    <n v="9073.5400000000009"/>
    <n v="154.16"/>
    <n v="0"/>
    <n v="0"/>
    <n v="0"/>
    <n v="0"/>
    <n v="0"/>
    <n v="9227.7000000000007"/>
  </r>
  <r>
    <x v="0"/>
    <s v="12/2021"/>
    <s v="BHCOE - 134500 - PAGS UNIT 1"/>
    <x v="23"/>
    <x v="1"/>
    <s v="BH Colorado Electric Oper Co"/>
    <s v="SEC"/>
    <x v="3"/>
    <n v="241410.12"/>
    <n v="2233.19"/>
    <n v="0"/>
    <n v="0"/>
    <n v="0"/>
    <n v="0"/>
    <n v="0"/>
    <n v="243643.31"/>
  </r>
  <r>
    <x v="0"/>
    <s v="12/2021"/>
    <s v="BHCOE - 134500 - PAGS UNIT 2"/>
    <x v="23"/>
    <x v="1"/>
    <s v="BH Colorado Electric Oper Co"/>
    <s v="SEC"/>
    <x v="3"/>
    <n v="241294.55000000002"/>
    <n v="2233.19"/>
    <n v="0"/>
    <n v="0"/>
    <n v="0"/>
    <n v="0"/>
    <n v="0"/>
    <n v="243527.74"/>
  </r>
  <r>
    <x v="0"/>
    <s v="12/2021"/>
    <s v="BHCOE - 134500 - PAGS UNIT 3"/>
    <x v="23"/>
    <x v="1"/>
    <s v="BH Colorado Electric Oper Co"/>
    <s v="SEC"/>
    <x v="3"/>
    <n v="15634.02"/>
    <n v="294.78000000000003"/>
    <n v="0"/>
    <n v="0"/>
    <n v="0"/>
    <n v="0"/>
    <n v="0"/>
    <n v="15928.800000000001"/>
  </r>
  <r>
    <x v="1"/>
    <s v="01/2022"/>
    <s v="BHCOE - 134500 - Electric - Prod"/>
    <x v="23"/>
    <x v="1"/>
    <s v="BH Colorado Electric Oper Co"/>
    <s v="SEC"/>
    <x v="1"/>
    <n v="729357.73"/>
    <n v="2917.34"/>
    <n v="0"/>
    <n v="0"/>
    <n v="0"/>
    <n v="0"/>
    <n v="0"/>
    <n v="732275.07000000007"/>
  </r>
  <r>
    <x v="1"/>
    <s v="01/2022"/>
    <s v="BHCOE - 134500 - Electric - Wind"/>
    <x v="23"/>
    <x v="1"/>
    <s v="BH Colorado Electric Oper Co"/>
    <s v="SEC"/>
    <x v="1"/>
    <n v="19089.43"/>
    <n v="233.03"/>
    <n v="0"/>
    <n v="0"/>
    <n v="0"/>
    <n v="0"/>
    <n v="0"/>
    <n v="19322.46"/>
  </r>
  <r>
    <x v="1"/>
    <s v="01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500 - PAGS 1&amp;2 COMMON"/>
    <x v="23"/>
    <x v="1"/>
    <s v="BH Colorado Electric Oper Co"/>
    <s v="SEC"/>
    <x v="1"/>
    <n v="75877.150000000009"/>
    <n v="1043.47"/>
    <n v="0"/>
    <n v="0"/>
    <n v="0"/>
    <n v="0"/>
    <n v="0"/>
    <n v="76920.62"/>
  </r>
  <r>
    <x v="1"/>
    <s v="01/2022"/>
    <s v="BHCOE - 134500 - PAGS UNIT 1"/>
    <x v="23"/>
    <x v="1"/>
    <s v="BH Colorado Electric Oper Co"/>
    <s v="SEC"/>
    <x v="1"/>
    <n v="2222496.06"/>
    <n v="18363.080000000002"/>
    <n v="0"/>
    <n v="0"/>
    <n v="0"/>
    <n v="0"/>
    <n v="0"/>
    <n v="2240859.14"/>
  </r>
  <r>
    <x v="1"/>
    <s v="01/2022"/>
    <s v="BHCOE - 134500 - PAGS UNIT 2"/>
    <x v="23"/>
    <x v="1"/>
    <s v="BH Colorado Electric Oper Co"/>
    <s v="SEC"/>
    <x v="1"/>
    <n v="2221545.7599999998"/>
    <n v="18363.080000000002"/>
    <n v="0"/>
    <n v="0"/>
    <n v="0"/>
    <n v="0"/>
    <n v="0"/>
    <n v="2239908.84"/>
  </r>
  <r>
    <x v="1"/>
    <s v="01/2022"/>
    <s v="BHCOE - 134500 - PAGS UNIT 3"/>
    <x v="23"/>
    <x v="1"/>
    <s v="BH Colorado Electric Oper Co"/>
    <s v="SEC"/>
    <x v="1"/>
    <n v="412414.23"/>
    <n v="7691.17"/>
    <n v="0"/>
    <n v="0"/>
    <n v="0"/>
    <n v="0"/>
    <n v="0"/>
    <n v="420105.4"/>
  </r>
  <r>
    <x v="1"/>
    <s v="01/2022"/>
    <s v="BHCOE - 134500 - Electric - Prod"/>
    <x v="23"/>
    <x v="1"/>
    <s v="BH Colorado Electric Oper Co"/>
    <s v="SEC"/>
    <x v="3"/>
    <n v="19547.850000000002"/>
    <n v="173.74"/>
    <n v="0"/>
    <n v="0"/>
    <n v="0"/>
    <n v="0"/>
    <n v="0"/>
    <n v="19721.59"/>
  </r>
  <r>
    <x v="1"/>
    <s v="01/2022"/>
    <s v="BHCOE - 134500 - PAGS 1&amp;2 COMMON"/>
    <x v="23"/>
    <x v="1"/>
    <s v="BH Colorado Electric Oper Co"/>
    <s v="SEC"/>
    <x v="3"/>
    <n v="9227.7000000000007"/>
    <n v="126.9"/>
    <n v="0"/>
    <n v="0"/>
    <n v="0"/>
    <n v="0"/>
    <n v="0"/>
    <n v="9354.6"/>
  </r>
  <r>
    <x v="1"/>
    <s v="01/2022"/>
    <s v="BHCOE - 134500 - PAGS UNIT 1"/>
    <x v="23"/>
    <x v="1"/>
    <s v="BH Colorado Electric Oper Co"/>
    <s v="SEC"/>
    <x v="3"/>
    <n v="243643.31"/>
    <n v="2233.19"/>
    <n v="0"/>
    <n v="0"/>
    <n v="0"/>
    <n v="0"/>
    <n v="0"/>
    <n v="245876.5"/>
  </r>
  <r>
    <x v="1"/>
    <s v="01/2022"/>
    <s v="BHCOE - 134500 - PAGS UNIT 2"/>
    <x v="23"/>
    <x v="1"/>
    <s v="BH Colorado Electric Oper Co"/>
    <s v="SEC"/>
    <x v="3"/>
    <n v="243527.74"/>
    <n v="2233.19"/>
    <n v="0"/>
    <n v="0"/>
    <n v="0"/>
    <n v="0"/>
    <n v="0"/>
    <n v="245760.93"/>
  </r>
  <r>
    <x v="1"/>
    <s v="01/2022"/>
    <s v="BHCOE - 134500 - PAGS UNIT 3"/>
    <x v="23"/>
    <x v="1"/>
    <s v="BH Colorado Electric Oper Co"/>
    <s v="SEC"/>
    <x v="3"/>
    <n v="15928.800000000001"/>
    <n v="294.78000000000003"/>
    <n v="0"/>
    <n v="0"/>
    <n v="0"/>
    <n v="0"/>
    <n v="0"/>
    <n v="16223.58"/>
  </r>
  <r>
    <x v="2"/>
    <s v="02/2022"/>
    <s v="BHCOE - 134500 - Electric - Prod"/>
    <x v="23"/>
    <x v="1"/>
    <s v="BH Colorado Electric Oper Co"/>
    <s v="SEC"/>
    <x v="1"/>
    <n v="732275.07000000007"/>
    <n v="2917.34"/>
    <n v="0"/>
    <n v="0"/>
    <n v="0"/>
    <n v="0"/>
    <n v="0"/>
    <n v="735192.41"/>
  </r>
  <r>
    <x v="2"/>
    <s v="02/2022"/>
    <s v="BHCOE - 134500 - Electric - Wind"/>
    <x v="23"/>
    <x v="1"/>
    <s v="BH Colorado Electric Oper Co"/>
    <s v="SEC"/>
    <x v="1"/>
    <n v="19322.46"/>
    <n v="233.03"/>
    <n v="0"/>
    <n v="0"/>
    <n v="0"/>
    <n v="0"/>
    <n v="0"/>
    <n v="19555.490000000002"/>
  </r>
  <r>
    <x v="2"/>
    <s v="02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500 - PAGS 1&amp;2 COMMON"/>
    <x v="23"/>
    <x v="1"/>
    <s v="BH Colorado Electric Oper Co"/>
    <s v="SEC"/>
    <x v="1"/>
    <n v="76920.62"/>
    <n v="819.31000000000006"/>
    <n v="0"/>
    <n v="0"/>
    <n v="0"/>
    <n v="0"/>
    <n v="0"/>
    <n v="77739.930000000008"/>
  </r>
  <r>
    <x v="2"/>
    <s v="02/2022"/>
    <s v="BHCOE - 134500 - PAGS UNIT 1"/>
    <x v="23"/>
    <x v="1"/>
    <s v="BH Colorado Electric Oper Co"/>
    <s v="SEC"/>
    <x v="1"/>
    <n v="2240859.14"/>
    <n v="18363.080000000002"/>
    <n v="0"/>
    <n v="0"/>
    <n v="0"/>
    <n v="0"/>
    <n v="0"/>
    <n v="2259222.2200000002"/>
  </r>
  <r>
    <x v="2"/>
    <s v="02/2022"/>
    <s v="BHCOE - 134500 - PAGS UNIT 2"/>
    <x v="23"/>
    <x v="1"/>
    <s v="BH Colorado Electric Oper Co"/>
    <s v="SEC"/>
    <x v="1"/>
    <n v="2239908.84"/>
    <n v="18363.080000000002"/>
    <n v="0"/>
    <n v="0"/>
    <n v="0"/>
    <n v="0"/>
    <n v="0"/>
    <n v="2258271.92"/>
  </r>
  <r>
    <x v="2"/>
    <s v="02/2022"/>
    <s v="BHCOE - 134500 - PAGS UNIT 3"/>
    <x v="23"/>
    <x v="1"/>
    <s v="BH Colorado Electric Oper Co"/>
    <s v="SEC"/>
    <x v="1"/>
    <n v="420105.4"/>
    <n v="7691.17"/>
    <n v="0"/>
    <n v="0"/>
    <n v="0"/>
    <n v="0"/>
    <n v="0"/>
    <n v="427796.57"/>
  </r>
  <r>
    <x v="2"/>
    <s v="02/2022"/>
    <s v="BHCOE - 134500 - Electric - Prod"/>
    <x v="23"/>
    <x v="1"/>
    <s v="BH Colorado Electric Oper Co"/>
    <s v="SEC"/>
    <x v="3"/>
    <n v="19721.59"/>
    <n v="173.74"/>
    <n v="0"/>
    <n v="0"/>
    <n v="0"/>
    <n v="0"/>
    <n v="0"/>
    <n v="19895.330000000002"/>
  </r>
  <r>
    <x v="2"/>
    <s v="02/2022"/>
    <s v="BHCOE - 134500 - PAGS 1&amp;2 COMMON"/>
    <x v="23"/>
    <x v="1"/>
    <s v="BH Colorado Electric Oper Co"/>
    <s v="SEC"/>
    <x v="3"/>
    <n v="9354.6"/>
    <n v="99.64"/>
    <n v="0"/>
    <n v="0"/>
    <n v="0"/>
    <n v="0"/>
    <n v="0"/>
    <n v="9454.24"/>
  </r>
  <r>
    <x v="2"/>
    <s v="02/2022"/>
    <s v="BHCOE - 134500 - PAGS UNIT 1"/>
    <x v="23"/>
    <x v="1"/>
    <s v="BH Colorado Electric Oper Co"/>
    <s v="SEC"/>
    <x v="3"/>
    <n v="245876.5"/>
    <n v="2233.19"/>
    <n v="0"/>
    <n v="0"/>
    <n v="0"/>
    <n v="0"/>
    <n v="0"/>
    <n v="248109.69"/>
  </r>
  <r>
    <x v="2"/>
    <s v="02/2022"/>
    <s v="BHCOE - 134500 - PAGS UNIT 2"/>
    <x v="23"/>
    <x v="1"/>
    <s v="BH Colorado Electric Oper Co"/>
    <s v="SEC"/>
    <x v="3"/>
    <n v="245760.93"/>
    <n v="2233.19"/>
    <n v="0"/>
    <n v="0"/>
    <n v="0"/>
    <n v="0"/>
    <n v="0"/>
    <n v="247994.12"/>
  </r>
  <r>
    <x v="2"/>
    <s v="02/2022"/>
    <s v="BHCOE - 134500 - PAGS UNIT 3"/>
    <x v="23"/>
    <x v="1"/>
    <s v="BH Colorado Electric Oper Co"/>
    <s v="SEC"/>
    <x v="3"/>
    <n v="16223.58"/>
    <n v="294.78000000000003"/>
    <n v="0"/>
    <n v="0"/>
    <n v="0"/>
    <n v="0"/>
    <n v="0"/>
    <n v="16518.36"/>
  </r>
  <r>
    <x v="3"/>
    <s v="03/2022"/>
    <s v="BHCOE - 134500 - Electric - Prod"/>
    <x v="23"/>
    <x v="1"/>
    <s v="BH Colorado Electric Oper Co"/>
    <s v="SEC"/>
    <x v="1"/>
    <n v="735192.41"/>
    <n v="2917.34"/>
    <n v="0"/>
    <n v="0"/>
    <n v="0"/>
    <n v="0"/>
    <n v="0"/>
    <n v="738109.75"/>
  </r>
  <r>
    <x v="3"/>
    <s v="03/2022"/>
    <s v="BHCOE - 134500 - Electric - Wind"/>
    <x v="23"/>
    <x v="1"/>
    <s v="BH Colorado Electric Oper Co"/>
    <s v="SEC"/>
    <x v="1"/>
    <n v="19555.490000000002"/>
    <n v="233.03"/>
    <n v="0"/>
    <n v="0"/>
    <n v="0"/>
    <n v="0"/>
    <n v="0"/>
    <n v="19788.52"/>
  </r>
  <r>
    <x v="3"/>
    <s v="03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500 - PAGS 1&amp;2 COMMON"/>
    <x v="23"/>
    <x v="1"/>
    <s v="BH Colorado Electric Oper Co"/>
    <s v="SEC"/>
    <x v="1"/>
    <n v="77739.930000000008"/>
    <n v="819.31000000000006"/>
    <n v="0"/>
    <n v="0"/>
    <n v="0"/>
    <n v="0"/>
    <n v="0"/>
    <n v="78559.240000000005"/>
  </r>
  <r>
    <x v="3"/>
    <s v="03/2022"/>
    <s v="BHCOE - 134500 - PAGS UNIT 1"/>
    <x v="23"/>
    <x v="1"/>
    <s v="BH Colorado Electric Oper Co"/>
    <s v="SEC"/>
    <x v="1"/>
    <n v="2259222.2200000002"/>
    <n v="18363.080000000002"/>
    <n v="0"/>
    <n v="0"/>
    <n v="0"/>
    <n v="0"/>
    <n v="0"/>
    <n v="2277585.2999999998"/>
  </r>
  <r>
    <x v="3"/>
    <s v="03/2022"/>
    <s v="BHCOE - 134500 - PAGS UNIT 2"/>
    <x v="23"/>
    <x v="1"/>
    <s v="BH Colorado Electric Oper Co"/>
    <s v="SEC"/>
    <x v="1"/>
    <n v="2258271.92"/>
    <n v="18363.080000000002"/>
    <n v="0"/>
    <n v="0"/>
    <n v="0"/>
    <n v="0"/>
    <n v="0"/>
    <n v="2276635"/>
  </r>
  <r>
    <x v="3"/>
    <s v="03/2022"/>
    <s v="BHCOE - 134500 - PAGS UNIT 3"/>
    <x v="23"/>
    <x v="1"/>
    <s v="BH Colorado Electric Oper Co"/>
    <s v="SEC"/>
    <x v="1"/>
    <n v="427796.57"/>
    <n v="7691.17"/>
    <n v="0"/>
    <n v="0"/>
    <n v="0"/>
    <n v="0"/>
    <n v="0"/>
    <n v="435487.74"/>
  </r>
  <r>
    <x v="3"/>
    <s v="03/2022"/>
    <s v="BHCOE - 134500 - Electric - Prod"/>
    <x v="23"/>
    <x v="1"/>
    <s v="BH Colorado Electric Oper Co"/>
    <s v="SEC"/>
    <x v="3"/>
    <n v="19895.330000000002"/>
    <n v="173.74"/>
    <n v="0"/>
    <n v="0"/>
    <n v="0"/>
    <n v="0"/>
    <n v="0"/>
    <n v="20069.07"/>
  </r>
  <r>
    <x v="3"/>
    <s v="03/2022"/>
    <s v="BHCOE - 134500 - PAGS 1&amp;2 COMMON"/>
    <x v="23"/>
    <x v="1"/>
    <s v="BH Colorado Electric Oper Co"/>
    <s v="SEC"/>
    <x v="3"/>
    <n v="9454.24"/>
    <n v="99.64"/>
    <n v="0"/>
    <n v="0"/>
    <n v="0"/>
    <n v="0"/>
    <n v="0"/>
    <n v="9553.880000000001"/>
  </r>
  <r>
    <x v="3"/>
    <s v="03/2022"/>
    <s v="BHCOE - 134500 - PAGS UNIT 1"/>
    <x v="23"/>
    <x v="1"/>
    <s v="BH Colorado Electric Oper Co"/>
    <s v="SEC"/>
    <x v="3"/>
    <n v="248109.69"/>
    <n v="2233.19"/>
    <n v="0"/>
    <n v="0"/>
    <n v="0"/>
    <n v="0"/>
    <n v="0"/>
    <n v="250342.88"/>
  </r>
  <r>
    <x v="3"/>
    <s v="03/2022"/>
    <s v="BHCOE - 134500 - PAGS UNIT 2"/>
    <x v="23"/>
    <x v="1"/>
    <s v="BH Colorado Electric Oper Co"/>
    <s v="SEC"/>
    <x v="3"/>
    <n v="247994.12"/>
    <n v="2233.19"/>
    <n v="0"/>
    <n v="0"/>
    <n v="0"/>
    <n v="0"/>
    <n v="0"/>
    <n v="250227.31"/>
  </r>
  <r>
    <x v="3"/>
    <s v="03/2022"/>
    <s v="BHCOE - 134500 - PAGS UNIT 3"/>
    <x v="23"/>
    <x v="1"/>
    <s v="BH Colorado Electric Oper Co"/>
    <s v="SEC"/>
    <x v="3"/>
    <n v="16518.36"/>
    <n v="294.78000000000003"/>
    <n v="0"/>
    <n v="0"/>
    <n v="0"/>
    <n v="0"/>
    <n v="0"/>
    <n v="16813.14"/>
  </r>
  <r>
    <x v="4"/>
    <s v="04/2022"/>
    <s v="BHCOE - 134500 - Electric - Prod"/>
    <x v="23"/>
    <x v="1"/>
    <s v="BH Colorado Electric Oper Co"/>
    <s v="SEC"/>
    <x v="1"/>
    <n v="738109.75"/>
    <n v="2917.34"/>
    <n v="0"/>
    <n v="0"/>
    <n v="0"/>
    <n v="0"/>
    <n v="0"/>
    <n v="741027.09"/>
  </r>
  <r>
    <x v="4"/>
    <s v="04/2022"/>
    <s v="BHCOE - 134500 - Electric - Wind"/>
    <x v="23"/>
    <x v="1"/>
    <s v="BH Colorado Electric Oper Co"/>
    <s v="SEC"/>
    <x v="1"/>
    <n v="19788.52"/>
    <n v="233.03"/>
    <n v="0"/>
    <n v="0"/>
    <n v="0"/>
    <n v="0"/>
    <n v="0"/>
    <n v="20021.55"/>
  </r>
  <r>
    <x v="4"/>
    <s v="04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500 - PAGS 1&amp;2 COMMON"/>
    <x v="23"/>
    <x v="1"/>
    <s v="BH Colorado Electric Oper Co"/>
    <s v="SEC"/>
    <x v="1"/>
    <n v="78559.240000000005"/>
    <n v="819.31000000000006"/>
    <n v="0"/>
    <n v="0"/>
    <n v="0"/>
    <n v="0"/>
    <n v="0"/>
    <n v="79378.55"/>
  </r>
  <r>
    <x v="4"/>
    <s v="04/2022"/>
    <s v="BHCOE - 134500 - PAGS UNIT 1"/>
    <x v="23"/>
    <x v="1"/>
    <s v="BH Colorado Electric Oper Co"/>
    <s v="SEC"/>
    <x v="1"/>
    <n v="2277585.2999999998"/>
    <n v="18363.080000000002"/>
    <n v="0"/>
    <n v="0"/>
    <n v="0"/>
    <n v="0"/>
    <n v="0"/>
    <n v="2295948.38"/>
  </r>
  <r>
    <x v="4"/>
    <s v="04/2022"/>
    <s v="BHCOE - 134500 - PAGS UNIT 2"/>
    <x v="23"/>
    <x v="1"/>
    <s v="BH Colorado Electric Oper Co"/>
    <s v="SEC"/>
    <x v="1"/>
    <n v="2276635"/>
    <n v="18363.080000000002"/>
    <n v="0"/>
    <n v="0"/>
    <n v="0"/>
    <n v="0"/>
    <n v="0"/>
    <n v="2294998.08"/>
  </r>
  <r>
    <x v="4"/>
    <s v="04/2022"/>
    <s v="BHCOE - 134500 - PAGS UNIT 3"/>
    <x v="23"/>
    <x v="1"/>
    <s v="BH Colorado Electric Oper Co"/>
    <s v="SEC"/>
    <x v="1"/>
    <n v="435487.74"/>
    <n v="7691.17"/>
    <n v="0"/>
    <n v="0"/>
    <n v="0"/>
    <n v="0"/>
    <n v="0"/>
    <n v="443178.91000000003"/>
  </r>
  <r>
    <x v="4"/>
    <s v="04/2022"/>
    <s v="BHCOE - 134500 - Electric - Prod"/>
    <x v="23"/>
    <x v="1"/>
    <s v="BH Colorado Electric Oper Co"/>
    <s v="SEC"/>
    <x v="3"/>
    <n v="20069.07"/>
    <n v="173.74"/>
    <n v="0"/>
    <n v="0"/>
    <n v="0"/>
    <n v="0"/>
    <n v="0"/>
    <n v="20242.810000000001"/>
  </r>
  <r>
    <x v="4"/>
    <s v="04/2022"/>
    <s v="BHCOE - 134500 - PAGS 1&amp;2 COMMON"/>
    <x v="23"/>
    <x v="1"/>
    <s v="BH Colorado Electric Oper Co"/>
    <s v="SEC"/>
    <x v="3"/>
    <n v="9553.880000000001"/>
    <n v="99.64"/>
    <n v="0"/>
    <n v="0"/>
    <n v="0"/>
    <n v="0"/>
    <n v="0"/>
    <n v="9653.52"/>
  </r>
  <r>
    <x v="4"/>
    <s v="04/2022"/>
    <s v="BHCOE - 134500 - PAGS UNIT 1"/>
    <x v="23"/>
    <x v="1"/>
    <s v="BH Colorado Electric Oper Co"/>
    <s v="SEC"/>
    <x v="3"/>
    <n v="250342.88"/>
    <n v="2233.19"/>
    <n v="0"/>
    <n v="0"/>
    <n v="0"/>
    <n v="0"/>
    <n v="0"/>
    <n v="252576.07"/>
  </r>
  <r>
    <x v="4"/>
    <s v="04/2022"/>
    <s v="BHCOE - 134500 - PAGS UNIT 2"/>
    <x v="23"/>
    <x v="1"/>
    <s v="BH Colorado Electric Oper Co"/>
    <s v="SEC"/>
    <x v="3"/>
    <n v="250227.31"/>
    <n v="2233.19"/>
    <n v="0"/>
    <n v="0"/>
    <n v="0"/>
    <n v="0"/>
    <n v="0"/>
    <n v="252460.5"/>
  </r>
  <r>
    <x v="4"/>
    <s v="04/2022"/>
    <s v="BHCOE - 134500 - PAGS UNIT 3"/>
    <x v="23"/>
    <x v="1"/>
    <s v="BH Colorado Electric Oper Co"/>
    <s v="SEC"/>
    <x v="3"/>
    <n v="16813.14"/>
    <n v="294.78000000000003"/>
    <n v="0"/>
    <n v="0"/>
    <n v="0"/>
    <n v="0"/>
    <n v="0"/>
    <n v="17107.920000000002"/>
  </r>
  <r>
    <x v="5"/>
    <s v="05/2022"/>
    <s v="BHCOE - 134500 - Electric - Prod"/>
    <x v="23"/>
    <x v="1"/>
    <s v="BH Colorado Electric Oper Co"/>
    <s v="SEC"/>
    <x v="1"/>
    <n v="741027.09"/>
    <n v="2917.34"/>
    <n v="0"/>
    <n v="0"/>
    <n v="0"/>
    <n v="0"/>
    <n v="0"/>
    <n v="743944.43"/>
  </r>
  <r>
    <x v="5"/>
    <s v="05/2022"/>
    <s v="BHCOE - 134500 - Electric - Wind"/>
    <x v="23"/>
    <x v="1"/>
    <s v="BH Colorado Electric Oper Co"/>
    <s v="SEC"/>
    <x v="1"/>
    <n v="20021.55"/>
    <n v="233.03"/>
    <n v="0"/>
    <n v="0"/>
    <n v="0"/>
    <n v="0"/>
    <n v="0"/>
    <n v="20254.580000000002"/>
  </r>
  <r>
    <x v="5"/>
    <s v="05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500 - PAGS 1&amp;2 COMMON"/>
    <x v="23"/>
    <x v="1"/>
    <s v="BH Colorado Electric Oper Co"/>
    <s v="SEC"/>
    <x v="1"/>
    <n v="79378.55"/>
    <n v="819.31000000000006"/>
    <n v="0"/>
    <n v="0"/>
    <n v="0"/>
    <n v="0"/>
    <n v="0"/>
    <n v="80197.86"/>
  </r>
  <r>
    <x v="5"/>
    <s v="05/2022"/>
    <s v="BHCOE - 134500 - PAGS UNIT 1"/>
    <x v="23"/>
    <x v="1"/>
    <s v="BH Colorado Electric Oper Co"/>
    <s v="SEC"/>
    <x v="1"/>
    <n v="2295948.38"/>
    <n v="18363.080000000002"/>
    <n v="0"/>
    <n v="0"/>
    <n v="0"/>
    <n v="0"/>
    <n v="0"/>
    <n v="2314311.46"/>
  </r>
  <r>
    <x v="5"/>
    <s v="05/2022"/>
    <s v="BHCOE - 134500 - PAGS UNIT 2"/>
    <x v="23"/>
    <x v="1"/>
    <s v="BH Colorado Electric Oper Co"/>
    <s v="SEC"/>
    <x v="1"/>
    <n v="2294998.08"/>
    <n v="18363.080000000002"/>
    <n v="0"/>
    <n v="0"/>
    <n v="0"/>
    <n v="0"/>
    <n v="0"/>
    <n v="2313361.16"/>
  </r>
  <r>
    <x v="5"/>
    <s v="05/2022"/>
    <s v="BHCOE - 134500 - PAGS UNIT 3"/>
    <x v="23"/>
    <x v="1"/>
    <s v="BH Colorado Electric Oper Co"/>
    <s v="SEC"/>
    <x v="1"/>
    <n v="443178.91000000003"/>
    <n v="7691.17"/>
    <n v="0"/>
    <n v="0"/>
    <n v="0"/>
    <n v="0"/>
    <n v="0"/>
    <n v="450870.08"/>
  </r>
  <r>
    <x v="5"/>
    <s v="05/2022"/>
    <s v="BHCOE - 134500 - Electric - Prod"/>
    <x v="23"/>
    <x v="1"/>
    <s v="BH Colorado Electric Oper Co"/>
    <s v="SEC"/>
    <x v="3"/>
    <n v="20242.810000000001"/>
    <n v="173.74"/>
    <n v="0"/>
    <n v="0"/>
    <n v="0"/>
    <n v="0"/>
    <n v="0"/>
    <n v="20416.55"/>
  </r>
  <r>
    <x v="5"/>
    <s v="05/2022"/>
    <s v="BHCOE - 134500 - PAGS 1&amp;2 COMMON"/>
    <x v="23"/>
    <x v="1"/>
    <s v="BH Colorado Electric Oper Co"/>
    <s v="SEC"/>
    <x v="3"/>
    <n v="9653.52"/>
    <n v="99.64"/>
    <n v="0"/>
    <n v="0"/>
    <n v="0"/>
    <n v="0"/>
    <n v="0"/>
    <n v="9753.16"/>
  </r>
  <r>
    <x v="5"/>
    <s v="05/2022"/>
    <s v="BHCOE - 134500 - PAGS UNIT 1"/>
    <x v="23"/>
    <x v="1"/>
    <s v="BH Colorado Electric Oper Co"/>
    <s v="SEC"/>
    <x v="3"/>
    <n v="252576.07"/>
    <n v="2233.19"/>
    <n v="0"/>
    <n v="0"/>
    <n v="0"/>
    <n v="0"/>
    <n v="0"/>
    <n v="254809.26"/>
  </r>
  <r>
    <x v="5"/>
    <s v="05/2022"/>
    <s v="BHCOE - 134500 - PAGS UNIT 2"/>
    <x v="23"/>
    <x v="1"/>
    <s v="BH Colorado Electric Oper Co"/>
    <s v="SEC"/>
    <x v="3"/>
    <n v="252460.5"/>
    <n v="2233.19"/>
    <n v="0"/>
    <n v="0"/>
    <n v="0"/>
    <n v="0"/>
    <n v="0"/>
    <n v="254693.69"/>
  </r>
  <r>
    <x v="5"/>
    <s v="05/2022"/>
    <s v="BHCOE - 134500 - PAGS UNIT 3"/>
    <x v="23"/>
    <x v="1"/>
    <s v="BH Colorado Electric Oper Co"/>
    <s v="SEC"/>
    <x v="3"/>
    <n v="17107.920000000002"/>
    <n v="294.78000000000003"/>
    <n v="0"/>
    <n v="0"/>
    <n v="0"/>
    <n v="0"/>
    <n v="0"/>
    <n v="17402.7"/>
  </r>
  <r>
    <x v="6"/>
    <s v="06/2022"/>
    <s v="BHCOE - 134500 - Electric - Prod"/>
    <x v="23"/>
    <x v="1"/>
    <s v="BH Colorado Electric Oper Co"/>
    <s v="SEC"/>
    <x v="1"/>
    <n v="743944.43"/>
    <n v="2917.34"/>
    <n v="0"/>
    <n v="0"/>
    <n v="0"/>
    <n v="0"/>
    <n v="0"/>
    <n v="746861.77"/>
  </r>
  <r>
    <x v="6"/>
    <s v="06/2022"/>
    <s v="BHCOE - 134500 - Electric - Wind"/>
    <x v="23"/>
    <x v="1"/>
    <s v="BH Colorado Electric Oper Co"/>
    <s v="SEC"/>
    <x v="1"/>
    <n v="20254.580000000002"/>
    <n v="233.03"/>
    <n v="0"/>
    <n v="0"/>
    <n v="0"/>
    <n v="0"/>
    <n v="0"/>
    <n v="20487.61"/>
  </r>
  <r>
    <x v="6"/>
    <s v="06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500 - PAGS 1&amp;2 COMMON"/>
    <x v="23"/>
    <x v="1"/>
    <s v="BH Colorado Electric Oper Co"/>
    <s v="SEC"/>
    <x v="1"/>
    <n v="80197.86"/>
    <n v="819.31000000000006"/>
    <n v="0"/>
    <n v="0"/>
    <n v="0"/>
    <n v="0"/>
    <n v="0"/>
    <n v="81017.17"/>
  </r>
  <r>
    <x v="6"/>
    <s v="06/2022"/>
    <s v="BHCOE - 134500 - PAGS UNIT 1"/>
    <x v="23"/>
    <x v="1"/>
    <s v="BH Colorado Electric Oper Co"/>
    <s v="SEC"/>
    <x v="1"/>
    <n v="2314311.46"/>
    <n v="18363.080000000002"/>
    <n v="0"/>
    <n v="0"/>
    <n v="0"/>
    <n v="0"/>
    <n v="0"/>
    <n v="2332674.54"/>
  </r>
  <r>
    <x v="6"/>
    <s v="06/2022"/>
    <s v="BHCOE - 134500 - PAGS UNIT 2"/>
    <x v="23"/>
    <x v="1"/>
    <s v="BH Colorado Electric Oper Co"/>
    <s v="SEC"/>
    <x v="1"/>
    <n v="2313361.16"/>
    <n v="18363.080000000002"/>
    <n v="0"/>
    <n v="0"/>
    <n v="0"/>
    <n v="0"/>
    <n v="0"/>
    <n v="2331724.2400000002"/>
  </r>
  <r>
    <x v="6"/>
    <s v="06/2022"/>
    <s v="BHCOE - 134500 - PAGS UNIT 3"/>
    <x v="23"/>
    <x v="1"/>
    <s v="BH Colorado Electric Oper Co"/>
    <s v="SEC"/>
    <x v="1"/>
    <n v="450870.08"/>
    <n v="7691.17"/>
    <n v="0"/>
    <n v="0"/>
    <n v="0"/>
    <n v="0"/>
    <n v="0"/>
    <n v="458561.25"/>
  </r>
  <r>
    <x v="6"/>
    <s v="06/2022"/>
    <s v="BHCOE - 134500 - Electric - Prod"/>
    <x v="23"/>
    <x v="1"/>
    <s v="BH Colorado Electric Oper Co"/>
    <s v="SEC"/>
    <x v="3"/>
    <n v="20416.55"/>
    <n v="173.74"/>
    <n v="0"/>
    <n v="0"/>
    <n v="0"/>
    <n v="0"/>
    <n v="0"/>
    <n v="20590.29"/>
  </r>
  <r>
    <x v="6"/>
    <s v="06/2022"/>
    <s v="BHCOE - 134500 - PAGS 1&amp;2 COMMON"/>
    <x v="23"/>
    <x v="1"/>
    <s v="BH Colorado Electric Oper Co"/>
    <s v="SEC"/>
    <x v="3"/>
    <n v="9753.16"/>
    <n v="99.64"/>
    <n v="0"/>
    <n v="0"/>
    <n v="0"/>
    <n v="0"/>
    <n v="0"/>
    <n v="9852.8000000000011"/>
  </r>
  <r>
    <x v="6"/>
    <s v="06/2022"/>
    <s v="BHCOE - 134500 - PAGS UNIT 1"/>
    <x v="23"/>
    <x v="1"/>
    <s v="BH Colorado Electric Oper Co"/>
    <s v="SEC"/>
    <x v="3"/>
    <n v="254809.26"/>
    <n v="2233.19"/>
    <n v="0"/>
    <n v="0"/>
    <n v="0"/>
    <n v="0"/>
    <n v="0"/>
    <n v="257042.45"/>
  </r>
  <r>
    <x v="6"/>
    <s v="06/2022"/>
    <s v="BHCOE - 134500 - PAGS UNIT 2"/>
    <x v="23"/>
    <x v="1"/>
    <s v="BH Colorado Electric Oper Co"/>
    <s v="SEC"/>
    <x v="3"/>
    <n v="254693.69"/>
    <n v="2233.19"/>
    <n v="0"/>
    <n v="0"/>
    <n v="0"/>
    <n v="0"/>
    <n v="0"/>
    <n v="256926.88"/>
  </r>
  <r>
    <x v="6"/>
    <s v="06/2022"/>
    <s v="BHCOE - 134500 - PAGS UNIT 3"/>
    <x v="23"/>
    <x v="1"/>
    <s v="BH Colorado Electric Oper Co"/>
    <s v="SEC"/>
    <x v="3"/>
    <n v="17402.7"/>
    <n v="294.78000000000003"/>
    <n v="0"/>
    <n v="0"/>
    <n v="0"/>
    <n v="0"/>
    <n v="0"/>
    <n v="17697.48"/>
  </r>
  <r>
    <x v="7"/>
    <s v="07/2022"/>
    <s v="BHCOE - 134500 - Electric - Prod"/>
    <x v="23"/>
    <x v="1"/>
    <s v="BH Colorado Electric Oper Co"/>
    <s v="SEC"/>
    <x v="1"/>
    <n v="746861.77"/>
    <n v="2917.34"/>
    <n v="0"/>
    <n v="0"/>
    <n v="0"/>
    <n v="0"/>
    <n v="0"/>
    <n v="749779.11"/>
  </r>
  <r>
    <x v="7"/>
    <s v="07/2022"/>
    <s v="BHCOE - 134500 - Electric - Wind"/>
    <x v="23"/>
    <x v="1"/>
    <s v="BH Colorado Electric Oper Co"/>
    <s v="SEC"/>
    <x v="1"/>
    <n v="20487.61"/>
    <n v="233.03"/>
    <n v="0"/>
    <n v="0"/>
    <n v="0"/>
    <n v="0"/>
    <n v="0"/>
    <n v="20720.64"/>
  </r>
  <r>
    <x v="7"/>
    <s v="07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500 - PAGS 1&amp;2 COMMON"/>
    <x v="23"/>
    <x v="1"/>
    <s v="BH Colorado Electric Oper Co"/>
    <s v="SEC"/>
    <x v="1"/>
    <n v="81017.17"/>
    <n v="819.31000000000006"/>
    <n v="0"/>
    <n v="0"/>
    <n v="0"/>
    <n v="0"/>
    <n v="0"/>
    <n v="81836.479999999996"/>
  </r>
  <r>
    <x v="7"/>
    <s v="07/2022"/>
    <s v="BHCOE - 134500 - PAGS UNIT 1"/>
    <x v="23"/>
    <x v="1"/>
    <s v="BH Colorado Electric Oper Co"/>
    <s v="SEC"/>
    <x v="1"/>
    <n v="2332674.54"/>
    <n v="18440.939999999999"/>
    <n v="0"/>
    <n v="0"/>
    <n v="0"/>
    <n v="0"/>
    <n v="0"/>
    <n v="2351115.48"/>
  </r>
  <r>
    <x v="7"/>
    <s v="07/2022"/>
    <s v="BHCOE - 134500 - PAGS UNIT 2"/>
    <x v="23"/>
    <x v="1"/>
    <s v="BH Colorado Electric Oper Co"/>
    <s v="SEC"/>
    <x v="1"/>
    <n v="2331724.2400000002"/>
    <n v="18440.939999999999"/>
    <n v="0"/>
    <n v="0"/>
    <n v="0"/>
    <n v="0"/>
    <n v="0"/>
    <n v="2350165.1800000002"/>
  </r>
  <r>
    <x v="7"/>
    <s v="07/2022"/>
    <s v="BHCOE - 134500 - PAGS UNIT 3"/>
    <x v="23"/>
    <x v="1"/>
    <s v="BH Colorado Electric Oper Co"/>
    <s v="SEC"/>
    <x v="1"/>
    <n v="458561.25"/>
    <n v="7691.17"/>
    <n v="0"/>
    <n v="0"/>
    <n v="0"/>
    <n v="0"/>
    <n v="0"/>
    <n v="466252.42"/>
  </r>
  <r>
    <x v="7"/>
    <s v="07/2022"/>
    <s v="BHCOE - 134500 - Electric - Prod"/>
    <x v="23"/>
    <x v="1"/>
    <s v="BH Colorado Electric Oper Co"/>
    <s v="SEC"/>
    <x v="3"/>
    <n v="20590.29"/>
    <n v="173.74"/>
    <n v="0"/>
    <n v="0"/>
    <n v="0"/>
    <n v="0"/>
    <n v="0"/>
    <n v="20764.03"/>
  </r>
  <r>
    <x v="7"/>
    <s v="07/2022"/>
    <s v="BHCOE - 134500 - PAGS 1&amp;2 COMMON"/>
    <x v="23"/>
    <x v="1"/>
    <s v="BH Colorado Electric Oper Co"/>
    <s v="SEC"/>
    <x v="3"/>
    <n v="9852.8000000000011"/>
    <n v="99.64"/>
    <n v="0"/>
    <n v="0"/>
    <n v="0"/>
    <n v="0"/>
    <n v="0"/>
    <n v="9952.44"/>
  </r>
  <r>
    <x v="7"/>
    <s v="07/2022"/>
    <s v="BHCOE - 134500 - PAGS UNIT 1"/>
    <x v="23"/>
    <x v="1"/>
    <s v="BH Colorado Electric Oper Co"/>
    <s v="SEC"/>
    <x v="3"/>
    <n v="257042.45"/>
    <n v="2242.66"/>
    <n v="0"/>
    <n v="0"/>
    <n v="0"/>
    <n v="0"/>
    <n v="0"/>
    <n v="259285.11000000002"/>
  </r>
  <r>
    <x v="7"/>
    <s v="07/2022"/>
    <s v="BHCOE - 134500 - PAGS UNIT 2"/>
    <x v="23"/>
    <x v="1"/>
    <s v="BH Colorado Electric Oper Co"/>
    <s v="SEC"/>
    <x v="3"/>
    <n v="256926.88"/>
    <n v="2242.66"/>
    <n v="0"/>
    <n v="0"/>
    <n v="0"/>
    <n v="0"/>
    <n v="0"/>
    <n v="259169.54"/>
  </r>
  <r>
    <x v="7"/>
    <s v="07/2022"/>
    <s v="BHCOE - 134500 - PAGS UNIT 3"/>
    <x v="23"/>
    <x v="1"/>
    <s v="BH Colorado Electric Oper Co"/>
    <s v="SEC"/>
    <x v="3"/>
    <n v="17697.48"/>
    <n v="294.78000000000003"/>
    <n v="0"/>
    <n v="0"/>
    <n v="0"/>
    <n v="0"/>
    <n v="0"/>
    <n v="17992.260000000002"/>
  </r>
  <r>
    <x v="8"/>
    <s v="08/2022"/>
    <s v="BHCOE - 134500 - Electric - Prod"/>
    <x v="23"/>
    <x v="1"/>
    <s v="BH Colorado Electric Oper Co"/>
    <s v="SEC"/>
    <x v="1"/>
    <n v="749779.11"/>
    <n v="2917.34"/>
    <n v="0"/>
    <n v="0"/>
    <n v="0"/>
    <n v="0"/>
    <n v="0"/>
    <n v="752696.45000000007"/>
  </r>
  <r>
    <x v="8"/>
    <s v="08/2022"/>
    <s v="BHCOE - 134500 - Electric - Wind"/>
    <x v="23"/>
    <x v="1"/>
    <s v="BH Colorado Electric Oper Co"/>
    <s v="SEC"/>
    <x v="1"/>
    <n v="20720.64"/>
    <n v="233.03"/>
    <n v="0"/>
    <n v="0"/>
    <n v="0"/>
    <n v="0"/>
    <n v="0"/>
    <n v="20953.670000000002"/>
  </r>
  <r>
    <x v="8"/>
    <s v="08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500 - PAGS 1&amp;2 COMMON"/>
    <x v="23"/>
    <x v="1"/>
    <s v="BH Colorado Electric Oper Co"/>
    <s v="SEC"/>
    <x v="1"/>
    <n v="81836.479999999996"/>
    <n v="819.31000000000006"/>
    <n v="0"/>
    <n v="0"/>
    <n v="0"/>
    <n v="0"/>
    <n v="0"/>
    <n v="82655.790000000008"/>
  </r>
  <r>
    <x v="8"/>
    <s v="08/2022"/>
    <s v="BHCOE - 134500 - PAGS UNIT 1"/>
    <x v="23"/>
    <x v="1"/>
    <s v="BH Colorado Electric Oper Co"/>
    <s v="SEC"/>
    <x v="1"/>
    <n v="2351115.48"/>
    <n v="18518.78"/>
    <n v="0"/>
    <n v="0"/>
    <n v="0"/>
    <n v="0"/>
    <n v="0"/>
    <n v="2369634.2599999998"/>
  </r>
  <r>
    <x v="8"/>
    <s v="08/2022"/>
    <s v="BHCOE - 134500 - PAGS UNIT 2"/>
    <x v="23"/>
    <x v="1"/>
    <s v="BH Colorado Electric Oper Co"/>
    <s v="SEC"/>
    <x v="1"/>
    <n v="2350165.1800000002"/>
    <n v="18518.78"/>
    <n v="0"/>
    <n v="0"/>
    <n v="0"/>
    <n v="0"/>
    <n v="0"/>
    <n v="2368683.96"/>
  </r>
  <r>
    <x v="8"/>
    <s v="08/2022"/>
    <s v="BHCOE - 134500 - PAGS UNIT 3"/>
    <x v="23"/>
    <x v="1"/>
    <s v="BH Colorado Electric Oper Co"/>
    <s v="SEC"/>
    <x v="1"/>
    <n v="466252.42"/>
    <n v="7691.17"/>
    <n v="0"/>
    <n v="0"/>
    <n v="0"/>
    <n v="0"/>
    <n v="0"/>
    <n v="473943.59"/>
  </r>
  <r>
    <x v="8"/>
    <s v="08/2022"/>
    <s v="BHCOE - 134500 - Electric - Prod"/>
    <x v="23"/>
    <x v="1"/>
    <s v="BH Colorado Electric Oper Co"/>
    <s v="SEC"/>
    <x v="3"/>
    <n v="20764.03"/>
    <n v="173.74"/>
    <n v="0"/>
    <n v="0"/>
    <n v="0"/>
    <n v="0"/>
    <n v="0"/>
    <n v="20937.77"/>
  </r>
  <r>
    <x v="8"/>
    <s v="08/2022"/>
    <s v="BHCOE - 134500 - PAGS 1&amp;2 COMMON"/>
    <x v="23"/>
    <x v="1"/>
    <s v="BH Colorado Electric Oper Co"/>
    <s v="SEC"/>
    <x v="3"/>
    <n v="9952.44"/>
    <n v="99.64"/>
    <n v="0"/>
    <n v="0"/>
    <n v="0"/>
    <n v="0"/>
    <n v="0"/>
    <n v="10052.08"/>
  </r>
  <r>
    <x v="8"/>
    <s v="08/2022"/>
    <s v="BHCOE - 134500 - PAGS UNIT 1"/>
    <x v="23"/>
    <x v="1"/>
    <s v="BH Colorado Electric Oper Co"/>
    <s v="SEC"/>
    <x v="3"/>
    <n v="259285.11000000002"/>
    <n v="2252.12"/>
    <n v="0"/>
    <n v="0"/>
    <n v="0"/>
    <n v="0"/>
    <n v="0"/>
    <n v="261537.23"/>
  </r>
  <r>
    <x v="8"/>
    <s v="08/2022"/>
    <s v="BHCOE - 134500 - PAGS UNIT 2"/>
    <x v="23"/>
    <x v="1"/>
    <s v="BH Colorado Electric Oper Co"/>
    <s v="SEC"/>
    <x v="3"/>
    <n v="259169.54"/>
    <n v="2252.12"/>
    <n v="0"/>
    <n v="0"/>
    <n v="0"/>
    <n v="0"/>
    <n v="0"/>
    <n v="261421.66"/>
  </r>
  <r>
    <x v="8"/>
    <s v="08/2022"/>
    <s v="BHCOE - 134500 - PAGS UNIT 3"/>
    <x v="23"/>
    <x v="1"/>
    <s v="BH Colorado Electric Oper Co"/>
    <s v="SEC"/>
    <x v="3"/>
    <n v="17992.260000000002"/>
    <n v="294.78000000000003"/>
    <n v="0"/>
    <n v="0"/>
    <n v="0"/>
    <n v="0"/>
    <n v="0"/>
    <n v="18287.04"/>
  </r>
  <r>
    <x v="9"/>
    <s v="09/2022"/>
    <s v="BHCOE - 134500 - Electric - Prod"/>
    <x v="23"/>
    <x v="1"/>
    <s v="BH Colorado Electric Oper Co"/>
    <s v="SEC"/>
    <x v="1"/>
    <n v="752696.45000000007"/>
    <n v="2917.34"/>
    <n v="0"/>
    <n v="0"/>
    <n v="0"/>
    <n v="0"/>
    <n v="0"/>
    <n v="755613.79"/>
  </r>
  <r>
    <x v="9"/>
    <s v="09/2022"/>
    <s v="BHCOE - 134500 - Electric - Wind"/>
    <x v="23"/>
    <x v="1"/>
    <s v="BH Colorado Electric Oper Co"/>
    <s v="SEC"/>
    <x v="1"/>
    <n v="20953.670000000002"/>
    <n v="233.03"/>
    <n v="0"/>
    <n v="0"/>
    <n v="0"/>
    <n v="0"/>
    <n v="0"/>
    <n v="21186.7"/>
  </r>
  <r>
    <x v="9"/>
    <s v="09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500 - PAGS 1&amp;2 COMMON"/>
    <x v="23"/>
    <x v="1"/>
    <s v="BH Colorado Electric Oper Co"/>
    <s v="SEC"/>
    <x v="1"/>
    <n v="82655.790000000008"/>
    <n v="819.31000000000006"/>
    <n v="0"/>
    <n v="0"/>
    <n v="0"/>
    <n v="0"/>
    <n v="0"/>
    <n v="83475.100000000006"/>
  </r>
  <r>
    <x v="9"/>
    <s v="09/2022"/>
    <s v="BHCOE - 134500 - PAGS UNIT 1"/>
    <x v="23"/>
    <x v="1"/>
    <s v="BH Colorado Electric Oper Co"/>
    <s v="SEC"/>
    <x v="1"/>
    <n v="2369634.2599999998"/>
    <n v="18505.87"/>
    <n v="-10000"/>
    <n v="0"/>
    <n v="0"/>
    <n v="0"/>
    <n v="0"/>
    <n v="2378140.13"/>
  </r>
  <r>
    <x v="9"/>
    <s v="09/2022"/>
    <s v="BHCOE - 134500 - PAGS UNIT 2"/>
    <x v="23"/>
    <x v="1"/>
    <s v="BH Colorado Electric Oper Co"/>
    <s v="SEC"/>
    <x v="1"/>
    <n v="2368683.96"/>
    <n v="18505.87"/>
    <n v="-10000"/>
    <n v="0"/>
    <n v="0"/>
    <n v="0"/>
    <n v="0"/>
    <n v="2377189.83"/>
  </r>
  <r>
    <x v="9"/>
    <s v="09/2022"/>
    <s v="BHCOE - 134500 - PAGS UNIT 3"/>
    <x v="23"/>
    <x v="1"/>
    <s v="BH Colorado Electric Oper Co"/>
    <s v="SEC"/>
    <x v="1"/>
    <n v="473943.59"/>
    <n v="7691.17"/>
    <n v="0"/>
    <n v="0"/>
    <n v="0"/>
    <n v="0"/>
    <n v="0"/>
    <n v="481634.76"/>
  </r>
  <r>
    <x v="9"/>
    <s v="09/2022"/>
    <s v="BHCOE - 134500 - Electric - Prod"/>
    <x v="23"/>
    <x v="1"/>
    <s v="BH Colorado Electric Oper Co"/>
    <s v="SEC"/>
    <x v="3"/>
    <n v="20937.77"/>
    <n v="173.74"/>
    <n v="0"/>
    <n v="0"/>
    <n v="0"/>
    <n v="0"/>
    <n v="0"/>
    <n v="21111.510000000002"/>
  </r>
  <r>
    <x v="9"/>
    <s v="09/2022"/>
    <s v="BHCOE - 134500 - PAGS 1&amp;2 COMMON"/>
    <x v="23"/>
    <x v="1"/>
    <s v="BH Colorado Electric Oper Co"/>
    <s v="SEC"/>
    <x v="3"/>
    <n v="10052.08"/>
    <n v="99.64"/>
    <n v="0"/>
    <n v="0"/>
    <n v="0"/>
    <n v="0"/>
    <n v="0"/>
    <n v="10151.719999999999"/>
  </r>
  <r>
    <x v="9"/>
    <s v="09/2022"/>
    <s v="BHCOE - 134500 - PAGS UNIT 1"/>
    <x v="23"/>
    <x v="1"/>
    <s v="BH Colorado Electric Oper Co"/>
    <s v="SEC"/>
    <x v="3"/>
    <n v="261537.23"/>
    <n v="2250.5500000000002"/>
    <n v="0"/>
    <n v="-5450"/>
    <n v="0"/>
    <n v="0"/>
    <n v="0"/>
    <n v="258337.78"/>
  </r>
  <r>
    <x v="9"/>
    <s v="09/2022"/>
    <s v="BHCOE - 134500 - PAGS UNIT 2"/>
    <x v="23"/>
    <x v="1"/>
    <s v="BH Colorado Electric Oper Co"/>
    <s v="SEC"/>
    <x v="3"/>
    <n v="261421.66"/>
    <n v="2250.5500000000002"/>
    <n v="0"/>
    <n v="-5450"/>
    <n v="0"/>
    <n v="0"/>
    <n v="0"/>
    <n v="258222.21"/>
  </r>
  <r>
    <x v="9"/>
    <s v="09/2022"/>
    <s v="BHCOE - 134500 - PAGS UNIT 3"/>
    <x v="23"/>
    <x v="1"/>
    <s v="BH Colorado Electric Oper Co"/>
    <s v="SEC"/>
    <x v="3"/>
    <n v="18287.04"/>
    <n v="294.78000000000003"/>
    <n v="0"/>
    <n v="0"/>
    <n v="0"/>
    <n v="0"/>
    <n v="0"/>
    <n v="18581.82"/>
  </r>
  <r>
    <x v="10"/>
    <s v="10/2022"/>
    <s v="BHCOE - 134500 - Electric - Prod"/>
    <x v="23"/>
    <x v="1"/>
    <s v="BH Colorado Electric Oper Co"/>
    <s v="SEC"/>
    <x v="1"/>
    <n v="755613.79"/>
    <n v="2917.34"/>
    <n v="0"/>
    <n v="0"/>
    <n v="0"/>
    <n v="0"/>
    <n v="0"/>
    <n v="758531.13"/>
  </r>
  <r>
    <x v="10"/>
    <s v="10/2022"/>
    <s v="BHCOE - 134500 - Electric - Wind"/>
    <x v="23"/>
    <x v="1"/>
    <s v="BH Colorado Electric Oper Co"/>
    <s v="SEC"/>
    <x v="1"/>
    <n v="21186.7"/>
    <n v="233.03"/>
    <n v="0"/>
    <n v="0"/>
    <n v="0"/>
    <n v="0"/>
    <n v="0"/>
    <n v="21419.73"/>
  </r>
  <r>
    <x v="10"/>
    <s v="10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500 - PAGS 1&amp;2 COMMON"/>
    <x v="23"/>
    <x v="1"/>
    <s v="BH Colorado Electric Oper Co"/>
    <s v="SEC"/>
    <x v="1"/>
    <n v="83475.100000000006"/>
    <n v="819.31000000000006"/>
    <n v="0"/>
    <n v="0"/>
    <n v="0"/>
    <n v="0"/>
    <n v="0"/>
    <n v="84294.41"/>
  </r>
  <r>
    <x v="10"/>
    <s v="10/2022"/>
    <s v="BHCOE - 134500 - PAGS UNIT 1"/>
    <x v="23"/>
    <x v="1"/>
    <s v="BH Colorado Electric Oper Co"/>
    <s v="SEC"/>
    <x v="1"/>
    <n v="2378140.13"/>
    <n v="18492.95"/>
    <n v="0"/>
    <n v="0"/>
    <n v="0"/>
    <n v="0"/>
    <n v="0"/>
    <n v="2396633.08"/>
  </r>
  <r>
    <x v="10"/>
    <s v="10/2022"/>
    <s v="BHCOE - 134500 - PAGS UNIT 2"/>
    <x v="23"/>
    <x v="1"/>
    <s v="BH Colorado Electric Oper Co"/>
    <s v="SEC"/>
    <x v="1"/>
    <n v="2377189.83"/>
    <n v="18492.95"/>
    <n v="0"/>
    <n v="0"/>
    <n v="0"/>
    <n v="0"/>
    <n v="0"/>
    <n v="2395682.7800000003"/>
  </r>
  <r>
    <x v="10"/>
    <s v="10/2022"/>
    <s v="BHCOE - 134500 - PAGS UNIT 3"/>
    <x v="23"/>
    <x v="1"/>
    <s v="BH Colorado Electric Oper Co"/>
    <s v="SEC"/>
    <x v="1"/>
    <n v="481634.76"/>
    <n v="7691.17"/>
    <n v="0"/>
    <n v="0"/>
    <n v="0"/>
    <n v="0"/>
    <n v="0"/>
    <n v="489325.93"/>
  </r>
  <r>
    <x v="10"/>
    <s v="10/2022"/>
    <s v="BHCOE - 134500 - Electric - Prod"/>
    <x v="23"/>
    <x v="1"/>
    <s v="BH Colorado Electric Oper Co"/>
    <s v="SEC"/>
    <x v="3"/>
    <n v="21111.510000000002"/>
    <n v="173.74"/>
    <n v="0"/>
    <n v="0"/>
    <n v="0"/>
    <n v="0"/>
    <n v="0"/>
    <n v="21285.25"/>
  </r>
  <r>
    <x v="10"/>
    <s v="10/2022"/>
    <s v="BHCOE - 134500 - PAGS 1&amp;2 COMMON"/>
    <x v="23"/>
    <x v="1"/>
    <s v="BH Colorado Electric Oper Co"/>
    <s v="SEC"/>
    <x v="3"/>
    <n v="10151.719999999999"/>
    <n v="99.64"/>
    <n v="0"/>
    <n v="0"/>
    <n v="0"/>
    <n v="0"/>
    <n v="0"/>
    <n v="10251.36"/>
  </r>
  <r>
    <x v="10"/>
    <s v="10/2022"/>
    <s v="BHCOE - 134500 - PAGS UNIT 1"/>
    <x v="23"/>
    <x v="1"/>
    <s v="BH Colorado Electric Oper Co"/>
    <s v="SEC"/>
    <x v="3"/>
    <n v="258337.78"/>
    <n v="2248.98"/>
    <n v="0"/>
    <n v="0"/>
    <n v="0"/>
    <n v="0"/>
    <n v="0"/>
    <n v="260586.76"/>
  </r>
  <r>
    <x v="10"/>
    <s v="10/2022"/>
    <s v="BHCOE - 134500 - PAGS UNIT 2"/>
    <x v="23"/>
    <x v="1"/>
    <s v="BH Colorado Electric Oper Co"/>
    <s v="SEC"/>
    <x v="3"/>
    <n v="258222.21"/>
    <n v="2248.98"/>
    <n v="0"/>
    <n v="0"/>
    <n v="0"/>
    <n v="0"/>
    <n v="0"/>
    <n v="260471.19"/>
  </r>
  <r>
    <x v="10"/>
    <s v="10/2022"/>
    <s v="BHCOE - 134500 - PAGS UNIT 3"/>
    <x v="23"/>
    <x v="1"/>
    <s v="BH Colorado Electric Oper Co"/>
    <s v="SEC"/>
    <x v="3"/>
    <n v="18581.82"/>
    <n v="294.78000000000003"/>
    <n v="0"/>
    <n v="0"/>
    <n v="0"/>
    <n v="0"/>
    <n v="0"/>
    <n v="18876.600000000002"/>
  </r>
  <r>
    <x v="11"/>
    <s v="11/2022"/>
    <s v="BHCOE - 134500 - Electric - Prod"/>
    <x v="23"/>
    <x v="1"/>
    <s v="BH Colorado Electric Oper Co"/>
    <s v="SEC"/>
    <x v="1"/>
    <n v="758531.13"/>
    <n v="2917.34"/>
    <n v="0"/>
    <n v="0"/>
    <n v="0"/>
    <n v="0"/>
    <n v="0"/>
    <n v="761448.47"/>
  </r>
  <r>
    <x v="11"/>
    <s v="11/2022"/>
    <s v="BHCOE - 134500 - Electric - Wind"/>
    <x v="23"/>
    <x v="1"/>
    <s v="BH Colorado Electric Oper Co"/>
    <s v="SEC"/>
    <x v="1"/>
    <n v="21419.73"/>
    <n v="233.03"/>
    <n v="0"/>
    <n v="0"/>
    <n v="0"/>
    <n v="0"/>
    <n v="0"/>
    <n v="21652.760000000002"/>
  </r>
  <r>
    <x v="11"/>
    <s v="11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500 - PAGS 1&amp;2 COMMON"/>
    <x v="23"/>
    <x v="1"/>
    <s v="BH Colorado Electric Oper Co"/>
    <s v="SEC"/>
    <x v="1"/>
    <n v="84294.41"/>
    <n v="819.31000000000006"/>
    <n v="0"/>
    <n v="0"/>
    <n v="0"/>
    <n v="0"/>
    <n v="0"/>
    <n v="85113.72"/>
  </r>
  <r>
    <x v="11"/>
    <s v="11/2022"/>
    <s v="BHCOE - 134500 - PAGS UNIT 1"/>
    <x v="23"/>
    <x v="1"/>
    <s v="BH Colorado Electric Oper Co"/>
    <s v="SEC"/>
    <x v="1"/>
    <n v="2396633.08"/>
    <n v="18492.95"/>
    <n v="0"/>
    <n v="0"/>
    <n v="0"/>
    <n v="0"/>
    <n v="0"/>
    <n v="2415126.0300000003"/>
  </r>
  <r>
    <x v="11"/>
    <s v="11/2022"/>
    <s v="BHCOE - 134500 - PAGS UNIT 2"/>
    <x v="23"/>
    <x v="1"/>
    <s v="BH Colorado Electric Oper Co"/>
    <s v="SEC"/>
    <x v="1"/>
    <n v="2395682.7800000003"/>
    <n v="18492.95"/>
    <n v="0"/>
    <n v="0"/>
    <n v="0"/>
    <n v="0"/>
    <n v="0"/>
    <n v="2414175.73"/>
  </r>
  <r>
    <x v="11"/>
    <s v="11/2022"/>
    <s v="BHCOE - 134500 - PAGS UNIT 3"/>
    <x v="23"/>
    <x v="1"/>
    <s v="BH Colorado Electric Oper Co"/>
    <s v="SEC"/>
    <x v="1"/>
    <n v="489325.93"/>
    <n v="7691.17"/>
    <n v="0"/>
    <n v="0"/>
    <n v="0"/>
    <n v="0"/>
    <n v="0"/>
    <n v="497017.10000000003"/>
  </r>
  <r>
    <x v="11"/>
    <s v="11/2022"/>
    <s v="BHCOE - 134500 - Electric - Prod"/>
    <x v="23"/>
    <x v="1"/>
    <s v="BH Colorado Electric Oper Co"/>
    <s v="SEC"/>
    <x v="3"/>
    <n v="21285.25"/>
    <n v="173.74"/>
    <n v="0"/>
    <n v="0"/>
    <n v="0"/>
    <n v="0"/>
    <n v="0"/>
    <n v="21458.99"/>
  </r>
  <r>
    <x v="11"/>
    <s v="11/2022"/>
    <s v="BHCOE - 134500 - PAGS 1&amp;2 COMMON"/>
    <x v="23"/>
    <x v="1"/>
    <s v="BH Colorado Electric Oper Co"/>
    <s v="SEC"/>
    <x v="3"/>
    <n v="10251.36"/>
    <n v="99.64"/>
    <n v="0"/>
    <n v="0"/>
    <n v="0"/>
    <n v="0"/>
    <n v="0"/>
    <n v="10351"/>
  </r>
  <r>
    <x v="11"/>
    <s v="11/2022"/>
    <s v="BHCOE - 134500 - PAGS UNIT 1"/>
    <x v="23"/>
    <x v="1"/>
    <s v="BH Colorado Electric Oper Co"/>
    <s v="SEC"/>
    <x v="3"/>
    <n v="260586.76"/>
    <n v="2248.98"/>
    <n v="0"/>
    <n v="0"/>
    <n v="0"/>
    <n v="0"/>
    <n v="0"/>
    <n v="262835.74"/>
  </r>
  <r>
    <x v="11"/>
    <s v="11/2022"/>
    <s v="BHCOE - 134500 - PAGS UNIT 2"/>
    <x v="23"/>
    <x v="1"/>
    <s v="BH Colorado Electric Oper Co"/>
    <s v="SEC"/>
    <x v="3"/>
    <n v="260471.19"/>
    <n v="2248.98"/>
    <n v="0"/>
    <n v="0"/>
    <n v="0"/>
    <n v="0"/>
    <n v="0"/>
    <n v="262720.17"/>
  </r>
  <r>
    <x v="11"/>
    <s v="11/2022"/>
    <s v="BHCOE - 134500 - PAGS UNIT 3"/>
    <x v="23"/>
    <x v="1"/>
    <s v="BH Colorado Electric Oper Co"/>
    <s v="SEC"/>
    <x v="3"/>
    <n v="18876.600000000002"/>
    <n v="294.78000000000003"/>
    <n v="0"/>
    <n v="0"/>
    <n v="0"/>
    <n v="0"/>
    <n v="0"/>
    <n v="19171.38"/>
  </r>
  <r>
    <x v="12"/>
    <s v="12/2022"/>
    <s v="BHCOE - 134500 - Electric - Prod"/>
    <x v="23"/>
    <x v="1"/>
    <s v="BH Colorado Electric Oper Co"/>
    <s v="SEC"/>
    <x v="1"/>
    <n v="761448.47"/>
    <n v="2917.34"/>
    <n v="0"/>
    <n v="0"/>
    <n v="0"/>
    <n v="0"/>
    <n v="0"/>
    <n v="764365.81"/>
  </r>
  <r>
    <x v="12"/>
    <s v="12/2022"/>
    <s v="BHCOE - 134500 - Electric - Wind"/>
    <x v="23"/>
    <x v="1"/>
    <s v="BH Colorado Electric Oper Co"/>
    <s v="SEC"/>
    <x v="1"/>
    <n v="21652.760000000002"/>
    <n v="233.03"/>
    <n v="0"/>
    <n v="0"/>
    <n v="0"/>
    <n v="0"/>
    <n v="0"/>
    <n v="21885.79"/>
  </r>
  <r>
    <x v="12"/>
    <s v="12/2022"/>
    <s v="BHCOE - 134500 - Elec-Wind-Peak Vie"/>
    <x v="23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500 - PAGS 1&amp;2 COMMON"/>
    <x v="23"/>
    <x v="1"/>
    <s v="BH Colorado Electric Oper Co"/>
    <s v="SEC"/>
    <x v="1"/>
    <n v="85113.72"/>
    <n v="819.31000000000006"/>
    <n v="0"/>
    <n v="0"/>
    <n v="0"/>
    <n v="0"/>
    <n v="0"/>
    <n v="85933.03"/>
  </r>
  <r>
    <x v="12"/>
    <s v="12/2022"/>
    <s v="BHCOE - 134500 - PAGS UNIT 1"/>
    <x v="23"/>
    <x v="1"/>
    <s v="BH Colorado Electric Oper Co"/>
    <s v="SEC"/>
    <x v="1"/>
    <n v="2415126.0300000003"/>
    <n v="18492.95"/>
    <n v="0"/>
    <n v="0"/>
    <n v="0"/>
    <n v="0"/>
    <n v="0"/>
    <n v="2433618.98"/>
  </r>
  <r>
    <x v="12"/>
    <s v="12/2022"/>
    <s v="BHCOE - 134500 - PAGS UNIT 2"/>
    <x v="23"/>
    <x v="1"/>
    <s v="BH Colorado Electric Oper Co"/>
    <s v="SEC"/>
    <x v="1"/>
    <n v="2414175.73"/>
    <n v="18492.95"/>
    <n v="0"/>
    <n v="0"/>
    <n v="0"/>
    <n v="0"/>
    <n v="0"/>
    <n v="2432668.6800000002"/>
  </r>
  <r>
    <x v="12"/>
    <s v="12/2022"/>
    <s v="BHCOE - 134500 - PAGS UNIT 3"/>
    <x v="23"/>
    <x v="1"/>
    <s v="BH Colorado Electric Oper Co"/>
    <s v="SEC"/>
    <x v="1"/>
    <n v="497017.10000000003"/>
    <n v="7691.17"/>
    <n v="0"/>
    <n v="0"/>
    <n v="0"/>
    <n v="0"/>
    <n v="0"/>
    <n v="504708.27"/>
  </r>
  <r>
    <x v="12"/>
    <s v="12/2022"/>
    <s v="BHCOE - 134500 - Electric - Prod"/>
    <x v="23"/>
    <x v="1"/>
    <s v="BH Colorado Electric Oper Co"/>
    <s v="SEC"/>
    <x v="3"/>
    <n v="21458.99"/>
    <n v="173.74"/>
    <n v="0"/>
    <n v="0"/>
    <n v="0"/>
    <n v="0"/>
    <n v="0"/>
    <n v="21632.73"/>
  </r>
  <r>
    <x v="12"/>
    <s v="12/2022"/>
    <s v="BHCOE - 134500 - PAGS 1&amp;2 COMMON"/>
    <x v="23"/>
    <x v="1"/>
    <s v="BH Colorado Electric Oper Co"/>
    <s v="SEC"/>
    <x v="3"/>
    <n v="10351"/>
    <n v="99.64"/>
    <n v="0"/>
    <n v="0"/>
    <n v="0"/>
    <n v="0"/>
    <n v="0"/>
    <n v="10450.64"/>
  </r>
  <r>
    <x v="12"/>
    <s v="12/2022"/>
    <s v="BHCOE - 134500 - PAGS UNIT 1"/>
    <x v="23"/>
    <x v="1"/>
    <s v="BH Colorado Electric Oper Co"/>
    <s v="SEC"/>
    <x v="3"/>
    <n v="262835.74"/>
    <n v="2248.98"/>
    <n v="0"/>
    <n v="0"/>
    <n v="0"/>
    <n v="0"/>
    <n v="0"/>
    <n v="265084.72000000003"/>
  </r>
  <r>
    <x v="12"/>
    <s v="12/2022"/>
    <s v="BHCOE - 134500 - PAGS UNIT 2"/>
    <x v="23"/>
    <x v="1"/>
    <s v="BH Colorado Electric Oper Co"/>
    <s v="SEC"/>
    <x v="3"/>
    <n v="262720.17"/>
    <n v="2248.98"/>
    <n v="0"/>
    <n v="0"/>
    <n v="0"/>
    <n v="0"/>
    <n v="0"/>
    <n v="264969.15000000002"/>
  </r>
  <r>
    <x v="12"/>
    <s v="12/2022"/>
    <s v="BHCOE - 134500 - PAGS UNIT 3"/>
    <x v="23"/>
    <x v="1"/>
    <s v="BH Colorado Electric Oper Co"/>
    <s v="SEC"/>
    <x v="3"/>
    <n v="19171.38"/>
    <n v="294.78000000000003"/>
    <n v="0"/>
    <n v="0"/>
    <n v="0"/>
    <n v="0"/>
    <n v="0"/>
    <n v="19466.16"/>
  </r>
  <r>
    <x v="0"/>
    <s v="12/2021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0"/>
    <s v="12/2021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600 - PAGS 1&amp;2 COMMON"/>
    <x v="24"/>
    <x v="1"/>
    <s v="BH Colorado Electric Oper Co"/>
    <s v="SEC"/>
    <x v="1"/>
    <n v="268989.73"/>
    <n v="6416.28"/>
    <n v="0"/>
    <n v="0"/>
    <n v="0"/>
    <n v="0"/>
    <n v="0"/>
    <n v="275406.01"/>
  </r>
  <r>
    <x v="0"/>
    <s v="12/2021"/>
    <s v="BHCOE - 134600 - PAGS UNIT 1"/>
    <x v="24"/>
    <x v="1"/>
    <s v="BH Colorado Electric Oper Co"/>
    <s v="SEC"/>
    <x v="1"/>
    <n v="281.62"/>
    <n v="10.040000000000001"/>
    <n v="0"/>
    <n v="0"/>
    <n v="0"/>
    <n v="0"/>
    <n v="0"/>
    <n v="291.66000000000003"/>
  </r>
  <r>
    <x v="0"/>
    <s v="12/2021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0"/>
    <s v="12/2021"/>
    <s v="BHCOE - 134600 - PAGS UNIT 3"/>
    <x v="24"/>
    <x v="1"/>
    <s v="BH Colorado Electric Oper Co"/>
    <s v="SEC"/>
    <x v="1"/>
    <n v="11403.31"/>
    <n v="230.37"/>
    <n v="0"/>
    <n v="0"/>
    <n v="0"/>
    <n v="0"/>
    <n v="0"/>
    <n v="11633.68"/>
  </r>
  <r>
    <x v="0"/>
    <s v="12/2021"/>
    <s v="BHCOE - 134600 - PAGS 1&amp;2 COMMON"/>
    <x v="24"/>
    <x v="1"/>
    <s v="BH Colorado Electric Oper Co"/>
    <s v="SEC"/>
    <x v="3"/>
    <n v="31014.32"/>
    <n v="780.30000000000007"/>
    <n v="0"/>
    <n v="0"/>
    <n v="0"/>
    <n v="0"/>
    <n v="0"/>
    <n v="31794.62"/>
  </r>
  <r>
    <x v="0"/>
    <s v="12/2021"/>
    <s v="BHCOE - 134600 - PAGS UNIT 1"/>
    <x v="24"/>
    <x v="1"/>
    <s v="BH Colorado Electric Oper Co"/>
    <s v="SEC"/>
    <x v="3"/>
    <n v="34.230000000000004"/>
    <n v="1.22"/>
    <n v="0"/>
    <n v="0"/>
    <n v="0"/>
    <n v="0"/>
    <n v="0"/>
    <n v="35.450000000000003"/>
  </r>
  <r>
    <x v="0"/>
    <s v="12/2021"/>
    <s v="BHCOE - 134600 - PAGS UNIT 3"/>
    <x v="24"/>
    <x v="1"/>
    <s v="BH Colorado Electric Oper Co"/>
    <s v="SEC"/>
    <x v="3"/>
    <n v="464.31"/>
    <n v="9.3800000000000008"/>
    <n v="0"/>
    <n v="0"/>
    <n v="0"/>
    <n v="0"/>
    <n v="0"/>
    <n v="473.69"/>
  </r>
  <r>
    <x v="1"/>
    <s v="01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1"/>
    <s v="01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600 - PAGS 1&amp;2 COMMON"/>
    <x v="24"/>
    <x v="1"/>
    <s v="BH Colorado Electric Oper Co"/>
    <s v="SEC"/>
    <x v="1"/>
    <n v="275406.01"/>
    <n v="6416.28"/>
    <n v="0"/>
    <n v="0"/>
    <n v="0"/>
    <n v="0"/>
    <n v="0"/>
    <n v="281822.28999999998"/>
  </r>
  <r>
    <x v="1"/>
    <s v="01/2022"/>
    <s v="BHCOE - 134600 - PAGS UNIT 1"/>
    <x v="24"/>
    <x v="1"/>
    <s v="BH Colorado Electric Oper Co"/>
    <s v="SEC"/>
    <x v="1"/>
    <n v="291.66000000000003"/>
    <n v="10.040000000000001"/>
    <n v="0"/>
    <n v="0"/>
    <n v="0"/>
    <n v="0"/>
    <n v="0"/>
    <n v="301.7"/>
  </r>
  <r>
    <x v="1"/>
    <s v="01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1"/>
    <s v="01/2022"/>
    <s v="BHCOE - 134600 - PAGS UNIT 3"/>
    <x v="24"/>
    <x v="1"/>
    <s v="BH Colorado Electric Oper Co"/>
    <s v="SEC"/>
    <x v="1"/>
    <n v="11633.68"/>
    <n v="230.37"/>
    <n v="0"/>
    <n v="0"/>
    <n v="0"/>
    <n v="0"/>
    <n v="0"/>
    <n v="11864.050000000001"/>
  </r>
  <r>
    <x v="1"/>
    <s v="01/2022"/>
    <s v="BHCOE - 134600 - PAGS 1&amp;2 COMMON"/>
    <x v="24"/>
    <x v="1"/>
    <s v="BH Colorado Electric Oper Co"/>
    <s v="SEC"/>
    <x v="3"/>
    <n v="31794.62"/>
    <n v="780.30000000000007"/>
    <n v="0"/>
    <n v="0"/>
    <n v="0"/>
    <n v="0"/>
    <n v="0"/>
    <n v="32574.920000000002"/>
  </r>
  <r>
    <x v="1"/>
    <s v="01/2022"/>
    <s v="BHCOE - 134600 - PAGS UNIT 1"/>
    <x v="24"/>
    <x v="1"/>
    <s v="BH Colorado Electric Oper Co"/>
    <s v="SEC"/>
    <x v="3"/>
    <n v="35.450000000000003"/>
    <n v="1.22"/>
    <n v="0"/>
    <n v="0"/>
    <n v="0"/>
    <n v="0"/>
    <n v="0"/>
    <n v="36.67"/>
  </r>
  <r>
    <x v="1"/>
    <s v="01/2022"/>
    <s v="BHCOE - 134600 - PAGS UNIT 3"/>
    <x v="24"/>
    <x v="1"/>
    <s v="BH Colorado Electric Oper Co"/>
    <s v="SEC"/>
    <x v="3"/>
    <n v="473.69"/>
    <n v="9.3800000000000008"/>
    <n v="0"/>
    <n v="0"/>
    <n v="0"/>
    <n v="0"/>
    <n v="0"/>
    <n v="483.07"/>
  </r>
  <r>
    <x v="2"/>
    <s v="02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2"/>
    <s v="02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600 - PAGS 1&amp;2 COMMON"/>
    <x v="24"/>
    <x v="1"/>
    <s v="BH Colorado Electric Oper Co"/>
    <s v="SEC"/>
    <x v="1"/>
    <n v="281822.28999999998"/>
    <n v="6416.28"/>
    <n v="0"/>
    <n v="0"/>
    <n v="0"/>
    <n v="0"/>
    <n v="0"/>
    <n v="288238.57"/>
  </r>
  <r>
    <x v="2"/>
    <s v="02/2022"/>
    <s v="BHCOE - 134600 - PAGS UNIT 1"/>
    <x v="24"/>
    <x v="1"/>
    <s v="BH Colorado Electric Oper Co"/>
    <s v="SEC"/>
    <x v="1"/>
    <n v="301.7"/>
    <n v="10.040000000000001"/>
    <n v="0"/>
    <n v="0"/>
    <n v="0"/>
    <n v="0"/>
    <n v="0"/>
    <n v="311.74"/>
  </r>
  <r>
    <x v="2"/>
    <s v="02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2"/>
    <s v="02/2022"/>
    <s v="BHCOE - 134600 - PAGS UNIT 3"/>
    <x v="24"/>
    <x v="1"/>
    <s v="BH Colorado Electric Oper Co"/>
    <s v="SEC"/>
    <x v="1"/>
    <n v="11864.050000000001"/>
    <n v="230.37"/>
    <n v="0"/>
    <n v="0"/>
    <n v="0"/>
    <n v="0"/>
    <n v="0"/>
    <n v="12094.42"/>
  </r>
  <r>
    <x v="2"/>
    <s v="02/2022"/>
    <s v="BHCOE - 134600 - PAGS 1&amp;2 COMMON"/>
    <x v="24"/>
    <x v="1"/>
    <s v="BH Colorado Electric Oper Co"/>
    <s v="SEC"/>
    <x v="3"/>
    <n v="32574.920000000002"/>
    <n v="780.30000000000007"/>
    <n v="0"/>
    <n v="0"/>
    <n v="0"/>
    <n v="0"/>
    <n v="0"/>
    <n v="33355.22"/>
  </r>
  <r>
    <x v="2"/>
    <s v="02/2022"/>
    <s v="BHCOE - 134600 - PAGS UNIT 1"/>
    <x v="24"/>
    <x v="1"/>
    <s v="BH Colorado Electric Oper Co"/>
    <s v="SEC"/>
    <x v="3"/>
    <n v="36.67"/>
    <n v="1.22"/>
    <n v="0"/>
    <n v="0"/>
    <n v="0"/>
    <n v="0"/>
    <n v="0"/>
    <n v="37.89"/>
  </r>
  <r>
    <x v="2"/>
    <s v="02/2022"/>
    <s v="BHCOE - 134600 - PAGS UNIT 3"/>
    <x v="24"/>
    <x v="1"/>
    <s v="BH Colorado Electric Oper Co"/>
    <s v="SEC"/>
    <x v="3"/>
    <n v="483.07"/>
    <n v="9.3800000000000008"/>
    <n v="0"/>
    <n v="0"/>
    <n v="0"/>
    <n v="0"/>
    <n v="0"/>
    <n v="492.45"/>
  </r>
  <r>
    <x v="3"/>
    <s v="03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3"/>
    <s v="03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600 - PAGS 1&amp;2 COMMON"/>
    <x v="24"/>
    <x v="1"/>
    <s v="BH Colorado Electric Oper Co"/>
    <s v="SEC"/>
    <x v="1"/>
    <n v="288238.57"/>
    <n v="6416.28"/>
    <n v="0"/>
    <n v="0"/>
    <n v="0"/>
    <n v="0"/>
    <n v="0"/>
    <n v="294654.85000000003"/>
  </r>
  <r>
    <x v="3"/>
    <s v="03/2022"/>
    <s v="BHCOE - 134600 - PAGS UNIT 1"/>
    <x v="24"/>
    <x v="1"/>
    <s v="BH Colorado Electric Oper Co"/>
    <s v="SEC"/>
    <x v="1"/>
    <n v="311.74"/>
    <n v="10.040000000000001"/>
    <n v="0"/>
    <n v="0"/>
    <n v="0"/>
    <n v="0"/>
    <n v="0"/>
    <n v="321.78000000000003"/>
  </r>
  <r>
    <x v="3"/>
    <s v="03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3"/>
    <s v="03/2022"/>
    <s v="BHCOE - 134600 - PAGS UNIT 3"/>
    <x v="24"/>
    <x v="1"/>
    <s v="BH Colorado Electric Oper Co"/>
    <s v="SEC"/>
    <x v="1"/>
    <n v="12094.42"/>
    <n v="230.37"/>
    <n v="0"/>
    <n v="0"/>
    <n v="0"/>
    <n v="0"/>
    <n v="0"/>
    <n v="12324.79"/>
  </r>
  <r>
    <x v="3"/>
    <s v="03/2022"/>
    <s v="BHCOE - 134600 - PAGS 1&amp;2 COMMON"/>
    <x v="24"/>
    <x v="1"/>
    <s v="BH Colorado Electric Oper Co"/>
    <s v="SEC"/>
    <x v="3"/>
    <n v="33355.22"/>
    <n v="780.30000000000007"/>
    <n v="0"/>
    <n v="0"/>
    <n v="0"/>
    <n v="0"/>
    <n v="0"/>
    <n v="34135.520000000004"/>
  </r>
  <r>
    <x v="3"/>
    <s v="03/2022"/>
    <s v="BHCOE - 134600 - PAGS UNIT 1"/>
    <x v="24"/>
    <x v="1"/>
    <s v="BH Colorado Electric Oper Co"/>
    <s v="SEC"/>
    <x v="3"/>
    <n v="37.89"/>
    <n v="1.22"/>
    <n v="0"/>
    <n v="0"/>
    <n v="0"/>
    <n v="0"/>
    <n v="0"/>
    <n v="39.11"/>
  </r>
  <r>
    <x v="3"/>
    <s v="03/2022"/>
    <s v="BHCOE - 134600 - PAGS UNIT 3"/>
    <x v="24"/>
    <x v="1"/>
    <s v="BH Colorado Electric Oper Co"/>
    <s v="SEC"/>
    <x v="3"/>
    <n v="492.45"/>
    <n v="9.3800000000000008"/>
    <n v="0"/>
    <n v="0"/>
    <n v="0"/>
    <n v="0"/>
    <n v="0"/>
    <n v="501.83"/>
  </r>
  <r>
    <x v="4"/>
    <s v="04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4"/>
    <s v="04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600 - PAGS 1&amp;2 COMMON"/>
    <x v="24"/>
    <x v="1"/>
    <s v="BH Colorado Electric Oper Co"/>
    <s v="SEC"/>
    <x v="1"/>
    <n v="294654.85000000003"/>
    <n v="6416.28"/>
    <n v="0"/>
    <n v="0"/>
    <n v="0"/>
    <n v="0"/>
    <n v="0"/>
    <n v="301071.13"/>
  </r>
  <r>
    <x v="4"/>
    <s v="04/2022"/>
    <s v="BHCOE - 134600 - PAGS UNIT 1"/>
    <x v="24"/>
    <x v="1"/>
    <s v="BH Colorado Electric Oper Co"/>
    <s v="SEC"/>
    <x v="1"/>
    <n v="321.78000000000003"/>
    <n v="10.040000000000001"/>
    <n v="0"/>
    <n v="0"/>
    <n v="0"/>
    <n v="0"/>
    <n v="0"/>
    <n v="331.82"/>
  </r>
  <r>
    <x v="4"/>
    <s v="04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4"/>
    <s v="04/2022"/>
    <s v="BHCOE - 134600 - PAGS UNIT 3"/>
    <x v="24"/>
    <x v="1"/>
    <s v="BH Colorado Electric Oper Co"/>
    <s v="SEC"/>
    <x v="1"/>
    <n v="12324.79"/>
    <n v="230.37"/>
    <n v="0"/>
    <n v="0"/>
    <n v="0"/>
    <n v="0"/>
    <n v="0"/>
    <n v="12555.16"/>
  </r>
  <r>
    <x v="4"/>
    <s v="04/2022"/>
    <s v="BHCOE - 134600 - PAGS 1&amp;2 COMMON"/>
    <x v="24"/>
    <x v="1"/>
    <s v="BH Colorado Electric Oper Co"/>
    <s v="SEC"/>
    <x v="3"/>
    <n v="34135.520000000004"/>
    <n v="780.30000000000007"/>
    <n v="0"/>
    <n v="0"/>
    <n v="0"/>
    <n v="0"/>
    <n v="0"/>
    <n v="34915.82"/>
  </r>
  <r>
    <x v="4"/>
    <s v="04/2022"/>
    <s v="BHCOE - 134600 - PAGS UNIT 1"/>
    <x v="24"/>
    <x v="1"/>
    <s v="BH Colorado Electric Oper Co"/>
    <s v="SEC"/>
    <x v="3"/>
    <n v="39.11"/>
    <n v="1.22"/>
    <n v="0"/>
    <n v="0"/>
    <n v="0"/>
    <n v="0"/>
    <n v="0"/>
    <n v="40.33"/>
  </r>
  <r>
    <x v="4"/>
    <s v="04/2022"/>
    <s v="BHCOE - 134600 - PAGS UNIT 3"/>
    <x v="24"/>
    <x v="1"/>
    <s v="BH Colorado Electric Oper Co"/>
    <s v="SEC"/>
    <x v="3"/>
    <n v="501.83"/>
    <n v="9.3800000000000008"/>
    <n v="0"/>
    <n v="0"/>
    <n v="0"/>
    <n v="0"/>
    <n v="0"/>
    <n v="511.21000000000004"/>
  </r>
  <r>
    <x v="5"/>
    <s v="05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5"/>
    <s v="05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600 - PAGS 1&amp;2 COMMON"/>
    <x v="24"/>
    <x v="1"/>
    <s v="BH Colorado Electric Oper Co"/>
    <s v="SEC"/>
    <x v="1"/>
    <n v="301071.13"/>
    <n v="6416.28"/>
    <n v="0"/>
    <n v="0"/>
    <n v="0"/>
    <n v="0"/>
    <n v="0"/>
    <n v="307487.41000000003"/>
  </r>
  <r>
    <x v="5"/>
    <s v="05/2022"/>
    <s v="BHCOE - 134600 - PAGS UNIT 1"/>
    <x v="24"/>
    <x v="1"/>
    <s v="BH Colorado Electric Oper Co"/>
    <s v="SEC"/>
    <x v="1"/>
    <n v="331.82"/>
    <n v="10.040000000000001"/>
    <n v="0"/>
    <n v="0"/>
    <n v="0"/>
    <n v="0"/>
    <n v="0"/>
    <n v="341.86"/>
  </r>
  <r>
    <x v="5"/>
    <s v="05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5"/>
    <s v="05/2022"/>
    <s v="BHCOE - 134600 - PAGS UNIT 3"/>
    <x v="24"/>
    <x v="1"/>
    <s v="BH Colorado Electric Oper Co"/>
    <s v="SEC"/>
    <x v="1"/>
    <n v="12555.16"/>
    <n v="230.37"/>
    <n v="0"/>
    <n v="0"/>
    <n v="0"/>
    <n v="0"/>
    <n v="0"/>
    <n v="12785.53"/>
  </r>
  <r>
    <x v="5"/>
    <s v="05/2022"/>
    <s v="BHCOE - 134600 - PAGS 1&amp;2 COMMON"/>
    <x v="24"/>
    <x v="1"/>
    <s v="BH Colorado Electric Oper Co"/>
    <s v="SEC"/>
    <x v="3"/>
    <n v="34915.82"/>
    <n v="780.30000000000007"/>
    <n v="0"/>
    <n v="0"/>
    <n v="0"/>
    <n v="0"/>
    <n v="0"/>
    <n v="35696.120000000003"/>
  </r>
  <r>
    <x v="5"/>
    <s v="05/2022"/>
    <s v="BHCOE - 134600 - PAGS UNIT 1"/>
    <x v="24"/>
    <x v="1"/>
    <s v="BH Colorado Electric Oper Co"/>
    <s v="SEC"/>
    <x v="3"/>
    <n v="40.33"/>
    <n v="1.22"/>
    <n v="0"/>
    <n v="0"/>
    <n v="0"/>
    <n v="0"/>
    <n v="0"/>
    <n v="41.550000000000004"/>
  </r>
  <r>
    <x v="5"/>
    <s v="05/2022"/>
    <s v="BHCOE - 134600 - PAGS UNIT 3"/>
    <x v="24"/>
    <x v="1"/>
    <s v="BH Colorado Electric Oper Co"/>
    <s v="SEC"/>
    <x v="3"/>
    <n v="511.21000000000004"/>
    <n v="9.3800000000000008"/>
    <n v="0"/>
    <n v="0"/>
    <n v="0"/>
    <n v="0"/>
    <n v="0"/>
    <n v="520.59"/>
  </r>
  <r>
    <x v="6"/>
    <s v="06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6"/>
    <s v="06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600 - PAGS 1&amp;2 COMMON"/>
    <x v="24"/>
    <x v="1"/>
    <s v="BH Colorado Electric Oper Co"/>
    <s v="SEC"/>
    <x v="1"/>
    <n v="307487.41000000003"/>
    <n v="6416.28"/>
    <n v="0"/>
    <n v="0"/>
    <n v="0"/>
    <n v="0"/>
    <n v="0"/>
    <n v="313903.69"/>
  </r>
  <r>
    <x v="6"/>
    <s v="06/2022"/>
    <s v="BHCOE - 134600 - PAGS UNIT 1"/>
    <x v="24"/>
    <x v="1"/>
    <s v="BH Colorado Electric Oper Co"/>
    <s v="SEC"/>
    <x v="1"/>
    <n v="341.86"/>
    <n v="10.040000000000001"/>
    <n v="0"/>
    <n v="0"/>
    <n v="0"/>
    <n v="0"/>
    <n v="0"/>
    <n v="351.90000000000003"/>
  </r>
  <r>
    <x v="6"/>
    <s v="06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6"/>
    <s v="06/2022"/>
    <s v="BHCOE - 134600 - PAGS UNIT 3"/>
    <x v="24"/>
    <x v="1"/>
    <s v="BH Colorado Electric Oper Co"/>
    <s v="SEC"/>
    <x v="1"/>
    <n v="12785.53"/>
    <n v="230.37"/>
    <n v="0"/>
    <n v="0"/>
    <n v="0"/>
    <n v="0"/>
    <n v="0"/>
    <n v="13015.9"/>
  </r>
  <r>
    <x v="6"/>
    <s v="06/2022"/>
    <s v="BHCOE - 134600 - PAGS 1&amp;2 COMMON"/>
    <x v="24"/>
    <x v="1"/>
    <s v="BH Colorado Electric Oper Co"/>
    <s v="SEC"/>
    <x v="3"/>
    <n v="35696.120000000003"/>
    <n v="780.30000000000007"/>
    <n v="0"/>
    <n v="0"/>
    <n v="0"/>
    <n v="0"/>
    <n v="0"/>
    <n v="36476.42"/>
  </r>
  <r>
    <x v="6"/>
    <s v="06/2022"/>
    <s v="BHCOE - 134600 - PAGS UNIT 1"/>
    <x v="24"/>
    <x v="1"/>
    <s v="BH Colorado Electric Oper Co"/>
    <s v="SEC"/>
    <x v="3"/>
    <n v="41.550000000000004"/>
    <n v="1.22"/>
    <n v="0"/>
    <n v="0"/>
    <n v="0"/>
    <n v="0"/>
    <n v="0"/>
    <n v="42.77"/>
  </r>
  <r>
    <x v="6"/>
    <s v="06/2022"/>
    <s v="BHCOE - 134600 - PAGS UNIT 3"/>
    <x v="24"/>
    <x v="1"/>
    <s v="BH Colorado Electric Oper Co"/>
    <s v="SEC"/>
    <x v="3"/>
    <n v="520.59"/>
    <n v="9.3800000000000008"/>
    <n v="0"/>
    <n v="0"/>
    <n v="0"/>
    <n v="0"/>
    <n v="0"/>
    <n v="529.97"/>
  </r>
  <r>
    <x v="7"/>
    <s v="07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7"/>
    <s v="07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600 - PAGS 1&amp;2 COMMON"/>
    <x v="24"/>
    <x v="1"/>
    <s v="BH Colorado Electric Oper Co"/>
    <s v="SEC"/>
    <x v="1"/>
    <n v="313903.69"/>
    <n v="6442"/>
    <n v="0"/>
    <n v="0"/>
    <n v="0"/>
    <n v="0"/>
    <n v="0"/>
    <n v="320345.69"/>
  </r>
  <r>
    <x v="7"/>
    <s v="07/2022"/>
    <s v="BHCOE - 134600 - PAGS UNIT 1"/>
    <x v="24"/>
    <x v="1"/>
    <s v="BH Colorado Electric Oper Co"/>
    <s v="SEC"/>
    <x v="1"/>
    <n v="351.90000000000003"/>
    <n v="10.040000000000001"/>
    <n v="0"/>
    <n v="0"/>
    <n v="0"/>
    <n v="0"/>
    <n v="0"/>
    <n v="361.94"/>
  </r>
  <r>
    <x v="7"/>
    <s v="07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7"/>
    <s v="07/2022"/>
    <s v="BHCOE - 134600 - PAGS UNIT 3"/>
    <x v="24"/>
    <x v="1"/>
    <s v="BH Colorado Electric Oper Co"/>
    <s v="SEC"/>
    <x v="1"/>
    <n v="13015.9"/>
    <n v="230.37"/>
    <n v="0"/>
    <n v="0"/>
    <n v="0"/>
    <n v="0"/>
    <n v="0"/>
    <n v="13246.27"/>
  </r>
  <r>
    <x v="7"/>
    <s v="07/2022"/>
    <s v="BHCOE - 134600 - PAGS 1&amp;2 COMMON"/>
    <x v="24"/>
    <x v="1"/>
    <s v="BH Colorado Electric Oper Co"/>
    <s v="SEC"/>
    <x v="3"/>
    <n v="36476.42"/>
    <n v="783.43000000000006"/>
    <n v="0"/>
    <n v="0"/>
    <n v="0"/>
    <n v="0"/>
    <n v="0"/>
    <n v="37259.85"/>
  </r>
  <r>
    <x v="7"/>
    <s v="07/2022"/>
    <s v="BHCOE - 134600 - PAGS UNIT 1"/>
    <x v="24"/>
    <x v="1"/>
    <s v="BH Colorado Electric Oper Co"/>
    <s v="SEC"/>
    <x v="3"/>
    <n v="42.77"/>
    <n v="1.22"/>
    <n v="0"/>
    <n v="0"/>
    <n v="0"/>
    <n v="0"/>
    <n v="0"/>
    <n v="43.99"/>
  </r>
  <r>
    <x v="7"/>
    <s v="07/2022"/>
    <s v="BHCOE - 134600 - PAGS UNIT 3"/>
    <x v="24"/>
    <x v="1"/>
    <s v="BH Colorado Electric Oper Co"/>
    <s v="SEC"/>
    <x v="3"/>
    <n v="529.97"/>
    <n v="9.3800000000000008"/>
    <n v="0"/>
    <n v="0"/>
    <n v="0"/>
    <n v="0"/>
    <n v="0"/>
    <n v="539.35"/>
  </r>
  <r>
    <x v="8"/>
    <s v="08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8"/>
    <s v="08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600 - PAGS 1&amp;2 COMMON"/>
    <x v="24"/>
    <x v="1"/>
    <s v="BH Colorado Electric Oper Co"/>
    <s v="SEC"/>
    <x v="1"/>
    <n v="320345.69"/>
    <n v="6467.71"/>
    <n v="0"/>
    <n v="0"/>
    <n v="0"/>
    <n v="0"/>
    <n v="0"/>
    <n v="326813.40000000002"/>
  </r>
  <r>
    <x v="8"/>
    <s v="08/2022"/>
    <s v="BHCOE - 134600 - PAGS UNIT 1"/>
    <x v="24"/>
    <x v="1"/>
    <s v="BH Colorado Electric Oper Co"/>
    <s v="SEC"/>
    <x v="1"/>
    <n v="361.94"/>
    <n v="10.040000000000001"/>
    <n v="0"/>
    <n v="0"/>
    <n v="0"/>
    <n v="0"/>
    <n v="0"/>
    <n v="371.98"/>
  </r>
  <r>
    <x v="8"/>
    <s v="08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8"/>
    <s v="08/2022"/>
    <s v="BHCOE - 134600 - PAGS UNIT 3"/>
    <x v="24"/>
    <x v="1"/>
    <s v="BH Colorado Electric Oper Co"/>
    <s v="SEC"/>
    <x v="1"/>
    <n v="13246.27"/>
    <n v="230.37"/>
    <n v="0"/>
    <n v="0"/>
    <n v="0"/>
    <n v="0"/>
    <n v="0"/>
    <n v="13476.64"/>
  </r>
  <r>
    <x v="8"/>
    <s v="08/2022"/>
    <s v="BHCOE - 134600 - PAGS 1&amp;2 COMMON"/>
    <x v="24"/>
    <x v="1"/>
    <s v="BH Colorado Electric Oper Co"/>
    <s v="SEC"/>
    <x v="3"/>
    <n v="37259.85"/>
    <n v="786.56000000000006"/>
    <n v="0"/>
    <n v="0"/>
    <n v="0"/>
    <n v="0"/>
    <n v="0"/>
    <n v="38046.410000000003"/>
  </r>
  <r>
    <x v="8"/>
    <s v="08/2022"/>
    <s v="BHCOE - 134600 - PAGS UNIT 1"/>
    <x v="24"/>
    <x v="1"/>
    <s v="BH Colorado Electric Oper Co"/>
    <s v="SEC"/>
    <x v="3"/>
    <n v="43.99"/>
    <n v="1.22"/>
    <n v="0"/>
    <n v="0"/>
    <n v="0"/>
    <n v="0"/>
    <n v="0"/>
    <n v="45.21"/>
  </r>
  <r>
    <x v="8"/>
    <s v="08/2022"/>
    <s v="BHCOE - 134600 - PAGS UNIT 3"/>
    <x v="24"/>
    <x v="1"/>
    <s v="BH Colorado Electric Oper Co"/>
    <s v="SEC"/>
    <x v="3"/>
    <n v="539.35"/>
    <n v="9.3800000000000008"/>
    <n v="0"/>
    <n v="0"/>
    <n v="0"/>
    <n v="0"/>
    <n v="0"/>
    <n v="548.73"/>
  </r>
  <r>
    <x v="9"/>
    <s v="09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9"/>
    <s v="09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600 - PAGS 1&amp;2 COMMON"/>
    <x v="24"/>
    <x v="1"/>
    <s v="BH Colorado Electric Oper Co"/>
    <s v="SEC"/>
    <x v="1"/>
    <n v="326813.40000000002"/>
    <n v="6467.71"/>
    <n v="0"/>
    <n v="0"/>
    <n v="0"/>
    <n v="0"/>
    <n v="0"/>
    <n v="333281.11"/>
  </r>
  <r>
    <x v="9"/>
    <s v="09/2022"/>
    <s v="BHCOE - 134600 - PAGS UNIT 1"/>
    <x v="24"/>
    <x v="1"/>
    <s v="BH Colorado Electric Oper Co"/>
    <s v="SEC"/>
    <x v="1"/>
    <n v="371.98"/>
    <n v="10.040000000000001"/>
    <n v="0"/>
    <n v="0"/>
    <n v="0"/>
    <n v="0"/>
    <n v="0"/>
    <n v="382.02"/>
  </r>
  <r>
    <x v="9"/>
    <s v="09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9"/>
    <s v="09/2022"/>
    <s v="BHCOE - 134600 - PAGS UNIT 3"/>
    <x v="24"/>
    <x v="1"/>
    <s v="BH Colorado Electric Oper Co"/>
    <s v="SEC"/>
    <x v="1"/>
    <n v="13476.64"/>
    <n v="230.37"/>
    <n v="0"/>
    <n v="0"/>
    <n v="0"/>
    <n v="0"/>
    <n v="0"/>
    <n v="13707.01"/>
  </r>
  <r>
    <x v="9"/>
    <s v="09/2022"/>
    <s v="BHCOE - 134600 - PAGS 1&amp;2 COMMON"/>
    <x v="24"/>
    <x v="1"/>
    <s v="BH Colorado Electric Oper Co"/>
    <s v="SEC"/>
    <x v="3"/>
    <n v="38046.410000000003"/>
    <n v="786.56000000000006"/>
    <n v="0"/>
    <n v="0"/>
    <n v="0"/>
    <n v="0"/>
    <n v="0"/>
    <n v="38832.97"/>
  </r>
  <r>
    <x v="9"/>
    <s v="09/2022"/>
    <s v="BHCOE - 134600 - PAGS UNIT 1"/>
    <x v="24"/>
    <x v="1"/>
    <s v="BH Colorado Electric Oper Co"/>
    <s v="SEC"/>
    <x v="3"/>
    <n v="45.21"/>
    <n v="1.22"/>
    <n v="0"/>
    <n v="0"/>
    <n v="0"/>
    <n v="0"/>
    <n v="0"/>
    <n v="46.43"/>
  </r>
  <r>
    <x v="9"/>
    <s v="09/2022"/>
    <s v="BHCOE - 134600 - PAGS UNIT 3"/>
    <x v="24"/>
    <x v="1"/>
    <s v="BH Colorado Electric Oper Co"/>
    <s v="SEC"/>
    <x v="3"/>
    <n v="548.73"/>
    <n v="9.3800000000000008"/>
    <n v="0"/>
    <n v="0"/>
    <n v="0"/>
    <n v="0"/>
    <n v="0"/>
    <n v="558.11"/>
  </r>
  <r>
    <x v="10"/>
    <s v="10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10"/>
    <s v="10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600 - PAGS 1&amp;2 COMMON"/>
    <x v="24"/>
    <x v="1"/>
    <s v="BH Colorado Electric Oper Co"/>
    <s v="SEC"/>
    <x v="1"/>
    <n v="333281.11"/>
    <n v="6442"/>
    <n v="0"/>
    <n v="0"/>
    <n v="0"/>
    <n v="0"/>
    <n v="0"/>
    <n v="339723.11"/>
  </r>
  <r>
    <x v="10"/>
    <s v="10/2022"/>
    <s v="BHCOE - 134600 - PAGS UNIT 1"/>
    <x v="24"/>
    <x v="1"/>
    <s v="BH Colorado Electric Oper Co"/>
    <s v="SEC"/>
    <x v="1"/>
    <n v="382.02"/>
    <n v="10.040000000000001"/>
    <n v="0"/>
    <n v="0"/>
    <n v="0"/>
    <n v="0"/>
    <n v="0"/>
    <n v="392.06"/>
  </r>
  <r>
    <x v="10"/>
    <s v="10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10"/>
    <s v="10/2022"/>
    <s v="BHCOE - 134600 - PAGS UNIT 3"/>
    <x v="24"/>
    <x v="1"/>
    <s v="BH Colorado Electric Oper Co"/>
    <s v="SEC"/>
    <x v="1"/>
    <n v="13707.01"/>
    <n v="230.37"/>
    <n v="0"/>
    <n v="0"/>
    <n v="0"/>
    <n v="0"/>
    <n v="0"/>
    <n v="13937.380000000001"/>
  </r>
  <r>
    <x v="10"/>
    <s v="10/2022"/>
    <s v="BHCOE - 134600 - PAGS 1&amp;2 COMMON"/>
    <x v="24"/>
    <x v="1"/>
    <s v="BH Colorado Electric Oper Co"/>
    <s v="SEC"/>
    <x v="3"/>
    <n v="38832.97"/>
    <n v="783.43000000000006"/>
    <n v="0"/>
    <n v="0"/>
    <n v="0"/>
    <n v="0"/>
    <n v="0"/>
    <n v="39616.400000000001"/>
  </r>
  <r>
    <x v="10"/>
    <s v="10/2022"/>
    <s v="BHCOE - 134600 - PAGS UNIT 1"/>
    <x v="24"/>
    <x v="1"/>
    <s v="BH Colorado Electric Oper Co"/>
    <s v="SEC"/>
    <x v="3"/>
    <n v="46.43"/>
    <n v="1.22"/>
    <n v="0"/>
    <n v="0"/>
    <n v="0"/>
    <n v="0"/>
    <n v="0"/>
    <n v="47.65"/>
  </r>
  <r>
    <x v="10"/>
    <s v="10/2022"/>
    <s v="BHCOE - 134600 - PAGS UNIT 3"/>
    <x v="24"/>
    <x v="1"/>
    <s v="BH Colorado Electric Oper Co"/>
    <s v="SEC"/>
    <x v="3"/>
    <n v="558.11"/>
    <n v="9.3800000000000008"/>
    <n v="0"/>
    <n v="0"/>
    <n v="0"/>
    <n v="0"/>
    <n v="0"/>
    <n v="567.49"/>
  </r>
  <r>
    <x v="11"/>
    <s v="11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11"/>
    <s v="11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600 - PAGS 1&amp;2 COMMON"/>
    <x v="24"/>
    <x v="1"/>
    <s v="BH Colorado Electric Oper Co"/>
    <s v="SEC"/>
    <x v="1"/>
    <n v="339723.11"/>
    <n v="6416.28"/>
    <n v="0"/>
    <n v="0"/>
    <n v="0"/>
    <n v="0"/>
    <n v="0"/>
    <n v="346139.39"/>
  </r>
  <r>
    <x v="11"/>
    <s v="11/2022"/>
    <s v="BHCOE - 134600 - PAGS UNIT 1"/>
    <x v="24"/>
    <x v="1"/>
    <s v="BH Colorado Electric Oper Co"/>
    <s v="SEC"/>
    <x v="1"/>
    <n v="392.06"/>
    <n v="10.040000000000001"/>
    <n v="0"/>
    <n v="0"/>
    <n v="0"/>
    <n v="0"/>
    <n v="0"/>
    <n v="402.1"/>
  </r>
  <r>
    <x v="11"/>
    <s v="11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11"/>
    <s v="11/2022"/>
    <s v="BHCOE - 134600 - PAGS UNIT 3"/>
    <x v="24"/>
    <x v="1"/>
    <s v="BH Colorado Electric Oper Co"/>
    <s v="SEC"/>
    <x v="1"/>
    <n v="13937.380000000001"/>
    <n v="230.37"/>
    <n v="0"/>
    <n v="0"/>
    <n v="0"/>
    <n v="0"/>
    <n v="0"/>
    <n v="14167.75"/>
  </r>
  <r>
    <x v="11"/>
    <s v="11/2022"/>
    <s v="BHCOE - 134600 - PAGS 1&amp;2 COMMON"/>
    <x v="24"/>
    <x v="1"/>
    <s v="BH Colorado Electric Oper Co"/>
    <s v="SEC"/>
    <x v="3"/>
    <n v="39616.400000000001"/>
    <n v="780.30000000000007"/>
    <n v="0"/>
    <n v="0"/>
    <n v="0"/>
    <n v="0"/>
    <n v="0"/>
    <n v="40396.700000000004"/>
  </r>
  <r>
    <x v="11"/>
    <s v="11/2022"/>
    <s v="BHCOE - 134600 - PAGS UNIT 1"/>
    <x v="24"/>
    <x v="1"/>
    <s v="BH Colorado Electric Oper Co"/>
    <s v="SEC"/>
    <x v="3"/>
    <n v="47.65"/>
    <n v="1.22"/>
    <n v="0"/>
    <n v="0"/>
    <n v="0"/>
    <n v="0"/>
    <n v="0"/>
    <n v="48.870000000000005"/>
  </r>
  <r>
    <x v="11"/>
    <s v="11/2022"/>
    <s v="BHCOE - 134600 - PAGS UNIT 3"/>
    <x v="24"/>
    <x v="1"/>
    <s v="BH Colorado Electric Oper Co"/>
    <s v="SEC"/>
    <x v="3"/>
    <n v="567.49"/>
    <n v="9.3800000000000008"/>
    <n v="0"/>
    <n v="0"/>
    <n v="0"/>
    <n v="0"/>
    <n v="0"/>
    <n v="576.87"/>
  </r>
  <r>
    <x v="12"/>
    <s v="12/2022"/>
    <s v="BHCOE - 134600 - Electric - Prod"/>
    <x v="24"/>
    <x v="1"/>
    <s v="BH Colorado Electric Oper Co"/>
    <s v="SEC"/>
    <x v="1"/>
    <n v="131973.94"/>
    <n v="0"/>
    <n v="0"/>
    <n v="0"/>
    <n v="0"/>
    <n v="0"/>
    <n v="0"/>
    <n v="131973.94"/>
  </r>
  <r>
    <x v="12"/>
    <s v="12/2022"/>
    <s v="BHCOE - 134600 - Electric - Wind"/>
    <x v="24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600 - PAGS 1&amp;2 COMMON"/>
    <x v="24"/>
    <x v="1"/>
    <s v="BH Colorado Electric Oper Co"/>
    <s v="SEC"/>
    <x v="1"/>
    <n v="346139.39"/>
    <n v="6416.28"/>
    <n v="0"/>
    <n v="0"/>
    <n v="0"/>
    <n v="0"/>
    <n v="0"/>
    <n v="352555.67"/>
  </r>
  <r>
    <x v="12"/>
    <s v="12/2022"/>
    <s v="BHCOE - 134600 - PAGS UNIT 1"/>
    <x v="24"/>
    <x v="1"/>
    <s v="BH Colorado Electric Oper Co"/>
    <s v="SEC"/>
    <x v="1"/>
    <n v="402.1"/>
    <n v="10.040000000000001"/>
    <n v="0"/>
    <n v="0"/>
    <n v="0"/>
    <n v="0"/>
    <n v="0"/>
    <n v="412.14"/>
  </r>
  <r>
    <x v="12"/>
    <s v="12/2022"/>
    <s v="BHCOE - 134600 - PAGS UNIT 2"/>
    <x v="24"/>
    <x v="1"/>
    <s v="BH Colorado Electric Oper Co"/>
    <s v="SEC"/>
    <x v="1"/>
    <n v="0"/>
    <n v="0"/>
    <n v="0"/>
    <n v="0"/>
    <n v="0"/>
    <n v="0"/>
    <n v="0"/>
    <n v="0"/>
  </r>
  <r>
    <x v="12"/>
    <s v="12/2022"/>
    <s v="BHCOE - 134600 - PAGS UNIT 3"/>
    <x v="24"/>
    <x v="1"/>
    <s v="BH Colorado Electric Oper Co"/>
    <s v="SEC"/>
    <x v="1"/>
    <n v="14167.75"/>
    <n v="230.37"/>
    <n v="0"/>
    <n v="0"/>
    <n v="0"/>
    <n v="0"/>
    <n v="0"/>
    <n v="14398.12"/>
  </r>
  <r>
    <x v="12"/>
    <s v="12/2022"/>
    <s v="BHCOE - 134600 - PAGS 1&amp;2 COMMON"/>
    <x v="24"/>
    <x v="1"/>
    <s v="BH Colorado Electric Oper Co"/>
    <s v="SEC"/>
    <x v="3"/>
    <n v="40396.700000000004"/>
    <n v="780.30000000000007"/>
    <n v="0"/>
    <n v="0"/>
    <n v="0"/>
    <n v="0"/>
    <n v="0"/>
    <n v="41177"/>
  </r>
  <r>
    <x v="12"/>
    <s v="12/2022"/>
    <s v="BHCOE - 134600 - PAGS UNIT 1"/>
    <x v="24"/>
    <x v="1"/>
    <s v="BH Colorado Electric Oper Co"/>
    <s v="SEC"/>
    <x v="3"/>
    <n v="48.870000000000005"/>
    <n v="1.22"/>
    <n v="0"/>
    <n v="0"/>
    <n v="0"/>
    <n v="0"/>
    <n v="0"/>
    <n v="50.09"/>
  </r>
  <r>
    <x v="12"/>
    <s v="12/2022"/>
    <s v="BHCOE - 134600 - PAGS UNIT 3"/>
    <x v="24"/>
    <x v="1"/>
    <s v="BH Colorado Electric Oper Co"/>
    <s v="SEC"/>
    <x v="3"/>
    <n v="576.87"/>
    <n v="9.3800000000000008"/>
    <n v="0"/>
    <n v="0"/>
    <n v="0"/>
    <n v="0"/>
    <n v="0"/>
    <n v="586.25"/>
  </r>
  <r>
    <x v="0"/>
    <s v="12/2021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1"/>
    <s v="01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2"/>
    <s v="02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3"/>
    <s v="03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4"/>
    <s v="04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5"/>
    <s v="05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6"/>
    <s v="06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7"/>
    <s v="07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8"/>
    <s v="08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9"/>
    <s v="09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10"/>
    <s v="10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11"/>
    <s v="11/2022"/>
    <s v="BHCOE - 135001 - Electric - Gen"/>
    <x v="25"/>
    <x v="3"/>
    <s v="BH Colorado Electric Oper Co"/>
    <s v="SEC"/>
    <x v="2"/>
    <n v="-10341.969999999999"/>
    <n v="0"/>
    <n v="0"/>
    <n v="0"/>
    <n v="0"/>
    <n v="0"/>
    <n v="0"/>
    <n v="-10341.969999999999"/>
  </r>
  <r>
    <x v="12"/>
    <s v="12/2022"/>
    <s v="BHCOE - 135001 - Electric - Gen"/>
    <x v="25"/>
    <x v="3"/>
    <s v="BH Colorado Electric Oper Co"/>
    <s v="SEC"/>
    <x v="2"/>
    <n v="-10341.969999999999"/>
    <n v="0"/>
    <n v="0"/>
    <n v="0"/>
    <n v="0"/>
    <n v="27.14"/>
    <n v="0"/>
    <n v="-10314.83"/>
  </r>
  <r>
    <x v="0"/>
    <s v="12/2021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0"/>
    <s v="12/2021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1"/>
    <s v="01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1"/>
    <s v="01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2"/>
    <s v="02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2"/>
    <s v="02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3"/>
    <s v="03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3"/>
    <s v="03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4"/>
    <s v="04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4"/>
    <s v="04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5"/>
    <s v="05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5"/>
    <s v="05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6"/>
    <s v="06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6"/>
    <s v="06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7"/>
    <s v="07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7"/>
    <s v="07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8"/>
    <s v="08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8"/>
    <s v="08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9"/>
    <s v="09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9"/>
    <s v="09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10"/>
    <s v="10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10"/>
    <s v="10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11"/>
    <s v="11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11"/>
    <s v="11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12"/>
    <s v="12/2022"/>
    <s v="BHCOE - 135002 - Elec - Peak View"/>
    <x v="26"/>
    <x v="3"/>
    <s v="BH Colorado Electric Oper Co"/>
    <s v="SEC"/>
    <x v="2"/>
    <n v="0"/>
    <n v="0"/>
    <n v="0"/>
    <n v="0"/>
    <n v="0"/>
    <n v="0"/>
    <n v="0"/>
    <n v="0"/>
  </r>
  <r>
    <x v="12"/>
    <s v="12/2022"/>
    <s v="BHCOE - 135002 - Electric - Gen"/>
    <x v="26"/>
    <x v="3"/>
    <s v="BH Colorado Electric Oper Co"/>
    <s v="SEC"/>
    <x v="2"/>
    <n v="-17462.240000000002"/>
    <n v="0"/>
    <n v="0"/>
    <n v="0"/>
    <n v="0"/>
    <n v="0"/>
    <n v="0"/>
    <n v="-17462.240000000002"/>
  </r>
  <r>
    <x v="0"/>
    <s v="12/2021"/>
    <s v="BHCOE - 135200 - Electric - Tran -"/>
    <x v="27"/>
    <x v="3"/>
    <s v="BH Colorado Electric Oper Co"/>
    <s v="SEC"/>
    <x v="1"/>
    <n v="1940697.37"/>
    <n v="12169.37"/>
    <n v="0"/>
    <n v="0"/>
    <n v="0"/>
    <n v="0"/>
    <n v="0"/>
    <n v="1952866.74"/>
  </r>
  <r>
    <x v="0"/>
    <s v="12/2021"/>
    <s v="BHCOE - 135200 - Electric - Tran -"/>
    <x v="27"/>
    <x v="3"/>
    <s v="BH Colorado Electric Oper Co"/>
    <s v="SEC"/>
    <x v="3"/>
    <n v="60488.72"/>
    <n v="626.36"/>
    <n v="0"/>
    <n v="0"/>
    <n v="0"/>
    <n v="0"/>
    <n v="0"/>
    <n v="61115.08"/>
  </r>
  <r>
    <x v="1"/>
    <s v="01/2022"/>
    <s v="BHCOE - 135200 - Electric - Tran -"/>
    <x v="27"/>
    <x v="3"/>
    <s v="BH Colorado Electric Oper Co"/>
    <s v="SEC"/>
    <x v="1"/>
    <n v="1952866.74"/>
    <n v="12169.37"/>
    <n v="0"/>
    <n v="0"/>
    <n v="0"/>
    <n v="0"/>
    <n v="0"/>
    <n v="1965036.1099999999"/>
  </r>
  <r>
    <x v="1"/>
    <s v="01/2022"/>
    <s v="BHCOE - 135200 - Electric - Tran -"/>
    <x v="27"/>
    <x v="3"/>
    <s v="BH Colorado Electric Oper Co"/>
    <s v="SEC"/>
    <x v="3"/>
    <n v="61115.08"/>
    <n v="626.36"/>
    <n v="0"/>
    <n v="0"/>
    <n v="0"/>
    <n v="0"/>
    <n v="0"/>
    <n v="61741.440000000002"/>
  </r>
  <r>
    <x v="2"/>
    <s v="02/2022"/>
    <s v="BHCOE - 135200 - Electric - Tran -"/>
    <x v="27"/>
    <x v="3"/>
    <s v="BH Colorado Electric Oper Co"/>
    <s v="SEC"/>
    <x v="1"/>
    <n v="1965036.1099999999"/>
    <n v="12169.37"/>
    <n v="0"/>
    <n v="0"/>
    <n v="0"/>
    <n v="0"/>
    <n v="0"/>
    <n v="1977205.48"/>
  </r>
  <r>
    <x v="2"/>
    <s v="02/2022"/>
    <s v="BHCOE - 135200 - Electric - Tran -"/>
    <x v="27"/>
    <x v="3"/>
    <s v="BH Colorado Electric Oper Co"/>
    <s v="SEC"/>
    <x v="3"/>
    <n v="61741.440000000002"/>
    <n v="626.36"/>
    <n v="0"/>
    <n v="0"/>
    <n v="0"/>
    <n v="0"/>
    <n v="0"/>
    <n v="62367.8"/>
  </r>
  <r>
    <x v="3"/>
    <s v="03/2022"/>
    <s v="BHCOE - 135200 - Electric - Tran -"/>
    <x v="27"/>
    <x v="3"/>
    <s v="BH Colorado Electric Oper Co"/>
    <s v="SEC"/>
    <x v="1"/>
    <n v="1977205.48"/>
    <n v="12169.37"/>
    <n v="0"/>
    <n v="0"/>
    <n v="0"/>
    <n v="0"/>
    <n v="0"/>
    <n v="1989374.85"/>
  </r>
  <r>
    <x v="3"/>
    <s v="03/2022"/>
    <s v="BHCOE - 135200 - Electric - Tran -"/>
    <x v="27"/>
    <x v="3"/>
    <s v="BH Colorado Electric Oper Co"/>
    <s v="SEC"/>
    <x v="3"/>
    <n v="62367.8"/>
    <n v="626.36"/>
    <n v="0"/>
    <n v="0"/>
    <n v="0"/>
    <n v="0"/>
    <n v="0"/>
    <n v="62994.16"/>
  </r>
  <r>
    <x v="4"/>
    <s v="04/2022"/>
    <s v="BHCOE - 135200 - Electric - Tran -"/>
    <x v="27"/>
    <x v="3"/>
    <s v="BH Colorado Electric Oper Co"/>
    <s v="SEC"/>
    <x v="1"/>
    <n v="1989374.85"/>
    <n v="12169.37"/>
    <n v="0"/>
    <n v="0"/>
    <n v="0"/>
    <n v="0"/>
    <n v="0"/>
    <n v="2001544.22"/>
  </r>
  <r>
    <x v="4"/>
    <s v="04/2022"/>
    <s v="BHCOE - 135200 - Electric - Tran -"/>
    <x v="27"/>
    <x v="3"/>
    <s v="BH Colorado Electric Oper Co"/>
    <s v="SEC"/>
    <x v="3"/>
    <n v="62994.16"/>
    <n v="626.36"/>
    <n v="0"/>
    <n v="0"/>
    <n v="0"/>
    <n v="0"/>
    <n v="0"/>
    <n v="63620.520000000004"/>
  </r>
  <r>
    <x v="5"/>
    <s v="05/2022"/>
    <s v="BHCOE - 135200 - Electric - Tran -"/>
    <x v="27"/>
    <x v="3"/>
    <s v="BH Colorado Electric Oper Co"/>
    <s v="SEC"/>
    <x v="1"/>
    <n v="2001544.22"/>
    <n v="12169.37"/>
    <n v="0"/>
    <n v="0"/>
    <n v="0"/>
    <n v="0"/>
    <n v="0"/>
    <n v="2013713.59"/>
  </r>
  <r>
    <x v="5"/>
    <s v="05/2022"/>
    <s v="BHCOE - 135200 - Electric - Tran -"/>
    <x v="27"/>
    <x v="3"/>
    <s v="BH Colorado Electric Oper Co"/>
    <s v="SEC"/>
    <x v="3"/>
    <n v="63620.520000000004"/>
    <n v="626.36"/>
    <n v="0"/>
    <n v="0"/>
    <n v="0"/>
    <n v="0"/>
    <n v="0"/>
    <n v="64246.880000000005"/>
  </r>
  <r>
    <x v="6"/>
    <s v="06/2022"/>
    <s v="BHCOE - 135200 - Electric - Tran -"/>
    <x v="27"/>
    <x v="3"/>
    <s v="BH Colorado Electric Oper Co"/>
    <s v="SEC"/>
    <x v="1"/>
    <n v="2013713.59"/>
    <n v="12169.37"/>
    <n v="0"/>
    <n v="0"/>
    <n v="0"/>
    <n v="0"/>
    <n v="0"/>
    <n v="2025882.96"/>
  </r>
  <r>
    <x v="6"/>
    <s v="06/2022"/>
    <s v="BHCOE - 135200 - Electric - Tran -"/>
    <x v="27"/>
    <x v="3"/>
    <s v="BH Colorado Electric Oper Co"/>
    <s v="SEC"/>
    <x v="3"/>
    <n v="64246.880000000005"/>
    <n v="626.36"/>
    <n v="0"/>
    <n v="0"/>
    <n v="0"/>
    <n v="0"/>
    <n v="0"/>
    <n v="64873.24"/>
  </r>
  <r>
    <x v="7"/>
    <s v="07/2022"/>
    <s v="BHCOE - 135200 - Electric - Tran -"/>
    <x v="27"/>
    <x v="3"/>
    <s v="BH Colorado Electric Oper Co"/>
    <s v="SEC"/>
    <x v="1"/>
    <n v="2025882.96"/>
    <n v="12169.37"/>
    <n v="0"/>
    <n v="0"/>
    <n v="0"/>
    <n v="0"/>
    <n v="0"/>
    <n v="2038052.33"/>
  </r>
  <r>
    <x v="7"/>
    <s v="07/2022"/>
    <s v="BHCOE - 135200 - Electric - Tran -"/>
    <x v="27"/>
    <x v="3"/>
    <s v="BH Colorado Electric Oper Co"/>
    <s v="SEC"/>
    <x v="3"/>
    <n v="64873.24"/>
    <n v="626.36"/>
    <n v="0"/>
    <n v="0"/>
    <n v="0"/>
    <n v="0"/>
    <n v="0"/>
    <n v="65499.6"/>
  </r>
  <r>
    <x v="8"/>
    <s v="08/2022"/>
    <s v="BHCOE - 135200 - Electric - Tran -"/>
    <x v="27"/>
    <x v="3"/>
    <s v="BH Colorado Electric Oper Co"/>
    <s v="SEC"/>
    <x v="1"/>
    <n v="2038052.33"/>
    <n v="12169.37"/>
    <n v="0"/>
    <n v="0"/>
    <n v="0"/>
    <n v="0"/>
    <n v="0"/>
    <n v="2050221.7"/>
  </r>
  <r>
    <x v="8"/>
    <s v="08/2022"/>
    <s v="BHCOE - 135200 - Electric - Tran -"/>
    <x v="27"/>
    <x v="3"/>
    <s v="BH Colorado Electric Oper Co"/>
    <s v="SEC"/>
    <x v="3"/>
    <n v="65499.6"/>
    <n v="626.36"/>
    <n v="0"/>
    <n v="0"/>
    <n v="0"/>
    <n v="0"/>
    <n v="0"/>
    <n v="66125.960000000006"/>
  </r>
  <r>
    <x v="9"/>
    <s v="09/2022"/>
    <s v="BHCOE - 135200 - Electric - Tran -"/>
    <x v="27"/>
    <x v="3"/>
    <s v="BH Colorado Electric Oper Co"/>
    <s v="SEC"/>
    <x v="1"/>
    <n v="2050221.7"/>
    <n v="12169.37"/>
    <n v="0"/>
    <n v="0"/>
    <n v="0"/>
    <n v="0"/>
    <n v="0"/>
    <n v="2062391.07"/>
  </r>
  <r>
    <x v="9"/>
    <s v="09/2022"/>
    <s v="BHCOE - 135200 - Electric - Tran -"/>
    <x v="27"/>
    <x v="3"/>
    <s v="BH Colorado Electric Oper Co"/>
    <s v="SEC"/>
    <x v="3"/>
    <n v="66125.960000000006"/>
    <n v="626.36"/>
    <n v="0"/>
    <n v="0"/>
    <n v="0"/>
    <n v="0"/>
    <n v="0"/>
    <n v="66752.320000000007"/>
  </r>
  <r>
    <x v="10"/>
    <s v="10/2022"/>
    <s v="BHCOE - 135200 - Electric - Tran -"/>
    <x v="27"/>
    <x v="3"/>
    <s v="BH Colorado Electric Oper Co"/>
    <s v="SEC"/>
    <x v="1"/>
    <n v="2062391.07"/>
    <n v="12169.37"/>
    <n v="0"/>
    <n v="0"/>
    <n v="0"/>
    <n v="0"/>
    <n v="0"/>
    <n v="2074560.44"/>
  </r>
  <r>
    <x v="10"/>
    <s v="10/2022"/>
    <s v="BHCOE - 135200 - Electric - Tran -"/>
    <x v="27"/>
    <x v="3"/>
    <s v="BH Colorado Electric Oper Co"/>
    <s v="SEC"/>
    <x v="3"/>
    <n v="66752.320000000007"/>
    <n v="626.36"/>
    <n v="0"/>
    <n v="0"/>
    <n v="0"/>
    <n v="0"/>
    <n v="0"/>
    <n v="67378.680000000008"/>
  </r>
  <r>
    <x v="11"/>
    <s v="11/2022"/>
    <s v="BHCOE - 135200 - Electric - Tran -"/>
    <x v="27"/>
    <x v="3"/>
    <s v="BH Colorado Electric Oper Co"/>
    <s v="SEC"/>
    <x v="1"/>
    <n v="2074560.44"/>
    <n v="12182.23"/>
    <n v="0"/>
    <n v="0"/>
    <n v="0"/>
    <n v="0"/>
    <n v="0"/>
    <n v="2086742.67"/>
  </r>
  <r>
    <x v="11"/>
    <s v="11/2022"/>
    <s v="BHCOE - 135200 - Electric - Tran -"/>
    <x v="27"/>
    <x v="3"/>
    <s v="BH Colorado Electric Oper Co"/>
    <s v="SEC"/>
    <x v="3"/>
    <n v="67378.680000000008"/>
    <n v="627.03"/>
    <n v="0"/>
    <n v="0"/>
    <n v="0"/>
    <n v="0"/>
    <n v="0"/>
    <n v="68005.710000000006"/>
  </r>
  <r>
    <x v="12"/>
    <s v="12/2022"/>
    <s v="BHCOE - 135200 - Electric - Tran -"/>
    <x v="27"/>
    <x v="3"/>
    <s v="BH Colorado Electric Oper Co"/>
    <s v="SEC"/>
    <x v="1"/>
    <n v="2086742.67"/>
    <n v="12397.09"/>
    <n v="0"/>
    <n v="0"/>
    <n v="0"/>
    <n v="0"/>
    <n v="0"/>
    <n v="2099139.7599999998"/>
  </r>
  <r>
    <x v="12"/>
    <s v="12/2022"/>
    <s v="BHCOE - 135200 - Electric - Tran -"/>
    <x v="27"/>
    <x v="3"/>
    <s v="BH Colorado Electric Oper Co"/>
    <s v="SEC"/>
    <x v="3"/>
    <n v="68005.710000000006"/>
    <n v="638.09"/>
    <n v="0"/>
    <n v="0"/>
    <n v="0"/>
    <n v="0"/>
    <n v="0"/>
    <n v="68643.8"/>
  </r>
  <r>
    <x v="0"/>
    <s v="12/2021"/>
    <s v="BHCOE - 135259-Electric-CnCity West"/>
    <x v="28"/>
    <x v="3"/>
    <s v="BH Colorado Electric Oper Co"/>
    <s v="SEC"/>
    <x v="2"/>
    <n v="-868440.24"/>
    <n v="2409.41"/>
    <n v="0"/>
    <n v="0"/>
    <n v="0"/>
    <n v="0"/>
    <n v="0"/>
    <n v="-866030.83000000007"/>
  </r>
  <r>
    <x v="1"/>
    <s v="01/2022"/>
    <s v="BHCOE - 135259-Electric-CnCity West"/>
    <x v="28"/>
    <x v="3"/>
    <s v="BH Colorado Electric Oper Co"/>
    <s v="SEC"/>
    <x v="2"/>
    <n v="-866030.83000000007"/>
    <n v="2409.41"/>
    <n v="0"/>
    <n v="0"/>
    <n v="0"/>
    <n v="0"/>
    <n v="0"/>
    <n v="-863621.42"/>
  </r>
  <r>
    <x v="2"/>
    <s v="02/2022"/>
    <s v="BHCOE - 135259-Electric-CnCity West"/>
    <x v="28"/>
    <x v="3"/>
    <s v="BH Colorado Electric Oper Co"/>
    <s v="SEC"/>
    <x v="2"/>
    <n v="-863621.42"/>
    <n v="2409.41"/>
    <n v="0"/>
    <n v="0"/>
    <n v="0"/>
    <n v="0"/>
    <n v="0"/>
    <n v="-861212.01"/>
  </r>
  <r>
    <x v="3"/>
    <s v="03/2022"/>
    <s v="BHCOE - 135259-Electric-CnCity West"/>
    <x v="28"/>
    <x v="3"/>
    <s v="BH Colorado Electric Oper Co"/>
    <s v="SEC"/>
    <x v="2"/>
    <n v="-861212.01"/>
    <n v="2409.41"/>
    <n v="0"/>
    <n v="0"/>
    <n v="0"/>
    <n v="0"/>
    <n v="0"/>
    <n v="-858802.6"/>
  </r>
  <r>
    <x v="4"/>
    <s v="04/2022"/>
    <s v="BHCOE - 135259-Electric-CnCity West"/>
    <x v="28"/>
    <x v="3"/>
    <s v="BH Colorado Electric Oper Co"/>
    <s v="SEC"/>
    <x v="2"/>
    <n v="-858802.6"/>
    <n v="2409.41"/>
    <n v="0"/>
    <n v="0"/>
    <n v="0"/>
    <n v="0"/>
    <n v="0"/>
    <n v="-856393.19000000006"/>
  </r>
  <r>
    <x v="5"/>
    <s v="05/2022"/>
    <s v="BHCOE - 135259-Electric-CnCity West"/>
    <x v="28"/>
    <x v="3"/>
    <s v="BH Colorado Electric Oper Co"/>
    <s v="SEC"/>
    <x v="2"/>
    <n v="-856393.19000000006"/>
    <n v="2409.41"/>
    <n v="0"/>
    <n v="0"/>
    <n v="0"/>
    <n v="0"/>
    <n v="0"/>
    <n v="-853983.78"/>
  </r>
  <r>
    <x v="6"/>
    <s v="06/2022"/>
    <s v="BHCOE - 135259-Electric-CnCity West"/>
    <x v="28"/>
    <x v="3"/>
    <s v="BH Colorado Electric Oper Co"/>
    <s v="SEC"/>
    <x v="2"/>
    <n v="-853983.78"/>
    <n v="2409.41"/>
    <n v="0"/>
    <n v="0"/>
    <n v="0"/>
    <n v="0"/>
    <n v="0"/>
    <n v="-851574.37"/>
  </r>
  <r>
    <x v="7"/>
    <s v="07/2022"/>
    <s v="BHCOE - 135259-Electric-CnCity West"/>
    <x v="28"/>
    <x v="3"/>
    <s v="BH Colorado Electric Oper Co"/>
    <s v="SEC"/>
    <x v="2"/>
    <n v="-851574.37"/>
    <n v="2409.41"/>
    <n v="0"/>
    <n v="0"/>
    <n v="0"/>
    <n v="0"/>
    <n v="0"/>
    <n v="-849164.96"/>
  </r>
  <r>
    <x v="8"/>
    <s v="08/2022"/>
    <s v="BHCOE - 135259-Electric-CnCity West"/>
    <x v="28"/>
    <x v="3"/>
    <s v="BH Colorado Electric Oper Co"/>
    <s v="SEC"/>
    <x v="2"/>
    <n v="-849164.96"/>
    <n v="2409.41"/>
    <n v="0"/>
    <n v="0"/>
    <n v="0"/>
    <n v="0"/>
    <n v="0"/>
    <n v="-846755.55"/>
  </r>
  <r>
    <x v="9"/>
    <s v="09/2022"/>
    <s v="BHCOE - 135259-Electric-CnCity West"/>
    <x v="28"/>
    <x v="3"/>
    <s v="BH Colorado Electric Oper Co"/>
    <s v="SEC"/>
    <x v="2"/>
    <n v="-846755.55"/>
    <n v="2409.41"/>
    <n v="0"/>
    <n v="0"/>
    <n v="0"/>
    <n v="0"/>
    <n v="0"/>
    <n v="-844346.14"/>
  </r>
  <r>
    <x v="10"/>
    <s v="10/2022"/>
    <s v="BHCOE - 135259-Electric-CnCity West"/>
    <x v="28"/>
    <x v="3"/>
    <s v="BH Colorado Electric Oper Co"/>
    <s v="SEC"/>
    <x v="2"/>
    <n v="-844346.14"/>
    <n v="2409.41"/>
    <n v="0"/>
    <n v="0"/>
    <n v="0"/>
    <n v="0"/>
    <n v="0"/>
    <n v="-841936.73"/>
  </r>
  <r>
    <x v="11"/>
    <s v="11/2022"/>
    <s v="BHCOE - 135259-Electric-CnCity West"/>
    <x v="28"/>
    <x v="3"/>
    <s v="BH Colorado Electric Oper Co"/>
    <s v="SEC"/>
    <x v="2"/>
    <n v="-841936.73"/>
    <n v="2409.41"/>
    <n v="0"/>
    <n v="0"/>
    <n v="0"/>
    <n v="0"/>
    <n v="0"/>
    <n v="-839527.32000000007"/>
  </r>
  <r>
    <x v="12"/>
    <s v="12/2022"/>
    <s v="BHCOE - 135259-Electric-CnCity West"/>
    <x v="28"/>
    <x v="3"/>
    <s v="BH Colorado Electric Oper Co"/>
    <s v="SEC"/>
    <x v="2"/>
    <n v="-839527.32000000007"/>
    <n v="2409.41"/>
    <n v="0"/>
    <n v="0"/>
    <n v="0"/>
    <n v="0"/>
    <n v="0"/>
    <n v="-837117.91"/>
  </r>
  <r>
    <x v="0"/>
    <s v="12/2021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0"/>
    <s v="12/2021"/>
    <s v="BHCOE - 135300 - Electric - Tran -"/>
    <x v="29"/>
    <x v="3"/>
    <s v="BH Colorado Electric Oper Co"/>
    <s v="SEC"/>
    <x v="1"/>
    <n v="29803469.550000001"/>
    <n v="118515.43000000001"/>
    <n v="0"/>
    <n v="0"/>
    <n v="0"/>
    <n v="0"/>
    <n v="0"/>
    <n v="29921984.98"/>
  </r>
  <r>
    <x v="0"/>
    <s v="12/2021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0"/>
    <s v="12/2021"/>
    <s v="BHCOE - 135300 - Electric - Tran -"/>
    <x v="29"/>
    <x v="3"/>
    <s v="BH Colorado Electric Oper Co"/>
    <s v="SEC"/>
    <x v="3"/>
    <n v="1132663.97"/>
    <n v="14699.59"/>
    <n v="0"/>
    <n v="0"/>
    <n v="0"/>
    <n v="0"/>
    <n v="0"/>
    <n v="1147363.56"/>
  </r>
  <r>
    <x v="1"/>
    <s v="01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1"/>
    <s v="01/2022"/>
    <s v="BHCOE - 135300 - Electric - Tran -"/>
    <x v="29"/>
    <x v="3"/>
    <s v="BH Colorado Electric Oper Co"/>
    <s v="SEC"/>
    <x v="1"/>
    <n v="29921984.98"/>
    <n v="118341.97"/>
    <n v="-125460.01000000001"/>
    <n v="0"/>
    <n v="0"/>
    <n v="0"/>
    <n v="0"/>
    <n v="29914866.940000001"/>
  </r>
  <r>
    <x v="1"/>
    <s v="01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1"/>
    <s v="01/2022"/>
    <s v="BHCOE - 135300 - Electric - Tran -"/>
    <x v="29"/>
    <x v="3"/>
    <s v="BH Colorado Electric Oper Co"/>
    <s v="SEC"/>
    <x v="3"/>
    <n v="1147363.56"/>
    <n v="14678.07"/>
    <n v="0"/>
    <n v="-292052.93"/>
    <n v="0"/>
    <n v="0"/>
    <n v="0"/>
    <n v="869988.70000000007"/>
  </r>
  <r>
    <x v="2"/>
    <s v="02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2"/>
    <s v="02/2022"/>
    <s v="BHCOE - 135300 - Electric - Tran -"/>
    <x v="29"/>
    <x v="3"/>
    <s v="BH Colorado Electric Oper Co"/>
    <s v="SEC"/>
    <x v="1"/>
    <n v="29914866.940000001"/>
    <n v="118108.72"/>
    <n v="0"/>
    <n v="0"/>
    <n v="0"/>
    <n v="0"/>
    <n v="0"/>
    <n v="30032975.66"/>
  </r>
  <r>
    <x v="2"/>
    <s v="02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2"/>
    <s v="02/2022"/>
    <s v="BHCOE - 135300 - Electric - Tran -"/>
    <x v="29"/>
    <x v="3"/>
    <s v="BH Colorado Electric Oper Co"/>
    <s v="SEC"/>
    <x v="3"/>
    <n v="869988.70000000007"/>
    <n v="14649.14"/>
    <n v="0"/>
    <n v="0"/>
    <n v="0"/>
    <n v="0"/>
    <n v="0"/>
    <n v="884637.84"/>
  </r>
  <r>
    <x v="3"/>
    <s v="03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3"/>
    <s v="03/2022"/>
    <s v="BHCOE - 135300 - Electric - Tran -"/>
    <x v="29"/>
    <x v="3"/>
    <s v="BH Colorado Electric Oper Co"/>
    <s v="SEC"/>
    <x v="1"/>
    <n v="30032975.66"/>
    <n v="118116.43000000001"/>
    <n v="0"/>
    <n v="0"/>
    <n v="0"/>
    <n v="0"/>
    <n v="0"/>
    <n v="30151092.09"/>
  </r>
  <r>
    <x v="3"/>
    <s v="03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3"/>
    <s v="03/2022"/>
    <s v="BHCOE - 135300 - Electric - Tran -"/>
    <x v="29"/>
    <x v="3"/>
    <s v="BH Colorado Electric Oper Co"/>
    <s v="SEC"/>
    <x v="3"/>
    <n v="884637.84"/>
    <n v="14650.1"/>
    <n v="0"/>
    <n v="0"/>
    <n v="0"/>
    <n v="0"/>
    <n v="0"/>
    <n v="899287.94000000006"/>
  </r>
  <r>
    <x v="4"/>
    <s v="04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4"/>
    <s v="04/2022"/>
    <s v="BHCOE - 135300 - Electric - Tran -"/>
    <x v="29"/>
    <x v="3"/>
    <s v="BH Colorado Electric Oper Co"/>
    <s v="SEC"/>
    <x v="1"/>
    <n v="30151092.09"/>
    <n v="119703.2"/>
    <n v="0"/>
    <n v="0"/>
    <n v="0"/>
    <n v="0"/>
    <n v="0"/>
    <n v="30270795.289999999"/>
  </r>
  <r>
    <x v="4"/>
    <s v="04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4"/>
    <s v="04/2022"/>
    <s v="BHCOE - 135300 - Electric - Tran -"/>
    <x v="29"/>
    <x v="3"/>
    <s v="BH Colorado Electric Oper Co"/>
    <s v="SEC"/>
    <x v="3"/>
    <n v="899287.94000000006"/>
    <n v="14846.91"/>
    <n v="0"/>
    <n v="0"/>
    <n v="0"/>
    <n v="0"/>
    <n v="0"/>
    <n v="914134.85"/>
  </r>
  <r>
    <x v="5"/>
    <s v="05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5"/>
    <s v="05/2022"/>
    <s v="BHCOE - 135300 - Electric - Tran -"/>
    <x v="29"/>
    <x v="3"/>
    <s v="BH Colorado Electric Oper Co"/>
    <s v="SEC"/>
    <x v="1"/>
    <n v="30270795.289999999"/>
    <n v="121442.32"/>
    <n v="0"/>
    <n v="0"/>
    <n v="0"/>
    <n v="3886.12"/>
    <n v="0"/>
    <n v="30396123.73"/>
  </r>
  <r>
    <x v="5"/>
    <s v="05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5"/>
    <s v="05/2022"/>
    <s v="BHCOE - 135300 - Electric - Tran -"/>
    <x v="29"/>
    <x v="3"/>
    <s v="BH Colorado Electric Oper Co"/>
    <s v="SEC"/>
    <x v="3"/>
    <n v="914134.85"/>
    <n v="15062.61"/>
    <n v="0"/>
    <n v="0"/>
    <n v="0"/>
    <n v="227.16"/>
    <n v="0"/>
    <n v="929424.62"/>
  </r>
  <r>
    <x v="6"/>
    <s v="06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6"/>
    <s v="06/2022"/>
    <s v="BHCOE - 135300 - Electric - Tran -"/>
    <x v="29"/>
    <x v="3"/>
    <s v="BH Colorado Electric Oper Co"/>
    <s v="SEC"/>
    <x v="1"/>
    <n v="30396123.73"/>
    <n v="121654.82"/>
    <n v="0"/>
    <n v="0"/>
    <n v="0"/>
    <n v="0"/>
    <n v="0"/>
    <n v="30517778.550000001"/>
  </r>
  <r>
    <x v="6"/>
    <s v="06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6"/>
    <s v="06/2022"/>
    <s v="BHCOE - 135300 - Electric - Tran -"/>
    <x v="29"/>
    <x v="3"/>
    <s v="BH Colorado Electric Oper Co"/>
    <s v="SEC"/>
    <x v="3"/>
    <n v="929424.62"/>
    <n v="15088.970000000001"/>
    <n v="0"/>
    <n v="0"/>
    <n v="0"/>
    <n v="0"/>
    <n v="0"/>
    <n v="944513.59"/>
  </r>
  <r>
    <x v="7"/>
    <s v="07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7"/>
    <s v="07/2022"/>
    <s v="BHCOE - 135300 - Electric - Tran -"/>
    <x v="29"/>
    <x v="3"/>
    <s v="BH Colorado Electric Oper Co"/>
    <s v="SEC"/>
    <x v="1"/>
    <n v="30517778.550000001"/>
    <n v="121734.13"/>
    <n v="0"/>
    <n v="0"/>
    <n v="0"/>
    <n v="0"/>
    <n v="0"/>
    <n v="30639512.68"/>
  </r>
  <r>
    <x v="7"/>
    <s v="07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7"/>
    <s v="07/2022"/>
    <s v="BHCOE - 135300 - Electric - Tran -"/>
    <x v="29"/>
    <x v="3"/>
    <s v="BH Colorado Electric Oper Co"/>
    <s v="SEC"/>
    <x v="3"/>
    <n v="944513.59"/>
    <n v="15098.81"/>
    <n v="0"/>
    <n v="0"/>
    <n v="0"/>
    <n v="0"/>
    <n v="0"/>
    <n v="959612.4"/>
  </r>
  <r>
    <x v="8"/>
    <s v="08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8"/>
    <s v="08/2022"/>
    <s v="BHCOE - 135300 - Electric - Tran -"/>
    <x v="29"/>
    <x v="3"/>
    <s v="BH Colorado Electric Oper Co"/>
    <s v="SEC"/>
    <x v="1"/>
    <n v="30639512.68"/>
    <n v="121751.67"/>
    <n v="0"/>
    <n v="0"/>
    <n v="0"/>
    <n v="0"/>
    <n v="0"/>
    <n v="30761264.350000001"/>
  </r>
  <r>
    <x v="8"/>
    <s v="08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8"/>
    <s v="08/2022"/>
    <s v="BHCOE - 135300 - Electric - Tran -"/>
    <x v="29"/>
    <x v="3"/>
    <s v="BH Colorado Electric Oper Co"/>
    <s v="SEC"/>
    <x v="3"/>
    <n v="959612.4"/>
    <n v="15100.98"/>
    <n v="0"/>
    <n v="0"/>
    <n v="0"/>
    <n v="0"/>
    <n v="0"/>
    <n v="974713.38"/>
  </r>
  <r>
    <x v="9"/>
    <s v="09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9"/>
    <s v="09/2022"/>
    <s v="BHCOE - 135300 - Electric - Tran -"/>
    <x v="29"/>
    <x v="3"/>
    <s v="BH Colorado Electric Oper Co"/>
    <s v="SEC"/>
    <x v="1"/>
    <n v="30761264.350000001"/>
    <n v="121718.89"/>
    <n v="0"/>
    <n v="0"/>
    <n v="0"/>
    <n v="0"/>
    <n v="0"/>
    <n v="30882983.239999998"/>
  </r>
  <r>
    <x v="0"/>
    <s v="12/2021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1"/>
    <s v="01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2"/>
    <s v="02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3"/>
    <s v="03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4"/>
    <s v="04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9"/>
    <s v="09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9"/>
    <s v="09/2022"/>
    <s v="BHCOE - 135300 - Electric - Tran -"/>
    <x v="29"/>
    <x v="3"/>
    <s v="BH Colorado Electric Oper Co"/>
    <s v="SEC"/>
    <x v="3"/>
    <n v="974713.38"/>
    <n v="15096.92"/>
    <n v="0"/>
    <n v="0"/>
    <n v="0"/>
    <n v="0"/>
    <n v="0"/>
    <n v="989810.3"/>
  </r>
  <r>
    <x v="10"/>
    <s v="10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10"/>
    <s v="10/2022"/>
    <s v="BHCOE - 135300 - Electric - Tran -"/>
    <x v="29"/>
    <x v="3"/>
    <s v="BH Colorado Electric Oper Co"/>
    <s v="SEC"/>
    <x v="1"/>
    <n v="30882983.239999998"/>
    <n v="121722.7"/>
    <n v="0"/>
    <n v="0"/>
    <n v="0"/>
    <n v="0"/>
    <n v="0"/>
    <n v="31004705.940000001"/>
  </r>
  <r>
    <x v="5"/>
    <s v="05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6"/>
    <s v="06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7"/>
    <s v="07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8"/>
    <s v="08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9"/>
    <s v="09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10"/>
    <s v="10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11"/>
    <s v="11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10"/>
    <s v="10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10"/>
    <s v="10/2022"/>
    <s v="BHCOE - 135300 - Electric - Tran -"/>
    <x v="29"/>
    <x v="3"/>
    <s v="BH Colorado Electric Oper Co"/>
    <s v="SEC"/>
    <x v="3"/>
    <n v="989810.3"/>
    <n v="15097.39"/>
    <n v="0"/>
    <n v="0"/>
    <n v="0"/>
    <n v="0"/>
    <n v="0"/>
    <n v="1004907.69"/>
  </r>
  <r>
    <x v="11"/>
    <s v="11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11"/>
    <s v="11/2022"/>
    <s v="BHCOE - 135300 - Electric - Tran -"/>
    <x v="29"/>
    <x v="3"/>
    <s v="BH Colorado Electric Oper Co"/>
    <s v="SEC"/>
    <x v="1"/>
    <n v="31004705.940000001"/>
    <n v="123121.97"/>
    <n v="-80242.84"/>
    <n v="0"/>
    <n v="0"/>
    <n v="0"/>
    <n v="0"/>
    <n v="31047585.07"/>
  </r>
  <r>
    <x v="12"/>
    <s v="12/2022"/>
    <s v="BHCOE-135300-Electric-Tran-Non-Dep"/>
    <x v="29"/>
    <x v="3"/>
    <s v="BH Colorado Electric Oper Co"/>
    <s v="SEC"/>
    <x v="1"/>
    <n v="0"/>
    <n v="0"/>
    <n v="0"/>
    <n v="0"/>
    <n v="0"/>
    <n v="0"/>
    <n v="0"/>
    <n v="0"/>
  </r>
  <r>
    <x v="11"/>
    <s v="11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11"/>
    <s v="11/2022"/>
    <s v="BHCOE - 135300 - Electric - Tran -"/>
    <x v="29"/>
    <x v="3"/>
    <s v="BH Colorado Electric Oper Co"/>
    <s v="SEC"/>
    <x v="3"/>
    <n v="1004907.69"/>
    <n v="15270.94"/>
    <n v="0"/>
    <n v="-15951.85"/>
    <n v="0"/>
    <n v="0"/>
    <n v="0"/>
    <n v="1004226.78"/>
  </r>
  <r>
    <x v="12"/>
    <s v="12/2022"/>
    <s v="BHCOE - 135300 - Elec-Peak View"/>
    <x v="29"/>
    <x v="3"/>
    <s v="BH Colorado Electric Oper Co"/>
    <s v="SEC"/>
    <x v="1"/>
    <n v="273.19"/>
    <n v="0"/>
    <n v="0"/>
    <n v="0"/>
    <n v="0"/>
    <n v="0"/>
    <n v="0"/>
    <n v="273.19"/>
  </r>
  <r>
    <x v="12"/>
    <s v="12/2022"/>
    <s v="BHCOE - 135300 - Electric - Tran -"/>
    <x v="29"/>
    <x v="3"/>
    <s v="BH Colorado Electric Oper Co"/>
    <s v="SEC"/>
    <x v="1"/>
    <n v="31047585.07"/>
    <n v="124504.52"/>
    <n v="0"/>
    <n v="0"/>
    <n v="0"/>
    <n v="-0.01"/>
    <n v="0"/>
    <n v="31172089.579999998"/>
  </r>
  <r>
    <x v="12"/>
    <s v="12/2022"/>
    <s v="BHCOE - 135300 - Elec-Peak View"/>
    <x v="29"/>
    <x v="3"/>
    <s v="BH Colorado Electric Oper Co"/>
    <s v="SEC"/>
    <x v="3"/>
    <n v="18.990000000000002"/>
    <n v="0"/>
    <n v="0"/>
    <n v="0"/>
    <n v="0"/>
    <n v="0"/>
    <n v="0"/>
    <n v="18.990000000000002"/>
  </r>
  <r>
    <x v="12"/>
    <s v="12/2022"/>
    <s v="BHCOE - 135300 - Electric - Tran -"/>
    <x v="29"/>
    <x v="3"/>
    <s v="BH Colorado Electric Oper Co"/>
    <s v="SEC"/>
    <x v="3"/>
    <n v="1004226.78"/>
    <n v="15442.42"/>
    <n v="0"/>
    <n v="0"/>
    <n v="0"/>
    <n v="0"/>
    <n v="0"/>
    <n v="1019669.2"/>
  </r>
  <r>
    <x v="0"/>
    <s v="12/2021"/>
    <s v="BHCOE - 135359-Electric-CnCity West"/>
    <x v="30"/>
    <x v="3"/>
    <s v="BH Colorado Electric Oper Co"/>
    <s v="SEC"/>
    <x v="2"/>
    <n v="2168026.42"/>
    <n v="3753.48"/>
    <n v="0"/>
    <n v="0"/>
    <n v="0"/>
    <n v="0"/>
    <n v="0"/>
    <n v="2171779.9"/>
  </r>
  <r>
    <x v="1"/>
    <s v="01/2022"/>
    <s v="BHCOE - 135359-Electric-CnCity West"/>
    <x v="30"/>
    <x v="3"/>
    <s v="BH Colorado Electric Oper Co"/>
    <s v="SEC"/>
    <x v="2"/>
    <n v="2171779.9"/>
    <n v="3753.48"/>
    <n v="0"/>
    <n v="0"/>
    <n v="0"/>
    <n v="0"/>
    <n v="0"/>
    <n v="2175533.38"/>
  </r>
  <r>
    <x v="2"/>
    <s v="02/2022"/>
    <s v="BHCOE - 135359-Electric-CnCity West"/>
    <x v="30"/>
    <x v="3"/>
    <s v="BH Colorado Electric Oper Co"/>
    <s v="SEC"/>
    <x v="2"/>
    <n v="2175533.38"/>
    <n v="3753.48"/>
    <n v="0"/>
    <n v="0"/>
    <n v="0"/>
    <n v="0"/>
    <n v="0"/>
    <n v="2179286.86"/>
  </r>
  <r>
    <x v="3"/>
    <s v="03/2022"/>
    <s v="BHCOE - 135359-Electric-CnCity West"/>
    <x v="30"/>
    <x v="3"/>
    <s v="BH Colorado Electric Oper Co"/>
    <s v="SEC"/>
    <x v="2"/>
    <n v="2179286.86"/>
    <n v="3753.48"/>
    <n v="0"/>
    <n v="0"/>
    <n v="0"/>
    <n v="0"/>
    <n v="0"/>
    <n v="2183040.34"/>
  </r>
  <r>
    <x v="4"/>
    <s v="04/2022"/>
    <s v="BHCOE - 135359-Electric-CnCity West"/>
    <x v="30"/>
    <x v="3"/>
    <s v="BH Colorado Electric Oper Co"/>
    <s v="SEC"/>
    <x v="2"/>
    <n v="2183040.34"/>
    <n v="3753.48"/>
    <n v="0"/>
    <n v="0"/>
    <n v="0"/>
    <n v="0"/>
    <n v="0"/>
    <n v="2186793.8199999998"/>
  </r>
  <r>
    <x v="5"/>
    <s v="05/2022"/>
    <s v="BHCOE - 135359-Electric-CnCity West"/>
    <x v="30"/>
    <x v="3"/>
    <s v="BH Colorado Electric Oper Co"/>
    <s v="SEC"/>
    <x v="2"/>
    <n v="2186793.8199999998"/>
    <n v="3753.48"/>
    <n v="0"/>
    <n v="0"/>
    <n v="0"/>
    <n v="0"/>
    <n v="0"/>
    <n v="2190547.2999999998"/>
  </r>
  <r>
    <x v="6"/>
    <s v="06/2022"/>
    <s v="BHCOE - 135359-Electric-CnCity West"/>
    <x v="30"/>
    <x v="3"/>
    <s v="BH Colorado Electric Oper Co"/>
    <s v="SEC"/>
    <x v="2"/>
    <n v="2190547.2999999998"/>
    <n v="3753.48"/>
    <n v="0"/>
    <n v="0"/>
    <n v="0"/>
    <n v="0"/>
    <n v="0"/>
    <n v="2194300.7799999998"/>
  </r>
  <r>
    <x v="7"/>
    <s v="07/2022"/>
    <s v="BHCOE - 135359-Electric-CnCity West"/>
    <x v="30"/>
    <x v="3"/>
    <s v="BH Colorado Electric Oper Co"/>
    <s v="SEC"/>
    <x v="2"/>
    <n v="2194300.7799999998"/>
    <n v="3753.48"/>
    <n v="0"/>
    <n v="0"/>
    <n v="0"/>
    <n v="0"/>
    <n v="0"/>
    <n v="2198054.2599999998"/>
  </r>
  <r>
    <x v="8"/>
    <s v="08/2022"/>
    <s v="BHCOE - 135359-Electric-CnCity West"/>
    <x v="30"/>
    <x v="3"/>
    <s v="BH Colorado Electric Oper Co"/>
    <s v="SEC"/>
    <x v="2"/>
    <n v="2198054.2599999998"/>
    <n v="3753.48"/>
    <n v="0"/>
    <n v="0"/>
    <n v="0"/>
    <n v="0"/>
    <n v="0"/>
    <n v="2201807.7400000002"/>
  </r>
  <r>
    <x v="9"/>
    <s v="09/2022"/>
    <s v="BHCOE - 135359-Electric-CnCity West"/>
    <x v="30"/>
    <x v="3"/>
    <s v="BH Colorado Electric Oper Co"/>
    <s v="SEC"/>
    <x v="2"/>
    <n v="2201807.7400000002"/>
    <n v="3753.48"/>
    <n v="0"/>
    <n v="0"/>
    <n v="0"/>
    <n v="0"/>
    <n v="0"/>
    <n v="2205561.2200000002"/>
  </r>
  <r>
    <x v="10"/>
    <s v="10/2022"/>
    <s v="BHCOE - 135359-Electric-CnCity West"/>
    <x v="30"/>
    <x v="3"/>
    <s v="BH Colorado Electric Oper Co"/>
    <s v="SEC"/>
    <x v="2"/>
    <n v="2205561.2200000002"/>
    <n v="3753.48"/>
    <n v="0"/>
    <n v="0"/>
    <n v="0"/>
    <n v="0"/>
    <n v="0"/>
    <n v="2209314.7000000002"/>
  </r>
  <r>
    <x v="11"/>
    <s v="11/2022"/>
    <s v="BHCOE - 135359-Electric-CnCity West"/>
    <x v="30"/>
    <x v="3"/>
    <s v="BH Colorado Electric Oper Co"/>
    <s v="SEC"/>
    <x v="2"/>
    <n v="2209314.7000000002"/>
    <n v="3753.48"/>
    <n v="0"/>
    <n v="0"/>
    <n v="0"/>
    <n v="0"/>
    <n v="0"/>
    <n v="2213068.1800000002"/>
  </r>
  <r>
    <x v="12"/>
    <s v="12/2022"/>
    <s v="BHCOE - 135359-Electric-CnCity West"/>
    <x v="30"/>
    <x v="3"/>
    <s v="BH Colorado Electric Oper Co"/>
    <s v="SEC"/>
    <x v="2"/>
    <n v="2213068.1800000002"/>
    <n v="3753.48"/>
    <n v="0"/>
    <n v="0"/>
    <n v="0"/>
    <n v="0"/>
    <n v="0"/>
    <n v="2216821.66"/>
  </r>
  <r>
    <x v="0"/>
    <s v="12/2021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1"/>
    <s v="01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2"/>
    <s v="02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3"/>
    <s v="03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4"/>
    <s v="04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5"/>
    <s v="05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6"/>
    <s v="06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7"/>
    <s v="07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8"/>
    <s v="08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9"/>
    <s v="09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10"/>
    <s v="10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11"/>
    <s v="11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12"/>
    <s v="12/2022"/>
    <s v="BHCOE - 135400 - Electric - Tran -"/>
    <x v="31"/>
    <x v="3"/>
    <s v="BH Colorado Electric Oper Co"/>
    <s v="SEC"/>
    <x v="1"/>
    <n v="0"/>
    <n v="0"/>
    <n v="0"/>
    <n v="0"/>
    <n v="0"/>
    <n v="0"/>
    <n v="0"/>
    <n v="0"/>
  </r>
  <r>
    <x v="0"/>
    <s v="12/2021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0"/>
    <s v="12/2021"/>
    <s v="BHCOE - 135500 - Electric - Tran -"/>
    <x v="32"/>
    <x v="3"/>
    <s v="BH Colorado Electric Oper Co"/>
    <s v="SEC"/>
    <x v="1"/>
    <n v="7308756.4699999997"/>
    <n v="62091.55"/>
    <n v="0"/>
    <n v="0"/>
    <n v="0"/>
    <n v="0"/>
    <n v="0"/>
    <n v="7370848.0199999996"/>
  </r>
  <r>
    <x v="0"/>
    <s v="12/2021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0"/>
    <s v="12/2021"/>
    <s v="BHCOE - 135500 - Electric - Tran -"/>
    <x v="32"/>
    <x v="3"/>
    <s v="BH Colorado Electric Oper Co"/>
    <s v="SEC"/>
    <x v="3"/>
    <n v="-2032384.23"/>
    <n v="35749.68"/>
    <n v="0"/>
    <n v="0"/>
    <n v="0"/>
    <n v="0"/>
    <n v="0"/>
    <n v="-1996634.55"/>
  </r>
  <r>
    <x v="1"/>
    <s v="01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1"/>
    <s v="01/2022"/>
    <s v="BHCOE - 135500 - Electric - Tran -"/>
    <x v="32"/>
    <x v="3"/>
    <s v="BH Colorado Electric Oper Co"/>
    <s v="SEC"/>
    <x v="1"/>
    <n v="7370848.0199999996"/>
    <n v="61801.770000000004"/>
    <n v="-506638.01"/>
    <n v="0"/>
    <n v="0"/>
    <n v="0"/>
    <n v="0"/>
    <n v="6926011.7800000003"/>
  </r>
  <r>
    <x v="1"/>
    <s v="01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1"/>
    <s v="01/2022"/>
    <s v="BHCOE - 135500 - Electric - Tran -"/>
    <x v="32"/>
    <x v="3"/>
    <s v="BH Colorado Electric Oper Co"/>
    <s v="SEC"/>
    <x v="3"/>
    <n v="-1996634.55"/>
    <n v="35582.840000000004"/>
    <n v="0"/>
    <n v="-622484.13"/>
    <n v="0"/>
    <n v="0"/>
    <n v="0"/>
    <n v="-2583535.84"/>
  </r>
  <r>
    <x v="2"/>
    <s v="02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2"/>
    <s v="02/2022"/>
    <s v="BHCOE - 135500 - Electric - Tran -"/>
    <x v="32"/>
    <x v="3"/>
    <s v="BH Colorado Electric Oper Co"/>
    <s v="SEC"/>
    <x v="1"/>
    <n v="6926011.7800000003"/>
    <n v="61502.22"/>
    <n v="-7287.71"/>
    <n v="0"/>
    <n v="0"/>
    <n v="0"/>
    <n v="0"/>
    <n v="6980226.29"/>
  </r>
  <r>
    <x v="2"/>
    <s v="02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2"/>
    <s v="02/2022"/>
    <s v="BHCOE - 135500 - Electric - Tran -"/>
    <x v="32"/>
    <x v="3"/>
    <s v="BH Colorado Electric Oper Co"/>
    <s v="SEC"/>
    <x v="3"/>
    <n v="-2583535.84"/>
    <n v="35410.370000000003"/>
    <n v="0"/>
    <n v="-19269.8"/>
    <n v="0"/>
    <n v="0"/>
    <n v="0"/>
    <n v="-2567395.27"/>
  </r>
  <r>
    <x v="3"/>
    <s v="03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3"/>
    <s v="03/2022"/>
    <s v="BHCOE - 135500 - Electric - Tran -"/>
    <x v="32"/>
    <x v="3"/>
    <s v="BH Colorado Electric Oper Co"/>
    <s v="SEC"/>
    <x v="1"/>
    <n v="6980226.29"/>
    <n v="61540.74"/>
    <n v="0"/>
    <n v="0"/>
    <n v="0"/>
    <n v="0"/>
    <n v="0"/>
    <n v="7041767.0300000003"/>
  </r>
  <r>
    <x v="3"/>
    <s v="03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3"/>
    <s v="03/2022"/>
    <s v="BHCOE - 135500 - Electric - Tran -"/>
    <x v="32"/>
    <x v="3"/>
    <s v="BH Colorado Electric Oper Co"/>
    <s v="SEC"/>
    <x v="3"/>
    <n v="-2567395.27"/>
    <n v="35432.550000000003"/>
    <n v="0"/>
    <n v="-50.730000000000004"/>
    <n v="0"/>
    <n v="0"/>
    <n v="0"/>
    <n v="-2532013.4500000002"/>
  </r>
  <r>
    <x v="4"/>
    <s v="04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4"/>
    <s v="04/2022"/>
    <s v="BHCOE - 135500 - Electric - Tran -"/>
    <x v="32"/>
    <x v="3"/>
    <s v="BH Colorado Electric Oper Co"/>
    <s v="SEC"/>
    <x v="1"/>
    <n v="7041767.0300000003"/>
    <n v="66481.78"/>
    <n v="0"/>
    <n v="0"/>
    <n v="0"/>
    <n v="0"/>
    <n v="0"/>
    <n v="7108248.8099999996"/>
  </r>
  <r>
    <x v="4"/>
    <s v="04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4"/>
    <s v="04/2022"/>
    <s v="BHCOE - 135500 - Electric - Tran -"/>
    <x v="32"/>
    <x v="3"/>
    <s v="BH Colorado Electric Oper Co"/>
    <s v="SEC"/>
    <x v="3"/>
    <n v="-2532013.4500000002"/>
    <n v="38277.39"/>
    <n v="0"/>
    <n v="0.6"/>
    <n v="0"/>
    <n v="0"/>
    <n v="0"/>
    <n v="-2493735.46"/>
  </r>
  <r>
    <x v="5"/>
    <s v="05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5"/>
    <s v="05/2022"/>
    <s v="BHCOE - 135500 - Electric - Tran -"/>
    <x v="32"/>
    <x v="3"/>
    <s v="BH Colorado Electric Oper Co"/>
    <s v="SEC"/>
    <x v="1"/>
    <n v="7108248.8099999996"/>
    <n v="71564.900000000009"/>
    <n v="0"/>
    <n v="0"/>
    <n v="0"/>
    <n v="0"/>
    <n v="0"/>
    <n v="7179813.71"/>
  </r>
  <r>
    <x v="5"/>
    <s v="05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5"/>
    <s v="05/2022"/>
    <s v="BHCOE - 135500 - Electric - Tran -"/>
    <x v="32"/>
    <x v="3"/>
    <s v="BH Colorado Electric Oper Co"/>
    <s v="SEC"/>
    <x v="3"/>
    <n v="-2493735.46"/>
    <n v="41204.03"/>
    <n v="0"/>
    <n v="0"/>
    <n v="0"/>
    <n v="0"/>
    <n v="0"/>
    <n v="-2452531.4300000002"/>
  </r>
  <r>
    <x v="6"/>
    <s v="06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6"/>
    <s v="06/2022"/>
    <s v="BHCOE - 135500 - Electric - Tran -"/>
    <x v="32"/>
    <x v="3"/>
    <s v="BH Colorado Electric Oper Co"/>
    <s v="SEC"/>
    <x v="1"/>
    <n v="7179813.71"/>
    <n v="72213.2"/>
    <n v="0"/>
    <n v="0"/>
    <n v="0"/>
    <n v="0"/>
    <n v="0"/>
    <n v="7252026.9100000001"/>
  </r>
  <r>
    <x v="6"/>
    <s v="06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6"/>
    <s v="06/2022"/>
    <s v="BHCOE - 135500 - Electric - Tran -"/>
    <x v="32"/>
    <x v="3"/>
    <s v="BH Colorado Electric Oper Co"/>
    <s v="SEC"/>
    <x v="3"/>
    <n v="-2452531.4300000002"/>
    <n v="41577.300000000003"/>
    <n v="0"/>
    <n v="0"/>
    <n v="0"/>
    <n v="0"/>
    <n v="0"/>
    <n v="-2410954.13"/>
  </r>
  <r>
    <x v="7"/>
    <s v="07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7"/>
    <s v="07/2022"/>
    <s v="BHCOE - 135500 - Electric - Tran -"/>
    <x v="32"/>
    <x v="3"/>
    <s v="BH Colorado Electric Oper Co"/>
    <s v="SEC"/>
    <x v="1"/>
    <n v="7252026.9100000001"/>
    <n v="72743.89"/>
    <n v="0"/>
    <n v="0"/>
    <n v="0"/>
    <n v="0"/>
    <n v="0"/>
    <n v="7324770.7999999998"/>
  </r>
  <r>
    <x v="7"/>
    <s v="07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7"/>
    <s v="07/2022"/>
    <s v="BHCOE - 135500 - Electric - Tran -"/>
    <x v="32"/>
    <x v="3"/>
    <s v="BH Colorado Electric Oper Co"/>
    <s v="SEC"/>
    <x v="3"/>
    <n v="-2410954.13"/>
    <n v="41882.85"/>
    <n v="0"/>
    <n v="0"/>
    <n v="0"/>
    <n v="0"/>
    <n v="0"/>
    <n v="-2369071.2800000003"/>
  </r>
  <r>
    <x v="8"/>
    <s v="08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8"/>
    <s v="08/2022"/>
    <s v="BHCOE - 135500 - Electric - Tran -"/>
    <x v="32"/>
    <x v="3"/>
    <s v="BH Colorado Electric Oper Co"/>
    <s v="SEC"/>
    <x v="1"/>
    <n v="7324770.7999999998"/>
    <n v="72791.41"/>
    <n v="0"/>
    <n v="0"/>
    <n v="0"/>
    <n v="0"/>
    <n v="0"/>
    <n v="7397562.21"/>
  </r>
  <r>
    <x v="8"/>
    <s v="08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8"/>
    <s v="08/2022"/>
    <s v="BHCOE - 135500 - Electric - Tran -"/>
    <x v="32"/>
    <x v="3"/>
    <s v="BH Colorado Electric Oper Co"/>
    <s v="SEC"/>
    <x v="3"/>
    <n v="-2369071.2800000003"/>
    <n v="41910.200000000004"/>
    <n v="0"/>
    <n v="0"/>
    <n v="0"/>
    <n v="0"/>
    <n v="0"/>
    <n v="-2327161.08"/>
  </r>
  <r>
    <x v="9"/>
    <s v="09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9"/>
    <s v="09/2022"/>
    <s v="BHCOE - 135500 - Electric - Tran -"/>
    <x v="32"/>
    <x v="3"/>
    <s v="BH Colorado Electric Oper Co"/>
    <s v="SEC"/>
    <x v="1"/>
    <n v="7397562.21"/>
    <n v="72783.199999999997"/>
    <n v="0"/>
    <n v="0"/>
    <n v="0"/>
    <n v="0"/>
    <n v="0"/>
    <n v="7470345.4100000001"/>
  </r>
  <r>
    <x v="9"/>
    <s v="09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9"/>
    <s v="09/2022"/>
    <s v="BHCOE - 135500 - Electric - Tran -"/>
    <x v="32"/>
    <x v="3"/>
    <s v="BH Colorado Electric Oper Co"/>
    <s v="SEC"/>
    <x v="3"/>
    <n v="-2327161.08"/>
    <n v="41905.480000000003"/>
    <n v="0"/>
    <n v="0"/>
    <n v="0"/>
    <n v="0"/>
    <n v="0"/>
    <n v="-2285255.6"/>
  </r>
  <r>
    <x v="10"/>
    <s v="10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10"/>
    <s v="10/2022"/>
    <s v="BHCOE - 135500 - Electric - Tran -"/>
    <x v="32"/>
    <x v="3"/>
    <s v="BH Colorado Electric Oper Co"/>
    <s v="SEC"/>
    <x v="1"/>
    <n v="7470345.4100000001"/>
    <n v="72769.759999999995"/>
    <n v="0"/>
    <n v="0"/>
    <n v="0"/>
    <n v="0"/>
    <n v="0"/>
    <n v="7543115.1699999999"/>
  </r>
  <r>
    <x v="10"/>
    <s v="10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10"/>
    <s v="10/2022"/>
    <s v="BHCOE - 135500 - Electric - Tran -"/>
    <x v="32"/>
    <x v="3"/>
    <s v="BH Colorado Electric Oper Co"/>
    <s v="SEC"/>
    <x v="3"/>
    <n v="-2285255.6"/>
    <n v="41897.74"/>
    <n v="0"/>
    <n v="0"/>
    <n v="0"/>
    <n v="0"/>
    <n v="0"/>
    <n v="-2243357.86"/>
  </r>
  <r>
    <x v="11"/>
    <s v="11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11"/>
    <s v="11/2022"/>
    <s v="BHCOE - 135500 - Electric - Tran -"/>
    <x v="32"/>
    <x v="3"/>
    <s v="BH Colorado Electric Oper Co"/>
    <s v="SEC"/>
    <x v="1"/>
    <n v="7543115.1699999999"/>
    <n v="72557.19"/>
    <n v="0"/>
    <n v="0"/>
    <n v="0"/>
    <n v="0"/>
    <n v="0"/>
    <n v="7615672.3600000003"/>
  </r>
  <r>
    <x v="11"/>
    <s v="11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11"/>
    <s v="11/2022"/>
    <s v="BHCOE - 135500 - Electric - Tran -"/>
    <x v="32"/>
    <x v="3"/>
    <s v="BH Colorado Electric Oper Co"/>
    <s v="SEC"/>
    <x v="3"/>
    <n v="-2243357.86"/>
    <n v="41775.35"/>
    <n v="0"/>
    <n v="0"/>
    <n v="0"/>
    <n v="0"/>
    <n v="0"/>
    <n v="-2201582.5099999998"/>
  </r>
  <r>
    <x v="12"/>
    <s v="12/2022"/>
    <s v="BHCOE - 135500 - Elec-Peak View"/>
    <x v="32"/>
    <x v="3"/>
    <s v="BH Colorado Electric Oper Co"/>
    <s v="SEC"/>
    <x v="1"/>
    <n v="83877.790000000008"/>
    <n v="0"/>
    <n v="0"/>
    <n v="0"/>
    <n v="0"/>
    <n v="0"/>
    <n v="0"/>
    <n v="83877.790000000008"/>
  </r>
  <r>
    <x v="12"/>
    <s v="12/2022"/>
    <s v="BHCOE - 135500 - Electric - Tran -"/>
    <x v="32"/>
    <x v="3"/>
    <s v="BH Colorado Electric Oper Co"/>
    <s v="SEC"/>
    <x v="1"/>
    <n v="7615672.3600000003"/>
    <n v="70425.02"/>
    <n v="-287533.28000000003"/>
    <n v="0"/>
    <n v="0"/>
    <n v="0"/>
    <n v="0"/>
    <n v="7398564.0999999996"/>
  </r>
  <r>
    <x v="12"/>
    <s v="12/2022"/>
    <s v="BHCOE - 135500 - Elec-Peak View"/>
    <x v="32"/>
    <x v="3"/>
    <s v="BH Colorado Electric Oper Co"/>
    <s v="SEC"/>
    <x v="3"/>
    <n v="46223.57"/>
    <n v="0"/>
    <n v="0"/>
    <n v="0"/>
    <n v="0"/>
    <n v="0"/>
    <n v="0"/>
    <n v="46223.57"/>
  </r>
  <r>
    <x v="12"/>
    <s v="12/2022"/>
    <s v="BHCOE - 135500 - Electric - Tran -"/>
    <x v="32"/>
    <x v="3"/>
    <s v="BH Colorado Electric Oper Co"/>
    <s v="SEC"/>
    <x v="3"/>
    <n v="-2201582.5099999998"/>
    <n v="41860.870000000003"/>
    <n v="0"/>
    <n v="-65691.520000000004"/>
    <n v="0"/>
    <n v="0"/>
    <n v="0"/>
    <n v="-2225413.16"/>
  </r>
  <r>
    <x v="0"/>
    <s v="12/2021"/>
    <s v="BHCOE - 135600 - Electric - Tran -"/>
    <x v="33"/>
    <x v="3"/>
    <s v="BH Colorado Electric Oper Co"/>
    <s v="SEC"/>
    <x v="1"/>
    <n v="6455859.2999999998"/>
    <n v="59157.18"/>
    <n v="0"/>
    <n v="0"/>
    <n v="0"/>
    <n v="0"/>
    <n v="0"/>
    <n v="6515016.4800000004"/>
  </r>
  <r>
    <x v="0"/>
    <s v="12/2021"/>
    <s v="BHCOE - 135600 - Electric - Tran -"/>
    <x v="33"/>
    <x v="3"/>
    <s v="BH Colorado Electric Oper Co"/>
    <s v="SEC"/>
    <x v="3"/>
    <n v="514762.27"/>
    <n v="33219.03"/>
    <n v="0"/>
    <n v="0"/>
    <n v="0"/>
    <n v="0"/>
    <n v="0"/>
    <n v="547981.30000000005"/>
  </r>
  <r>
    <x v="1"/>
    <s v="01/2022"/>
    <s v="BHCOE - 135600 - Electric - Tran -"/>
    <x v="33"/>
    <x v="3"/>
    <s v="BH Colorado Electric Oper Co"/>
    <s v="SEC"/>
    <x v="1"/>
    <n v="6515016.4800000004"/>
    <n v="59176.11"/>
    <n v="-23225.670000000002"/>
    <n v="0"/>
    <n v="0"/>
    <n v="0"/>
    <n v="0"/>
    <n v="6550966.9199999999"/>
  </r>
  <r>
    <x v="1"/>
    <s v="01/2022"/>
    <s v="BHCOE - 135600 - Electric - Tran -"/>
    <x v="33"/>
    <x v="3"/>
    <s v="BH Colorado Electric Oper Co"/>
    <s v="SEC"/>
    <x v="3"/>
    <n v="547981.30000000005"/>
    <n v="33229.660000000003"/>
    <n v="0"/>
    <n v="-152263.37"/>
    <n v="0"/>
    <n v="0"/>
    <n v="0"/>
    <n v="428947.59"/>
  </r>
  <r>
    <x v="2"/>
    <s v="02/2022"/>
    <s v="BHCOE - 135600 - Electric - Tran -"/>
    <x v="33"/>
    <x v="3"/>
    <s v="BH Colorado Electric Oper Co"/>
    <s v="SEC"/>
    <x v="1"/>
    <n v="6550966.9199999999"/>
    <n v="59195.840000000004"/>
    <n v="0"/>
    <n v="0"/>
    <n v="0"/>
    <n v="0"/>
    <n v="0"/>
    <n v="6610162.7599999998"/>
  </r>
  <r>
    <x v="2"/>
    <s v="02/2022"/>
    <s v="BHCOE - 135600 - Electric - Tran -"/>
    <x v="33"/>
    <x v="3"/>
    <s v="BH Colorado Electric Oper Co"/>
    <s v="SEC"/>
    <x v="3"/>
    <n v="428947.59"/>
    <n v="33240.74"/>
    <n v="0"/>
    <n v="0"/>
    <n v="0"/>
    <n v="0"/>
    <n v="0"/>
    <n v="462188.33"/>
  </r>
  <r>
    <x v="3"/>
    <s v="03/2022"/>
    <s v="BHCOE - 135600 - Electric - Tran -"/>
    <x v="33"/>
    <x v="3"/>
    <s v="BH Colorado Electric Oper Co"/>
    <s v="SEC"/>
    <x v="1"/>
    <n v="6610162.7599999998"/>
    <n v="59197.14"/>
    <n v="0"/>
    <n v="0"/>
    <n v="0"/>
    <n v="-87"/>
    <n v="0"/>
    <n v="6669272.9000000004"/>
  </r>
  <r>
    <x v="3"/>
    <s v="03/2022"/>
    <s v="BHCOE - 135600 - Electric - Tran -"/>
    <x v="33"/>
    <x v="3"/>
    <s v="BH Colorado Electric Oper Co"/>
    <s v="SEC"/>
    <x v="3"/>
    <n v="462188.33"/>
    <n v="33241.47"/>
    <n v="0"/>
    <n v="0"/>
    <n v="0"/>
    <n v="-6.08"/>
    <n v="0"/>
    <n v="495423.72000000003"/>
  </r>
  <r>
    <x v="4"/>
    <s v="04/2022"/>
    <s v="BHCOE - 135600 - Electric - Tran -"/>
    <x v="33"/>
    <x v="3"/>
    <s v="BH Colorado Electric Oper Co"/>
    <s v="SEC"/>
    <x v="1"/>
    <n v="6669272.9000000004"/>
    <n v="61623.51"/>
    <n v="0"/>
    <n v="0"/>
    <n v="0"/>
    <n v="0"/>
    <n v="0"/>
    <n v="6730896.4100000001"/>
  </r>
  <r>
    <x v="4"/>
    <s v="04/2022"/>
    <s v="BHCOE - 135600 - Electric - Tran -"/>
    <x v="33"/>
    <x v="3"/>
    <s v="BH Colorado Electric Oper Co"/>
    <s v="SEC"/>
    <x v="3"/>
    <n v="495423.72000000003"/>
    <n v="34603.97"/>
    <n v="0"/>
    <n v="0"/>
    <n v="0"/>
    <n v="0"/>
    <n v="0"/>
    <n v="530027.69000000006"/>
  </r>
  <r>
    <x v="5"/>
    <s v="05/2022"/>
    <s v="BHCOE - 135600 - Electric - Tran -"/>
    <x v="33"/>
    <x v="3"/>
    <s v="BH Colorado Electric Oper Co"/>
    <s v="SEC"/>
    <x v="1"/>
    <n v="6730896.4100000001"/>
    <n v="64073.57"/>
    <n v="0"/>
    <n v="0"/>
    <n v="0"/>
    <n v="0"/>
    <n v="0"/>
    <n v="6794969.9800000004"/>
  </r>
  <r>
    <x v="5"/>
    <s v="05/2022"/>
    <s v="BHCOE - 135600 - Electric - Tran -"/>
    <x v="33"/>
    <x v="3"/>
    <s v="BH Colorado Electric Oper Co"/>
    <s v="SEC"/>
    <x v="3"/>
    <n v="530027.69000000006"/>
    <n v="35979.78"/>
    <n v="0"/>
    <n v="0"/>
    <n v="0"/>
    <n v="0"/>
    <n v="0"/>
    <n v="566007.47"/>
  </r>
  <r>
    <x v="6"/>
    <s v="06/2022"/>
    <s v="BHCOE - 135600 - Electric - Tran -"/>
    <x v="33"/>
    <x v="3"/>
    <s v="BH Colorado Electric Oper Co"/>
    <s v="SEC"/>
    <x v="1"/>
    <n v="6794969.9800000004"/>
    <n v="64339.380000000005"/>
    <n v="0"/>
    <n v="0"/>
    <n v="0"/>
    <n v="0"/>
    <n v="0"/>
    <n v="6859309.3600000003"/>
  </r>
  <r>
    <x v="6"/>
    <s v="06/2022"/>
    <s v="BHCOE - 135600 - Electric - Tran -"/>
    <x v="33"/>
    <x v="3"/>
    <s v="BH Colorado Electric Oper Co"/>
    <s v="SEC"/>
    <x v="3"/>
    <n v="566007.47"/>
    <n v="36129.040000000001"/>
    <n v="0"/>
    <n v="0"/>
    <n v="0"/>
    <n v="0"/>
    <n v="0"/>
    <n v="602136.51"/>
  </r>
  <r>
    <x v="7"/>
    <s v="07/2022"/>
    <s v="BHCOE - 135600 - Electric - Tran -"/>
    <x v="33"/>
    <x v="3"/>
    <s v="BH Colorado Electric Oper Co"/>
    <s v="SEC"/>
    <x v="1"/>
    <n v="6859309.3600000003"/>
    <n v="64601.05"/>
    <n v="0"/>
    <n v="0"/>
    <n v="0"/>
    <n v="0"/>
    <n v="0"/>
    <n v="6923910.4100000001"/>
  </r>
  <r>
    <x v="7"/>
    <s v="07/2022"/>
    <s v="BHCOE - 135600 - Electric - Tran -"/>
    <x v="33"/>
    <x v="3"/>
    <s v="BH Colorado Electric Oper Co"/>
    <s v="SEC"/>
    <x v="3"/>
    <n v="602136.51"/>
    <n v="36275.980000000003"/>
    <n v="0"/>
    <n v="0"/>
    <n v="0"/>
    <n v="0"/>
    <n v="0"/>
    <n v="638412.49"/>
  </r>
  <r>
    <x v="8"/>
    <s v="08/2022"/>
    <s v="BHCOE - 135600 - Electric - Tran -"/>
    <x v="33"/>
    <x v="3"/>
    <s v="BH Colorado Electric Oper Co"/>
    <s v="SEC"/>
    <x v="1"/>
    <n v="6923910.4100000001"/>
    <n v="64659.590000000004"/>
    <n v="0"/>
    <n v="0"/>
    <n v="0"/>
    <n v="0"/>
    <n v="0"/>
    <n v="6988570"/>
  </r>
  <r>
    <x v="8"/>
    <s v="08/2022"/>
    <s v="BHCOE - 135600 - Electric - Tran -"/>
    <x v="33"/>
    <x v="3"/>
    <s v="BH Colorado Electric Oper Co"/>
    <s v="SEC"/>
    <x v="3"/>
    <n v="638412.49"/>
    <n v="36308.85"/>
    <n v="0"/>
    <n v="0"/>
    <n v="0"/>
    <n v="0"/>
    <n v="0"/>
    <n v="674721.34"/>
  </r>
  <r>
    <x v="9"/>
    <s v="09/2022"/>
    <s v="BHCOE - 135600 - Electric - Tran -"/>
    <x v="33"/>
    <x v="3"/>
    <s v="BH Colorado Electric Oper Co"/>
    <s v="SEC"/>
    <x v="1"/>
    <n v="6988570"/>
    <n v="64690.61"/>
    <n v="0"/>
    <n v="0"/>
    <n v="0"/>
    <n v="0"/>
    <n v="0"/>
    <n v="7053260.6100000003"/>
  </r>
  <r>
    <x v="9"/>
    <s v="09/2022"/>
    <s v="BHCOE - 135600 - Electric - Tran -"/>
    <x v="33"/>
    <x v="3"/>
    <s v="BH Colorado Electric Oper Co"/>
    <s v="SEC"/>
    <x v="3"/>
    <n v="674721.34"/>
    <n v="36326.26"/>
    <n v="0"/>
    <n v="0"/>
    <n v="0"/>
    <n v="0"/>
    <n v="0"/>
    <n v="711047.6"/>
  </r>
  <r>
    <x v="10"/>
    <s v="10/2022"/>
    <s v="BHCOE - 135600 - Electric - Tran -"/>
    <x v="33"/>
    <x v="3"/>
    <s v="BH Colorado Electric Oper Co"/>
    <s v="SEC"/>
    <x v="1"/>
    <n v="7053260.6100000003"/>
    <n v="64684.37"/>
    <n v="0"/>
    <n v="0"/>
    <n v="0"/>
    <n v="0"/>
    <n v="0"/>
    <n v="7117944.9800000004"/>
  </r>
  <r>
    <x v="10"/>
    <s v="10/2022"/>
    <s v="BHCOE - 135600 - Electric - Tran -"/>
    <x v="33"/>
    <x v="3"/>
    <s v="BH Colorado Electric Oper Co"/>
    <s v="SEC"/>
    <x v="3"/>
    <n v="711047.6"/>
    <n v="36322.76"/>
    <n v="0"/>
    <n v="0"/>
    <n v="0"/>
    <n v="0"/>
    <n v="0"/>
    <n v="747370.36"/>
  </r>
  <r>
    <x v="11"/>
    <s v="11/2022"/>
    <s v="BHCOE - 135600 - Electric - Tran -"/>
    <x v="33"/>
    <x v="3"/>
    <s v="BH Colorado Electric Oper Co"/>
    <s v="SEC"/>
    <x v="1"/>
    <n v="7117944.9800000004"/>
    <n v="64580.08"/>
    <n v="0"/>
    <n v="0"/>
    <n v="0"/>
    <n v="0"/>
    <n v="0"/>
    <n v="7182525.0599999996"/>
  </r>
  <r>
    <x v="11"/>
    <s v="11/2022"/>
    <s v="BHCOE - 135600 - Electric - Tran -"/>
    <x v="33"/>
    <x v="3"/>
    <s v="BH Colorado Electric Oper Co"/>
    <s v="SEC"/>
    <x v="3"/>
    <n v="747370.36"/>
    <n v="36264.200000000004"/>
    <n v="0"/>
    <n v="0"/>
    <n v="0"/>
    <n v="0"/>
    <n v="0"/>
    <n v="783634.56"/>
  </r>
  <r>
    <x v="12"/>
    <s v="12/2022"/>
    <s v="BHCOE - 135600 - Electric - Tran -"/>
    <x v="33"/>
    <x v="3"/>
    <s v="BH Colorado Electric Oper Co"/>
    <s v="SEC"/>
    <x v="1"/>
    <n v="7182525.0599999996"/>
    <n v="63899.53"/>
    <n v="-146667.30000000002"/>
    <n v="0"/>
    <n v="0"/>
    <n v="0"/>
    <n v="0"/>
    <n v="7099757.29"/>
  </r>
  <r>
    <x v="12"/>
    <s v="12/2022"/>
    <s v="BHCOE - 135600 - Electric - Tran -"/>
    <x v="33"/>
    <x v="3"/>
    <s v="BH Colorado Electric Oper Co"/>
    <s v="SEC"/>
    <x v="3"/>
    <n v="783634.56"/>
    <n v="36191.660000000003"/>
    <n v="0"/>
    <n v="-33508.480000000003"/>
    <n v="0"/>
    <n v="0"/>
    <n v="0"/>
    <n v="786317.74"/>
  </r>
  <r>
    <x v="0"/>
    <s v="12/2021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0"/>
    <s v="12/2021"/>
    <s v="BHCOE - 135700 - Electric-Tran-UG"/>
    <x v="34"/>
    <x v="3"/>
    <s v="BH Colorado Electric Oper Co"/>
    <s v="SEC"/>
    <x v="1"/>
    <n v="1174.44"/>
    <n v="0"/>
    <n v="0"/>
    <n v="0"/>
    <n v="0"/>
    <n v="0"/>
    <n v="0"/>
    <n v="1174.44"/>
  </r>
  <r>
    <x v="1"/>
    <s v="01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1"/>
    <s v="01/2022"/>
    <s v="BHCOE - 135700 - Electric-Tran-UG"/>
    <x v="34"/>
    <x v="3"/>
    <s v="BH Colorado Electric Oper Co"/>
    <s v="SEC"/>
    <x v="1"/>
    <n v="1174.44"/>
    <n v="0"/>
    <n v="0"/>
    <n v="0"/>
    <n v="0"/>
    <n v="0"/>
    <n v="0"/>
    <n v="1174.44"/>
  </r>
  <r>
    <x v="2"/>
    <s v="02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2"/>
    <s v="02/2022"/>
    <s v="BHCOE - 135700 - Electric-Tran-UG"/>
    <x v="34"/>
    <x v="3"/>
    <s v="BH Colorado Electric Oper Co"/>
    <s v="SEC"/>
    <x v="1"/>
    <n v="1174.44"/>
    <n v="0"/>
    <n v="0"/>
    <n v="0"/>
    <n v="0"/>
    <n v="0"/>
    <n v="0"/>
    <n v="1174.44"/>
  </r>
  <r>
    <x v="3"/>
    <s v="03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3"/>
    <s v="03/2022"/>
    <s v="BHCOE - 135700 - Electric-Tran-UG"/>
    <x v="34"/>
    <x v="3"/>
    <s v="BH Colorado Electric Oper Co"/>
    <s v="SEC"/>
    <x v="1"/>
    <n v="1174.44"/>
    <n v="4.22"/>
    <n v="0"/>
    <n v="0"/>
    <n v="0"/>
    <n v="0"/>
    <n v="0"/>
    <n v="1178.6600000000001"/>
  </r>
  <r>
    <x v="4"/>
    <s v="04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4"/>
    <s v="04/2022"/>
    <s v="BHCOE - 135700 - Electric-Tran-UG"/>
    <x v="34"/>
    <x v="3"/>
    <s v="BH Colorado Electric Oper Co"/>
    <s v="SEC"/>
    <x v="1"/>
    <n v="1178.6600000000001"/>
    <n v="8.44"/>
    <n v="0"/>
    <n v="0"/>
    <n v="0"/>
    <n v="0"/>
    <n v="0"/>
    <n v="1187.1000000000001"/>
  </r>
  <r>
    <x v="5"/>
    <s v="05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5"/>
    <s v="05/2022"/>
    <s v="BHCOE - 135700 - Electric-Tran-UG"/>
    <x v="34"/>
    <x v="3"/>
    <s v="BH Colorado Electric Oper Co"/>
    <s v="SEC"/>
    <x v="1"/>
    <n v="1187.1000000000001"/>
    <n v="8.44"/>
    <n v="0"/>
    <n v="0"/>
    <n v="0"/>
    <n v="0"/>
    <n v="0"/>
    <n v="1195.54"/>
  </r>
  <r>
    <x v="6"/>
    <s v="06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6"/>
    <s v="06/2022"/>
    <s v="BHCOE - 135700 - Electric-Tran-UG"/>
    <x v="34"/>
    <x v="3"/>
    <s v="BH Colorado Electric Oper Co"/>
    <s v="SEC"/>
    <x v="1"/>
    <n v="1195.54"/>
    <n v="8.44"/>
    <n v="0"/>
    <n v="0"/>
    <n v="0"/>
    <n v="0"/>
    <n v="0"/>
    <n v="1203.98"/>
  </r>
  <r>
    <x v="7"/>
    <s v="07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7"/>
    <s v="07/2022"/>
    <s v="BHCOE - 135700 - Electric-Tran-UG"/>
    <x v="34"/>
    <x v="3"/>
    <s v="BH Colorado Electric Oper Co"/>
    <s v="SEC"/>
    <x v="1"/>
    <n v="1203.98"/>
    <n v="8.44"/>
    <n v="0"/>
    <n v="0"/>
    <n v="0"/>
    <n v="0"/>
    <n v="0"/>
    <n v="1212.42"/>
  </r>
  <r>
    <x v="8"/>
    <s v="08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8"/>
    <s v="08/2022"/>
    <s v="BHCOE - 135700 - Electric-Tran-UG"/>
    <x v="34"/>
    <x v="3"/>
    <s v="BH Colorado Electric Oper Co"/>
    <s v="SEC"/>
    <x v="1"/>
    <n v="1212.42"/>
    <n v="0"/>
    <n v="0"/>
    <n v="0"/>
    <n v="0"/>
    <n v="0"/>
    <n v="0"/>
    <n v="1212.42"/>
  </r>
  <r>
    <x v="9"/>
    <s v="09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9"/>
    <s v="09/2022"/>
    <s v="BHCOE - 135700 - Electric-Tran-UG"/>
    <x v="34"/>
    <x v="3"/>
    <s v="BH Colorado Electric Oper Co"/>
    <s v="SEC"/>
    <x v="1"/>
    <n v="1212.42"/>
    <n v="0"/>
    <n v="0"/>
    <n v="0"/>
    <n v="0"/>
    <n v="0"/>
    <n v="0"/>
    <n v="1212.42"/>
  </r>
  <r>
    <x v="10"/>
    <s v="10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10"/>
    <s v="10/2022"/>
    <s v="BHCOE - 135700 - Electric-Tran-UG"/>
    <x v="34"/>
    <x v="3"/>
    <s v="BH Colorado Electric Oper Co"/>
    <s v="SEC"/>
    <x v="1"/>
    <n v="1212.42"/>
    <n v="0"/>
    <n v="0"/>
    <n v="0"/>
    <n v="0"/>
    <n v="0"/>
    <n v="0"/>
    <n v="1212.42"/>
  </r>
  <r>
    <x v="11"/>
    <s v="11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11"/>
    <s v="11/2022"/>
    <s v="BHCOE - 135700 - Electric-Tran-UG"/>
    <x v="34"/>
    <x v="3"/>
    <s v="BH Colorado Electric Oper Co"/>
    <s v="SEC"/>
    <x v="1"/>
    <n v="1212.42"/>
    <n v="0"/>
    <n v="0"/>
    <n v="0"/>
    <n v="0"/>
    <n v="0"/>
    <n v="0"/>
    <n v="1212.42"/>
  </r>
  <r>
    <x v="12"/>
    <s v="12/2022"/>
    <s v="BHCOE - 135700 - Electric - Tran -"/>
    <x v="34"/>
    <x v="3"/>
    <s v="BH Colorado Electric Oper Co"/>
    <s v="SEC"/>
    <x v="1"/>
    <n v="0"/>
    <n v="0"/>
    <n v="0"/>
    <n v="0"/>
    <n v="0"/>
    <n v="0"/>
    <n v="0"/>
    <n v="0"/>
  </r>
  <r>
    <x v="12"/>
    <s v="12/2022"/>
    <s v="BHCOE - 135700 - Electric-Tran-UG"/>
    <x v="34"/>
    <x v="3"/>
    <s v="BH Colorado Electric Oper Co"/>
    <s v="SEC"/>
    <x v="1"/>
    <n v="1212.42"/>
    <n v="0"/>
    <n v="0"/>
    <n v="0"/>
    <n v="0"/>
    <n v="0"/>
    <n v="0"/>
    <n v="1212.42"/>
  </r>
  <r>
    <x v="0"/>
    <s v="12/2021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1"/>
    <s v="01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2"/>
    <s v="02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3"/>
    <s v="03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4"/>
    <s v="04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5"/>
    <s v="05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6"/>
    <s v="06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7"/>
    <s v="07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8"/>
    <s v="08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9"/>
    <s v="09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10"/>
    <s v="10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11"/>
    <s v="11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12"/>
    <s v="12/2022"/>
    <s v="BHCOE - 135800 - Electric - Tran -"/>
    <x v="35"/>
    <x v="3"/>
    <s v="BH Colorado Electric Oper Co"/>
    <s v="SEC"/>
    <x v="1"/>
    <n v="260.28000000000003"/>
    <n v="0"/>
    <n v="0"/>
    <n v="0"/>
    <n v="0"/>
    <n v="0"/>
    <n v="0"/>
    <n v="260.28000000000003"/>
  </r>
  <r>
    <x v="0"/>
    <s v="12/2021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1"/>
    <s v="01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2"/>
    <s v="02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3"/>
    <s v="03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4"/>
    <s v="04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5"/>
    <s v="05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6"/>
    <s v="06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7"/>
    <s v="07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8"/>
    <s v="08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9"/>
    <s v="09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10"/>
    <s v="10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11"/>
    <s v="11/2022"/>
    <s v="BHCOE - 136001 - Electric - Gen"/>
    <x v="36"/>
    <x v="0"/>
    <s v="BH Colorado Electric Oper Co"/>
    <s v="SEC"/>
    <x v="2"/>
    <n v="-385.8"/>
    <n v="0"/>
    <n v="0"/>
    <n v="0"/>
    <n v="0"/>
    <n v="0"/>
    <n v="0"/>
    <n v="-385.8"/>
  </r>
  <r>
    <x v="12"/>
    <s v="12/2022"/>
    <s v="BHCOE - 136001 - Electric - Gen"/>
    <x v="36"/>
    <x v="0"/>
    <s v="BH Colorado Electric Oper Co"/>
    <s v="SEC"/>
    <x v="2"/>
    <n v="-385.8"/>
    <n v="0"/>
    <n v="0"/>
    <n v="0"/>
    <n v="0"/>
    <n v="-3.15"/>
    <n v="0"/>
    <n v="-388.95"/>
  </r>
  <r>
    <x v="0"/>
    <s v="12/2021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1"/>
    <s v="01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2"/>
    <s v="02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3"/>
    <s v="03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4"/>
    <s v="04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5"/>
    <s v="05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6"/>
    <s v="06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7"/>
    <s v="07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8"/>
    <s v="08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9"/>
    <s v="09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10"/>
    <s v="10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11"/>
    <s v="11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12"/>
    <s v="12/2022"/>
    <s v="BHCOE - 136002 - Electric - Gen"/>
    <x v="37"/>
    <x v="0"/>
    <s v="BH Colorado Electric Oper Co"/>
    <s v="SEC"/>
    <x v="2"/>
    <n v="-4.18"/>
    <n v="0"/>
    <n v="0"/>
    <n v="0"/>
    <n v="0"/>
    <n v="0"/>
    <n v="0"/>
    <n v="-4.18"/>
  </r>
  <r>
    <x v="0"/>
    <s v="12/2021"/>
    <s v="BHCOE - 136100 - Electric - Dist -"/>
    <x v="38"/>
    <x v="4"/>
    <s v="BH Colorado Electric Oper Co"/>
    <s v="SEC"/>
    <x v="1"/>
    <n v="238921.71"/>
    <n v="1615.63"/>
    <n v="0"/>
    <n v="0"/>
    <n v="0"/>
    <n v="0"/>
    <n v="0"/>
    <n v="240537.34"/>
  </r>
  <r>
    <x v="0"/>
    <s v="12/2021"/>
    <s v="BHCOE - 136100 - Electric - Dist -"/>
    <x v="38"/>
    <x v="4"/>
    <s v="BH Colorado Electric Oper Co"/>
    <s v="SEC"/>
    <x v="3"/>
    <n v="-2462.42"/>
    <n v="74.8"/>
    <n v="0"/>
    <n v="0"/>
    <n v="0"/>
    <n v="0"/>
    <n v="0"/>
    <n v="-2387.62"/>
  </r>
  <r>
    <x v="1"/>
    <s v="01/2022"/>
    <s v="BHCOE - 136100 - Electric - Dist -"/>
    <x v="38"/>
    <x v="4"/>
    <s v="BH Colorado Electric Oper Co"/>
    <s v="SEC"/>
    <x v="1"/>
    <n v="240537.34"/>
    <n v="1622.66"/>
    <n v="0"/>
    <n v="0"/>
    <n v="0"/>
    <n v="0"/>
    <n v="0"/>
    <n v="242160"/>
  </r>
  <r>
    <x v="1"/>
    <s v="01/2022"/>
    <s v="BHCOE - 136100 - Electric - Dist -"/>
    <x v="38"/>
    <x v="4"/>
    <s v="BH Colorado Electric Oper Co"/>
    <s v="SEC"/>
    <x v="3"/>
    <n v="-2387.62"/>
    <n v="75.12"/>
    <n v="0"/>
    <n v="0"/>
    <n v="0"/>
    <n v="0"/>
    <n v="0"/>
    <n v="-2312.5"/>
  </r>
  <r>
    <x v="2"/>
    <s v="02/2022"/>
    <s v="BHCOE - 136100 - Electric - Dist -"/>
    <x v="38"/>
    <x v="4"/>
    <s v="BH Colorado Electric Oper Co"/>
    <s v="SEC"/>
    <x v="1"/>
    <n v="242160"/>
    <n v="1631.1000000000001"/>
    <n v="-3322.1800000000003"/>
    <n v="0"/>
    <n v="0"/>
    <n v="0"/>
    <n v="0"/>
    <n v="240468.92"/>
  </r>
  <r>
    <x v="2"/>
    <s v="02/2022"/>
    <s v="BHCOE - 136100 - Electric - Dist -"/>
    <x v="38"/>
    <x v="4"/>
    <s v="BH Colorado Electric Oper Co"/>
    <s v="SEC"/>
    <x v="3"/>
    <n v="-2312.5"/>
    <n v="75.510000000000005"/>
    <n v="0"/>
    <n v="-1779.8400000000001"/>
    <n v="0"/>
    <n v="0"/>
    <n v="0"/>
    <n v="-4016.83"/>
  </r>
  <r>
    <x v="3"/>
    <s v="03/2022"/>
    <s v="BHCOE - 136100 - Electric - Dist -"/>
    <x v="38"/>
    <x v="4"/>
    <s v="BH Colorado Electric Oper Co"/>
    <s v="SEC"/>
    <x v="1"/>
    <n v="240468.92"/>
    <n v="1632.51"/>
    <n v="0"/>
    <n v="0"/>
    <n v="0"/>
    <n v="0"/>
    <n v="0"/>
    <n v="242101.43"/>
  </r>
  <r>
    <x v="3"/>
    <s v="03/2022"/>
    <s v="BHCOE - 136100 - Electric - Dist -"/>
    <x v="38"/>
    <x v="4"/>
    <s v="BH Colorado Electric Oper Co"/>
    <s v="SEC"/>
    <x v="3"/>
    <n v="-4016.83"/>
    <n v="75.58"/>
    <n v="0"/>
    <n v="0"/>
    <n v="0"/>
    <n v="0"/>
    <n v="0"/>
    <n v="-3941.25"/>
  </r>
  <r>
    <x v="4"/>
    <s v="04/2022"/>
    <s v="BHCOE - 136100 - Electric - Dist -"/>
    <x v="38"/>
    <x v="4"/>
    <s v="BH Colorado Electric Oper Co"/>
    <s v="SEC"/>
    <x v="1"/>
    <n v="242101.43"/>
    <n v="1632.51"/>
    <n v="0"/>
    <n v="0"/>
    <n v="0"/>
    <n v="0"/>
    <n v="0"/>
    <n v="243733.94"/>
  </r>
  <r>
    <x v="4"/>
    <s v="04/2022"/>
    <s v="BHCOE - 136100 - Electric - Dist -"/>
    <x v="38"/>
    <x v="4"/>
    <s v="BH Colorado Electric Oper Co"/>
    <s v="SEC"/>
    <x v="3"/>
    <n v="-3941.25"/>
    <n v="75.58"/>
    <n v="0"/>
    <n v="0"/>
    <n v="0"/>
    <n v="0"/>
    <n v="0"/>
    <n v="-3865.67"/>
  </r>
  <r>
    <x v="5"/>
    <s v="05/2022"/>
    <s v="BHCOE - 136100 - Electric - Dist -"/>
    <x v="38"/>
    <x v="4"/>
    <s v="BH Colorado Electric Oper Co"/>
    <s v="SEC"/>
    <x v="1"/>
    <n v="243733.94"/>
    <n v="1632.51"/>
    <n v="0"/>
    <n v="0"/>
    <n v="0"/>
    <n v="0"/>
    <n v="0"/>
    <n v="245366.45"/>
  </r>
  <r>
    <x v="5"/>
    <s v="05/2022"/>
    <s v="BHCOE - 136100 - Electric - Dist -"/>
    <x v="38"/>
    <x v="4"/>
    <s v="BH Colorado Electric Oper Co"/>
    <s v="SEC"/>
    <x v="3"/>
    <n v="-3865.67"/>
    <n v="75.58"/>
    <n v="0"/>
    <n v="0"/>
    <n v="0"/>
    <n v="0"/>
    <n v="0"/>
    <n v="-3790.09"/>
  </r>
  <r>
    <x v="6"/>
    <s v="06/2022"/>
    <s v="BHCOE - 136100 - Electric - Dist -"/>
    <x v="38"/>
    <x v="4"/>
    <s v="BH Colorado Electric Oper Co"/>
    <s v="SEC"/>
    <x v="1"/>
    <n v="245366.45"/>
    <n v="1632.51"/>
    <n v="0"/>
    <n v="0"/>
    <n v="0"/>
    <n v="0"/>
    <n v="0"/>
    <n v="246998.96"/>
  </r>
  <r>
    <x v="6"/>
    <s v="06/2022"/>
    <s v="BHCOE - 136100 - Electric - Dist -"/>
    <x v="38"/>
    <x v="4"/>
    <s v="BH Colorado Electric Oper Co"/>
    <s v="SEC"/>
    <x v="3"/>
    <n v="-3790.09"/>
    <n v="75.58"/>
    <n v="0"/>
    <n v="0"/>
    <n v="0"/>
    <n v="0"/>
    <n v="0"/>
    <n v="-3714.51"/>
  </r>
  <r>
    <x v="7"/>
    <s v="07/2022"/>
    <s v="BHCOE - 136100 - Electric - Dist -"/>
    <x v="38"/>
    <x v="4"/>
    <s v="BH Colorado Electric Oper Co"/>
    <s v="SEC"/>
    <x v="1"/>
    <n v="246998.96"/>
    <n v="1632.51"/>
    <n v="0"/>
    <n v="0"/>
    <n v="0"/>
    <n v="0"/>
    <n v="0"/>
    <n v="248631.47"/>
  </r>
  <r>
    <x v="7"/>
    <s v="07/2022"/>
    <s v="BHCOE - 136100 - Electric - Dist -"/>
    <x v="38"/>
    <x v="4"/>
    <s v="BH Colorado Electric Oper Co"/>
    <s v="SEC"/>
    <x v="3"/>
    <n v="-3714.51"/>
    <n v="75.58"/>
    <n v="0"/>
    <n v="0"/>
    <n v="0"/>
    <n v="0"/>
    <n v="0"/>
    <n v="-3638.9300000000003"/>
  </r>
  <r>
    <x v="8"/>
    <s v="08/2022"/>
    <s v="BHCOE - 136100 - Electric - Dist -"/>
    <x v="38"/>
    <x v="4"/>
    <s v="BH Colorado Electric Oper Co"/>
    <s v="SEC"/>
    <x v="1"/>
    <n v="248631.47"/>
    <n v="1632.51"/>
    <n v="0"/>
    <n v="0"/>
    <n v="0"/>
    <n v="0"/>
    <n v="0"/>
    <n v="250263.98"/>
  </r>
  <r>
    <x v="8"/>
    <s v="08/2022"/>
    <s v="BHCOE - 136100 - Electric - Dist -"/>
    <x v="38"/>
    <x v="4"/>
    <s v="BH Colorado Electric Oper Co"/>
    <s v="SEC"/>
    <x v="3"/>
    <n v="-3638.9300000000003"/>
    <n v="75.58"/>
    <n v="0"/>
    <n v="0"/>
    <n v="0"/>
    <n v="0"/>
    <n v="0"/>
    <n v="-3563.35"/>
  </r>
  <r>
    <x v="9"/>
    <s v="09/2022"/>
    <s v="BHCOE - 136100 - Electric - Dist -"/>
    <x v="38"/>
    <x v="4"/>
    <s v="BH Colorado Electric Oper Co"/>
    <s v="SEC"/>
    <x v="1"/>
    <n v="250263.98"/>
    <n v="1632.51"/>
    <n v="0"/>
    <n v="0"/>
    <n v="0"/>
    <n v="0"/>
    <n v="0"/>
    <n v="251896.49000000002"/>
  </r>
  <r>
    <x v="9"/>
    <s v="09/2022"/>
    <s v="BHCOE - 136100 - Electric - Dist -"/>
    <x v="38"/>
    <x v="4"/>
    <s v="BH Colorado Electric Oper Co"/>
    <s v="SEC"/>
    <x v="3"/>
    <n v="-3563.35"/>
    <n v="75.58"/>
    <n v="0"/>
    <n v="0"/>
    <n v="0"/>
    <n v="0"/>
    <n v="0"/>
    <n v="-3487.77"/>
  </r>
  <r>
    <x v="10"/>
    <s v="10/2022"/>
    <s v="BHCOE - 136100 - Electric - Dist -"/>
    <x v="38"/>
    <x v="4"/>
    <s v="BH Colorado Electric Oper Co"/>
    <s v="SEC"/>
    <x v="1"/>
    <n v="251896.49000000002"/>
    <n v="1632.51"/>
    <n v="0"/>
    <n v="0"/>
    <n v="0"/>
    <n v="0"/>
    <n v="0"/>
    <n v="253529"/>
  </r>
  <r>
    <x v="10"/>
    <s v="10/2022"/>
    <s v="BHCOE - 136100 - Electric - Dist -"/>
    <x v="38"/>
    <x v="4"/>
    <s v="BH Colorado Electric Oper Co"/>
    <s v="SEC"/>
    <x v="3"/>
    <n v="-3487.77"/>
    <n v="75.58"/>
    <n v="0"/>
    <n v="0"/>
    <n v="0"/>
    <n v="0"/>
    <n v="0"/>
    <n v="-3412.19"/>
  </r>
  <r>
    <x v="11"/>
    <s v="11/2022"/>
    <s v="BHCOE - 136100 - Electric - Dist -"/>
    <x v="38"/>
    <x v="4"/>
    <s v="BH Colorado Electric Oper Co"/>
    <s v="SEC"/>
    <x v="1"/>
    <n v="253529"/>
    <n v="1632.51"/>
    <n v="0"/>
    <n v="0"/>
    <n v="0"/>
    <n v="0"/>
    <n v="0"/>
    <n v="255161.51"/>
  </r>
  <r>
    <x v="11"/>
    <s v="11/2022"/>
    <s v="BHCOE - 136100 - Electric - Dist -"/>
    <x v="38"/>
    <x v="4"/>
    <s v="BH Colorado Electric Oper Co"/>
    <s v="SEC"/>
    <x v="3"/>
    <n v="-3412.19"/>
    <n v="75.58"/>
    <n v="0"/>
    <n v="0"/>
    <n v="0"/>
    <n v="0"/>
    <n v="0"/>
    <n v="-3336.61"/>
  </r>
  <r>
    <x v="12"/>
    <s v="12/2022"/>
    <s v="BHCOE - 136100 - Electric - Dist -"/>
    <x v="38"/>
    <x v="4"/>
    <s v="BH Colorado Electric Oper Co"/>
    <s v="SEC"/>
    <x v="1"/>
    <n v="255161.51"/>
    <n v="2027.97"/>
    <n v="0"/>
    <n v="0"/>
    <n v="0"/>
    <n v="0"/>
    <n v="0"/>
    <n v="257189.48"/>
  </r>
  <r>
    <x v="12"/>
    <s v="12/2022"/>
    <s v="BHCOE - 136100 - Electric - Dist -"/>
    <x v="38"/>
    <x v="4"/>
    <s v="BH Colorado Electric Oper Co"/>
    <s v="SEC"/>
    <x v="3"/>
    <n v="-3336.61"/>
    <n v="93.89"/>
    <n v="0"/>
    <n v="0"/>
    <n v="0"/>
    <n v="0"/>
    <n v="0"/>
    <n v="-3242.7200000000003"/>
  </r>
  <r>
    <x v="0"/>
    <s v="12/2021"/>
    <s v="BHCOE - 136200 - Electric - Dist -"/>
    <x v="39"/>
    <x v="4"/>
    <s v="BH Colorado Electric Oper Co"/>
    <s v="SEC"/>
    <x v="1"/>
    <n v="14203252.16"/>
    <n v="51258.03"/>
    <n v="0"/>
    <n v="0"/>
    <n v="0"/>
    <n v="0"/>
    <n v="0"/>
    <n v="14254510.189999999"/>
  </r>
  <r>
    <x v="0"/>
    <s v="12/2021"/>
    <s v="BHCOE - 136200 - Electric - Dist -"/>
    <x v="39"/>
    <x v="4"/>
    <s v="BH Colorado Electric Oper Co"/>
    <s v="SEC"/>
    <x v="3"/>
    <n v="399949.33"/>
    <n v="13241.66"/>
    <n v="0"/>
    <n v="0"/>
    <n v="0"/>
    <n v="0"/>
    <n v="0"/>
    <n v="413190.99"/>
  </r>
  <r>
    <x v="1"/>
    <s v="01/2022"/>
    <s v="BHCOE - 136200 - Electric - Dist -"/>
    <x v="39"/>
    <x v="4"/>
    <s v="BH Colorado Electric Oper Co"/>
    <s v="SEC"/>
    <x v="1"/>
    <n v="14254510.189999999"/>
    <n v="51253.8"/>
    <n v="-72559.59"/>
    <n v="0"/>
    <n v="0"/>
    <n v="0"/>
    <n v="0"/>
    <n v="14233204.4"/>
  </r>
  <r>
    <x v="1"/>
    <s v="01/2022"/>
    <s v="BHCOE - 136200 - Electric - Dist -"/>
    <x v="39"/>
    <x v="4"/>
    <s v="BH Colorado Electric Oper Co"/>
    <s v="SEC"/>
    <x v="3"/>
    <n v="413190.99"/>
    <n v="13240.56"/>
    <n v="0"/>
    <n v="-7398.58"/>
    <n v="0"/>
    <n v="0"/>
    <n v="0"/>
    <n v="419032.97000000003"/>
  </r>
  <r>
    <x v="2"/>
    <s v="02/2022"/>
    <s v="BHCOE - 136200 - Electric - Dist -"/>
    <x v="39"/>
    <x v="4"/>
    <s v="BH Colorado Electric Oper Co"/>
    <s v="SEC"/>
    <x v="1"/>
    <n v="14233204.4"/>
    <n v="51287.68"/>
    <n v="0"/>
    <n v="0"/>
    <n v="0"/>
    <n v="0"/>
    <n v="0"/>
    <n v="14284492.08"/>
  </r>
  <r>
    <x v="2"/>
    <s v="02/2022"/>
    <s v="BHCOE - 136200 - Electric - Dist -"/>
    <x v="39"/>
    <x v="4"/>
    <s v="BH Colorado Electric Oper Co"/>
    <s v="SEC"/>
    <x v="3"/>
    <n v="419032.97000000003"/>
    <n v="13249.32"/>
    <n v="0"/>
    <n v="0"/>
    <n v="0"/>
    <n v="0"/>
    <n v="0"/>
    <n v="432282.29000000004"/>
  </r>
  <r>
    <x v="3"/>
    <s v="03/2022"/>
    <s v="BHCOE - 136200 - Electric - Dist -"/>
    <x v="39"/>
    <x v="4"/>
    <s v="BH Colorado Electric Oper Co"/>
    <s v="SEC"/>
    <x v="1"/>
    <n v="14284492.08"/>
    <n v="51346.29"/>
    <n v="0"/>
    <n v="0"/>
    <n v="0"/>
    <n v="0"/>
    <n v="0"/>
    <n v="14335838.369999999"/>
  </r>
  <r>
    <x v="3"/>
    <s v="03/2022"/>
    <s v="BHCOE - 136200 - Electric - Dist -"/>
    <x v="39"/>
    <x v="4"/>
    <s v="BH Colorado Electric Oper Co"/>
    <s v="SEC"/>
    <x v="3"/>
    <n v="432282.29000000004"/>
    <n v="13264.460000000001"/>
    <n v="0"/>
    <n v="0"/>
    <n v="0"/>
    <n v="0"/>
    <n v="0"/>
    <n v="445546.75"/>
  </r>
  <r>
    <x v="4"/>
    <s v="04/2022"/>
    <s v="BHCOE - 136200 - Electric - Dist -"/>
    <x v="39"/>
    <x v="4"/>
    <s v="BH Colorado Electric Oper Co"/>
    <s v="SEC"/>
    <x v="1"/>
    <n v="14335838.369999999"/>
    <n v="53563.99"/>
    <n v="0"/>
    <n v="0"/>
    <n v="0"/>
    <n v="0"/>
    <n v="0"/>
    <n v="14389402.359999999"/>
  </r>
  <r>
    <x v="4"/>
    <s v="04/2022"/>
    <s v="BHCOE - 136200 - Electric - Dist -"/>
    <x v="39"/>
    <x v="4"/>
    <s v="BH Colorado Electric Oper Co"/>
    <s v="SEC"/>
    <x v="3"/>
    <n v="445546.75"/>
    <n v="13837.36"/>
    <n v="0"/>
    <n v="0"/>
    <n v="0"/>
    <n v="0"/>
    <n v="0"/>
    <n v="459384.11"/>
  </r>
  <r>
    <x v="5"/>
    <s v="05/2022"/>
    <s v="BHCOE - 136200 - Electric - Dist -"/>
    <x v="39"/>
    <x v="4"/>
    <s v="BH Colorado Electric Oper Co"/>
    <s v="SEC"/>
    <x v="1"/>
    <n v="14389402.359999999"/>
    <n v="55762.25"/>
    <n v="-2766.44"/>
    <n v="0"/>
    <n v="0"/>
    <n v="-2032.23"/>
    <n v="0"/>
    <n v="14440365.939999999"/>
  </r>
  <r>
    <x v="5"/>
    <s v="05/2022"/>
    <s v="BHCOE - 136200 - Electric - Dist -"/>
    <x v="39"/>
    <x v="4"/>
    <s v="BH Colorado Electric Oper Co"/>
    <s v="SEC"/>
    <x v="3"/>
    <n v="459384.11"/>
    <n v="14405.25"/>
    <n v="0"/>
    <n v="0"/>
    <n v="0"/>
    <n v="-63.160000000000004"/>
    <n v="0"/>
    <n v="473726.2"/>
  </r>
  <r>
    <x v="6"/>
    <s v="06/2022"/>
    <s v="BHCOE - 136200 - Electric - Dist -"/>
    <x v="39"/>
    <x v="4"/>
    <s v="BH Colorado Electric Oper Co"/>
    <s v="SEC"/>
    <x v="1"/>
    <n v="14440365.939999999"/>
    <n v="55766.14"/>
    <n v="-748.81000000000006"/>
    <n v="0"/>
    <n v="0"/>
    <n v="0"/>
    <n v="0"/>
    <n v="14495383.27"/>
  </r>
  <r>
    <x v="6"/>
    <s v="06/2022"/>
    <s v="BHCOE - 136200 - Electric - Dist -"/>
    <x v="39"/>
    <x v="4"/>
    <s v="BH Colorado Electric Oper Co"/>
    <s v="SEC"/>
    <x v="3"/>
    <n v="473726.2"/>
    <n v="14406.25"/>
    <n v="0"/>
    <n v="0"/>
    <n v="0"/>
    <n v="0"/>
    <n v="0"/>
    <n v="488132.45"/>
  </r>
  <r>
    <x v="7"/>
    <s v="07/2022"/>
    <s v="BHCOE - 136200 - Electric - Dist -"/>
    <x v="39"/>
    <x v="4"/>
    <s v="BH Colorado Electric Oper Co"/>
    <s v="SEC"/>
    <x v="1"/>
    <n v="14495383.27"/>
    <n v="55766.78"/>
    <n v="0"/>
    <n v="0"/>
    <n v="0"/>
    <n v="0"/>
    <n v="0"/>
    <n v="14551150.050000001"/>
  </r>
  <r>
    <x v="0"/>
    <s v="12/2021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1"/>
    <s v="01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2"/>
    <s v="02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3"/>
    <s v="03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7"/>
    <s v="07/2022"/>
    <s v="BHCOE - 136200 - Electric - Dist -"/>
    <x v="39"/>
    <x v="4"/>
    <s v="BH Colorado Electric Oper Co"/>
    <s v="SEC"/>
    <x v="3"/>
    <n v="488132.45"/>
    <n v="14406.42"/>
    <n v="0"/>
    <n v="0"/>
    <n v="0"/>
    <n v="0"/>
    <n v="0"/>
    <n v="502538.87"/>
  </r>
  <r>
    <x v="8"/>
    <s v="08/2022"/>
    <s v="BHCOE - 136200 - Electric - Dist -"/>
    <x v="39"/>
    <x v="4"/>
    <s v="BH Colorado Electric Oper Co"/>
    <s v="SEC"/>
    <x v="1"/>
    <n v="14551150.050000001"/>
    <n v="55745.41"/>
    <n v="-34910.959999999999"/>
    <n v="0"/>
    <n v="0"/>
    <n v="0"/>
    <n v="0"/>
    <n v="14571984.5"/>
  </r>
  <r>
    <x v="4"/>
    <s v="04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5"/>
    <s v="05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6"/>
    <s v="06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7"/>
    <s v="07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8"/>
    <s v="08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9"/>
    <s v="09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10"/>
    <s v="10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8"/>
    <s v="08/2022"/>
    <s v="BHCOE - 136200 - Electric - Dist -"/>
    <x v="39"/>
    <x v="4"/>
    <s v="BH Colorado Electric Oper Co"/>
    <s v="SEC"/>
    <x v="3"/>
    <n v="502538.87"/>
    <n v="14400.9"/>
    <n v="0"/>
    <n v="-10500"/>
    <n v="0"/>
    <n v="0"/>
    <n v="0"/>
    <n v="506439.77"/>
  </r>
  <r>
    <x v="9"/>
    <s v="09/2022"/>
    <s v="BHCOE - 136200 - Electric - Dist -"/>
    <x v="39"/>
    <x v="4"/>
    <s v="BH Colorado Electric Oper Co"/>
    <s v="SEC"/>
    <x v="1"/>
    <n v="14571984.5"/>
    <n v="55749.69"/>
    <n v="0"/>
    <n v="0"/>
    <n v="0"/>
    <n v="0"/>
    <n v="0"/>
    <n v="14627734.189999999"/>
  </r>
  <r>
    <x v="11"/>
    <s v="11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12"/>
    <s v="12/2022"/>
    <s v="BHCOE-136200-Electric-Dist-Non-Dep"/>
    <x v="39"/>
    <x v="4"/>
    <s v="BH Colorado Electric Oper Co"/>
    <s v="SEC"/>
    <x v="1"/>
    <n v="0"/>
    <n v="0"/>
    <n v="0"/>
    <n v="0"/>
    <n v="0"/>
    <n v="0"/>
    <n v="0"/>
    <n v="0"/>
  </r>
  <r>
    <x v="9"/>
    <s v="09/2022"/>
    <s v="BHCOE - 136200 - Electric - Dist -"/>
    <x v="39"/>
    <x v="4"/>
    <s v="BH Colorado Electric Oper Co"/>
    <s v="SEC"/>
    <x v="3"/>
    <n v="506439.77"/>
    <n v="14402"/>
    <n v="0"/>
    <n v="0"/>
    <n v="0"/>
    <n v="0"/>
    <n v="0"/>
    <n v="520841.77"/>
  </r>
  <r>
    <x v="10"/>
    <s v="10/2022"/>
    <s v="BHCOE - 136200 - Electric - Dist -"/>
    <x v="39"/>
    <x v="4"/>
    <s v="BH Colorado Electric Oper Co"/>
    <s v="SEC"/>
    <x v="1"/>
    <n v="14627734.189999999"/>
    <n v="55783.040000000001"/>
    <n v="0"/>
    <n v="0"/>
    <n v="0"/>
    <n v="0"/>
    <n v="0"/>
    <n v="14683517.23"/>
  </r>
  <r>
    <x v="10"/>
    <s v="10/2022"/>
    <s v="BHCOE - 136200 - Electric - Dist -"/>
    <x v="39"/>
    <x v="4"/>
    <s v="BH Colorado Electric Oper Co"/>
    <s v="SEC"/>
    <x v="3"/>
    <n v="520841.77"/>
    <n v="14410.62"/>
    <n v="0"/>
    <n v="0"/>
    <n v="0"/>
    <n v="0"/>
    <n v="0"/>
    <n v="535252.39"/>
  </r>
  <r>
    <x v="11"/>
    <s v="11/2022"/>
    <s v="BHCOE - 136200 - Electric - Dist -"/>
    <x v="39"/>
    <x v="4"/>
    <s v="BH Colorado Electric Oper Co"/>
    <s v="SEC"/>
    <x v="1"/>
    <n v="14683517.23"/>
    <n v="58433.5"/>
    <n v="0"/>
    <n v="0"/>
    <n v="0"/>
    <n v="0"/>
    <n v="0"/>
    <n v="14741950.73"/>
  </r>
  <r>
    <x v="11"/>
    <s v="11/2022"/>
    <s v="BHCOE - 136200 - Electric - Dist -"/>
    <x v="39"/>
    <x v="4"/>
    <s v="BH Colorado Electric Oper Co"/>
    <s v="SEC"/>
    <x v="3"/>
    <n v="535252.39"/>
    <n v="15095.32"/>
    <n v="0"/>
    <n v="0"/>
    <n v="0"/>
    <n v="0"/>
    <n v="0"/>
    <n v="550347.71"/>
  </r>
  <r>
    <x v="12"/>
    <s v="12/2022"/>
    <s v="BHCOE - 136200 - Electric - Dist -"/>
    <x v="39"/>
    <x v="4"/>
    <s v="BH Colorado Electric Oper Co"/>
    <s v="SEC"/>
    <x v="1"/>
    <n v="14741950.73"/>
    <n v="58036.58"/>
    <n v="-70235.06"/>
    <n v="0"/>
    <n v="0"/>
    <n v="0"/>
    <n v="0"/>
    <n v="14729752.25"/>
  </r>
  <r>
    <x v="12"/>
    <s v="12/2022"/>
    <s v="BHCOE - 136200 - Electric - Dist -"/>
    <x v="39"/>
    <x v="4"/>
    <s v="BH Colorado Electric Oper Co"/>
    <s v="SEC"/>
    <x v="3"/>
    <n v="550347.71"/>
    <n v="15728.39"/>
    <n v="0"/>
    <n v="0"/>
    <n v="0"/>
    <n v="0"/>
    <n v="0"/>
    <n v="566076.1"/>
  </r>
  <r>
    <x v="0"/>
    <s v="12/2021"/>
    <s v="BHCOE - 136400 - Electric - Dist -"/>
    <x v="40"/>
    <x v="4"/>
    <s v="BH Colorado Electric Oper Co"/>
    <s v="SEC"/>
    <x v="1"/>
    <n v="28682481.559999999"/>
    <n v="138011.44"/>
    <n v="-11065.17"/>
    <n v="0"/>
    <n v="0"/>
    <n v="0"/>
    <n v="0"/>
    <n v="28809427.829999998"/>
  </r>
  <r>
    <x v="0"/>
    <s v="12/2021"/>
    <s v="BHCOE - 136400 - Electric - Dist -"/>
    <x v="40"/>
    <x v="4"/>
    <s v="BH Colorado Electric Oper Co"/>
    <s v="SEC"/>
    <x v="3"/>
    <n v="277323.84999999998"/>
    <n v="79559.540000000008"/>
    <n v="0"/>
    <n v="-137734.21"/>
    <n v="0"/>
    <n v="0"/>
    <n v="0"/>
    <n v="219149.18"/>
  </r>
  <r>
    <x v="1"/>
    <s v="01/2022"/>
    <s v="BHCOE - 136400 - Electric - Dist -"/>
    <x v="40"/>
    <x v="4"/>
    <s v="BH Colorado Electric Oper Co"/>
    <s v="SEC"/>
    <x v="1"/>
    <n v="28809427.829999998"/>
    <n v="138769.76"/>
    <n v="-172259.95"/>
    <n v="0"/>
    <n v="0"/>
    <n v="0"/>
    <n v="0"/>
    <n v="28775937.640000001"/>
  </r>
  <r>
    <x v="1"/>
    <s v="01/2022"/>
    <s v="BHCOE - 136400 - Electric - Dist -"/>
    <x v="40"/>
    <x v="4"/>
    <s v="BH Colorado Electric Oper Co"/>
    <s v="SEC"/>
    <x v="3"/>
    <n v="219149.18"/>
    <n v="79996.680000000008"/>
    <n v="0"/>
    <n v="-82421.7"/>
    <n v="0"/>
    <n v="0"/>
    <n v="0"/>
    <n v="216724.16"/>
  </r>
  <r>
    <x v="2"/>
    <s v="02/2022"/>
    <s v="BHCOE - 136400 - Electric - Dist -"/>
    <x v="40"/>
    <x v="4"/>
    <s v="BH Colorado Electric Oper Co"/>
    <s v="SEC"/>
    <x v="1"/>
    <n v="28775937.640000001"/>
    <n v="139256.03"/>
    <n v="-34663.699999999997"/>
    <n v="0"/>
    <n v="0"/>
    <n v="0"/>
    <n v="0"/>
    <n v="28880529.969999999"/>
  </r>
  <r>
    <x v="2"/>
    <s v="02/2022"/>
    <s v="BHCOE - 136400 - Electric - Dist -"/>
    <x v="40"/>
    <x v="4"/>
    <s v="BH Colorado Electric Oper Co"/>
    <s v="SEC"/>
    <x v="3"/>
    <n v="216724.16"/>
    <n v="80277.009999999995"/>
    <n v="0"/>
    <n v="-55863.76"/>
    <n v="0"/>
    <n v="0"/>
    <n v="0"/>
    <n v="241137.41"/>
  </r>
  <r>
    <x v="3"/>
    <s v="03/2022"/>
    <s v="BHCOE - 136400 - Electric - Dist -"/>
    <x v="40"/>
    <x v="4"/>
    <s v="BH Colorado Electric Oper Co"/>
    <s v="SEC"/>
    <x v="1"/>
    <n v="28880529.969999999"/>
    <n v="139847.63"/>
    <n v="-5569.38"/>
    <n v="0"/>
    <n v="0"/>
    <n v="0"/>
    <n v="0"/>
    <n v="29014808.219999999"/>
  </r>
  <r>
    <x v="3"/>
    <s v="03/2022"/>
    <s v="BHCOE - 136400 - Electric - Dist -"/>
    <x v="40"/>
    <x v="4"/>
    <s v="BH Colorado Electric Oper Co"/>
    <s v="SEC"/>
    <x v="3"/>
    <n v="241137.41"/>
    <n v="80618.05"/>
    <n v="0"/>
    <n v="-17720.490000000002"/>
    <n v="0"/>
    <n v="0"/>
    <n v="0"/>
    <n v="304034.97000000003"/>
  </r>
  <r>
    <x v="4"/>
    <s v="04/2022"/>
    <s v="BHCOE - 136400 - Electric - Dist -"/>
    <x v="40"/>
    <x v="4"/>
    <s v="BH Colorado Electric Oper Co"/>
    <s v="SEC"/>
    <x v="1"/>
    <n v="29014808.219999999"/>
    <n v="140046.44"/>
    <n v="-18859.55"/>
    <n v="0"/>
    <n v="0"/>
    <n v="0"/>
    <n v="0"/>
    <n v="29135995.109999999"/>
  </r>
  <r>
    <x v="4"/>
    <s v="04/2022"/>
    <s v="BHCOE - 136400 - Electric - Dist -"/>
    <x v="40"/>
    <x v="4"/>
    <s v="BH Colorado Electric Oper Co"/>
    <s v="SEC"/>
    <x v="3"/>
    <n v="304034.97000000003"/>
    <n v="80732.650000000009"/>
    <n v="0"/>
    <n v="-26349.79"/>
    <n v="0"/>
    <n v="0"/>
    <n v="0"/>
    <n v="358417.83"/>
  </r>
  <r>
    <x v="5"/>
    <s v="05/2022"/>
    <s v="BHCOE - 136400 - Electric - Dist -"/>
    <x v="40"/>
    <x v="4"/>
    <s v="BH Colorado Electric Oper Co"/>
    <s v="SEC"/>
    <x v="1"/>
    <n v="29135995.109999999"/>
    <n v="141245.87"/>
    <n v="-45898.239999999998"/>
    <n v="0"/>
    <n v="0"/>
    <n v="0"/>
    <n v="0"/>
    <n v="29231342.739999998"/>
  </r>
  <r>
    <x v="5"/>
    <s v="05/2022"/>
    <s v="BHCOE - 136400 - Electric - Dist -"/>
    <x v="40"/>
    <x v="4"/>
    <s v="BH Colorado Electric Oper Co"/>
    <s v="SEC"/>
    <x v="3"/>
    <n v="358417.83"/>
    <n v="81424.09"/>
    <n v="0"/>
    <n v="-251100.69"/>
    <n v="0"/>
    <n v="0"/>
    <n v="0"/>
    <n v="188741.23"/>
  </r>
  <r>
    <x v="6"/>
    <s v="06/2022"/>
    <s v="BHCOE - 136400 - Electric - Dist -"/>
    <x v="40"/>
    <x v="4"/>
    <s v="BH Colorado Electric Oper Co"/>
    <s v="SEC"/>
    <x v="1"/>
    <n v="29231342.739999998"/>
    <n v="142571.08000000002"/>
    <n v="-46728.82"/>
    <n v="0"/>
    <n v="0"/>
    <n v="0"/>
    <n v="0"/>
    <n v="29327185"/>
  </r>
  <r>
    <x v="6"/>
    <s v="06/2022"/>
    <s v="BHCOE - 136400 - Electric - Dist -"/>
    <x v="40"/>
    <x v="4"/>
    <s v="BH Colorado Electric Oper Co"/>
    <s v="SEC"/>
    <x v="3"/>
    <n v="188741.23"/>
    <n v="82188.03"/>
    <n v="0"/>
    <n v="-194232.9"/>
    <n v="0"/>
    <n v="0"/>
    <n v="0"/>
    <n v="76696.36"/>
  </r>
  <r>
    <x v="7"/>
    <s v="07/2022"/>
    <s v="BHCOE - 136400 - Electric - Dist -"/>
    <x v="40"/>
    <x v="4"/>
    <s v="BH Colorado Electric Oper Co"/>
    <s v="SEC"/>
    <x v="1"/>
    <n v="29327185"/>
    <n v="142755.55000000002"/>
    <n v="-42398.21"/>
    <n v="0"/>
    <n v="0"/>
    <n v="0"/>
    <n v="0"/>
    <n v="29427542.34"/>
  </r>
  <r>
    <x v="7"/>
    <s v="07/2022"/>
    <s v="BHCOE - 136400 - Electric - Dist -"/>
    <x v="40"/>
    <x v="4"/>
    <s v="BH Colorado Electric Oper Co"/>
    <s v="SEC"/>
    <x v="3"/>
    <n v="76696.36"/>
    <n v="82294.38"/>
    <n v="0"/>
    <n v="-110707.48"/>
    <n v="0"/>
    <n v="0"/>
    <n v="0"/>
    <n v="48283.26"/>
  </r>
  <r>
    <x v="8"/>
    <s v="08/2022"/>
    <s v="BHCOE - 136400 - Electric - Dist -"/>
    <x v="40"/>
    <x v="4"/>
    <s v="BH Colorado Electric Oper Co"/>
    <s v="SEC"/>
    <x v="1"/>
    <n v="29427542.34"/>
    <n v="142814.94"/>
    <n v="-747.08"/>
    <n v="0"/>
    <n v="0"/>
    <n v="0"/>
    <n v="0"/>
    <n v="29569610.199999999"/>
  </r>
  <r>
    <x v="8"/>
    <s v="08/2022"/>
    <s v="BHCOE - 136400 - Electric - Dist -"/>
    <x v="40"/>
    <x v="4"/>
    <s v="BH Colorado Electric Oper Co"/>
    <s v="SEC"/>
    <x v="3"/>
    <n v="48283.26"/>
    <n v="82328.61"/>
    <n v="0"/>
    <n v="68.650000000000006"/>
    <n v="0"/>
    <n v="0"/>
    <n v="0"/>
    <n v="130680.52"/>
  </r>
  <r>
    <x v="9"/>
    <s v="09/2022"/>
    <s v="BHCOE - 136400 - Electric - Dist -"/>
    <x v="40"/>
    <x v="4"/>
    <s v="BH Colorado Electric Oper Co"/>
    <s v="SEC"/>
    <x v="1"/>
    <n v="29569610.199999999"/>
    <n v="143209.4"/>
    <n v="-24064.59"/>
    <n v="0"/>
    <n v="0"/>
    <n v="0"/>
    <n v="0"/>
    <n v="29688755.010000002"/>
  </r>
  <r>
    <x v="9"/>
    <s v="09/2022"/>
    <s v="BHCOE - 136400 - Electric - Dist -"/>
    <x v="40"/>
    <x v="4"/>
    <s v="BH Colorado Electric Oper Co"/>
    <s v="SEC"/>
    <x v="3"/>
    <n v="130680.52"/>
    <n v="82556"/>
    <n v="0"/>
    <n v="-25917.81"/>
    <n v="0"/>
    <n v="0"/>
    <n v="0"/>
    <n v="187318.71"/>
  </r>
  <r>
    <x v="10"/>
    <s v="10/2022"/>
    <s v="BHCOE - 136400 - Electric - Dist -"/>
    <x v="40"/>
    <x v="4"/>
    <s v="BH Colorado Electric Oper Co"/>
    <s v="SEC"/>
    <x v="1"/>
    <n v="29688755.010000002"/>
    <n v="143787.35"/>
    <n v="-8775.0300000000007"/>
    <n v="0"/>
    <n v="0"/>
    <n v="0"/>
    <n v="0"/>
    <n v="29823767.329999998"/>
  </r>
  <r>
    <x v="10"/>
    <s v="10/2022"/>
    <s v="BHCOE - 136400 - Electric - Dist -"/>
    <x v="40"/>
    <x v="4"/>
    <s v="BH Colorado Electric Oper Co"/>
    <s v="SEC"/>
    <x v="3"/>
    <n v="187318.71"/>
    <n v="82889.180000000008"/>
    <n v="0"/>
    <n v="-934.12"/>
    <n v="0"/>
    <n v="0"/>
    <n v="0"/>
    <n v="269273.77"/>
  </r>
  <r>
    <x v="11"/>
    <s v="11/2022"/>
    <s v="BHCOE - 136400 - Electric - Dist -"/>
    <x v="40"/>
    <x v="4"/>
    <s v="BH Colorado Electric Oper Co"/>
    <s v="SEC"/>
    <x v="1"/>
    <n v="29823767.329999998"/>
    <n v="144154.16"/>
    <n v="-52610.14"/>
    <n v="0"/>
    <n v="0"/>
    <n v="0"/>
    <n v="0"/>
    <n v="29915311.350000001"/>
  </r>
  <r>
    <x v="11"/>
    <s v="11/2022"/>
    <s v="BHCOE - 136400 - Electric - Dist -"/>
    <x v="40"/>
    <x v="4"/>
    <s v="BH Colorado Electric Oper Co"/>
    <s v="SEC"/>
    <x v="3"/>
    <n v="269273.77"/>
    <n v="83100.63"/>
    <n v="0"/>
    <n v="-16300"/>
    <n v="0"/>
    <n v="0"/>
    <n v="0"/>
    <n v="336074.4"/>
  </r>
  <r>
    <x v="12"/>
    <s v="12/2022"/>
    <s v="BHCOE - 136400 - Electric - Dist -"/>
    <x v="40"/>
    <x v="4"/>
    <s v="BH Colorado Electric Oper Co"/>
    <s v="SEC"/>
    <x v="1"/>
    <n v="29915311.350000001"/>
    <n v="141249.87"/>
    <n v="-692023.51"/>
    <n v="0"/>
    <n v="0"/>
    <n v="0"/>
    <n v="0"/>
    <n v="29364537.710000001"/>
  </r>
  <r>
    <x v="12"/>
    <s v="12/2022"/>
    <s v="BHCOE - 136400 - Electric - Dist -"/>
    <x v="40"/>
    <x v="4"/>
    <s v="BH Colorado Electric Oper Co"/>
    <s v="SEC"/>
    <x v="3"/>
    <n v="336074.4"/>
    <n v="83967.85"/>
    <n v="0"/>
    <n v="-374546.05"/>
    <n v="0"/>
    <n v="0"/>
    <n v="0"/>
    <n v="45496.200000000004"/>
  </r>
  <r>
    <x v="0"/>
    <s v="12/2021"/>
    <s v="BHCOE - 136500 - Electric - Dist -"/>
    <x v="41"/>
    <x v="4"/>
    <s v="BH Colorado Electric Oper Co"/>
    <s v="SEC"/>
    <x v="1"/>
    <n v="25385518.260000002"/>
    <n v="59086.65"/>
    <n v="0"/>
    <n v="0"/>
    <n v="0"/>
    <n v="0"/>
    <n v="0"/>
    <n v="25444604.91"/>
  </r>
  <r>
    <x v="0"/>
    <s v="12/2021"/>
    <s v="BHCOE - 136500 - Electric - Dist -"/>
    <x v="41"/>
    <x v="4"/>
    <s v="BH Colorado Electric Oper Co"/>
    <s v="SEC"/>
    <x v="3"/>
    <n v="2239971.19"/>
    <n v="39391.1"/>
    <n v="0"/>
    <n v="-539.44000000000005"/>
    <n v="0"/>
    <n v="0"/>
    <n v="0"/>
    <n v="2278822.85"/>
  </r>
  <r>
    <x v="1"/>
    <s v="01/2022"/>
    <s v="BHCOE - 136500 - Electric - Dist -"/>
    <x v="41"/>
    <x v="4"/>
    <s v="BH Colorado Electric Oper Co"/>
    <s v="SEC"/>
    <x v="1"/>
    <n v="25444604.91"/>
    <n v="59400.130000000005"/>
    <n v="-26253.21"/>
    <n v="0"/>
    <n v="0"/>
    <n v="0"/>
    <n v="0"/>
    <n v="25477751.829999998"/>
  </r>
  <r>
    <x v="1"/>
    <s v="01/2022"/>
    <s v="BHCOE - 136500 - Electric - Dist -"/>
    <x v="41"/>
    <x v="4"/>
    <s v="BH Colorado Electric Oper Co"/>
    <s v="SEC"/>
    <x v="3"/>
    <n v="2278822.85"/>
    <n v="39600.090000000004"/>
    <n v="0"/>
    <n v="-7657.64"/>
    <n v="0"/>
    <n v="0"/>
    <n v="0"/>
    <n v="2310765.2999999998"/>
  </r>
  <r>
    <x v="2"/>
    <s v="02/2022"/>
    <s v="BHCOE - 136500 - Electric - Dist -"/>
    <x v="41"/>
    <x v="4"/>
    <s v="BH Colorado Electric Oper Co"/>
    <s v="SEC"/>
    <x v="1"/>
    <n v="25477751.829999998"/>
    <n v="59587.49"/>
    <n v="-4299.82"/>
    <n v="0"/>
    <n v="0"/>
    <n v="0"/>
    <n v="0"/>
    <n v="25533039.5"/>
  </r>
  <r>
    <x v="2"/>
    <s v="02/2022"/>
    <s v="BHCOE - 136500 - Electric - Dist -"/>
    <x v="41"/>
    <x v="4"/>
    <s v="BH Colorado Electric Oper Co"/>
    <s v="SEC"/>
    <x v="3"/>
    <n v="2310765.2999999998"/>
    <n v="39724.99"/>
    <n v="0"/>
    <n v="-8954.73"/>
    <n v="0"/>
    <n v="0"/>
    <n v="0"/>
    <n v="2341535.56"/>
  </r>
  <r>
    <x v="3"/>
    <s v="03/2022"/>
    <s v="BHCOE - 136500 - Electric - Dist -"/>
    <x v="41"/>
    <x v="4"/>
    <s v="BH Colorado Electric Oper Co"/>
    <s v="SEC"/>
    <x v="1"/>
    <n v="25533039.5"/>
    <n v="59523.65"/>
    <n v="-1030.1300000000001"/>
    <n v="0"/>
    <n v="0"/>
    <n v="87"/>
    <n v="0"/>
    <n v="25591620.02"/>
  </r>
  <r>
    <x v="3"/>
    <s v="03/2022"/>
    <s v="BHCOE - 136500 - Electric - Dist -"/>
    <x v="41"/>
    <x v="4"/>
    <s v="BH Colorado Electric Oper Co"/>
    <s v="SEC"/>
    <x v="3"/>
    <n v="2341535.56"/>
    <n v="39682.44"/>
    <n v="0"/>
    <n v="-39889.1"/>
    <n v="0"/>
    <n v="6.08"/>
    <n v="0"/>
    <n v="2341334.98"/>
  </r>
  <r>
    <x v="4"/>
    <s v="04/2022"/>
    <s v="BHCOE - 136500 - Electric - Dist -"/>
    <x v="41"/>
    <x v="4"/>
    <s v="BH Colorado Electric Oper Co"/>
    <s v="SEC"/>
    <x v="1"/>
    <n v="25591620.02"/>
    <n v="59440.33"/>
    <n v="-7753.41"/>
    <n v="0"/>
    <n v="0"/>
    <n v="0"/>
    <n v="0"/>
    <n v="25643306.940000001"/>
  </r>
  <r>
    <x v="4"/>
    <s v="04/2022"/>
    <s v="BHCOE - 136500 - Electric - Dist -"/>
    <x v="41"/>
    <x v="4"/>
    <s v="BH Colorado Electric Oper Co"/>
    <s v="SEC"/>
    <x v="3"/>
    <n v="2341334.98"/>
    <n v="39626.89"/>
    <n v="0"/>
    <n v="-1736.44"/>
    <n v="0"/>
    <n v="0"/>
    <n v="0"/>
    <n v="2379225.4300000002"/>
  </r>
  <r>
    <x v="5"/>
    <s v="05/2022"/>
    <s v="BHCOE - 136500 - Electric - Dist -"/>
    <x v="41"/>
    <x v="4"/>
    <s v="BH Colorado Electric Oper Co"/>
    <s v="SEC"/>
    <x v="1"/>
    <n v="25643306.940000001"/>
    <n v="59642.18"/>
    <n v="-4636.5600000000004"/>
    <n v="0"/>
    <n v="0"/>
    <n v="-1853.89"/>
    <n v="0"/>
    <n v="25696458.670000002"/>
  </r>
  <r>
    <x v="5"/>
    <s v="05/2022"/>
    <s v="BHCOE - 136500 - Electric - Dist -"/>
    <x v="41"/>
    <x v="4"/>
    <s v="BH Colorado Electric Oper Co"/>
    <s v="SEC"/>
    <x v="3"/>
    <n v="2379225.4300000002"/>
    <n v="39761.450000000004"/>
    <n v="0"/>
    <n v="-5966.78"/>
    <n v="0"/>
    <n v="-164"/>
    <n v="0"/>
    <n v="2412856.1"/>
  </r>
  <r>
    <x v="6"/>
    <s v="06/2022"/>
    <s v="BHCOE - 136500 - Electric - Dist -"/>
    <x v="41"/>
    <x v="4"/>
    <s v="BH Colorado Electric Oper Co"/>
    <s v="SEC"/>
    <x v="1"/>
    <n v="25696458.670000002"/>
    <n v="59691.200000000004"/>
    <n v="-3057.34"/>
    <n v="0"/>
    <n v="0"/>
    <n v="0"/>
    <n v="0"/>
    <n v="25753092.530000001"/>
  </r>
  <r>
    <x v="6"/>
    <s v="06/2022"/>
    <s v="BHCOE - 136500 - Electric - Dist -"/>
    <x v="41"/>
    <x v="4"/>
    <s v="BH Colorado Electric Oper Co"/>
    <s v="SEC"/>
    <x v="3"/>
    <n v="2412856.1"/>
    <n v="39794.129999999997"/>
    <n v="0"/>
    <n v="-12712.07"/>
    <n v="0"/>
    <n v="0"/>
    <n v="0"/>
    <n v="2439938.16"/>
  </r>
  <r>
    <x v="7"/>
    <s v="07/2022"/>
    <s v="BHCOE - 136500 - Electric - Dist -"/>
    <x v="41"/>
    <x v="4"/>
    <s v="BH Colorado Electric Oper Co"/>
    <s v="SEC"/>
    <x v="1"/>
    <n v="25753092.530000001"/>
    <n v="59743.54"/>
    <n v="-61897.279999999999"/>
    <n v="0"/>
    <n v="0"/>
    <n v="0"/>
    <n v="0"/>
    <n v="25750938.789999999"/>
  </r>
  <r>
    <x v="7"/>
    <s v="07/2022"/>
    <s v="BHCOE - 136500 - Electric - Dist -"/>
    <x v="41"/>
    <x v="4"/>
    <s v="BH Colorado Electric Oper Co"/>
    <s v="SEC"/>
    <x v="3"/>
    <n v="2439938.16"/>
    <n v="39829.03"/>
    <n v="0"/>
    <n v="-25538.95"/>
    <n v="0"/>
    <n v="0"/>
    <n v="0"/>
    <n v="2454228.2400000002"/>
  </r>
  <r>
    <x v="8"/>
    <s v="08/2022"/>
    <s v="BHCOE - 136500 - Electric - Dist -"/>
    <x v="41"/>
    <x v="4"/>
    <s v="BH Colorado Electric Oper Co"/>
    <s v="SEC"/>
    <x v="1"/>
    <n v="25750938.789999999"/>
    <n v="59829.57"/>
    <n v="0"/>
    <n v="0"/>
    <n v="0"/>
    <n v="0"/>
    <n v="0"/>
    <n v="25810768.359999999"/>
  </r>
  <r>
    <x v="8"/>
    <s v="08/2022"/>
    <s v="BHCOE - 136500 - Electric - Dist -"/>
    <x v="41"/>
    <x v="4"/>
    <s v="BH Colorado Electric Oper Co"/>
    <s v="SEC"/>
    <x v="3"/>
    <n v="2454228.2400000002"/>
    <n v="39886.379999999997"/>
    <n v="0"/>
    <n v="0"/>
    <n v="0"/>
    <n v="0"/>
    <n v="0"/>
    <n v="2494114.62"/>
  </r>
  <r>
    <x v="9"/>
    <s v="09/2022"/>
    <s v="BHCOE - 136500 - Electric - Dist -"/>
    <x v="41"/>
    <x v="4"/>
    <s v="BH Colorado Electric Oper Co"/>
    <s v="SEC"/>
    <x v="1"/>
    <n v="25810768.359999999"/>
    <n v="59932.340000000004"/>
    <n v="-1192.92"/>
    <n v="0"/>
    <n v="0"/>
    <n v="0"/>
    <n v="0"/>
    <n v="25869507.780000001"/>
  </r>
  <r>
    <x v="9"/>
    <s v="09/2022"/>
    <s v="BHCOE - 136500 - Electric - Dist -"/>
    <x v="41"/>
    <x v="4"/>
    <s v="BH Colorado Electric Oper Co"/>
    <s v="SEC"/>
    <x v="3"/>
    <n v="2494114.62"/>
    <n v="39954.9"/>
    <n v="0"/>
    <n v="-603.48"/>
    <n v="0"/>
    <n v="0"/>
    <n v="0"/>
    <n v="2533466.04"/>
  </r>
  <r>
    <x v="10"/>
    <s v="10/2022"/>
    <s v="BHCOE - 136500 - Electric - Dist -"/>
    <x v="41"/>
    <x v="4"/>
    <s v="BH Colorado Electric Oper Co"/>
    <s v="SEC"/>
    <x v="1"/>
    <n v="25869507.780000001"/>
    <n v="60135.35"/>
    <n v="-7717.27"/>
    <n v="0"/>
    <n v="0"/>
    <n v="0"/>
    <n v="0"/>
    <n v="25921925.859999999"/>
  </r>
  <r>
    <x v="10"/>
    <s v="10/2022"/>
    <s v="BHCOE - 136500 - Electric - Dist -"/>
    <x v="41"/>
    <x v="4"/>
    <s v="BH Colorado Electric Oper Co"/>
    <s v="SEC"/>
    <x v="3"/>
    <n v="2533466.04"/>
    <n v="40090.230000000003"/>
    <n v="0"/>
    <n v="0"/>
    <n v="0"/>
    <n v="0"/>
    <n v="0"/>
    <n v="2573556.27"/>
  </r>
  <r>
    <x v="11"/>
    <s v="11/2022"/>
    <s v="BHCOE - 136500 - Electric - Dist -"/>
    <x v="41"/>
    <x v="4"/>
    <s v="BH Colorado Electric Oper Co"/>
    <s v="SEC"/>
    <x v="1"/>
    <n v="25921925.859999999"/>
    <n v="60309.49"/>
    <n v="0"/>
    <n v="0"/>
    <n v="0"/>
    <n v="0"/>
    <n v="0"/>
    <n v="25982235.350000001"/>
  </r>
  <r>
    <x v="11"/>
    <s v="11/2022"/>
    <s v="BHCOE - 136500 - Electric - Dist -"/>
    <x v="41"/>
    <x v="4"/>
    <s v="BH Colorado Electric Oper Co"/>
    <s v="SEC"/>
    <x v="3"/>
    <n v="2573556.27"/>
    <n v="40206.33"/>
    <n v="0"/>
    <n v="0"/>
    <n v="0"/>
    <n v="0"/>
    <n v="0"/>
    <n v="2613762.6"/>
  </r>
  <r>
    <x v="12"/>
    <s v="12/2022"/>
    <s v="BHCOE - 136500 - Electric - Dist -"/>
    <x v="41"/>
    <x v="4"/>
    <s v="BH Colorado Electric Oper Co"/>
    <s v="SEC"/>
    <x v="1"/>
    <n v="25982235.350000001"/>
    <n v="59932.42"/>
    <n v="-540391.6"/>
    <n v="0"/>
    <n v="0"/>
    <n v="0"/>
    <n v="0"/>
    <n v="25501776.170000002"/>
  </r>
  <r>
    <x v="12"/>
    <s v="12/2022"/>
    <s v="BHCOE - 136500 - Electric - Dist -"/>
    <x v="41"/>
    <x v="4"/>
    <s v="BH Colorado Electric Oper Co"/>
    <s v="SEC"/>
    <x v="3"/>
    <n v="2613762.6"/>
    <n v="40443.49"/>
    <n v="0"/>
    <n v="-281810.10000000003"/>
    <n v="0"/>
    <n v="0"/>
    <n v="0"/>
    <n v="2372395.9900000002"/>
  </r>
  <r>
    <x v="0"/>
    <s v="12/2021"/>
    <s v="BHCOE - 136600 - Electric - Dist -"/>
    <x v="42"/>
    <x v="4"/>
    <s v="BH Colorado Electric Oper Co"/>
    <s v="SEC"/>
    <x v="1"/>
    <n v="4894368.5"/>
    <n v="22518.850000000002"/>
    <n v="-413.31"/>
    <n v="0"/>
    <n v="0"/>
    <n v="0"/>
    <n v="0"/>
    <n v="4916474.04"/>
  </r>
  <r>
    <x v="0"/>
    <s v="12/2021"/>
    <s v="BHCOE - 136600 - Electric - Dist -"/>
    <x v="42"/>
    <x v="4"/>
    <s v="BH Colorado Electric Oper Co"/>
    <s v="SEC"/>
    <x v="3"/>
    <n v="814675.61"/>
    <n v="9033.73"/>
    <n v="0"/>
    <n v="-0.13"/>
    <n v="0"/>
    <n v="0"/>
    <n v="0"/>
    <n v="823709.21"/>
  </r>
  <r>
    <x v="1"/>
    <s v="01/2022"/>
    <s v="BHCOE - 136600 - Electric - Dist -"/>
    <x v="42"/>
    <x v="4"/>
    <s v="BH Colorado Electric Oper Co"/>
    <s v="SEC"/>
    <x v="1"/>
    <n v="4916474.04"/>
    <n v="22773.52"/>
    <n v="0"/>
    <n v="0"/>
    <n v="0"/>
    <n v="0"/>
    <n v="0"/>
    <n v="4939247.5600000005"/>
  </r>
  <r>
    <x v="1"/>
    <s v="01/2022"/>
    <s v="BHCOE - 136600 - Electric - Dist -"/>
    <x v="42"/>
    <x v="4"/>
    <s v="BH Colorado Electric Oper Co"/>
    <s v="SEC"/>
    <x v="3"/>
    <n v="823709.21"/>
    <n v="9135.89"/>
    <n v="0"/>
    <n v="-1558.45"/>
    <n v="0"/>
    <n v="0"/>
    <n v="0"/>
    <n v="831286.65"/>
  </r>
  <r>
    <x v="2"/>
    <s v="02/2022"/>
    <s v="BHCOE - 136600 - Electric - Dist -"/>
    <x v="42"/>
    <x v="4"/>
    <s v="BH Colorado Electric Oper Co"/>
    <s v="SEC"/>
    <x v="1"/>
    <n v="4939247.5600000005"/>
    <n v="23110.03"/>
    <n v="-57.2"/>
    <n v="0"/>
    <n v="0"/>
    <n v="0"/>
    <n v="0"/>
    <n v="4962300.3899999997"/>
  </r>
  <r>
    <x v="2"/>
    <s v="02/2022"/>
    <s v="BHCOE - 136600 - Electric - Dist -"/>
    <x v="42"/>
    <x v="4"/>
    <s v="BH Colorado Electric Oper Co"/>
    <s v="SEC"/>
    <x v="3"/>
    <n v="831286.65"/>
    <n v="9270.880000000001"/>
    <n v="0"/>
    <n v="-102.02"/>
    <n v="0"/>
    <n v="0"/>
    <n v="0"/>
    <n v="840455.51"/>
  </r>
  <r>
    <x v="3"/>
    <s v="03/2022"/>
    <s v="BHCOE - 136600 - Electric - Dist -"/>
    <x v="42"/>
    <x v="4"/>
    <s v="BH Colorado Electric Oper Co"/>
    <s v="SEC"/>
    <x v="1"/>
    <n v="4962300.3899999997"/>
    <n v="23244.53"/>
    <n v="-2333.67"/>
    <n v="0"/>
    <n v="0"/>
    <n v="0"/>
    <n v="0"/>
    <n v="4983211.25"/>
  </r>
  <r>
    <x v="3"/>
    <s v="03/2022"/>
    <s v="BHCOE - 136600 - Electric - Dist -"/>
    <x v="42"/>
    <x v="4"/>
    <s v="BH Colorado Electric Oper Co"/>
    <s v="SEC"/>
    <x v="3"/>
    <n v="840455.51"/>
    <n v="9324.84"/>
    <n v="0"/>
    <n v="-1.84"/>
    <n v="0"/>
    <n v="0"/>
    <n v="0"/>
    <n v="849778.51"/>
  </r>
  <r>
    <x v="4"/>
    <s v="04/2022"/>
    <s v="BHCOE - 136600 - Electric - Dist -"/>
    <x v="42"/>
    <x v="4"/>
    <s v="BH Colorado Electric Oper Co"/>
    <s v="SEC"/>
    <x v="1"/>
    <n v="4983211.25"/>
    <n v="23377.29"/>
    <n v="-526.99"/>
    <n v="0"/>
    <n v="0"/>
    <n v="0"/>
    <n v="0"/>
    <n v="5006061.55"/>
  </r>
  <r>
    <x v="4"/>
    <s v="04/2022"/>
    <s v="BHCOE - 136600 - Electric - Dist -"/>
    <x v="42"/>
    <x v="4"/>
    <s v="BH Colorado Electric Oper Co"/>
    <s v="SEC"/>
    <x v="3"/>
    <n v="849778.51"/>
    <n v="9378.1"/>
    <n v="0"/>
    <n v="0"/>
    <n v="0"/>
    <n v="0"/>
    <n v="0"/>
    <n v="859156.61"/>
  </r>
  <r>
    <x v="5"/>
    <s v="05/2022"/>
    <s v="BHCOE - 136600 - Electric - Dist -"/>
    <x v="42"/>
    <x v="4"/>
    <s v="BH Colorado Electric Oper Co"/>
    <s v="SEC"/>
    <x v="1"/>
    <n v="5006061.55"/>
    <n v="23590.3"/>
    <n v="0"/>
    <n v="0"/>
    <n v="0"/>
    <n v="0"/>
    <n v="0"/>
    <n v="5029651.8499999996"/>
  </r>
  <r>
    <x v="5"/>
    <s v="05/2022"/>
    <s v="BHCOE - 136600 - Electric - Dist -"/>
    <x v="42"/>
    <x v="4"/>
    <s v="BH Colorado Electric Oper Co"/>
    <s v="SEC"/>
    <x v="3"/>
    <n v="859156.61"/>
    <n v="9463.5500000000011"/>
    <n v="0"/>
    <n v="0"/>
    <n v="0"/>
    <n v="0"/>
    <n v="0"/>
    <n v="868620.16"/>
  </r>
  <r>
    <x v="6"/>
    <s v="06/2022"/>
    <s v="BHCOE - 136600 - Electric - Dist -"/>
    <x v="42"/>
    <x v="4"/>
    <s v="BH Colorado Electric Oper Co"/>
    <s v="SEC"/>
    <x v="1"/>
    <n v="5029651.8499999996"/>
    <n v="23797.71"/>
    <n v="-1023.89"/>
    <n v="0"/>
    <n v="0"/>
    <n v="0"/>
    <n v="0"/>
    <n v="5052425.67"/>
  </r>
  <r>
    <x v="6"/>
    <s v="06/2022"/>
    <s v="BHCOE - 136600 - Electric - Dist -"/>
    <x v="42"/>
    <x v="4"/>
    <s v="BH Colorado Electric Oper Co"/>
    <s v="SEC"/>
    <x v="3"/>
    <n v="868620.16"/>
    <n v="9546.76"/>
    <n v="0"/>
    <n v="-528.95000000000005"/>
    <n v="0"/>
    <n v="0"/>
    <n v="0"/>
    <n v="877637.97"/>
  </r>
  <r>
    <x v="7"/>
    <s v="07/2022"/>
    <s v="BHCOE - 136600 - Electric - Dist -"/>
    <x v="42"/>
    <x v="4"/>
    <s v="BH Colorado Electric Oper Co"/>
    <s v="SEC"/>
    <x v="1"/>
    <n v="5052425.67"/>
    <n v="24145.84"/>
    <n v="-29353.83"/>
    <n v="0"/>
    <n v="0"/>
    <n v="0"/>
    <n v="0"/>
    <n v="5047217.68"/>
  </r>
  <r>
    <x v="7"/>
    <s v="07/2022"/>
    <s v="BHCOE - 136600 - Electric - Dist -"/>
    <x v="42"/>
    <x v="4"/>
    <s v="BH Colorado Electric Oper Co"/>
    <s v="SEC"/>
    <x v="3"/>
    <n v="877637.97"/>
    <n v="9686.41"/>
    <n v="0"/>
    <n v="-44604.94"/>
    <n v="0"/>
    <n v="0"/>
    <n v="0"/>
    <n v="842719.44000000006"/>
  </r>
  <r>
    <x v="8"/>
    <s v="08/2022"/>
    <s v="BHCOE - 136600 - Electric - Dist -"/>
    <x v="42"/>
    <x v="4"/>
    <s v="BH Colorado Electric Oper Co"/>
    <s v="SEC"/>
    <x v="1"/>
    <n v="5047217.68"/>
    <n v="24388.83"/>
    <n v="0"/>
    <n v="0"/>
    <n v="0"/>
    <n v="0"/>
    <n v="0"/>
    <n v="5071606.51"/>
  </r>
  <r>
    <x v="8"/>
    <s v="08/2022"/>
    <s v="BHCOE - 136600 - Electric - Dist -"/>
    <x v="42"/>
    <x v="4"/>
    <s v="BH Colorado Electric Oper Co"/>
    <s v="SEC"/>
    <x v="3"/>
    <n v="842719.44000000006"/>
    <n v="9783.89"/>
    <n v="0"/>
    <n v="0"/>
    <n v="0"/>
    <n v="0"/>
    <n v="0"/>
    <n v="852503.33000000007"/>
  </r>
  <r>
    <x v="9"/>
    <s v="09/2022"/>
    <s v="BHCOE - 136600 - Electric - Dist -"/>
    <x v="42"/>
    <x v="4"/>
    <s v="BH Colorado Electric Oper Co"/>
    <s v="SEC"/>
    <x v="1"/>
    <n v="5071606.51"/>
    <n v="24542.15"/>
    <n v="-413.31"/>
    <n v="0"/>
    <n v="0"/>
    <n v="0"/>
    <n v="0"/>
    <n v="5095735.3499999996"/>
  </r>
  <r>
    <x v="9"/>
    <s v="09/2022"/>
    <s v="BHCOE - 136600 - Electric - Dist -"/>
    <x v="42"/>
    <x v="4"/>
    <s v="BH Colorado Electric Oper Co"/>
    <s v="SEC"/>
    <x v="3"/>
    <n v="852503.33000000007"/>
    <n v="9845.4"/>
    <n v="0"/>
    <n v="0"/>
    <n v="0"/>
    <n v="0"/>
    <n v="0"/>
    <n v="862348.73"/>
  </r>
  <r>
    <x v="10"/>
    <s v="10/2022"/>
    <s v="BHCOE - 136600 - Electric - Dist -"/>
    <x v="42"/>
    <x v="4"/>
    <s v="BH Colorado Electric Oper Co"/>
    <s v="SEC"/>
    <x v="1"/>
    <n v="5095735.3499999996"/>
    <n v="24675.760000000002"/>
    <n v="-456.72"/>
    <n v="0"/>
    <n v="0"/>
    <n v="0"/>
    <n v="0"/>
    <n v="5119954.3899999997"/>
  </r>
  <r>
    <x v="10"/>
    <s v="10/2022"/>
    <s v="BHCOE - 136600 - Electric - Dist -"/>
    <x v="42"/>
    <x v="4"/>
    <s v="BH Colorado Electric Oper Co"/>
    <s v="SEC"/>
    <x v="3"/>
    <n v="862348.73"/>
    <n v="9899"/>
    <n v="0"/>
    <n v="0"/>
    <n v="0"/>
    <n v="0"/>
    <n v="0"/>
    <n v="872247.73"/>
  </r>
  <r>
    <x v="11"/>
    <s v="11/2022"/>
    <s v="BHCOE - 136600 - Electric - Dist -"/>
    <x v="42"/>
    <x v="4"/>
    <s v="BH Colorado Electric Oper Co"/>
    <s v="SEC"/>
    <x v="1"/>
    <n v="5119954.3899999997"/>
    <n v="24817.07"/>
    <n v="0"/>
    <n v="0"/>
    <n v="0"/>
    <n v="0"/>
    <n v="0"/>
    <n v="5144771.46"/>
  </r>
  <r>
    <x v="11"/>
    <s v="11/2022"/>
    <s v="BHCOE - 136600 - Electric - Dist -"/>
    <x v="42"/>
    <x v="4"/>
    <s v="BH Colorado Electric Oper Co"/>
    <s v="SEC"/>
    <x v="3"/>
    <n v="872247.73"/>
    <n v="9955.69"/>
    <n v="0"/>
    <n v="-2.5500000000000003"/>
    <n v="0"/>
    <n v="0"/>
    <n v="0"/>
    <n v="882200.87"/>
  </r>
  <r>
    <x v="12"/>
    <s v="12/2022"/>
    <s v="BHCOE - 136600 - Electric - Dist -"/>
    <x v="42"/>
    <x v="4"/>
    <s v="BH Colorado Electric Oper Co"/>
    <s v="SEC"/>
    <x v="1"/>
    <n v="5144771.46"/>
    <n v="24977.43"/>
    <n v="-69780.990000000005"/>
    <n v="0"/>
    <n v="0"/>
    <n v="0"/>
    <n v="0"/>
    <n v="5099967.9000000004"/>
  </r>
  <r>
    <x v="12"/>
    <s v="12/2022"/>
    <s v="BHCOE - 136600 - Electric - Dist -"/>
    <x v="42"/>
    <x v="4"/>
    <s v="BH Colorado Electric Oper Co"/>
    <s v="SEC"/>
    <x v="3"/>
    <n v="882200.87"/>
    <n v="10020.02"/>
    <n v="0"/>
    <n v="-40197.31"/>
    <n v="0"/>
    <n v="0"/>
    <n v="0"/>
    <n v="852023.58000000007"/>
  </r>
  <r>
    <x v="0"/>
    <s v="12/2021"/>
    <s v="BHCOE - 136700 - Electric - Dist -"/>
    <x v="43"/>
    <x v="4"/>
    <s v="BH Colorado Electric Oper Co"/>
    <s v="SEC"/>
    <x v="1"/>
    <n v="13565657.02"/>
    <n v="35784.81"/>
    <n v="0"/>
    <n v="0"/>
    <n v="0"/>
    <n v="0"/>
    <n v="0"/>
    <n v="13601441.83"/>
  </r>
  <r>
    <x v="0"/>
    <s v="12/2021"/>
    <s v="BHCOE - 136700 - Electric - Dist -"/>
    <x v="43"/>
    <x v="4"/>
    <s v="BH Colorado Electric Oper Co"/>
    <s v="SEC"/>
    <x v="3"/>
    <n v="515465.41000000003"/>
    <n v="6150.51"/>
    <n v="0"/>
    <n v="-6.6400000000000006"/>
    <n v="0"/>
    <n v="0"/>
    <n v="0"/>
    <n v="521609.28"/>
  </r>
  <r>
    <x v="1"/>
    <s v="01/2022"/>
    <s v="BHCOE - 136700 - Electric - Dist -"/>
    <x v="43"/>
    <x v="4"/>
    <s v="BH Colorado Electric Oper Co"/>
    <s v="SEC"/>
    <x v="1"/>
    <n v="13601441.83"/>
    <n v="35778"/>
    <n v="-24241.48"/>
    <n v="0"/>
    <n v="0"/>
    <n v="0"/>
    <n v="0"/>
    <n v="13612978.35"/>
  </r>
  <r>
    <x v="1"/>
    <s v="01/2022"/>
    <s v="BHCOE - 136700 - Electric - Dist -"/>
    <x v="43"/>
    <x v="4"/>
    <s v="BH Colorado Electric Oper Co"/>
    <s v="SEC"/>
    <x v="3"/>
    <n v="521609.28"/>
    <n v="6149.34"/>
    <n v="0"/>
    <n v="-785.35"/>
    <n v="0"/>
    <n v="0"/>
    <n v="0"/>
    <n v="526973.27"/>
  </r>
  <r>
    <x v="2"/>
    <s v="02/2022"/>
    <s v="BHCOE - 136700 - Electric - Dist -"/>
    <x v="43"/>
    <x v="4"/>
    <s v="BH Colorado Electric Oper Co"/>
    <s v="SEC"/>
    <x v="1"/>
    <n v="13612978.35"/>
    <n v="35995.9"/>
    <n v="-728.36"/>
    <n v="0"/>
    <n v="0"/>
    <n v="0"/>
    <n v="0"/>
    <n v="13648245.890000001"/>
  </r>
  <r>
    <x v="2"/>
    <s v="02/2022"/>
    <s v="BHCOE - 136700 - Electric - Dist -"/>
    <x v="43"/>
    <x v="4"/>
    <s v="BH Colorado Electric Oper Co"/>
    <s v="SEC"/>
    <x v="3"/>
    <n v="526973.27"/>
    <n v="6186.8"/>
    <n v="0"/>
    <n v="-5.03"/>
    <n v="0"/>
    <n v="0"/>
    <n v="0"/>
    <n v="533155.04"/>
  </r>
  <r>
    <x v="3"/>
    <s v="03/2022"/>
    <s v="BHCOE - 136700 - Electric - Dist -"/>
    <x v="43"/>
    <x v="4"/>
    <s v="BH Colorado Electric Oper Co"/>
    <s v="SEC"/>
    <x v="1"/>
    <n v="13648245.890000001"/>
    <n v="36152.18"/>
    <n v="-35314.61"/>
    <n v="0"/>
    <n v="0"/>
    <n v="0"/>
    <n v="0"/>
    <n v="13649083.460000001"/>
  </r>
  <r>
    <x v="3"/>
    <s v="03/2022"/>
    <s v="BHCOE - 136700 - Electric - Dist -"/>
    <x v="43"/>
    <x v="4"/>
    <s v="BH Colorado Electric Oper Co"/>
    <s v="SEC"/>
    <x v="3"/>
    <n v="533155.04"/>
    <n v="6213.66"/>
    <n v="0"/>
    <n v="-1496.5"/>
    <n v="0"/>
    <n v="0"/>
    <n v="0"/>
    <n v="537872.19999999995"/>
  </r>
  <r>
    <x v="4"/>
    <s v="04/2022"/>
    <s v="BHCOE - 136700 - Electric - Dist -"/>
    <x v="43"/>
    <x v="4"/>
    <s v="BH Colorado Electric Oper Co"/>
    <s v="SEC"/>
    <x v="1"/>
    <n v="13649083.460000001"/>
    <n v="35916.89"/>
    <n v="-6557.9000000000005"/>
    <n v="0"/>
    <n v="0"/>
    <n v="0"/>
    <n v="0"/>
    <n v="13678442.449999999"/>
  </r>
  <r>
    <x v="4"/>
    <s v="04/2022"/>
    <s v="BHCOE - 136700 - Electric - Dist -"/>
    <x v="43"/>
    <x v="4"/>
    <s v="BH Colorado Electric Oper Co"/>
    <s v="SEC"/>
    <x v="3"/>
    <n v="537872.19999999995"/>
    <n v="6173.21"/>
    <n v="0"/>
    <n v="-1408.07"/>
    <n v="0"/>
    <n v="0"/>
    <n v="0"/>
    <n v="542637.34"/>
  </r>
  <r>
    <x v="5"/>
    <s v="05/2022"/>
    <s v="BHCOE - 136700 - Electric - Dist -"/>
    <x v="43"/>
    <x v="4"/>
    <s v="BH Colorado Electric Oper Co"/>
    <s v="SEC"/>
    <x v="1"/>
    <n v="13678442.449999999"/>
    <n v="35853.35"/>
    <n v="-8094.93"/>
    <n v="0"/>
    <n v="0"/>
    <n v="0"/>
    <n v="0"/>
    <n v="13706200.869999999"/>
  </r>
  <r>
    <x v="5"/>
    <s v="05/2022"/>
    <s v="BHCOE - 136700 - Electric - Dist -"/>
    <x v="43"/>
    <x v="4"/>
    <s v="BH Colorado Electric Oper Co"/>
    <s v="SEC"/>
    <x v="3"/>
    <n v="542637.34"/>
    <n v="6162.29"/>
    <n v="0"/>
    <n v="-6827.03"/>
    <n v="0"/>
    <n v="0"/>
    <n v="0"/>
    <n v="541972.6"/>
  </r>
  <r>
    <x v="6"/>
    <s v="06/2022"/>
    <s v="BHCOE - 136700 - Electric - Dist -"/>
    <x v="43"/>
    <x v="4"/>
    <s v="BH Colorado Electric Oper Co"/>
    <s v="SEC"/>
    <x v="1"/>
    <n v="13706200.869999999"/>
    <n v="35899.4"/>
    <n v="-5874.46"/>
    <n v="0"/>
    <n v="0"/>
    <n v="0"/>
    <n v="0"/>
    <n v="13736225.810000001"/>
  </r>
  <r>
    <x v="6"/>
    <s v="06/2022"/>
    <s v="BHCOE - 136700 - Electric - Dist -"/>
    <x v="43"/>
    <x v="4"/>
    <s v="BH Colorado Electric Oper Co"/>
    <s v="SEC"/>
    <x v="3"/>
    <n v="541972.6"/>
    <n v="6170.21"/>
    <n v="0"/>
    <n v="-7602.32"/>
    <n v="0"/>
    <n v="0"/>
    <n v="0"/>
    <n v="540540.49"/>
  </r>
  <r>
    <x v="7"/>
    <s v="07/2022"/>
    <s v="BHCOE - 136700 - Electric - Dist -"/>
    <x v="43"/>
    <x v="4"/>
    <s v="BH Colorado Electric Oper Co"/>
    <s v="SEC"/>
    <x v="1"/>
    <n v="13736225.810000001"/>
    <n v="36207.300000000003"/>
    <n v="-19484.3"/>
    <n v="0"/>
    <n v="0"/>
    <n v="0"/>
    <n v="0"/>
    <n v="13752948.810000001"/>
  </r>
  <r>
    <x v="7"/>
    <s v="07/2022"/>
    <s v="BHCOE - 136700 - Electric - Dist -"/>
    <x v="43"/>
    <x v="4"/>
    <s v="BH Colorado Electric Oper Co"/>
    <s v="SEC"/>
    <x v="3"/>
    <n v="540540.49"/>
    <n v="6223.13"/>
    <n v="0"/>
    <n v="-28964.55"/>
    <n v="0"/>
    <n v="0"/>
    <n v="0"/>
    <n v="517799.07"/>
  </r>
  <r>
    <x v="8"/>
    <s v="08/2022"/>
    <s v="BHCOE - 136700 - Electric - Dist -"/>
    <x v="43"/>
    <x v="4"/>
    <s v="BH Colorado Electric Oper Co"/>
    <s v="SEC"/>
    <x v="1"/>
    <n v="13752948.810000001"/>
    <n v="36647.520000000004"/>
    <n v="0"/>
    <n v="0"/>
    <n v="0"/>
    <n v="0"/>
    <n v="0"/>
    <n v="13789596.33"/>
  </r>
  <r>
    <x v="8"/>
    <s v="08/2022"/>
    <s v="BHCOE - 136700 - Electric - Dist -"/>
    <x v="43"/>
    <x v="4"/>
    <s v="BH Colorado Electric Oper Co"/>
    <s v="SEC"/>
    <x v="3"/>
    <n v="517799.07"/>
    <n v="6298.79"/>
    <n v="0"/>
    <n v="0"/>
    <n v="0"/>
    <n v="0"/>
    <n v="0"/>
    <n v="524097.86"/>
  </r>
  <r>
    <x v="9"/>
    <s v="09/2022"/>
    <s v="BHCOE - 136700 - Electric - Dist -"/>
    <x v="43"/>
    <x v="4"/>
    <s v="BH Colorado Electric Oper Co"/>
    <s v="SEC"/>
    <x v="1"/>
    <n v="13789596.33"/>
    <n v="36627.21"/>
    <n v="-5556.22"/>
    <n v="0"/>
    <n v="0"/>
    <n v="0"/>
    <n v="0"/>
    <n v="13820667.32"/>
  </r>
  <r>
    <x v="9"/>
    <s v="09/2022"/>
    <s v="BHCOE - 136700 - Electric - Dist -"/>
    <x v="43"/>
    <x v="4"/>
    <s v="BH Colorado Electric Oper Co"/>
    <s v="SEC"/>
    <x v="3"/>
    <n v="524097.86"/>
    <n v="6295.3"/>
    <n v="0"/>
    <n v="0"/>
    <n v="0"/>
    <n v="0"/>
    <n v="0"/>
    <n v="530393.16"/>
  </r>
  <r>
    <x v="10"/>
    <s v="10/2022"/>
    <s v="BHCOE - 136700 - Electric - Dist -"/>
    <x v="43"/>
    <x v="4"/>
    <s v="BH Colorado Electric Oper Co"/>
    <s v="SEC"/>
    <x v="1"/>
    <n v="13820667.32"/>
    <n v="36648.720000000001"/>
    <n v="-5689.22"/>
    <n v="0"/>
    <n v="0"/>
    <n v="0"/>
    <n v="0"/>
    <n v="13851626.82"/>
  </r>
  <r>
    <x v="10"/>
    <s v="10/2022"/>
    <s v="BHCOE - 136700 - Electric - Dist -"/>
    <x v="43"/>
    <x v="4"/>
    <s v="BH Colorado Electric Oper Co"/>
    <s v="SEC"/>
    <x v="3"/>
    <n v="530393.16"/>
    <n v="6299"/>
    <n v="0"/>
    <n v="0"/>
    <n v="0"/>
    <n v="0"/>
    <n v="0"/>
    <n v="536692.16"/>
  </r>
  <r>
    <x v="11"/>
    <s v="11/2022"/>
    <s v="BHCOE - 136700 - Electric - Dist -"/>
    <x v="43"/>
    <x v="4"/>
    <s v="BH Colorado Electric Oper Co"/>
    <s v="SEC"/>
    <x v="1"/>
    <n v="13851626.82"/>
    <n v="36826.270000000004"/>
    <n v="0"/>
    <n v="0"/>
    <n v="0"/>
    <n v="0"/>
    <n v="0"/>
    <n v="13888453.09"/>
  </r>
  <r>
    <x v="11"/>
    <s v="11/2022"/>
    <s v="BHCOE - 136700 - Electric - Dist -"/>
    <x v="43"/>
    <x v="4"/>
    <s v="BH Colorado Electric Oper Co"/>
    <s v="SEC"/>
    <x v="3"/>
    <n v="536692.16"/>
    <n v="6329.52"/>
    <n v="0"/>
    <n v="0"/>
    <n v="0"/>
    <n v="0"/>
    <n v="0"/>
    <n v="543021.68000000005"/>
  </r>
  <r>
    <x v="12"/>
    <s v="12/2022"/>
    <s v="BHCOE - 136700 - Electric - Dist -"/>
    <x v="43"/>
    <x v="4"/>
    <s v="BH Colorado Electric Oper Co"/>
    <s v="SEC"/>
    <x v="1"/>
    <n v="13888453.09"/>
    <n v="36320.17"/>
    <n v="-71350.36"/>
    <n v="0"/>
    <n v="0"/>
    <n v="0"/>
    <n v="0"/>
    <n v="13853422.9"/>
  </r>
  <r>
    <x v="12"/>
    <s v="12/2022"/>
    <s v="BHCOE - 136700 - Electric - Dist -"/>
    <x v="43"/>
    <x v="4"/>
    <s v="BH Colorado Electric Oper Co"/>
    <s v="SEC"/>
    <x v="3"/>
    <n v="543021.68000000005"/>
    <n v="6398.16"/>
    <n v="0"/>
    <n v="-1512.06"/>
    <n v="0"/>
    <n v="0"/>
    <n v="0"/>
    <n v="547907.78"/>
  </r>
  <r>
    <x v="0"/>
    <s v="12/2021"/>
    <s v="BHCOE - 136801 - Electric - Dist -"/>
    <x v="44"/>
    <x v="4"/>
    <s v="BH Colorado Electric Oper Co"/>
    <s v="SEC"/>
    <x v="1"/>
    <n v="3211455.02"/>
    <n v="14272.29"/>
    <n v="0"/>
    <n v="0"/>
    <n v="0"/>
    <n v="0"/>
    <n v="0"/>
    <n v="3225727.31"/>
  </r>
  <r>
    <x v="0"/>
    <s v="12/2021"/>
    <s v="BHCOE - 136801 - Electric - Dist -"/>
    <x v="44"/>
    <x v="4"/>
    <s v="BH Colorado Electric Oper Co"/>
    <s v="SEC"/>
    <x v="3"/>
    <n v="-61967.33"/>
    <n v="0"/>
    <n v="0"/>
    <n v="-23.45"/>
    <n v="0"/>
    <n v="0"/>
    <n v="0"/>
    <n v="-61990.78"/>
  </r>
  <r>
    <x v="1"/>
    <s v="01/2022"/>
    <s v="BHCOE - 136801 - Electric - Dist -"/>
    <x v="44"/>
    <x v="4"/>
    <s v="BH Colorado Electric Oper Co"/>
    <s v="SEC"/>
    <x v="1"/>
    <n v="3225727.31"/>
    <n v="14372.69"/>
    <n v="-1353.23"/>
    <n v="0"/>
    <n v="0"/>
    <n v="0"/>
    <n v="0"/>
    <n v="3238746.77"/>
  </r>
  <r>
    <x v="1"/>
    <s v="01/2022"/>
    <s v="BHCOE - 136801 - Electric - Dist -"/>
    <x v="44"/>
    <x v="4"/>
    <s v="BH Colorado Electric Oper Co"/>
    <s v="SEC"/>
    <x v="3"/>
    <n v="-61990.78"/>
    <n v="0"/>
    <n v="0"/>
    <n v="-429.94"/>
    <n v="0"/>
    <n v="0"/>
    <n v="0"/>
    <n v="-62420.72"/>
  </r>
  <r>
    <x v="2"/>
    <s v="02/2022"/>
    <s v="BHCOE - 136801 - Electric - Dist -"/>
    <x v="44"/>
    <x v="4"/>
    <s v="BH Colorado Electric Oper Co"/>
    <s v="SEC"/>
    <x v="1"/>
    <n v="3238746.77"/>
    <n v="14446.36"/>
    <n v="-1508.89"/>
    <n v="0"/>
    <n v="0"/>
    <n v="0"/>
    <n v="0"/>
    <n v="3251684.24"/>
  </r>
  <r>
    <x v="2"/>
    <s v="02/2022"/>
    <s v="BHCOE - 136801 - Electric - Dist -"/>
    <x v="44"/>
    <x v="4"/>
    <s v="BH Colorado Electric Oper Co"/>
    <s v="SEC"/>
    <x v="3"/>
    <n v="-62420.72"/>
    <n v="0"/>
    <n v="0"/>
    <n v="-1391.76"/>
    <n v="0"/>
    <n v="0"/>
    <n v="0"/>
    <n v="-63812.480000000003"/>
  </r>
  <r>
    <x v="3"/>
    <s v="03/2022"/>
    <s v="BHCOE - 136801 - Electric - Dist -"/>
    <x v="44"/>
    <x v="4"/>
    <s v="BH Colorado Electric Oper Co"/>
    <s v="SEC"/>
    <x v="1"/>
    <n v="3251684.24"/>
    <n v="14372.1"/>
    <n v="-2043.06"/>
    <n v="0"/>
    <n v="0"/>
    <n v="0"/>
    <n v="0"/>
    <n v="3264013.2800000003"/>
  </r>
  <r>
    <x v="3"/>
    <s v="03/2022"/>
    <s v="BHCOE - 136801 - Electric - Dist -"/>
    <x v="44"/>
    <x v="4"/>
    <s v="BH Colorado Electric Oper Co"/>
    <s v="SEC"/>
    <x v="3"/>
    <n v="-63812.480000000003"/>
    <n v="0"/>
    <n v="0"/>
    <n v="-155.58000000000001"/>
    <n v="0"/>
    <n v="0"/>
    <n v="0"/>
    <n v="-63968.060000000005"/>
  </r>
  <r>
    <x v="4"/>
    <s v="04/2022"/>
    <s v="BHCOE - 136801 - Electric - Dist -"/>
    <x v="44"/>
    <x v="4"/>
    <s v="BH Colorado Electric Oper Co"/>
    <s v="SEC"/>
    <x v="1"/>
    <n v="3264013.2800000003"/>
    <n v="14282.42"/>
    <n v="-5423.26"/>
    <n v="0"/>
    <n v="0"/>
    <n v="0"/>
    <n v="0"/>
    <n v="3272872.44"/>
  </r>
  <r>
    <x v="4"/>
    <s v="04/2022"/>
    <s v="BHCOE - 136801 - Electric - Dist -"/>
    <x v="44"/>
    <x v="4"/>
    <s v="BH Colorado Electric Oper Co"/>
    <s v="SEC"/>
    <x v="3"/>
    <n v="-63968.060000000005"/>
    <n v="0"/>
    <n v="0"/>
    <n v="-1963.38"/>
    <n v="0"/>
    <n v="0"/>
    <n v="0"/>
    <n v="-65931.44"/>
  </r>
  <r>
    <x v="5"/>
    <s v="05/2022"/>
    <s v="BHCOE - 136801 - Electric - Dist -"/>
    <x v="44"/>
    <x v="4"/>
    <s v="BH Colorado Electric Oper Co"/>
    <s v="SEC"/>
    <x v="1"/>
    <n v="3272872.44"/>
    <n v="14350.14"/>
    <n v="-6779.91"/>
    <n v="0"/>
    <n v="0"/>
    <n v="0"/>
    <n v="0"/>
    <n v="3280442.67"/>
  </r>
  <r>
    <x v="5"/>
    <s v="05/2022"/>
    <s v="BHCOE - 136801 - Electric - Dist -"/>
    <x v="44"/>
    <x v="4"/>
    <s v="BH Colorado Electric Oper Co"/>
    <s v="SEC"/>
    <x v="3"/>
    <n v="-65931.44"/>
    <n v="0"/>
    <n v="0"/>
    <n v="-10720.25"/>
    <n v="0"/>
    <n v="0"/>
    <n v="0"/>
    <n v="-76651.69"/>
  </r>
  <r>
    <x v="6"/>
    <s v="06/2022"/>
    <s v="BHCOE - 136801 - Electric - Dist -"/>
    <x v="44"/>
    <x v="4"/>
    <s v="BH Colorado Electric Oper Co"/>
    <s v="SEC"/>
    <x v="1"/>
    <n v="3280442.67"/>
    <n v="14451.86"/>
    <n v="-6914.56"/>
    <n v="0"/>
    <n v="0"/>
    <n v="0"/>
    <n v="0"/>
    <n v="3287979.97"/>
  </r>
  <r>
    <x v="6"/>
    <s v="06/2022"/>
    <s v="BHCOE - 136801 - Electric - Dist -"/>
    <x v="44"/>
    <x v="4"/>
    <s v="BH Colorado Electric Oper Co"/>
    <s v="SEC"/>
    <x v="3"/>
    <n v="-76651.69"/>
    <n v="0"/>
    <n v="0"/>
    <n v="-8950.74"/>
    <n v="0"/>
    <n v="0"/>
    <n v="0"/>
    <n v="-85602.430000000008"/>
  </r>
  <r>
    <x v="7"/>
    <s v="07/2022"/>
    <s v="BHCOE - 136801 - Electric - Dist -"/>
    <x v="44"/>
    <x v="4"/>
    <s v="BH Colorado Electric Oper Co"/>
    <s v="SEC"/>
    <x v="1"/>
    <n v="3287979.97"/>
    <n v="14610.39"/>
    <n v="-23311.170000000002"/>
    <n v="0"/>
    <n v="0"/>
    <n v="0"/>
    <n v="0"/>
    <n v="3279279.19"/>
  </r>
  <r>
    <x v="7"/>
    <s v="07/2022"/>
    <s v="BHCOE - 136801 - Electric - Dist -"/>
    <x v="44"/>
    <x v="4"/>
    <s v="BH Colorado Electric Oper Co"/>
    <s v="SEC"/>
    <x v="3"/>
    <n v="-85602.430000000008"/>
    <n v="0"/>
    <n v="0"/>
    <n v="-29211.3"/>
    <n v="0"/>
    <n v="0"/>
    <n v="0"/>
    <n v="-114813.73"/>
  </r>
  <r>
    <x v="8"/>
    <s v="08/2022"/>
    <s v="BHCOE - 136801 - Electric - Dist -"/>
    <x v="44"/>
    <x v="4"/>
    <s v="BH Colorado Electric Oper Co"/>
    <s v="SEC"/>
    <x v="1"/>
    <n v="3279279.19"/>
    <n v="14676.79"/>
    <n v="0"/>
    <n v="0"/>
    <n v="0"/>
    <n v="0"/>
    <n v="0"/>
    <n v="3293955.98"/>
  </r>
  <r>
    <x v="8"/>
    <s v="08/2022"/>
    <s v="BHCOE - 136801 - Electric - Dist -"/>
    <x v="44"/>
    <x v="4"/>
    <s v="BH Colorado Electric Oper Co"/>
    <s v="SEC"/>
    <x v="3"/>
    <n v="-114813.73"/>
    <n v="0"/>
    <n v="0"/>
    <n v="0"/>
    <n v="0"/>
    <n v="0"/>
    <n v="0"/>
    <n v="-114813.73"/>
  </r>
  <r>
    <x v="9"/>
    <s v="09/2022"/>
    <s v="BHCOE - 136801 - Electric - Dist -"/>
    <x v="44"/>
    <x v="4"/>
    <s v="BH Colorado Electric Oper Co"/>
    <s v="SEC"/>
    <x v="1"/>
    <n v="3293955.98"/>
    <n v="14629.5"/>
    <n v="-5044.8900000000003"/>
    <n v="0"/>
    <n v="0"/>
    <n v="0"/>
    <n v="0"/>
    <n v="3303540.59"/>
  </r>
  <r>
    <x v="9"/>
    <s v="09/2022"/>
    <s v="BHCOE - 136801 - Electric - Dist -"/>
    <x v="44"/>
    <x v="4"/>
    <s v="BH Colorado Electric Oper Co"/>
    <s v="SEC"/>
    <x v="3"/>
    <n v="-114813.73"/>
    <n v="0"/>
    <n v="0"/>
    <n v="-244.5"/>
    <n v="0"/>
    <n v="0"/>
    <n v="0"/>
    <n v="-115058.23"/>
  </r>
  <r>
    <x v="10"/>
    <s v="10/2022"/>
    <s v="BHCOE - 136801 - Electric - Dist -"/>
    <x v="44"/>
    <x v="4"/>
    <s v="BH Colorado Electric Oper Co"/>
    <s v="SEC"/>
    <x v="1"/>
    <n v="3303540.59"/>
    <n v="14643.93"/>
    <n v="-1120.21"/>
    <n v="0"/>
    <n v="0"/>
    <n v="0"/>
    <n v="0"/>
    <n v="3317064.31"/>
  </r>
  <r>
    <x v="10"/>
    <s v="10/2022"/>
    <s v="BHCOE - 136801 - Electric - Dist -"/>
    <x v="44"/>
    <x v="4"/>
    <s v="BH Colorado Electric Oper Co"/>
    <s v="SEC"/>
    <x v="3"/>
    <n v="-115058.23"/>
    <n v="0"/>
    <n v="0"/>
    <n v="0"/>
    <n v="0"/>
    <n v="0"/>
    <n v="0"/>
    <n v="-115058.23"/>
  </r>
  <r>
    <x v="11"/>
    <s v="11/2022"/>
    <s v="BHCOE - 136801 - Electric - Dist -"/>
    <x v="44"/>
    <x v="4"/>
    <s v="BH Colorado Electric Oper Co"/>
    <s v="SEC"/>
    <x v="1"/>
    <n v="3317064.31"/>
    <n v="14629.27"/>
    <n v="-107400.82"/>
    <n v="0"/>
    <n v="0"/>
    <n v="0"/>
    <n v="0"/>
    <n v="3224292.76"/>
  </r>
  <r>
    <x v="11"/>
    <s v="11/2022"/>
    <s v="BHCOE - 136801 - Electric - Dist -"/>
    <x v="44"/>
    <x v="4"/>
    <s v="BH Colorado Electric Oper Co"/>
    <s v="SEC"/>
    <x v="3"/>
    <n v="-115058.23"/>
    <n v="0"/>
    <n v="0"/>
    <n v="0"/>
    <n v="0"/>
    <n v="0"/>
    <n v="0"/>
    <n v="-115058.23"/>
  </r>
  <r>
    <x v="12"/>
    <s v="12/2022"/>
    <s v="BHCOE - 136801 - Electric - Dist -"/>
    <x v="44"/>
    <x v="4"/>
    <s v="BH Colorado Electric Oper Co"/>
    <s v="SEC"/>
    <x v="1"/>
    <n v="3224292.76"/>
    <n v="14726.84"/>
    <n v="-41829.53"/>
    <n v="0"/>
    <n v="0"/>
    <n v="0"/>
    <n v="0"/>
    <n v="3197190.07"/>
  </r>
  <r>
    <x v="12"/>
    <s v="12/2022"/>
    <s v="BHCOE - 136801 - Electric - Dist -"/>
    <x v="44"/>
    <x v="4"/>
    <s v="BH Colorado Electric Oper Co"/>
    <s v="SEC"/>
    <x v="3"/>
    <n v="-115058.23"/>
    <n v="0"/>
    <n v="0"/>
    <n v="-43423.94"/>
    <n v="0"/>
    <n v="0"/>
    <n v="0"/>
    <n v="-158482.17000000001"/>
  </r>
  <r>
    <x v="0"/>
    <s v="12/2021"/>
    <s v="BHCOE - 136802 - Electric - Dist -"/>
    <x v="45"/>
    <x v="4"/>
    <s v="BH Colorado Electric Oper Co"/>
    <s v="SEC"/>
    <x v="1"/>
    <n v="13960181.029999999"/>
    <n v="15476.7"/>
    <n v="0"/>
    <n v="0"/>
    <n v="0"/>
    <n v="0"/>
    <n v="0"/>
    <n v="13975657.73"/>
  </r>
  <r>
    <x v="0"/>
    <s v="12/2021"/>
    <s v="BHCOE - 136802 - Electric - Dist -"/>
    <x v="45"/>
    <x v="4"/>
    <s v="BH Colorado Electric Oper Co"/>
    <s v="SEC"/>
    <x v="3"/>
    <n v="-254942.56"/>
    <n v="0"/>
    <n v="0"/>
    <n v="-89.19"/>
    <n v="0"/>
    <n v="0"/>
    <n v="0"/>
    <n v="-255031.75"/>
  </r>
  <r>
    <x v="1"/>
    <s v="01/2022"/>
    <s v="BHCOE - 136802 - Electric - Dist -"/>
    <x v="45"/>
    <x v="4"/>
    <s v="BH Colorado Electric Oper Co"/>
    <s v="SEC"/>
    <x v="1"/>
    <n v="13975657.73"/>
    <n v="15557.25"/>
    <n v="-6022.7300000000005"/>
    <n v="0"/>
    <n v="0"/>
    <n v="0"/>
    <n v="0"/>
    <n v="13985192.25"/>
  </r>
  <r>
    <x v="1"/>
    <s v="01/2022"/>
    <s v="BHCOE - 136802 - Electric - Dist -"/>
    <x v="45"/>
    <x v="4"/>
    <s v="BH Colorado Electric Oper Co"/>
    <s v="SEC"/>
    <x v="3"/>
    <n v="-255031.75"/>
    <n v="0"/>
    <n v="0"/>
    <n v="-1412.69"/>
    <n v="0"/>
    <n v="0"/>
    <n v="0"/>
    <n v="-256444.44"/>
  </r>
  <r>
    <x v="2"/>
    <s v="02/2022"/>
    <s v="BHCOE - 136802 - Electric - Dist -"/>
    <x v="45"/>
    <x v="4"/>
    <s v="BH Colorado Electric Oper Co"/>
    <s v="SEC"/>
    <x v="1"/>
    <n v="13985192.25"/>
    <n v="15596.710000000001"/>
    <n v="-444.18"/>
    <n v="0"/>
    <n v="0"/>
    <n v="0"/>
    <n v="0"/>
    <n v="14000344.779999999"/>
  </r>
  <r>
    <x v="2"/>
    <s v="02/2022"/>
    <s v="BHCOE - 136802 - Electric - Dist -"/>
    <x v="45"/>
    <x v="4"/>
    <s v="BH Colorado Electric Oper Co"/>
    <s v="SEC"/>
    <x v="3"/>
    <n v="-256444.44"/>
    <n v="0"/>
    <n v="0"/>
    <n v="-1546.03"/>
    <n v="0"/>
    <n v="0"/>
    <n v="0"/>
    <n v="-257990.47"/>
  </r>
  <r>
    <x v="3"/>
    <s v="03/2022"/>
    <s v="BHCOE - 136802 - Electric - Dist -"/>
    <x v="45"/>
    <x v="4"/>
    <s v="BH Colorado Electric Oper Co"/>
    <s v="SEC"/>
    <x v="1"/>
    <n v="14000344.779999999"/>
    <n v="15704.41"/>
    <n v="-540.48"/>
    <n v="0"/>
    <n v="0"/>
    <n v="0"/>
    <n v="0"/>
    <n v="14015508.710000001"/>
  </r>
  <r>
    <x v="3"/>
    <s v="03/2022"/>
    <s v="BHCOE - 136802 - Electric - Dist -"/>
    <x v="45"/>
    <x v="4"/>
    <s v="BH Colorado Electric Oper Co"/>
    <s v="SEC"/>
    <x v="3"/>
    <n v="-257990.47"/>
    <n v="0"/>
    <n v="0"/>
    <n v="-830.38"/>
    <n v="0"/>
    <n v="0"/>
    <n v="0"/>
    <n v="-258820.85"/>
  </r>
  <r>
    <x v="4"/>
    <s v="04/2022"/>
    <s v="BHCOE - 136802 - Electric - Dist -"/>
    <x v="45"/>
    <x v="4"/>
    <s v="BH Colorado Electric Oper Co"/>
    <s v="SEC"/>
    <x v="1"/>
    <n v="14015508.710000001"/>
    <n v="15854.18"/>
    <n v="24042.11"/>
    <n v="0"/>
    <n v="0"/>
    <n v="0"/>
    <n v="0"/>
    <n v="14055405"/>
  </r>
  <r>
    <x v="4"/>
    <s v="04/2022"/>
    <s v="BHCOE - 136802 - Electric - Dist -"/>
    <x v="45"/>
    <x v="4"/>
    <s v="BH Colorado Electric Oper Co"/>
    <s v="SEC"/>
    <x v="3"/>
    <n v="-258820.85"/>
    <n v="0"/>
    <n v="0"/>
    <n v="-2172"/>
    <n v="0"/>
    <n v="0"/>
    <n v="0"/>
    <n v="-260992.85"/>
  </r>
  <r>
    <x v="5"/>
    <s v="05/2022"/>
    <s v="BHCOE - 136802 - Electric - Dist -"/>
    <x v="45"/>
    <x v="4"/>
    <s v="BH Colorado Electric Oper Co"/>
    <s v="SEC"/>
    <x v="1"/>
    <n v="14055405"/>
    <n v="15918.24"/>
    <n v="-532.44000000000005"/>
    <n v="0"/>
    <n v="0"/>
    <n v="0"/>
    <n v="0"/>
    <n v="14070790.800000001"/>
  </r>
  <r>
    <x v="5"/>
    <s v="05/2022"/>
    <s v="BHCOE - 136802 - Electric - Dist -"/>
    <x v="45"/>
    <x v="4"/>
    <s v="BH Colorado Electric Oper Co"/>
    <s v="SEC"/>
    <x v="3"/>
    <n v="-260992.85"/>
    <n v="0"/>
    <n v="0"/>
    <n v="-1415.6200000000001"/>
    <n v="0"/>
    <n v="0"/>
    <n v="0"/>
    <n v="-262408.47000000003"/>
  </r>
  <r>
    <x v="6"/>
    <s v="06/2022"/>
    <s v="BHCOE - 136802 - Electric - Dist -"/>
    <x v="45"/>
    <x v="4"/>
    <s v="BH Colorado Electric Oper Co"/>
    <s v="SEC"/>
    <x v="1"/>
    <n v="14070790.800000001"/>
    <n v="16012.17"/>
    <n v="3322.39"/>
    <n v="0"/>
    <n v="0"/>
    <n v="0"/>
    <n v="0"/>
    <n v="14090125.359999999"/>
  </r>
  <r>
    <x v="6"/>
    <s v="06/2022"/>
    <s v="BHCOE - 136802 - Electric - Dist -"/>
    <x v="45"/>
    <x v="4"/>
    <s v="BH Colorado Electric Oper Co"/>
    <s v="SEC"/>
    <x v="3"/>
    <n v="-262408.47000000003"/>
    <n v="0"/>
    <n v="0"/>
    <n v="-211.61"/>
    <n v="0"/>
    <n v="0"/>
    <n v="0"/>
    <n v="-262620.08"/>
  </r>
  <r>
    <x v="7"/>
    <s v="07/2022"/>
    <s v="BHCOE - 136802 - Electric - Dist -"/>
    <x v="45"/>
    <x v="4"/>
    <s v="BH Colorado Electric Oper Co"/>
    <s v="SEC"/>
    <x v="1"/>
    <n v="14090125.359999999"/>
    <n v="16088.51"/>
    <n v="-503.25"/>
    <n v="0"/>
    <n v="0"/>
    <n v="0"/>
    <n v="0"/>
    <n v="14105710.619999999"/>
  </r>
  <r>
    <x v="7"/>
    <s v="07/2022"/>
    <s v="BHCOE - 136802 - Electric - Dist -"/>
    <x v="45"/>
    <x v="4"/>
    <s v="BH Colorado Electric Oper Co"/>
    <s v="SEC"/>
    <x v="3"/>
    <n v="-262620.08"/>
    <n v="0"/>
    <n v="0"/>
    <n v="-12443.64"/>
    <n v="0"/>
    <n v="0"/>
    <n v="0"/>
    <n v="-275063.72000000003"/>
  </r>
  <r>
    <x v="8"/>
    <s v="08/2022"/>
    <s v="BHCOE - 136802 - Electric - Dist -"/>
    <x v="45"/>
    <x v="4"/>
    <s v="BH Colorado Electric Oper Co"/>
    <s v="SEC"/>
    <x v="1"/>
    <n v="14105710.619999999"/>
    <n v="16160.12"/>
    <n v="0.03"/>
    <n v="0"/>
    <n v="0"/>
    <n v="0"/>
    <n v="0"/>
    <n v="14121870.77"/>
  </r>
  <r>
    <x v="8"/>
    <s v="08/2022"/>
    <s v="BHCOE - 136802 - Electric - Dist -"/>
    <x v="45"/>
    <x v="4"/>
    <s v="BH Colorado Electric Oper Co"/>
    <s v="SEC"/>
    <x v="3"/>
    <n v="-275063.72000000003"/>
    <n v="0"/>
    <n v="0"/>
    <n v="0"/>
    <n v="0"/>
    <n v="0"/>
    <n v="0"/>
    <n v="-275063.72000000003"/>
  </r>
  <r>
    <x v="9"/>
    <s v="09/2022"/>
    <s v="BHCOE - 136802 - Electric - Dist -"/>
    <x v="45"/>
    <x v="4"/>
    <s v="BH Colorado Electric Oper Co"/>
    <s v="SEC"/>
    <x v="1"/>
    <n v="14121870.77"/>
    <n v="16290.06"/>
    <n v="5824.08"/>
    <n v="0"/>
    <n v="0"/>
    <n v="0"/>
    <n v="0"/>
    <n v="14143984.91"/>
  </r>
  <r>
    <x v="9"/>
    <s v="09/2022"/>
    <s v="BHCOE - 136802 - Electric - Dist -"/>
    <x v="45"/>
    <x v="4"/>
    <s v="BH Colorado Electric Oper Co"/>
    <s v="SEC"/>
    <x v="3"/>
    <n v="-275063.72000000003"/>
    <n v="0"/>
    <n v="0"/>
    <n v="-91.600000000000009"/>
    <n v="0"/>
    <n v="0"/>
    <n v="0"/>
    <n v="-275155.32"/>
  </r>
  <r>
    <x v="10"/>
    <s v="10/2022"/>
    <s v="BHCOE - 136802 - Electric - Dist -"/>
    <x v="45"/>
    <x v="4"/>
    <s v="BH Colorado Electric Oper Co"/>
    <s v="SEC"/>
    <x v="1"/>
    <n v="14143984.91"/>
    <n v="16346.29"/>
    <n v="5823.93"/>
    <n v="0"/>
    <n v="0"/>
    <n v="0"/>
    <n v="0"/>
    <n v="14166155.130000001"/>
  </r>
  <r>
    <x v="10"/>
    <s v="10/2022"/>
    <s v="BHCOE - 136802 - Electric - Dist -"/>
    <x v="45"/>
    <x v="4"/>
    <s v="BH Colorado Electric Oper Co"/>
    <s v="SEC"/>
    <x v="3"/>
    <n v="-275155.32"/>
    <n v="0"/>
    <n v="0"/>
    <n v="0"/>
    <n v="0"/>
    <n v="0"/>
    <n v="0"/>
    <n v="-275155.32"/>
  </r>
  <r>
    <x v="11"/>
    <s v="11/2022"/>
    <s v="BHCOE - 136802 - Electric - Dist -"/>
    <x v="45"/>
    <x v="4"/>
    <s v="BH Colorado Electric Oper Co"/>
    <s v="SEC"/>
    <x v="1"/>
    <n v="14166155.130000001"/>
    <n v="16378.82"/>
    <n v="0.03"/>
    <n v="0"/>
    <n v="0"/>
    <n v="0"/>
    <n v="0"/>
    <n v="14182533.98"/>
  </r>
  <r>
    <x v="11"/>
    <s v="11/2022"/>
    <s v="BHCOE - 136802 - Electric - Dist -"/>
    <x v="45"/>
    <x v="4"/>
    <s v="BH Colorado Electric Oper Co"/>
    <s v="SEC"/>
    <x v="3"/>
    <n v="-275155.32"/>
    <n v="0"/>
    <n v="0"/>
    <n v="0"/>
    <n v="0"/>
    <n v="0"/>
    <n v="0"/>
    <n v="-275155.32"/>
  </r>
  <r>
    <x v="12"/>
    <s v="12/2022"/>
    <s v="BHCOE - 136802 - Electric - Dist -"/>
    <x v="45"/>
    <x v="4"/>
    <s v="BH Colorado Electric Oper Co"/>
    <s v="SEC"/>
    <x v="1"/>
    <n v="14182533.98"/>
    <n v="16300.82"/>
    <n v="1941.18"/>
    <n v="0"/>
    <n v="0"/>
    <n v="0"/>
    <n v="0"/>
    <n v="14200775.98"/>
  </r>
  <r>
    <x v="12"/>
    <s v="12/2022"/>
    <s v="BHCOE - 136802 - Electric - Dist -"/>
    <x v="45"/>
    <x v="4"/>
    <s v="BH Colorado Electric Oper Co"/>
    <s v="SEC"/>
    <x v="3"/>
    <n v="-275155.32"/>
    <n v="0"/>
    <n v="0"/>
    <n v="-1.3800000000000001"/>
    <n v="0"/>
    <n v="0"/>
    <n v="0"/>
    <n v="-275156.7"/>
  </r>
  <r>
    <x v="0"/>
    <s v="12/2021"/>
    <s v="BHCOE - 136803 - Electric - Dist -"/>
    <x v="46"/>
    <x v="4"/>
    <s v="BH Colorado Electric Oper Co"/>
    <s v="SEC"/>
    <x v="1"/>
    <n v="10778467.25"/>
    <n v="27829.9"/>
    <n v="-14.46"/>
    <n v="0"/>
    <n v="0"/>
    <n v="0"/>
    <n v="0"/>
    <n v="10806282.689999999"/>
  </r>
  <r>
    <x v="0"/>
    <s v="12/2021"/>
    <s v="BHCOE - 136803 - Electric - Dist -"/>
    <x v="46"/>
    <x v="4"/>
    <s v="BH Colorado Electric Oper Co"/>
    <s v="SEC"/>
    <x v="3"/>
    <n v="-32203.07"/>
    <n v="0"/>
    <n v="0"/>
    <n v="-0.1"/>
    <n v="0"/>
    <n v="0"/>
    <n v="0"/>
    <n v="-32203.170000000002"/>
  </r>
  <r>
    <x v="1"/>
    <s v="01/2022"/>
    <s v="BHCOE - 136803 - Electric - Dist -"/>
    <x v="46"/>
    <x v="4"/>
    <s v="BH Colorado Electric Oper Co"/>
    <s v="SEC"/>
    <x v="1"/>
    <n v="10806282.689999999"/>
    <n v="27939.98"/>
    <n v="0"/>
    <n v="0"/>
    <n v="0"/>
    <n v="0"/>
    <n v="0"/>
    <n v="10834222.67"/>
  </r>
  <r>
    <x v="1"/>
    <s v="01/2022"/>
    <s v="BHCOE - 136803 - Electric - Dist -"/>
    <x v="46"/>
    <x v="4"/>
    <s v="BH Colorado Electric Oper Co"/>
    <s v="SEC"/>
    <x v="3"/>
    <n v="-32203.170000000002"/>
    <n v="0"/>
    <n v="0"/>
    <n v="0.53"/>
    <n v="0"/>
    <n v="0"/>
    <n v="0"/>
    <n v="-32202.639999999999"/>
  </r>
  <r>
    <x v="2"/>
    <s v="02/2022"/>
    <s v="BHCOE - 136803 - Electric - Dist -"/>
    <x v="46"/>
    <x v="4"/>
    <s v="BH Colorado Electric Oper Co"/>
    <s v="SEC"/>
    <x v="1"/>
    <n v="10834222.67"/>
    <n v="28060.63"/>
    <n v="179.94"/>
    <n v="0"/>
    <n v="0"/>
    <n v="0"/>
    <n v="0"/>
    <n v="10862463.24"/>
  </r>
  <r>
    <x v="2"/>
    <s v="02/2022"/>
    <s v="BHCOE - 136803 - Electric - Dist -"/>
    <x v="46"/>
    <x v="4"/>
    <s v="BH Colorado Electric Oper Co"/>
    <s v="SEC"/>
    <x v="3"/>
    <n v="-32202.639999999999"/>
    <n v="0"/>
    <n v="0"/>
    <n v="-1082.4000000000001"/>
    <n v="0"/>
    <n v="0"/>
    <n v="0"/>
    <n v="-33285.040000000001"/>
  </r>
  <r>
    <x v="3"/>
    <s v="03/2022"/>
    <s v="BHCOE - 136803 - Electric - Dist -"/>
    <x v="46"/>
    <x v="4"/>
    <s v="BH Colorado Electric Oper Co"/>
    <s v="SEC"/>
    <x v="1"/>
    <n v="10862463.24"/>
    <n v="28701.350000000002"/>
    <n v="-101.17"/>
    <n v="0"/>
    <n v="0"/>
    <n v="0"/>
    <n v="0"/>
    <n v="10891063.42"/>
  </r>
  <r>
    <x v="3"/>
    <s v="03/2022"/>
    <s v="BHCOE - 136803 - Electric - Dist -"/>
    <x v="46"/>
    <x v="4"/>
    <s v="BH Colorado Electric Oper Co"/>
    <s v="SEC"/>
    <x v="3"/>
    <n v="-33285.040000000001"/>
    <n v="0"/>
    <n v="0"/>
    <n v="-2692.08"/>
    <n v="0"/>
    <n v="0"/>
    <n v="0"/>
    <n v="-35977.120000000003"/>
  </r>
  <r>
    <x v="4"/>
    <s v="04/2022"/>
    <s v="BHCOE - 136803 - Electric - Dist -"/>
    <x v="46"/>
    <x v="4"/>
    <s v="BH Colorado Electric Oper Co"/>
    <s v="SEC"/>
    <x v="1"/>
    <n v="10891063.42"/>
    <n v="29467.86"/>
    <n v="-0.59"/>
    <n v="0"/>
    <n v="0"/>
    <n v="0"/>
    <n v="0"/>
    <n v="10920530.689999999"/>
  </r>
  <r>
    <x v="4"/>
    <s v="04/2022"/>
    <s v="BHCOE - 136803 - Electric - Dist -"/>
    <x v="46"/>
    <x v="4"/>
    <s v="BH Colorado Electric Oper Co"/>
    <s v="SEC"/>
    <x v="3"/>
    <n v="-35977.120000000003"/>
    <n v="0"/>
    <n v="0"/>
    <n v="-1130.72"/>
    <n v="0"/>
    <n v="0"/>
    <n v="0"/>
    <n v="-37107.840000000004"/>
  </r>
  <r>
    <x v="5"/>
    <s v="05/2022"/>
    <s v="BHCOE - 136803 - Electric - Dist -"/>
    <x v="46"/>
    <x v="4"/>
    <s v="BH Colorado Electric Oper Co"/>
    <s v="SEC"/>
    <x v="1"/>
    <n v="10920530.689999999"/>
    <n v="29690"/>
    <n v="-28.900000000000002"/>
    <n v="0"/>
    <n v="0"/>
    <n v="0"/>
    <n v="0"/>
    <n v="10950191.789999999"/>
  </r>
  <r>
    <x v="5"/>
    <s v="05/2022"/>
    <s v="BHCOE - 136803 - Electric - Dist -"/>
    <x v="46"/>
    <x v="4"/>
    <s v="BH Colorado Electric Oper Co"/>
    <s v="SEC"/>
    <x v="3"/>
    <n v="-37107.840000000004"/>
    <n v="0"/>
    <n v="0"/>
    <n v="-0.12"/>
    <n v="0"/>
    <n v="0"/>
    <n v="0"/>
    <n v="-37107.96"/>
  </r>
  <r>
    <x v="6"/>
    <s v="06/2022"/>
    <s v="BHCOE - 136803 - Electric - Dist -"/>
    <x v="46"/>
    <x v="4"/>
    <s v="BH Colorado Electric Oper Co"/>
    <s v="SEC"/>
    <x v="1"/>
    <n v="10950191.789999999"/>
    <n v="29922.920000000002"/>
    <n v="-57.85"/>
    <n v="0"/>
    <n v="0"/>
    <n v="0"/>
    <n v="0"/>
    <n v="10980056.859999999"/>
  </r>
  <r>
    <x v="6"/>
    <s v="06/2022"/>
    <s v="BHCOE - 136803 - Electric - Dist -"/>
    <x v="46"/>
    <x v="4"/>
    <s v="BH Colorado Electric Oper Co"/>
    <s v="SEC"/>
    <x v="3"/>
    <n v="-37107.96"/>
    <n v="0"/>
    <n v="0"/>
    <n v="-1933.33"/>
    <n v="0"/>
    <n v="0"/>
    <n v="0"/>
    <n v="-39041.29"/>
  </r>
  <r>
    <x v="7"/>
    <s v="07/2022"/>
    <s v="BHCOE - 136803 - Electric - Dist -"/>
    <x v="46"/>
    <x v="4"/>
    <s v="BH Colorado Electric Oper Co"/>
    <s v="SEC"/>
    <x v="1"/>
    <n v="10980056.859999999"/>
    <n v="30001.03"/>
    <n v="0"/>
    <n v="0"/>
    <n v="0"/>
    <n v="0"/>
    <n v="0"/>
    <n v="11010057.890000001"/>
  </r>
  <r>
    <x v="7"/>
    <s v="07/2022"/>
    <s v="BHCOE - 136803 - Electric - Dist -"/>
    <x v="46"/>
    <x v="4"/>
    <s v="BH Colorado Electric Oper Co"/>
    <s v="SEC"/>
    <x v="3"/>
    <n v="-39041.29"/>
    <n v="0"/>
    <n v="0"/>
    <n v="0"/>
    <n v="0"/>
    <n v="0"/>
    <n v="0"/>
    <n v="-39041.29"/>
  </r>
  <r>
    <x v="8"/>
    <s v="08/2022"/>
    <s v="BHCOE - 136803 - Electric - Dist -"/>
    <x v="46"/>
    <x v="4"/>
    <s v="BH Colorado Electric Oper Co"/>
    <s v="SEC"/>
    <x v="1"/>
    <n v="11010057.890000001"/>
    <n v="30029.59"/>
    <n v="-14.46"/>
    <n v="0"/>
    <n v="0"/>
    <n v="0"/>
    <n v="0"/>
    <n v="11040073.02"/>
  </r>
  <r>
    <x v="8"/>
    <s v="08/2022"/>
    <s v="BHCOE - 136803 - Electric - Dist -"/>
    <x v="46"/>
    <x v="4"/>
    <s v="BH Colorado Electric Oper Co"/>
    <s v="SEC"/>
    <x v="3"/>
    <n v="-39041.29"/>
    <n v="0"/>
    <n v="0"/>
    <n v="0"/>
    <n v="0"/>
    <n v="0"/>
    <n v="0"/>
    <n v="-39041.29"/>
  </r>
  <r>
    <x v="9"/>
    <s v="09/2022"/>
    <s v="BHCOE - 136803 - Electric - Dist -"/>
    <x v="46"/>
    <x v="4"/>
    <s v="BH Colorado Electric Oper Co"/>
    <s v="SEC"/>
    <x v="1"/>
    <n v="11040073.02"/>
    <n v="30324.690000000002"/>
    <n v="-43.410000000000004"/>
    <n v="0"/>
    <n v="0"/>
    <n v="0"/>
    <n v="0"/>
    <n v="11070354.300000001"/>
  </r>
  <r>
    <x v="9"/>
    <s v="09/2022"/>
    <s v="BHCOE - 136803 - Electric - Dist -"/>
    <x v="46"/>
    <x v="4"/>
    <s v="BH Colorado Electric Oper Co"/>
    <s v="SEC"/>
    <x v="3"/>
    <n v="-39041.29"/>
    <n v="0"/>
    <n v="0"/>
    <n v="0"/>
    <n v="0"/>
    <n v="0"/>
    <n v="0"/>
    <n v="-39041.29"/>
  </r>
  <r>
    <x v="10"/>
    <s v="10/2022"/>
    <s v="BHCOE - 136803 - Electric - Dist -"/>
    <x v="46"/>
    <x v="4"/>
    <s v="BH Colorado Electric Oper Co"/>
    <s v="SEC"/>
    <x v="1"/>
    <n v="11070354.300000001"/>
    <n v="30516.46"/>
    <n v="-43.4"/>
    <n v="0"/>
    <n v="0"/>
    <n v="0"/>
    <n v="0"/>
    <n v="11100827.359999999"/>
  </r>
  <r>
    <x v="10"/>
    <s v="10/2022"/>
    <s v="BHCOE - 136803 - Electric - Dist -"/>
    <x v="46"/>
    <x v="4"/>
    <s v="BH Colorado Electric Oper Co"/>
    <s v="SEC"/>
    <x v="3"/>
    <n v="-39041.29"/>
    <n v="0"/>
    <n v="0"/>
    <n v="0"/>
    <n v="0"/>
    <n v="0"/>
    <n v="0"/>
    <n v="-39041.29"/>
  </r>
  <r>
    <x v="11"/>
    <s v="11/2022"/>
    <s v="BHCOE - 136803 - Electric - Dist -"/>
    <x v="46"/>
    <x v="4"/>
    <s v="BH Colorado Electric Oper Co"/>
    <s v="SEC"/>
    <x v="1"/>
    <n v="11100827.359999999"/>
    <n v="30584.940000000002"/>
    <n v="0"/>
    <n v="0"/>
    <n v="0"/>
    <n v="0"/>
    <n v="0"/>
    <n v="11131412.300000001"/>
  </r>
  <r>
    <x v="11"/>
    <s v="11/2022"/>
    <s v="BHCOE - 136803 - Electric - Dist -"/>
    <x v="46"/>
    <x v="4"/>
    <s v="BH Colorado Electric Oper Co"/>
    <s v="SEC"/>
    <x v="3"/>
    <n v="-39041.29"/>
    <n v="0"/>
    <n v="0"/>
    <n v="-2.58"/>
    <n v="0"/>
    <n v="0"/>
    <n v="0"/>
    <n v="-39043.870000000003"/>
  </r>
  <r>
    <x v="12"/>
    <s v="12/2022"/>
    <s v="BHCOE - 136803 - Electric - Dist -"/>
    <x v="46"/>
    <x v="4"/>
    <s v="BH Colorado Electric Oper Co"/>
    <s v="SEC"/>
    <x v="1"/>
    <n v="11131412.300000001"/>
    <n v="30793.62"/>
    <n v="179.95000000000002"/>
    <n v="0"/>
    <n v="0"/>
    <n v="0"/>
    <n v="0"/>
    <n v="11162385.869999999"/>
  </r>
  <r>
    <x v="12"/>
    <s v="12/2022"/>
    <s v="BHCOE - 136803 - Electric - Dist -"/>
    <x v="46"/>
    <x v="4"/>
    <s v="BH Colorado Electric Oper Co"/>
    <s v="SEC"/>
    <x v="3"/>
    <n v="-39043.870000000003"/>
    <n v="0"/>
    <n v="0"/>
    <n v="0"/>
    <n v="0"/>
    <n v="0"/>
    <n v="0"/>
    <n v="-39043.870000000003"/>
  </r>
  <r>
    <x v="0"/>
    <s v="12/2021"/>
    <s v="BHCOE - 136901 - Electric - Dist -"/>
    <x v="47"/>
    <x v="4"/>
    <s v="BH Colorado Electric Oper Co"/>
    <s v="SEC"/>
    <x v="1"/>
    <n v="7590568.4000000004"/>
    <n v="17661.990000000002"/>
    <n v="0"/>
    <n v="0"/>
    <n v="0"/>
    <n v="0"/>
    <n v="0"/>
    <n v="7608230.3899999997"/>
  </r>
  <r>
    <x v="0"/>
    <s v="12/2021"/>
    <s v="BHCOE - 136901 - Electric - Dist -"/>
    <x v="47"/>
    <x v="4"/>
    <s v="BH Colorado Electric Oper Co"/>
    <s v="SEC"/>
    <x v="3"/>
    <n v="1134331.05"/>
    <n v="13180.59"/>
    <n v="0"/>
    <n v="-6.2"/>
    <n v="0"/>
    <n v="0"/>
    <n v="0"/>
    <n v="1147505.44"/>
  </r>
  <r>
    <x v="1"/>
    <s v="01/2022"/>
    <s v="BHCOE - 136901 - Electric - Dist -"/>
    <x v="47"/>
    <x v="4"/>
    <s v="BH Colorado Electric Oper Co"/>
    <s v="SEC"/>
    <x v="1"/>
    <n v="7608230.3899999997"/>
    <n v="17749.689999999999"/>
    <n v="0"/>
    <n v="0"/>
    <n v="0"/>
    <n v="0"/>
    <n v="0"/>
    <n v="7625980.0800000001"/>
  </r>
  <r>
    <x v="1"/>
    <s v="01/2022"/>
    <s v="BHCOE - 136901 - Electric - Dist -"/>
    <x v="47"/>
    <x v="4"/>
    <s v="BH Colorado Electric Oper Co"/>
    <s v="SEC"/>
    <x v="3"/>
    <n v="1147505.44"/>
    <n v="13246.03"/>
    <n v="0"/>
    <n v="0"/>
    <n v="0"/>
    <n v="0"/>
    <n v="0"/>
    <n v="1160751.47"/>
  </r>
  <r>
    <x v="2"/>
    <s v="02/2022"/>
    <s v="BHCOE - 136901 - Electric - Dist -"/>
    <x v="47"/>
    <x v="4"/>
    <s v="BH Colorado Electric Oper Co"/>
    <s v="SEC"/>
    <x v="1"/>
    <n v="7625980.0800000001"/>
    <n v="17846.670000000002"/>
    <n v="0"/>
    <n v="0"/>
    <n v="0"/>
    <n v="0"/>
    <n v="0"/>
    <n v="7643826.75"/>
  </r>
  <r>
    <x v="2"/>
    <s v="02/2022"/>
    <s v="BHCOE - 136901 - Electric - Dist -"/>
    <x v="47"/>
    <x v="4"/>
    <s v="BH Colorado Electric Oper Co"/>
    <s v="SEC"/>
    <x v="3"/>
    <n v="1160751.47"/>
    <n v="13318.41"/>
    <n v="0"/>
    <n v="0"/>
    <n v="0"/>
    <n v="0"/>
    <n v="0"/>
    <n v="1174069.8799999999"/>
  </r>
  <r>
    <x v="3"/>
    <s v="03/2022"/>
    <s v="BHCOE - 136901 - Electric - Dist -"/>
    <x v="47"/>
    <x v="4"/>
    <s v="BH Colorado Electric Oper Co"/>
    <s v="SEC"/>
    <x v="1"/>
    <n v="7643826.75"/>
    <n v="17900.52"/>
    <n v="-2718.13"/>
    <n v="0"/>
    <n v="0"/>
    <n v="0"/>
    <n v="0"/>
    <n v="7659009.1399999997"/>
  </r>
  <r>
    <x v="3"/>
    <s v="03/2022"/>
    <s v="BHCOE - 136901 - Electric - Dist -"/>
    <x v="47"/>
    <x v="4"/>
    <s v="BH Colorado Electric Oper Co"/>
    <s v="SEC"/>
    <x v="3"/>
    <n v="1174069.8799999999"/>
    <n v="13358.6"/>
    <n v="0"/>
    <n v="-304.65000000000003"/>
    <n v="0"/>
    <n v="0"/>
    <n v="0"/>
    <n v="1187123.83"/>
  </r>
  <r>
    <x v="4"/>
    <s v="04/2022"/>
    <s v="BHCOE - 136901 - Electric - Dist -"/>
    <x v="47"/>
    <x v="4"/>
    <s v="BH Colorado Electric Oper Co"/>
    <s v="SEC"/>
    <x v="1"/>
    <n v="7659009.1399999997"/>
    <n v="17937.21"/>
    <n v="-544.70000000000005"/>
    <n v="0"/>
    <n v="0"/>
    <n v="0"/>
    <n v="0"/>
    <n v="7676401.6500000004"/>
  </r>
  <r>
    <x v="4"/>
    <s v="04/2022"/>
    <s v="BHCOE - 136901 - Electric - Dist -"/>
    <x v="47"/>
    <x v="4"/>
    <s v="BH Colorado Electric Oper Co"/>
    <s v="SEC"/>
    <x v="3"/>
    <n v="1187123.83"/>
    <n v="13385.98"/>
    <n v="0"/>
    <n v="-5.25"/>
    <n v="0"/>
    <n v="0"/>
    <n v="0"/>
    <n v="1200504.56"/>
  </r>
  <r>
    <x v="5"/>
    <s v="05/2022"/>
    <s v="BHCOE - 136901 - Electric - Dist -"/>
    <x v="47"/>
    <x v="4"/>
    <s v="BH Colorado Electric Oper Co"/>
    <s v="SEC"/>
    <x v="1"/>
    <n v="7676401.6500000004"/>
    <n v="17955.740000000002"/>
    <n v="-145.95000000000002"/>
    <n v="0"/>
    <n v="0"/>
    <n v="0"/>
    <n v="0"/>
    <n v="7694211.4400000004"/>
  </r>
  <r>
    <x v="5"/>
    <s v="05/2022"/>
    <s v="BHCOE - 136901 - Electric - Dist -"/>
    <x v="47"/>
    <x v="4"/>
    <s v="BH Colorado Electric Oper Co"/>
    <s v="SEC"/>
    <x v="3"/>
    <n v="1200504.56"/>
    <n v="13399.81"/>
    <n v="0"/>
    <n v="-934.19"/>
    <n v="0"/>
    <n v="0"/>
    <n v="0"/>
    <n v="1212970.18"/>
  </r>
  <r>
    <x v="6"/>
    <s v="06/2022"/>
    <s v="BHCOE - 136901 - Electric - Dist -"/>
    <x v="47"/>
    <x v="4"/>
    <s v="BH Colorado Electric Oper Co"/>
    <s v="SEC"/>
    <x v="1"/>
    <n v="7694211.4400000004"/>
    <n v="17904.740000000002"/>
    <n v="-977.37"/>
    <n v="0"/>
    <n v="0"/>
    <n v="0"/>
    <n v="0"/>
    <n v="7711138.8100000005"/>
  </r>
  <r>
    <x v="6"/>
    <s v="06/2022"/>
    <s v="BHCOE - 136901 - Electric - Dist -"/>
    <x v="47"/>
    <x v="4"/>
    <s v="BH Colorado Electric Oper Co"/>
    <s v="SEC"/>
    <x v="3"/>
    <n v="1212970.18"/>
    <n v="13361.75"/>
    <n v="0"/>
    <n v="-4939.79"/>
    <n v="0"/>
    <n v="0"/>
    <n v="0"/>
    <n v="1221392.1400000001"/>
  </r>
  <r>
    <x v="7"/>
    <s v="07/2022"/>
    <s v="BHCOE - 136901 - Electric - Dist -"/>
    <x v="47"/>
    <x v="4"/>
    <s v="BH Colorado Electric Oper Co"/>
    <s v="SEC"/>
    <x v="1"/>
    <n v="7711138.8100000005"/>
    <n v="18342.41"/>
    <n v="0"/>
    <n v="0"/>
    <n v="0"/>
    <n v="0"/>
    <n v="0"/>
    <n v="7729481.2199999997"/>
  </r>
  <r>
    <x v="7"/>
    <s v="07/2022"/>
    <s v="BHCOE - 136901 - Electric - Dist -"/>
    <x v="47"/>
    <x v="4"/>
    <s v="BH Colorado Electric Oper Co"/>
    <s v="SEC"/>
    <x v="3"/>
    <n v="1221392.1400000001"/>
    <n v="13688.36"/>
    <n v="0"/>
    <n v="0"/>
    <n v="0"/>
    <n v="0"/>
    <n v="0"/>
    <n v="1235080.5"/>
  </r>
  <r>
    <x v="8"/>
    <s v="08/2022"/>
    <s v="BHCOE - 136901 - Electric - Dist -"/>
    <x v="47"/>
    <x v="4"/>
    <s v="BH Colorado Electric Oper Co"/>
    <s v="SEC"/>
    <x v="1"/>
    <n v="7729481.2199999997"/>
    <n v="18853.27"/>
    <n v="0"/>
    <n v="0"/>
    <n v="0"/>
    <n v="0"/>
    <n v="0"/>
    <n v="7748334.4900000002"/>
  </r>
  <r>
    <x v="8"/>
    <s v="08/2022"/>
    <s v="BHCOE - 136901 - Electric - Dist -"/>
    <x v="47"/>
    <x v="4"/>
    <s v="BH Colorado Electric Oper Co"/>
    <s v="SEC"/>
    <x v="3"/>
    <n v="1235080.5"/>
    <n v="14069.6"/>
    <n v="0"/>
    <n v="0"/>
    <n v="0"/>
    <n v="0"/>
    <n v="0"/>
    <n v="1249150.1000000001"/>
  </r>
  <r>
    <x v="9"/>
    <s v="09/2022"/>
    <s v="BHCOE - 136901 - Electric - Dist -"/>
    <x v="47"/>
    <x v="4"/>
    <s v="BH Colorado Electric Oper Co"/>
    <s v="SEC"/>
    <x v="1"/>
    <n v="7748334.4900000002"/>
    <n v="18906.760000000002"/>
    <n v="-32.619999999999997"/>
    <n v="0"/>
    <n v="0"/>
    <n v="0"/>
    <n v="0"/>
    <n v="7767208.6299999999"/>
  </r>
  <r>
    <x v="9"/>
    <s v="09/2022"/>
    <s v="BHCOE - 136901 - Electric - Dist -"/>
    <x v="47"/>
    <x v="4"/>
    <s v="BH Colorado Electric Oper Co"/>
    <s v="SEC"/>
    <x v="3"/>
    <n v="1249150.1000000001"/>
    <n v="14109.52"/>
    <n v="0"/>
    <n v="0"/>
    <n v="0"/>
    <n v="0"/>
    <n v="0"/>
    <n v="1263259.6200000001"/>
  </r>
  <r>
    <x v="10"/>
    <s v="10/2022"/>
    <s v="BHCOE - 136901 - Electric - Dist -"/>
    <x v="47"/>
    <x v="4"/>
    <s v="BH Colorado Electric Oper Co"/>
    <s v="SEC"/>
    <x v="1"/>
    <n v="7767208.6299999999"/>
    <n v="18936.68"/>
    <n v="-60.61"/>
    <n v="0"/>
    <n v="0"/>
    <n v="0"/>
    <n v="0"/>
    <n v="7786084.7000000002"/>
  </r>
  <r>
    <x v="10"/>
    <s v="10/2022"/>
    <s v="BHCOE - 136901 - Electric - Dist -"/>
    <x v="47"/>
    <x v="4"/>
    <s v="BH Colorado Electric Oper Co"/>
    <s v="SEC"/>
    <x v="3"/>
    <n v="1263259.6200000001"/>
    <n v="14131.85"/>
    <n v="0"/>
    <n v="0"/>
    <n v="0"/>
    <n v="0"/>
    <n v="0"/>
    <n v="1277391.47"/>
  </r>
  <r>
    <x v="11"/>
    <s v="11/2022"/>
    <s v="BHCOE - 136901 - Electric - Dist -"/>
    <x v="47"/>
    <x v="4"/>
    <s v="BH Colorado Electric Oper Co"/>
    <s v="SEC"/>
    <x v="1"/>
    <n v="7786084.7000000002"/>
    <n v="18870.88"/>
    <n v="-82801.53"/>
    <n v="0"/>
    <n v="0"/>
    <n v="0"/>
    <n v="0"/>
    <n v="7722154.0499999998"/>
  </r>
  <r>
    <x v="11"/>
    <s v="11/2022"/>
    <s v="BHCOE - 136901 - Electric - Dist -"/>
    <x v="47"/>
    <x v="4"/>
    <s v="BH Colorado Electric Oper Co"/>
    <s v="SEC"/>
    <x v="3"/>
    <n v="1277391.47"/>
    <n v="14082.75"/>
    <n v="0"/>
    <n v="-4123.17"/>
    <n v="0"/>
    <n v="0"/>
    <n v="0"/>
    <n v="1287351.05"/>
  </r>
  <r>
    <x v="12"/>
    <s v="12/2022"/>
    <s v="BHCOE - 136901 - Electric - Dist -"/>
    <x v="47"/>
    <x v="4"/>
    <s v="BH Colorado Electric Oper Co"/>
    <s v="SEC"/>
    <x v="1"/>
    <n v="7722154.0499999998"/>
    <n v="18895.66"/>
    <n v="-12585.380000000001"/>
    <n v="0"/>
    <n v="0"/>
    <n v="0"/>
    <n v="0"/>
    <n v="7728464.3300000001"/>
  </r>
  <r>
    <x v="12"/>
    <s v="12/2022"/>
    <s v="BHCOE - 136901 - Electric - Dist -"/>
    <x v="47"/>
    <x v="4"/>
    <s v="BH Colorado Electric Oper Co"/>
    <s v="SEC"/>
    <x v="3"/>
    <n v="1287351.05"/>
    <n v="14101.24"/>
    <n v="0"/>
    <n v="-10631.74"/>
    <n v="0"/>
    <n v="0"/>
    <n v="0"/>
    <n v="1290820.55"/>
  </r>
  <r>
    <x v="0"/>
    <s v="12/2021"/>
    <s v="BHCOE - 136902 - Electric - Dist -"/>
    <x v="48"/>
    <x v="4"/>
    <s v="BH Colorado Electric Oper Co"/>
    <s v="SEC"/>
    <x v="1"/>
    <n v="7237903.5199999996"/>
    <n v="27678.31"/>
    <n v="0"/>
    <n v="0"/>
    <n v="0"/>
    <n v="0"/>
    <n v="0"/>
    <n v="7265581.8300000001"/>
  </r>
  <r>
    <x v="0"/>
    <s v="12/2021"/>
    <s v="BHCOE - 136902 - Electric - Dist -"/>
    <x v="48"/>
    <x v="4"/>
    <s v="BH Colorado Electric Oper Co"/>
    <s v="SEC"/>
    <x v="3"/>
    <n v="2870732.35"/>
    <n v="27795.600000000002"/>
    <n v="0"/>
    <n v="0"/>
    <n v="0"/>
    <n v="0"/>
    <n v="0"/>
    <n v="2898527.95"/>
  </r>
  <r>
    <x v="1"/>
    <s v="01/2022"/>
    <s v="BHCOE - 136902 - Electric - Dist -"/>
    <x v="48"/>
    <x v="4"/>
    <s v="BH Colorado Electric Oper Co"/>
    <s v="SEC"/>
    <x v="1"/>
    <n v="7265581.8300000001"/>
    <n v="27791.57"/>
    <n v="0"/>
    <n v="0"/>
    <n v="0"/>
    <n v="0"/>
    <n v="0"/>
    <n v="7293373.4000000004"/>
  </r>
  <r>
    <x v="1"/>
    <s v="01/2022"/>
    <s v="BHCOE - 136902 - Electric - Dist -"/>
    <x v="48"/>
    <x v="4"/>
    <s v="BH Colorado Electric Oper Co"/>
    <s v="SEC"/>
    <x v="3"/>
    <n v="2898527.95"/>
    <n v="27909.33"/>
    <n v="0"/>
    <n v="0"/>
    <n v="0"/>
    <n v="0"/>
    <n v="0"/>
    <n v="2926437.2800000003"/>
  </r>
  <r>
    <x v="2"/>
    <s v="02/2022"/>
    <s v="BHCOE - 136902 - Electric - Dist -"/>
    <x v="48"/>
    <x v="4"/>
    <s v="BH Colorado Electric Oper Co"/>
    <s v="SEC"/>
    <x v="1"/>
    <n v="7293373.4000000004"/>
    <n v="27955.43"/>
    <n v="-265.58"/>
    <n v="0"/>
    <n v="0"/>
    <n v="0"/>
    <n v="0"/>
    <n v="7321063.25"/>
  </r>
  <r>
    <x v="2"/>
    <s v="02/2022"/>
    <s v="BHCOE - 136902 - Electric - Dist -"/>
    <x v="48"/>
    <x v="4"/>
    <s v="BH Colorado Electric Oper Co"/>
    <s v="SEC"/>
    <x v="3"/>
    <n v="2926437.2800000003"/>
    <n v="28073.88"/>
    <n v="0"/>
    <n v="0"/>
    <n v="0"/>
    <n v="0"/>
    <n v="0"/>
    <n v="2954511.16"/>
  </r>
  <r>
    <x v="3"/>
    <s v="03/2022"/>
    <s v="BHCOE - 136902 - Electric - Dist -"/>
    <x v="48"/>
    <x v="4"/>
    <s v="BH Colorado Electric Oper Co"/>
    <s v="SEC"/>
    <x v="1"/>
    <n v="7321063.25"/>
    <n v="28111.279999999999"/>
    <n v="-318.54000000000002"/>
    <n v="0"/>
    <n v="0"/>
    <n v="0"/>
    <n v="0"/>
    <n v="7348855.9900000002"/>
  </r>
  <r>
    <x v="3"/>
    <s v="03/2022"/>
    <s v="BHCOE - 136902 - Electric - Dist -"/>
    <x v="48"/>
    <x v="4"/>
    <s v="BH Colorado Electric Oper Co"/>
    <s v="SEC"/>
    <x v="3"/>
    <n v="2954511.16"/>
    <n v="28230.39"/>
    <n v="0"/>
    <n v="-576.45000000000005"/>
    <n v="0"/>
    <n v="0"/>
    <n v="0"/>
    <n v="2982165.1"/>
  </r>
  <r>
    <x v="4"/>
    <s v="04/2022"/>
    <s v="BHCOE - 136902 - Electric - Dist -"/>
    <x v="48"/>
    <x v="4"/>
    <s v="BH Colorado Electric Oper Co"/>
    <s v="SEC"/>
    <x v="1"/>
    <n v="7348855.9900000002"/>
    <n v="28264.63"/>
    <n v="-682.29"/>
    <n v="0"/>
    <n v="0"/>
    <n v="0"/>
    <n v="0"/>
    <n v="7376438.3300000001"/>
  </r>
  <r>
    <x v="4"/>
    <s v="04/2022"/>
    <s v="BHCOE - 136902 - Electric - Dist -"/>
    <x v="48"/>
    <x v="4"/>
    <s v="BH Colorado Electric Oper Co"/>
    <s v="SEC"/>
    <x v="3"/>
    <n v="2982165.1"/>
    <n v="28384.39"/>
    <n v="0"/>
    <n v="-80.900000000000006"/>
    <n v="0"/>
    <n v="0"/>
    <n v="0"/>
    <n v="3010468.59"/>
  </r>
  <r>
    <x v="5"/>
    <s v="05/2022"/>
    <s v="BHCOE - 136902 - Electric - Dist -"/>
    <x v="48"/>
    <x v="4"/>
    <s v="BH Colorado Electric Oper Co"/>
    <s v="SEC"/>
    <x v="1"/>
    <n v="7376438.3300000001"/>
    <n v="28425.18"/>
    <n v="-205.34"/>
    <n v="0"/>
    <n v="0"/>
    <n v="0"/>
    <n v="0"/>
    <n v="7404658.1699999999"/>
  </r>
  <r>
    <x v="5"/>
    <s v="05/2022"/>
    <s v="BHCOE - 136902 - Electric - Dist -"/>
    <x v="48"/>
    <x v="4"/>
    <s v="BH Colorado Electric Oper Co"/>
    <s v="SEC"/>
    <x v="3"/>
    <n v="3010468.59"/>
    <n v="28545.62"/>
    <n v="0"/>
    <n v="-0.51"/>
    <n v="0"/>
    <n v="0"/>
    <n v="0"/>
    <n v="3039013.7"/>
  </r>
  <r>
    <x v="6"/>
    <s v="06/2022"/>
    <s v="BHCOE - 136902 - Electric - Dist -"/>
    <x v="48"/>
    <x v="4"/>
    <s v="BH Colorado Electric Oper Co"/>
    <s v="SEC"/>
    <x v="1"/>
    <n v="7404658.1699999999"/>
    <n v="28569.29"/>
    <n v="-2842.37"/>
    <n v="0"/>
    <n v="0"/>
    <n v="0"/>
    <n v="0"/>
    <n v="7430385.0899999999"/>
  </r>
  <r>
    <x v="6"/>
    <s v="06/2022"/>
    <s v="BHCOE - 136902 - Electric - Dist -"/>
    <x v="48"/>
    <x v="4"/>
    <s v="BH Colorado Electric Oper Co"/>
    <s v="SEC"/>
    <x v="3"/>
    <n v="3039013.7"/>
    <n v="28690.350000000002"/>
    <n v="0"/>
    <n v="-13466.23"/>
    <n v="0"/>
    <n v="0"/>
    <n v="0"/>
    <n v="3054237.82"/>
  </r>
  <r>
    <x v="7"/>
    <s v="07/2022"/>
    <s v="BHCOE - 136902 - Electric - Dist -"/>
    <x v="48"/>
    <x v="4"/>
    <s v="BH Colorado Electric Oper Co"/>
    <s v="SEC"/>
    <x v="1"/>
    <n v="7430385.0899999999"/>
    <n v="28608.13"/>
    <n v="0"/>
    <n v="0"/>
    <n v="0"/>
    <n v="0"/>
    <n v="0"/>
    <n v="7458993.2199999997"/>
  </r>
  <r>
    <x v="7"/>
    <s v="07/2022"/>
    <s v="BHCOE - 136902 - Electric - Dist -"/>
    <x v="48"/>
    <x v="4"/>
    <s v="BH Colorado Electric Oper Co"/>
    <s v="SEC"/>
    <x v="3"/>
    <n v="3054237.82"/>
    <n v="28729.350000000002"/>
    <n v="0"/>
    <n v="0"/>
    <n v="0"/>
    <n v="0"/>
    <n v="0"/>
    <n v="3082967.17"/>
  </r>
  <r>
    <x v="8"/>
    <s v="08/2022"/>
    <s v="BHCOE - 136902 - Electric - Dist -"/>
    <x v="48"/>
    <x v="4"/>
    <s v="BH Colorado Electric Oper Co"/>
    <s v="SEC"/>
    <x v="1"/>
    <n v="7458993.2199999997"/>
    <n v="28658.190000000002"/>
    <n v="0"/>
    <n v="0"/>
    <n v="0"/>
    <n v="0"/>
    <n v="0"/>
    <n v="7487651.4100000001"/>
  </r>
  <r>
    <x v="8"/>
    <s v="08/2022"/>
    <s v="BHCOE - 136902 - Electric - Dist -"/>
    <x v="48"/>
    <x v="4"/>
    <s v="BH Colorado Electric Oper Co"/>
    <s v="SEC"/>
    <x v="3"/>
    <n v="3082967.17"/>
    <n v="28779.63"/>
    <n v="0"/>
    <n v="0"/>
    <n v="0"/>
    <n v="0"/>
    <n v="0"/>
    <n v="3111746.8"/>
  </r>
  <r>
    <x v="9"/>
    <s v="09/2022"/>
    <s v="BHCOE - 136902 - Electric - Dist -"/>
    <x v="48"/>
    <x v="4"/>
    <s v="BH Colorado Electric Oper Co"/>
    <s v="SEC"/>
    <x v="1"/>
    <n v="7487651.4100000001"/>
    <n v="28838.03"/>
    <n v="0"/>
    <n v="0"/>
    <n v="0"/>
    <n v="0"/>
    <n v="0"/>
    <n v="7516489.4400000004"/>
  </r>
  <r>
    <x v="9"/>
    <s v="09/2022"/>
    <s v="BHCOE - 136902 - Electric - Dist -"/>
    <x v="48"/>
    <x v="4"/>
    <s v="BH Colorado Electric Oper Co"/>
    <s v="SEC"/>
    <x v="3"/>
    <n v="3111746.8"/>
    <n v="28960.22"/>
    <n v="0"/>
    <n v="0"/>
    <n v="0"/>
    <n v="0"/>
    <n v="0"/>
    <n v="3140707.02"/>
  </r>
  <r>
    <x v="10"/>
    <s v="10/2022"/>
    <s v="BHCOE - 136902 - Electric - Dist -"/>
    <x v="48"/>
    <x v="4"/>
    <s v="BH Colorado Electric Oper Co"/>
    <s v="SEC"/>
    <x v="1"/>
    <n v="7516489.4400000004"/>
    <n v="28952.75"/>
    <n v="-76.73"/>
    <n v="0"/>
    <n v="0"/>
    <n v="0"/>
    <n v="0"/>
    <n v="7545365.46"/>
  </r>
  <r>
    <x v="10"/>
    <s v="10/2022"/>
    <s v="BHCOE - 136902 - Electric - Dist -"/>
    <x v="48"/>
    <x v="4"/>
    <s v="BH Colorado Electric Oper Co"/>
    <s v="SEC"/>
    <x v="3"/>
    <n v="3140707.02"/>
    <n v="29075.43"/>
    <n v="0"/>
    <n v="0"/>
    <n v="0"/>
    <n v="0"/>
    <n v="0"/>
    <n v="3169782.45"/>
  </r>
  <r>
    <x v="11"/>
    <s v="11/2022"/>
    <s v="BHCOE - 136902 - Electric - Dist -"/>
    <x v="48"/>
    <x v="4"/>
    <s v="BH Colorado Electric Oper Co"/>
    <s v="SEC"/>
    <x v="1"/>
    <n v="7545365.46"/>
    <n v="29068.850000000002"/>
    <n v="-1325.6100000000001"/>
    <n v="0"/>
    <n v="0"/>
    <n v="0"/>
    <n v="0"/>
    <n v="7573108.7000000002"/>
  </r>
  <r>
    <x v="11"/>
    <s v="11/2022"/>
    <s v="BHCOE - 136902 - Electric - Dist -"/>
    <x v="48"/>
    <x v="4"/>
    <s v="BH Colorado Electric Oper Co"/>
    <s v="SEC"/>
    <x v="3"/>
    <n v="3169782.45"/>
    <n v="29192.02"/>
    <n v="0"/>
    <n v="-2.5500000000000003"/>
    <n v="0"/>
    <n v="0"/>
    <n v="0"/>
    <n v="3198971.92"/>
  </r>
  <r>
    <x v="12"/>
    <s v="12/2022"/>
    <s v="BHCOE - 136902 - Electric - Dist -"/>
    <x v="48"/>
    <x v="4"/>
    <s v="BH Colorado Electric Oper Co"/>
    <s v="SEC"/>
    <x v="1"/>
    <n v="7573108.7000000002"/>
    <n v="29210.850000000002"/>
    <n v="-3268.65"/>
    <n v="0"/>
    <n v="0"/>
    <n v="0"/>
    <n v="0"/>
    <n v="7599050.9000000004"/>
  </r>
  <r>
    <x v="12"/>
    <s v="12/2022"/>
    <s v="BHCOE - 136902 - Electric - Dist -"/>
    <x v="48"/>
    <x v="4"/>
    <s v="BH Colorado Electric Oper Co"/>
    <s v="SEC"/>
    <x v="3"/>
    <n v="3198971.92"/>
    <n v="29334.62"/>
    <n v="0"/>
    <n v="-1515.44"/>
    <n v="0"/>
    <n v="0"/>
    <n v="0"/>
    <n v="3226791.1"/>
  </r>
  <r>
    <x v="0"/>
    <s v="12/2021"/>
    <s v="BHCOE - 137001 - Electric - Dist -"/>
    <x v="49"/>
    <x v="4"/>
    <s v="BH Colorado Electric Oper Co"/>
    <s v="SEC"/>
    <x v="1"/>
    <n v="1203260.3600000001"/>
    <n v="15640.01"/>
    <n v="0"/>
    <n v="0"/>
    <n v="0"/>
    <n v="0"/>
    <n v="0"/>
    <n v="1218900.3700000001"/>
  </r>
  <r>
    <x v="0"/>
    <s v="12/2021"/>
    <s v="BHCOE - 137001 - Electric - Dist -"/>
    <x v="49"/>
    <x v="4"/>
    <s v="BH Colorado Electric Oper Co"/>
    <s v="SEC"/>
    <x v="3"/>
    <n v="85345.49"/>
    <n v="954.35"/>
    <n v="0"/>
    <n v="0"/>
    <n v="0"/>
    <n v="0"/>
    <n v="0"/>
    <n v="86299.839999999997"/>
  </r>
  <r>
    <x v="1"/>
    <s v="01/2022"/>
    <s v="BHCOE - 137001 - Electric - Dist -"/>
    <x v="49"/>
    <x v="4"/>
    <s v="BH Colorado Electric Oper Co"/>
    <s v="SEC"/>
    <x v="1"/>
    <n v="1218900.3700000001"/>
    <n v="15660.23"/>
    <n v="0"/>
    <n v="0"/>
    <n v="0"/>
    <n v="0"/>
    <n v="0"/>
    <n v="1234560.6000000001"/>
  </r>
  <r>
    <x v="1"/>
    <s v="01/2022"/>
    <s v="BHCOE - 137001 - Electric - Dist -"/>
    <x v="49"/>
    <x v="4"/>
    <s v="BH Colorado Electric Oper Co"/>
    <s v="SEC"/>
    <x v="3"/>
    <n v="86299.839999999997"/>
    <n v="955.59"/>
    <n v="0"/>
    <n v="0"/>
    <n v="0"/>
    <n v="0"/>
    <n v="0"/>
    <n v="87255.430000000008"/>
  </r>
  <r>
    <x v="2"/>
    <s v="02/2022"/>
    <s v="BHCOE - 137001 - Electric - Dist -"/>
    <x v="49"/>
    <x v="4"/>
    <s v="BH Colorado Electric Oper Co"/>
    <s v="SEC"/>
    <x v="1"/>
    <n v="1234560.6000000001"/>
    <n v="15715.78"/>
    <n v="0"/>
    <n v="0"/>
    <n v="0"/>
    <n v="158.71"/>
    <n v="0"/>
    <n v="1250435.0900000001"/>
  </r>
  <r>
    <x v="2"/>
    <s v="02/2022"/>
    <s v="BHCOE - 137001 - Electric - Dist -"/>
    <x v="49"/>
    <x v="4"/>
    <s v="BH Colorado Electric Oper Co"/>
    <s v="SEC"/>
    <x v="3"/>
    <n v="87255.430000000008"/>
    <n v="958.98"/>
    <n v="0"/>
    <n v="0"/>
    <n v="0"/>
    <n v="0.01"/>
    <n v="0"/>
    <n v="88214.42"/>
  </r>
  <r>
    <x v="3"/>
    <s v="03/2022"/>
    <s v="BHCOE - 137001 - Electric - Dist -"/>
    <x v="49"/>
    <x v="4"/>
    <s v="BH Colorado Electric Oper Co"/>
    <s v="SEC"/>
    <x v="1"/>
    <n v="1250435.0900000001"/>
    <n v="15747.59"/>
    <n v="0"/>
    <n v="0"/>
    <n v="0"/>
    <n v="0"/>
    <n v="0"/>
    <n v="1266182.68"/>
  </r>
  <r>
    <x v="3"/>
    <s v="03/2022"/>
    <s v="BHCOE - 137001 - Electric - Dist -"/>
    <x v="49"/>
    <x v="4"/>
    <s v="BH Colorado Electric Oper Co"/>
    <s v="SEC"/>
    <x v="3"/>
    <n v="88214.42"/>
    <n v="960.92000000000007"/>
    <n v="0"/>
    <n v="0"/>
    <n v="0"/>
    <n v="0"/>
    <n v="0"/>
    <n v="89175.34"/>
  </r>
  <r>
    <x v="4"/>
    <s v="04/2022"/>
    <s v="BHCOE - 137001 - Electric - Dist -"/>
    <x v="49"/>
    <x v="4"/>
    <s v="BH Colorado Electric Oper Co"/>
    <s v="SEC"/>
    <x v="1"/>
    <n v="1266182.68"/>
    <n v="15788.58"/>
    <n v="0"/>
    <n v="0"/>
    <n v="0"/>
    <n v="31.32"/>
    <n v="0"/>
    <n v="1282002.58"/>
  </r>
  <r>
    <x v="4"/>
    <s v="04/2022"/>
    <s v="BHCOE - 137001 - Electric - Dist -"/>
    <x v="49"/>
    <x v="4"/>
    <s v="BH Colorado Electric Oper Co"/>
    <s v="SEC"/>
    <x v="3"/>
    <n v="89175.34"/>
    <n v="963.42000000000007"/>
    <n v="0"/>
    <n v="0"/>
    <n v="0"/>
    <n v="0"/>
    <n v="0"/>
    <n v="90138.76"/>
  </r>
  <r>
    <x v="5"/>
    <s v="05/2022"/>
    <s v="BHCOE - 137001 - Electric - Dist -"/>
    <x v="49"/>
    <x v="4"/>
    <s v="BH Colorado Electric Oper Co"/>
    <s v="SEC"/>
    <x v="1"/>
    <n v="1282002.58"/>
    <n v="15868.01"/>
    <n v="0"/>
    <n v="0"/>
    <n v="0"/>
    <n v="21.63"/>
    <n v="0"/>
    <n v="1297892.22"/>
  </r>
  <r>
    <x v="5"/>
    <s v="05/2022"/>
    <s v="BHCOE - 137001 - Electric - Dist -"/>
    <x v="49"/>
    <x v="4"/>
    <s v="BH Colorado Electric Oper Co"/>
    <s v="SEC"/>
    <x v="3"/>
    <n v="90138.76"/>
    <n v="968.27"/>
    <n v="0"/>
    <n v="0"/>
    <n v="0"/>
    <n v="0"/>
    <n v="0"/>
    <n v="91107.03"/>
  </r>
  <r>
    <x v="6"/>
    <s v="06/2022"/>
    <s v="BHCOE - 137001 - Electric - Dist -"/>
    <x v="49"/>
    <x v="4"/>
    <s v="BH Colorado Electric Oper Co"/>
    <s v="SEC"/>
    <x v="1"/>
    <n v="1297892.22"/>
    <n v="15951.92"/>
    <n v="0"/>
    <n v="0"/>
    <n v="0"/>
    <n v="81.39"/>
    <n v="0"/>
    <n v="1313925.53"/>
  </r>
  <r>
    <x v="6"/>
    <s v="06/2022"/>
    <s v="BHCOE - 137001 - Electric - Dist -"/>
    <x v="49"/>
    <x v="4"/>
    <s v="BH Colorado Electric Oper Co"/>
    <s v="SEC"/>
    <x v="3"/>
    <n v="91107.03"/>
    <n v="973.39"/>
    <n v="0"/>
    <n v="0"/>
    <n v="0"/>
    <n v="0.01"/>
    <n v="0"/>
    <n v="92080.430000000008"/>
  </r>
  <r>
    <x v="7"/>
    <s v="07/2022"/>
    <s v="BHCOE - 137001 - Electric - Dist -"/>
    <x v="49"/>
    <x v="4"/>
    <s v="BH Colorado Electric Oper Co"/>
    <s v="SEC"/>
    <x v="1"/>
    <n v="1313925.53"/>
    <n v="16017.32"/>
    <n v="0"/>
    <n v="0"/>
    <n v="0"/>
    <n v="0"/>
    <n v="0"/>
    <n v="1329942.8500000001"/>
  </r>
  <r>
    <x v="7"/>
    <s v="07/2022"/>
    <s v="BHCOE - 137001 - Electric - Dist -"/>
    <x v="49"/>
    <x v="4"/>
    <s v="BH Colorado Electric Oper Co"/>
    <s v="SEC"/>
    <x v="3"/>
    <n v="92080.430000000008"/>
    <n v="977.38"/>
    <n v="0"/>
    <n v="0"/>
    <n v="0"/>
    <n v="0"/>
    <n v="0"/>
    <n v="93057.81"/>
  </r>
  <r>
    <x v="8"/>
    <s v="08/2022"/>
    <s v="BHCOE - 137001 - Electric - Dist -"/>
    <x v="49"/>
    <x v="4"/>
    <s v="BH Colorado Electric Oper Co"/>
    <s v="SEC"/>
    <x v="1"/>
    <n v="1329942.8500000001"/>
    <n v="16038.25"/>
    <n v="0"/>
    <n v="0"/>
    <n v="0"/>
    <n v="0"/>
    <n v="0"/>
    <n v="1345981.1"/>
  </r>
  <r>
    <x v="8"/>
    <s v="08/2022"/>
    <s v="BHCOE - 137001 - Electric - Dist -"/>
    <x v="49"/>
    <x v="4"/>
    <s v="BH Colorado Electric Oper Co"/>
    <s v="SEC"/>
    <x v="3"/>
    <n v="93057.81"/>
    <n v="978.65"/>
    <n v="0"/>
    <n v="0"/>
    <n v="0"/>
    <n v="0"/>
    <n v="0"/>
    <n v="94036.46"/>
  </r>
  <r>
    <x v="9"/>
    <s v="09/2022"/>
    <s v="BHCOE - 137001 - Electric - Dist -"/>
    <x v="49"/>
    <x v="4"/>
    <s v="BH Colorado Electric Oper Co"/>
    <s v="SEC"/>
    <x v="1"/>
    <n v="1345981.1"/>
    <n v="16041.11"/>
    <n v="0"/>
    <n v="0"/>
    <n v="0"/>
    <n v="0"/>
    <n v="0"/>
    <n v="1362022.21"/>
  </r>
  <r>
    <x v="9"/>
    <s v="09/2022"/>
    <s v="BHCOE - 137001 - Electric - Dist -"/>
    <x v="49"/>
    <x v="4"/>
    <s v="BH Colorado Electric Oper Co"/>
    <s v="SEC"/>
    <x v="3"/>
    <n v="94036.46"/>
    <n v="978.83"/>
    <n v="0"/>
    <n v="0"/>
    <n v="0"/>
    <n v="0"/>
    <n v="0"/>
    <n v="95015.290000000008"/>
  </r>
  <r>
    <x v="10"/>
    <s v="10/2022"/>
    <s v="BHCOE - 137001 - Electric - Dist -"/>
    <x v="49"/>
    <x v="4"/>
    <s v="BH Colorado Electric Oper Co"/>
    <s v="SEC"/>
    <x v="1"/>
    <n v="1362022.21"/>
    <n v="16031.6"/>
    <n v="0"/>
    <n v="0"/>
    <n v="0"/>
    <n v="0"/>
    <n v="0"/>
    <n v="1378053.81"/>
  </r>
  <r>
    <x v="10"/>
    <s v="10/2022"/>
    <s v="BHCOE - 137001 - Electric - Dist -"/>
    <x v="49"/>
    <x v="4"/>
    <s v="BH Colorado Electric Oper Co"/>
    <s v="SEC"/>
    <x v="3"/>
    <n v="95015.290000000008"/>
    <n v="978.25"/>
    <n v="0"/>
    <n v="0"/>
    <n v="0"/>
    <n v="0"/>
    <n v="0"/>
    <n v="95993.540000000008"/>
  </r>
  <r>
    <x v="11"/>
    <s v="11/2022"/>
    <s v="BHCOE - 137001 - Electric - Dist -"/>
    <x v="49"/>
    <x v="4"/>
    <s v="BH Colorado Electric Oper Co"/>
    <s v="SEC"/>
    <x v="1"/>
    <n v="1378053.81"/>
    <n v="16028.29"/>
    <n v="0"/>
    <n v="0"/>
    <n v="0"/>
    <n v="66.86"/>
    <n v="0"/>
    <n v="1394148.96"/>
  </r>
  <r>
    <x v="11"/>
    <s v="11/2022"/>
    <s v="BHCOE - 137001 - Electric - Dist -"/>
    <x v="49"/>
    <x v="4"/>
    <s v="BH Colorado Electric Oper Co"/>
    <s v="SEC"/>
    <x v="3"/>
    <n v="95993.540000000008"/>
    <n v="978.05000000000007"/>
    <n v="0"/>
    <n v="0"/>
    <n v="0"/>
    <n v="0.02"/>
    <n v="0"/>
    <n v="96971.61"/>
  </r>
  <r>
    <x v="12"/>
    <s v="12/2022"/>
    <s v="BHCOE - 137001 - Electric - Dist -"/>
    <x v="49"/>
    <x v="4"/>
    <s v="BH Colorado Electric Oper Co"/>
    <s v="SEC"/>
    <x v="1"/>
    <n v="1394148.96"/>
    <n v="16050.23"/>
    <n v="0"/>
    <n v="0"/>
    <n v="0"/>
    <n v="35.64"/>
    <n v="0"/>
    <n v="1410234.83"/>
  </r>
  <r>
    <x v="12"/>
    <s v="12/2022"/>
    <s v="BHCOE - 137001 - Electric - Dist -"/>
    <x v="49"/>
    <x v="4"/>
    <s v="BH Colorado Electric Oper Co"/>
    <s v="SEC"/>
    <x v="3"/>
    <n v="96971.61"/>
    <n v="979.39"/>
    <n v="0"/>
    <n v="0"/>
    <n v="0"/>
    <n v="0.01"/>
    <n v="0"/>
    <n v="97951.010000000009"/>
  </r>
  <r>
    <x v="0"/>
    <s v="12/2021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0"/>
    <s v="12/2021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1"/>
    <s v="01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1"/>
    <s v="01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2"/>
    <s v="02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2"/>
    <s v="02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3"/>
    <s v="03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3"/>
    <s v="03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4"/>
    <s v="04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4"/>
    <s v="04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5"/>
    <s v="05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5"/>
    <s v="05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6"/>
    <s v="06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6"/>
    <s v="06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7"/>
    <s v="07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7"/>
    <s v="07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8"/>
    <s v="08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8"/>
    <s v="08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9"/>
    <s v="09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9"/>
    <s v="09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10"/>
    <s v="10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10"/>
    <s v="10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11"/>
    <s v="11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11"/>
    <s v="11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12"/>
    <s v="12/2022"/>
    <s v="BHCOE - 137002 - Electric - Dist -"/>
    <x v="50"/>
    <x v="4"/>
    <s v="BH Colorado Electric Oper Co"/>
    <s v="SEC"/>
    <x v="1"/>
    <n v="229.18"/>
    <n v="0"/>
    <n v="0"/>
    <n v="0"/>
    <n v="0"/>
    <n v="0"/>
    <n v="0"/>
    <n v="229.18"/>
  </r>
  <r>
    <x v="12"/>
    <s v="12/2022"/>
    <s v="BHCOE - 137002 - Electric - Dist -"/>
    <x v="50"/>
    <x v="4"/>
    <s v="BH Colorado Electric Oper Co"/>
    <s v="SEC"/>
    <x v="3"/>
    <n v="-229.18"/>
    <n v="0"/>
    <n v="0"/>
    <n v="0"/>
    <n v="0"/>
    <n v="0"/>
    <n v="0"/>
    <n v="-229.18"/>
  </r>
  <r>
    <x v="0"/>
    <s v="12/2021"/>
    <s v="BHCOE - 137004 - ED - Meters - AMI"/>
    <x v="51"/>
    <x v="4"/>
    <s v="BH Colorado Electric Oper Co"/>
    <s v="SEC"/>
    <x v="1"/>
    <n v="6819642.9800000004"/>
    <n v="101804.55"/>
    <n v="-331388.77"/>
    <n v="0"/>
    <n v="0"/>
    <n v="131660"/>
    <n v="0"/>
    <n v="6721718.7599999998"/>
  </r>
  <r>
    <x v="0"/>
    <s v="12/2021"/>
    <s v="BHCOE - 137004 - ED - Meters - AMI"/>
    <x v="51"/>
    <x v="4"/>
    <s v="BH Colorado Electric Oper Co"/>
    <s v="SEC"/>
    <x v="3"/>
    <n v="-22228.14"/>
    <n v="0"/>
    <n v="0"/>
    <n v="0"/>
    <n v="0"/>
    <n v="-481.91"/>
    <n v="0"/>
    <n v="-22710.05"/>
  </r>
  <r>
    <x v="1"/>
    <s v="01/2022"/>
    <s v="BHCOE - 137004 - ED - Meters - AMI"/>
    <x v="51"/>
    <x v="4"/>
    <s v="BH Colorado Electric Oper Co"/>
    <s v="SEC"/>
    <x v="1"/>
    <n v="6721718.7599999998"/>
    <n v="100693.90000000001"/>
    <n v="-381198.79"/>
    <n v="0"/>
    <n v="0"/>
    <n v="0"/>
    <n v="0"/>
    <n v="6441213.8700000001"/>
  </r>
  <r>
    <x v="1"/>
    <s v="01/2022"/>
    <s v="BHCOE - 137004 - ED - Meters - AMI"/>
    <x v="51"/>
    <x v="4"/>
    <s v="BH Colorado Electric Oper Co"/>
    <s v="SEC"/>
    <x v="3"/>
    <n v="-22710.05"/>
    <n v="0"/>
    <n v="0"/>
    <n v="0"/>
    <n v="0"/>
    <n v="0"/>
    <n v="0"/>
    <n v="-22710.05"/>
  </r>
  <r>
    <x v="2"/>
    <s v="02/2022"/>
    <s v="BHCOE - 137004 - ED - Meters - AMI"/>
    <x v="51"/>
    <x v="4"/>
    <s v="BH Colorado Electric Oper Co"/>
    <s v="SEC"/>
    <x v="1"/>
    <n v="6441213.8700000001"/>
    <n v="99465.82"/>
    <n v="-52255.98"/>
    <n v="0"/>
    <n v="0"/>
    <n v="-13014.92"/>
    <n v="0"/>
    <n v="6475408.79"/>
  </r>
  <r>
    <x v="2"/>
    <s v="02/2022"/>
    <s v="BHCOE - 137004 - ED - Meters - AMI"/>
    <x v="51"/>
    <x v="4"/>
    <s v="BH Colorado Electric Oper Co"/>
    <s v="SEC"/>
    <x v="3"/>
    <n v="-22710.05"/>
    <n v="0"/>
    <n v="0"/>
    <n v="0"/>
    <n v="0"/>
    <n v="53.980000000000004"/>
    <n v="0"/>
    <n v="-22656.07"/>
  </r>
  <r>
    <x v="3"/>
    <s v="03/2022"/>
    <s v="BHCOE - 137004 - ED - Meters - AMI"/>
    <x v="51"/>
    <x v="4"/>
    <s v="BH Colorado Electric Oper Co"/>
    <s v="SEC"/>
    <x v="1"/>
    <n v="6475408.79"/>
    <n v="99372.180000000008"/>
    <n v="0"/>
    <n v="0"/>
    <n v="0"/>
    <n v="0"/>
    <n v="0"/>
    <n v="6574780.9699999997"/>
  </r>
  <r>
    <x v="3"/>
    <s v="03/2022"/>
    <s v="BHCOE - 137004 - ED - Meters - AMI"/>
    <x v="51"/>
    <x v="4"/>
    <s v="BH Colorado Electric Oper Co"/>
    <s v="SEC"/>
    <x v="3"/>
    <n v="-22656.07"/>
    <n v="0"/>
    <n v="0"/>
    <n v="0"/>
    <n v="0"/>
    <n v="0"/>
    <n v="0"/>
    <n v="-22656.07"/>
  </r>
  <r>
    <x v="4"/>
    <s v="04/2022"/>
    <s v="BHCOE - 137004 - ED - Meters - AMI"/>
    <x v="51"/>
    <x v="4"/>
    <s v="BH Colorado Electric Oper Co"/>
    <s v="SEC"/>
    <x v="1"/>
    <n v="6574780.9699999997"/>
    <n v="99571.82"/>
    <n v="504.43"/>
    <n v="0"/>
    <n v="0"/>
    <n v="-472.2"/>
    <n v="0"/>
    <n v="6674385.0199999996"/>
  </r>
  <r>
    <x v="4"/>
    <s v="04/2022"/>
    <s v="BHCOE - 137004 - ED - Meters - AMI"/>
    <x v="51"/>
    <x v="4"/>
    <s v="BH Colorado Electric Oper Co"/>
    <s v="SEC"/>
    <x v="3"/>
    <n v="-22656.07"/>
    <n v="0"/>
    <n v="0"/>
    <n v="0"/>
    <n v="0"/>
    <n v="5.47"/>
    <n v="0"/>
    <n v="-22650.600000000002"/>
  </r>
  <r>
    <x v="5"/>
    <s v="05/2022"/>
    <s v="BHCOE - 137004 - ED - Meters - AMI"/>
    <x v="51"/>
    <x v="4"/>
    <s v="BH Colorado Electric Oper Co"/>
    <s v="SEC"/>
    <x v="1"/>
    <n v="6674385.0199999996"/>
    <n v="99753.06"/>
    <n v="0"/>
    <n v="0"/>
    <n v="0"/>
    <n v="52.07"/>
    <n v="0"/>
    <n v="6774190.1500000004"/>
  </r>
  <r>
    <x v="5"/>
    <s v="05/2022"/>
    <s v="BHCOE - 137004 - ED - Meters - AMI"/>
    <x v="51"/>
    <x v="4"/>
    <s v="BH Colorado Electric Oper Co"/>
    <s v="SEC"/>
    <x v="3"/>
    <n v="-22650.600000000002"/>
    <n v="0"/>
    <n v="0"/>
    <n v="0"/>
    <n v="0"/>
    <n v="0.01"/>
    <n v="0"/>
    <n v="-22650.59"/>
  </r>
  <r>
    <x v="6"/>
    <s v="06/2022"/>
    <s v="BHCOE - 137004 - ED - Meters - AMI"/>
    <x v="51"/>
    <x v="4"/>
    <s v="BH Colorado Electric Oper Co"/>
    <s v="SEC"/>
    <x v="1"/>
    <n v="6774190.1500000004"/>
    <n v="99783.180000000008"/>
    <n v="0"/>
    <n v="0"/>
    <n v="0"/>
    <n v="0"/>
    <n v="0"/>
    <n v="6873973.3300000001"/>
  </r>
  <r>
    <x v="6"/>
    <s v="06/2022"/>
    <s v="BHCOE - 137004 - ED - Meters - AMI"/>
    <x v="51"/>
    <x v="4"/>
    <s v="BH Colorado Electric Oper Co"/>
    <s v="SEC"/>
    <x v="3"/>
    <n v="-22650.59"/>
    <n v="0"/>
    <n v="0"/>
    <n v="0"/>
    <n v="0"/>
    <n v="0"/>
    <n v="0"/>
    <n v="-22650.59"/>
  </r>
  <r>
    <x v="7"/>
    <s v="07/2022"/>
    <s v="BHCOE - 137004 - ED - Meters - AMI"/>
    <x v="51"/>
    <x v="4"/>
    <s v="BH Colorado Electric Oper Co"/>
    <s v="SEC"/>
    <x v="1"/>
    <n v="6873973.3300000001"/>
    <n v="99063.400000000009"/>
    <n v="-254929.15"/>
    <n v="0"/>
    <n v="0"/>
    <n v="0"/>
    <n v="0"/>
    <n v="6718107.5800000001"/>
  </r>
  <r>
    <x v="7"/>
    <s v="07/2022"/>
    <s v="BHCOE - 137004 - ED - Meters - AMI"/>
    <x v="51"/>
    <x v="4"/>
    <s v="BH Colorado Electric Oper Co"/>
    <s v="SEC"/>
    <x v="3"/>
    <n v="-22650.59"/>
    <n v="0"/>
    <n v="0"/>
    <n v="0"/>
    <n v="0"/>
    <n v="0"/>
    <n v="0"/>
    <n v="-22650.59"/>
  </r>
  <r>
    <x v="8"/>
    <s v="08/2022"/>
    <s v="BHCOE - 137004 - ED - Meters - AMI"/>
    <x v="51"/>
    <x v="4"/>
    <s v="BH Colorado Electric Oper Co"/>
    <s v="SEC"/>
    <x v="1"/>
    <n v="6718107.5800000001"/>
    <n v="98409.63"/>
    <n v="1318.15"/>
    <n v="0"/>
    <n v="0"/>
    <n v="-2562.71"/>
    <n v="0"/>
    <n v="6815272.6500000004"/>
  </r>
  <r>
    <x v="8"/>
    <s v="08/2022"/>
    <s v="BHCOE - 137004 - ED - Meters - AMI"/>
    <x v="51"/>
    <x v="4"/>
    <s v="BH Colorado Electric Oper Co"/>
    <s v="SEC"/>
    <x v="3"/>
    <n v="-22650.59"/>
    <n v="0"/>
    <n v="0"/>
    <n v="0"/>
    <n v="0"/>
    <n v="36.270000000000003"/>
    <n v="0"/>
    <n v="-22614.32"/>
  </r>
  <r>
    <x v="9"/>
    <s v="09/2022"/>
    <s v="BHCOE - 137004 - ED - Meters - AMI"/>
    <x v="51"/>
    <x v="4"/>
    <s v="BH Colorado Electric Oper Co"/>
    <s v="SEC"/>
    <x v="1"/>
    <n v="6815272.6500000004"/>
    <n v="98731.98"/>
    <n v="0"/>
    <n v="0"/>
    <n v="0"/>
    <n v="-721.72"/>
    <n v="0"/>
    <n v="6913282.9100000001"/>
  </r>
  <r>
    <x v="9"/>
    <s v="09/2022"/>
    <s v="BHCOE - 137004 - ED - Meters - AMI"/>
    <x v="51"/>
    <x v="4"/>
    <s v="BH Colorado Electric Oper Co"/>
    <s v="SEC"/>
    <x v="3"/>
    <n v="-22614.32"/>
    <n v="0"/>
    <n v="0"/>
    <n v="0"/>
    <n v="0"/>
    <n v="7.03"/>
    <n v="0"/>
    <n v="-22607.29"/>
  </r>
  <r>
    <x v="10"/>
    <s v="10/2022"/>
    <s v="BHCOE - 137004 - ED - Meters - AMI"/>
    <x v="51"/>
    <x v="4"/>
    <s v="BH Colorado Electric Oper Co"/>
    <s v="SEC"/>
    <x v="1"/>
    <n v="6913282.9100000001"/>
    <n v="98973.64"/>
    <n v="1152.9100000000001"/>
    <n v="0"/>
    <n v="0"/>
    <n v="0"/>
    <n v="0"/>
    <n v="7013409.46"/>
  </r>
  <r>
    <x v="10"/>
    <s v="10/2022"/>
    <s v="BHCOE - 137004 - ED - Meters - AMI"/>
    <x v="51"/>
    <x v="4"/>
    <s v="BH Colorado Electric Oper Co"/>
    <s v="SEC"/>
    <x v="3"/>
    <n v="-22607.29"/>
    <n v="0"/>
    <n v="0"/>
    <n v="0"/>
    <n v="0"/>
    <n v="0"/>
    <n v="0"/>
    <n v="-22607.29"/>
  </r>
  <r>
    <x v="11"/>
    <s v="11/2022"/>
    <s v="BHCOE - 137004 - ED - Meters - AMI"/>
    <x v="51"/>
    <x v="4"/>
    <s v="BH Colorado Electric Oper Co"/>
    <s v="SEC"/>
    <x v="1"/>
    <n v="7013409.46"/>
    <n v="98161.55"/>
    <n v="-158430.48000000001"/>
    <n v="0"/>
    <n v="0"/>
    <n v="-14330.62"/>
    <n v="0"/>
    <n v="6938809.9100000001"/>
  </r>
  <r>
    <x v="11"/>
    <s v="11/2022"/>
    <s v="BHCOE - 137004 - ED - Meters - AMI"/>
    <x v="51"/>
    <x v="4"/>
    <s v="BH Colorado Electric Oper Co"/>
    <s v="SEC"/>
    <x v="3"/>
    <n v="-22607.29"/>
    <n v="0"/>
    <n v="0"/>
    <n v="0"/>
    <n v="0"/>
    <n v="46.19"/>
    <n v="0"/>
    <n v="-22561.100000000002"/>
  </r>
  <r>
    <x v="12"/>
    <s v="12/2022"/>
    <s v="BHCOE - 137004 - ED - Meters - AMI"/>
    <x v="51"/>
    <x v="4"/>
    <s v="BH Colorado Electric Oper Co"/>
    <s v="SEC"/>
    <x v="1"/>
    <n v="6938809.9100000001"/>
    <n v="97377.05"/>
    <n v="11381.050000000001"/>
    <n v="0"/>
    <n v="0"/>
    <n v="5.48"/>
    <n v="0"/>
    <n v="7047573.4900000002"/>
  </r>
  <r>
    <x v="12"/>
    <s v="12/2022"/>
    <s v="BHCOE - 137004 - ED - Meters - AMI"/>
    <x v="51"/>
    <x v="4"/>
    <s v="BH Colorado Electric Oper Co"/>
    <s v="SEC"/>
    <x v="3"/>
    <n v="-22561.100000000002"/>
    <n v="0"/>
    <n v="0"/>
    <n v="0"/>
    <n v="0"/>
    <n v="0"/>
    <n v="0"/>
    <n v="-22561.100000000002"/>
  </r>
  <r>
    <x v="0"/>
    <s v="12/2021"/>
    <s v="BHCOE - 137100 - Electric - Dist -"/>
    <x v="52"/>
    <x v="4"/>
    <s v="BH Colorado Electric Oper Co"/>
    <s v="SEC"/>
    <x v="1"/>
    <n v="1399092.96"/>
    <n v="1255.8"/>
    <n v="0"/>
    <n v="0"/>
    <n v="0"/>
    <n v="0"/>
    <n v="0"/>
    <n v="1400348.76"/>
  </r>
  <r>
    <x v="0"/>
    <s v="12/2021"/>
    <s v="BHCOE - 137100 - Electric - Dist -"/>
    <x v="52"/>
    <x v="4"/>
    <s v="BH Colorado Electric Oper Co"/>
    <s v="SEC"/>
    <x v="3"/>
    <n v="-68877.17"/>
    <n v="264.38"/>
    <n v="0"/>
    <n v="0"/>
    <n v="0"/>
    <n v="0"/>
    <n v="0"/>
    <n v="-68612.790000000008"/>
  </r>
  <r>
    <x v="1"/>
    <s v="01/2022"/>
    <s v="BHCOE - 137100 - Electric - Dist -"/>
    <x v="52"/>
    <x v="4"/>
    <s v="BH Colorado Electric Oper Co"/>
    <s v="SEC"/>
    <x v="1"/>
    <n v="1400348.76"/>
    <n v="1256.9000000000001"/>
    <n v="0"/>
    <n v="0"/>
    <n v="0"/>
    <n v="0"/>
    <n v="0"/>
    <n v="1401605.6600000001"/>
  </r>
  <r>
    <x v="1"/>
    <s v="01/2022"/>
    <s v="BHCOE - 137100 - Electric - Dist -"/>
    <x v="52"/>
    <x v="4"/>
    <s v="BH Colorado Electric Oper Co"/>
    <s v="SEC"/>
    <x v="3"/>
    <n v="-68612.790000000008"/>
    <n v="264.61"/>
    <n v="0"/>
    <n v="0"/>
    <n v="0"/>
    <n v="0"/>
    <n v="0"/>
    <n v="-68348.180000000008"/>
  </r>
  <r>
    <x v="2"/>
    <s v="02/2022"/>
    <s v="BHCOE - 137100 - Electric - Dist -"/>
    <x v="52"/>
    <x v="4"/>
    <s v="BH Colorado Electric Oper Co"/>
    <s v="SEC"/>
    <x v="1"/>
    <n v="1401605.6600000001"/>
    <n v="1258.28"/>
    <n v="0"/>
    <n v="0"/>
    <n v="0"/>
    <n v="0"/>
    <n v="0"/>
    <n v="1402863.94"/>
  </r>
  <r>
    <x v="2"/>
    <s v="02/2022"/>
    <s v="BHCOE - 137100 - Electric - Dist -"/>
    <x v="52"/>
    <x v="4"/>
    <s v="BH Colorado Electric Oper Co"/>
    <s v="SEC"/>
    <x v="3"/>
    <n v="-68348.180000000008"/>
    <n v="264.89999999999998"/>
    <n v="0"/>
    <n v="0"/>
    <n v="0"/>
    <n v="0"/>
    <n v="0"/>
    <n v="-68083.28"/>
  </r>
  <r>
    <x v="3"/>
    <s v="03/2022"/>
    <s v="BHCOE - 137100 - Electric - Dist -"/>
    <x v="52"/>
    <x v="4"/>
    <s v="BH Colorado Electric Oper Co"/>
    <s v="SEC"/>
    <x v="1"/>
    <n v="1402863.94"/>
    <n v="1259.79"/>
    <n v="-125.82000000000001"/>
    <n v="0"/>
    <n v="0"/>
    <n v="0"/>
    <n v="0"/>
    <n v="1403997.9100000001"/>
  </r>
  <r>
    <x v="3"/>
    <s v="03/2022"/>
    <s v="BHCOE - 137100 - Electric - Dist -"/>
    <x v="52"/>
    <x v="4"/>
    <s v="BH Colorado Electric Oper Co"/>
    <s v="SEC"/>
    <x v="3"/>
    <n v="-68083.28"/>
    <n v="265.22000000000003"/>
    <n v="0"/>
    <n v="-0.39"/>
    <n v="0"/>
    <n v="0"/>
    <n v="0"/>
    <n v="-67818.45"/>
  </r>
  <r>
    <x v="4"/>
    <s v="04/2022"/>
    <s v="BHCOE - 137100 - Electric - Dist -"/>
    <x v="52"/>
    <x v="4"/>
    <s v="BH Colorado Electric Oper Co"/>
    <s v="SEC"/>
    <x v="1"/>
    <n v="1403997.9100000001"/>
    <n v="1259.5"/>
    <n v="-2595.65"/>
    <n v="0"/>
    <n v="0"/>
    <n v="0"/>
    <n v="0"/>
    <n v="1402661.76"/>
  </r>
  <r>
    <x v="4"/>
    <s v="04/2022"/>
    <s v="BHCOE - 137100 - Electric - Dist -"/>
    <x v="52"/>
    <x v="4"/>
    <s v="BH Colorado Electric Oper Co"/>
    <s v="SEC"/>
    <x v="3"/>
    <n v="-67818.45"/>
    <n v="265.16000000000003"/>
    <n v="0"/>
    <n v="-572.41"/>
    <n v="0"/>
    <n v="0"/>
    <n v="0"/>
    <n v="-68125.7"/>
  </r>
  <r>
    <x v="5"/>
    <s v="05/2022"/>
    <s v="BHCOE - 137100 - Electric - Dist -"/>
    <x v="52"/>
    <x v="4"/>
    <s v="BH Colorado Electric Oper Co"/>
    <s v="SEC"/>
    <x v="1"/>
    <n v="1402661.76"/>
    <n v="1251.76"/>
    <n v="-2013.18"/>
    <n v="0"/>
    <n v="0"/>
    <n v="0"/>
    <n v="0"/>
    <n v="1401900.34"/>
  </r>
  <r>
    <x v="5"/>
    <s v="05/2022"/>
    <s v="BHCOE - 137100 - Electric - Dist -"/>
    <x v="52"/>
    <x v="4"/>
    <s v="BH Colorado Electric Oper Co"/>
    <s v="SEC"/>
    <x v="3"/>
    <n v="-68125.7"/>
    <n v="263.53000000000003"/>
    <n v="0"/>
    <n v="0"/>
    <n v="0"/>
    <n v="0"/>
    <n v="0"/>
    <n v="-67862.17"/>
  </r>
  <r>
    <x v="6"/>
    <s v="06/2022"/>
    <s v="BHCOE - 137100 - Electric - Dist -"/>
    <x v="52"/>
    <x v="4"/>
    <s v="BH Colorado Electric Oper Co"/>
    <s v="SEC"/>
    <x v="1"/>
    <n v="1401900.34"/>
    <n v="1248.3900000000001"/>
    <n v="400.67"/>
    <n v="0"/>
    <n v="0"/>
    <n v="0"/>
    <n v="0"/>
    <n v="1403549.4"/>
  </r>
  <r>
    <x v="6"/>
    <s v="06/2022"/>
    <s v="BHCOE - 137100 - Electric - Dist -"/>
    <x v="52"/>
    <x v="4"/>
    <s v="BH Colorado Electric Oper Co"/>
    <s v="SEC"/>
    <x v="3"/>
    <n v="-67862.17"/>
    <n v="262.82"/>
    <n v="0"/>
    <n v="-1.29"/>
    <n v="0"/>
    <n v="0"/>
    <n v="0"/>
    <n v="-67600.639999999999"/>
  </r>
  <r>
    <x v="7"/>
    <s v="07/2022"/>
    <s v="BHCOE - 137100 - Electric - Dist -"/>
    <x v="52"/>
    <x v="4"/>
    <s v="BH Colorado Electric Oper Co"/>
    <s v="SEC"/>
    <x v="1"/>
    <n v="1403549.4"/>
    <n v="1257.45"/>
    <n v="-1068.07"/>
    <n v="0"/>
    <n v="0"/>
    <n v="0"/>
    <n v="0"/>
    <n v="1403738.78"/>
  </r>
  <r>
    <x v="7"/>
    <s v="07/2022"/>
    <s v="BHCOE - 137100 - Electric - Dist -"/>
    <x v="52"/>
    <x v="4"/>
    <s v="BH Colorado Electric Oper Co"/>
    <s v="SEC"/>
    <x v="3"/>
    <n v="-67600.639999999999"/>
    <n v="264.73"/>
    <n v="0"/>
    <n v="-1159.06"/>
    <n v="0"/>
    <n v="0"/>
    <n v="0"/>
    <n v="-68494.97"/>
  </r>
  <r>
    <x v="8"/>
    <s v="08/2022"/>
    <s v="BHCOE - 137100 - Electric - Dist -"/>
    <x v="52"/>
    <x v="4"/>
    <s v="BH Colorado Electric Oper Co"/>
    <s v="SEC"/>
    <x v="1"/>
    <n v="1403738.78"/>
    <n v="1271.01"/>
    <n v="0"/>
    <n v="0"/>
    <n v="0"/>
    <n v="0"/>
    <n v="0"/>
    <n v="1405009.79"/>
  </r>
  <r>
    <x v="8"/>
    <s v="08/2022"/>
    <s v="BHCOE - 137100 - Electric - Dist -"/>
    <x v="52"/>
    <x v="4"/>
    <s v="BH Colorado Electric Oper Co"/>
    <s v="SEC"/>
    <x v="3"/>
    <n v="-68494.97"/>
    <n v="267.58"/>
    <n v="0"/>
    <n v="0"/>
    <n v="0"/>
    <n v="0"/>
    <n v="0"/>
    <n v="-68227.39"/>
  </r>
  <r>
    <x v="9"/>
    <s v="09/2022"/>
    <s v="BHCOE - 137100 - Electric - Dist -"/>
    <x v="52"/>
    <x v="4"/>
    <s v="BH Colorado Electric Oper Co"/>
    <s v="SEC"/>
    <x v="1"/>
    <n v="1405009.79"/>
    <n v="1286.08"/>
    <n v="0"/>
    <n v="0"/>
    <n v="0"/>
    <n v="0"/>
    <n v="0"/>
    <n v="1406295.87"/>
  </r>
  <r>
    <x v="9"/>
    <s v="09/2022"/>
    <s v="BHCOE - 137100 - Electric - Dist -"/>
    <x v="52"/>
    <x v="4"/>
    <s v="BH Colorado Electric Oper Co"/>
    <s v="SEC"/>
    <x v="3"/>
    <n v="-68227.39"/>
    <n v="270.75"/>
    <n v="0"/>
    <n v="0"/>
    <n v="0"/>
    <n v="0"/>
    <n v="0"/>
    <n v="-67956.639999999999"/>
  </r>
  <r>
    <x v="10"/>
    <s v="10/2022"/>
    <s v="BHCOE - 137100 - Electric - Dist -"/>
    <x v="52"/>
    <x v="4"/>
    <s v="BH Colorado Electric Oper Co"/>
    <s v="SEC"/>
    <x v="1"/>
    <n v="1406295.87"/>
    <n v="1294.4000000000001"/>
    <n v="0"/>
    <n v="0"/>
    <n v="0"/>
    <n v="0"/>
    <n v="0"/>
    <n v="1407590.27"/>
  </r>
  <r>
    <x v="10"/>
    <s v="10/2022"/>
    <s v="BHCOE - 137100 - Electric - Dist -"/>
    <x v="52"/>
    <x v="4"/>
    <s v="BH Colorado Electric Oper Co"/>
    <s v="SEC"/>
    <x v="3"/>
    <n v="-67956.639999999999"/>
    <n v="272.5"/>
    <n v="0"/>
    <n v="0"/>
    <n v="0"/>
    <n v="0"/>
    <n v="0"/>
    <n v="-67684.14"/>
  </r>
  <r>
    <x v="11"/>
    <s v="11/2022"/>
    <s v="BHCOE - 137100 - Electric - Dist -"/>
    <x v="52"/>
    <x v="4"/>
    <s v="BH Colorado Electric Oper Co"/>
    <s v="SEC"/>
    <x v="1"/>
    <n v="1407590.27"/>
    <n v="1299.55"/>
    <n v="0"/>
    <n v="0"/>
    <n v="0"/>
    <n v="0"/>
    <n v="0"/>
    <n v="1408889.82"/>
  </r>
  <r>
    <x v="11"/>
    <s v="11/2022"/>
    <s v="BHCOE - 137100 - Electric - Dist -"/>
    <x v="52"/>
    <x v="4"/>
    <s v="BH Colorado Electric Oper Co"/>
    <s v="SEC"/>
    <x v="3"/>
    <n v="-67684.14"/>
    <n v="273.59000000000003"/>
    <n v="0"/>
    <n v="0"/>
    <n v="0"/>
    <n v="0"/>
    <n v="0"/>
    <n v="-67410.55"/>
  </r>
  <r>
    <x v="12"/>
    <s v="12/2022"/>
    <s v="BHCOE - 137100 - Electric - Dist -"/>
    <x v="52"/>
    <x v="4"/>
    <s v="BH Colorado Electric Oper Co"/>
    <s v="SEC"/>
    <x v="1"/>
    <n v="1408889.82"/>
    <n v="1304.21"/>
    <n v="-14990.300000000001"/>
    <n v="0"/>
    <n v="0"/>
    <n v="0"/>
    <n v="0"/>
    <n v="1395203.73"/>
  </r>
  <r>
    <x v="12"/>
    <s v="12/2022"/>
    <s v="BHCOE - 137100 - Electric - Dist -"/>
    <x v="52"/>
    <x v="4"/>
    <s v="BH Colorado Electric Oper Co"/>
    <s v="SEC"/>
    <x v="3"/>
    <n v="-67410.55"/>
    <n v="274.57"/>
    <n v="0"/>
    <n v="-5085.21"/>
    <n v="0"/>
    <n v="0"/>
    <n v="0"/>
    <n v="-72221.19"/>
  </r>
  <r>
    <x v="0"/>
    <s v="12/2021"/>
    <s v="BHCOE - 137300 - Electric - Dist -"/>
    <x v="53"/>
    <x v="4"/>
    <s v="BH Colorado Electric Oper Co"/>
    <s v="SEC"/>
    <x v="1"/>
    <n v="5943902"/>
    <n v="13516.87"/>
    <n v="0"/>
    <n v="0"/>
    <n v="0"/>
    <n v="0"/>
    <n v="0"/>
    <n v="5957418.8700000001"/>
  </r>
  <r>
    <x v="0"/>
    <s v="12/2021"/>
    <s v="BHCOE - 137300 - Electric - Dist -"/>
    <x v="53"/>
    <x v="4"/>
    <s v="BH Colorado Electric Oper Co"/>
    <s v="SEC"/>
    <x v="3"/>
    <n v="115907.42"/>
    <n v="3356.54"/>
    <n v="0"/>
    <n v="-10.290000000000001"/>
    <n v="0"/>
    <n v="0"/>
    <n v="0"/>
    <n v="119253.67"/>
  </r>
  <r>
    <x v="1"/>
    <s v="01/2022"/>
    <s v="BHCOE - 137300 - Electric - Dist -"/>
    <x v="53"/>
    <x v="4"/>
    <s v="BH Colorado Electric Oper Co"/>
    <s v="SEC"/>
    <x v="1"/>
    <n v="5957418.8700000001"/>
    <n v="13656.25"/>
    <n v="0"/>
    <n v="0"/>
    <n v="0"/>
    <n v="0"/>
    <n v="0"/>
    <n v="5971075.1200000001"/>
  </r>
  <r>
    <x v="1"/>
    <s v="01/2022"/>
    <s v="BHCOE - 137300 - Electric - Dist -"/>
    <x v="53"/>
    <x v="4"/>
    <s v="BH Colorado Electric Oper Co"/>
    <s v="SEC"/>
    <x v="3"/>
    <n v="119253.67"/>
    <n v="3391.15"/>
    <n v="0"/>
    <n v="0"/>
    <n v="0"/>
    <n v="0"/>
    <n v="0"/>
    <n v="122644.82"/>
  </r>
  <r>
    <x v="2"/>
    <s v="02/2022"/>
    <s v="BHCOE - 137300 - Electric - Dist -"/>
    <x v="53"/>
    <x v="4"/>
    <s v="BH Colorado Electric Oper Co"/>
    <s v="SEC"/>
    <x v="1"/>
    <n v="5971075.1200000001"/>
    <n v="13908.52"/>
    <n v="0"/>
    <n v="0"/>
    <n v="0"/>
    <n v="0"/>
    <n v="0"/>
    <n v="5984983.6399999997"/>
  </r>
  <r>
    <x v="2"/>
    <s v="02/2022"/>
    <s v="BHCOE - 137300 - Electric - Dist -"/>
    <x v="53"/>
    <x v="4"/>
    <s v="BH Colorado Electric Oper Co"/>
    <s v="SEC"/>
    <x v="3"/>
    <n v="122644.82"/>
    <n v="3453.79"/>
    <n v="0"/>
    <n v="0.19"/>
    <n v="0"/>
    <n v="0"/>
    <n v="0"/>
    <n v="126098.8"/>
  </r>
  <r>
    <x v="3"/>
    <s v="03/2022"/>
    <s v="BHCOE - 137300 - Electric - Dist -"/>
    <x v="53"/>
    <x v="4"/>
    <s v="BH Colorado Electric Oper Co"/>
    <s v="SEC"/>
    <x v="1"/>
    <n v="5984983.6399999997"/>
    <n v="14116.77"/>
    <n v="-557.98"/>
    <n v="0"/>
    <n v="0"/>
    <n v="0"/>
    <n v="0"/>
    <n v="5998542.4299999997"/>
  </r>
  <r>
    <x v="3"/>
    <s v="03/2022"/>
    <s v="BHCOE - 137300 - Electric - Dist -"/>
    <x v="53"/>
    <x v="4"/>
    <s v="BH Colorado Electric Oper Co"/>
    <s v="SEC"/>
    <x v="3"/>
    <n v="126098.8"/>
    <n v="3505.51"/>
    <n v="0"/>
    <n v="-576.16"/>
    <n v="0"/>
    <n v="0"/>
    <n v="0"/>
    <n v="129028.15000000001"/>
  </r>
  <r>
    <x v="4"/>
    <s v="04/2022"/>
    <s v="BHCOE - 137300 - Electric - Dist -"/>
    <x v="53"/>
    <x v="4"/>
    <s v="BH Colorado Electric Oper Co"/>
    <s v="SEC"/>
    <x v="1"/>
    <n v="5998542.4299999997"/>
    <n v="14147.14"/>
    <n v="-670.62"/>
    <n v="0"/>
    <n v="0"/>
    <n v="0"/>
    <n v="0"/>
    <n v="6012018.9500000002"/>
  </r>
  <r>
    <x v="4"/>
    <s v="04/2022"/>
    <s v="BHCOE - 137300 - Electric - Dist -"/>
    <x v="53"/>
    <x v="4"/>
    <s v="BH Colorado Electric Oper Co"/>
    <s v="SEC"/>
    <x v="3"/>
    <n v="129028.15000000001"/>
    <n v="3513.05"/>
    <n v="0"/>
    <n v="-338.77"/>
    <n v="0"/>
    <n v="0"/>
    <n v="0"/>
    <n v="132202.43"/>
  </r>
  <r>
    <x v="5"/>
    <s v="05/2022"/>
    <s v="BHCOE - 137300 - Electric - Dist -"/>
    <x v="53"/>
    <x v="4"/>
    <s v="BH Colorado Electric Oper Co"/>
    <s v="SEC"/>
    <x v="1"/>
    <n v="6012018.9500000002"/>
    <n v="14144.050000000001"/>
    <n v="-2765.38"/>
    <n v="0"/>
    <n v="0"/>
    <n v="0"/>
    <n v="0"/>
    <n v="6023397.6200000001"/>
  </r>
  <r>
    <x v="5"/>
    <s v="05/2022"/>
    <s v="BHCOE - 137300 - Electric - Dist -"/>
    <x v="53"/>
    <x v="4"/>
    <s v="BH Colorado Electric Oper Co"/>
    <s v="SEC"/>
    <x v="3"/>
    <n v="132202.43"/>
    <n v="3512.28"/>
    <n v="0"/>
    <n v="-1462.58"/>
    <n v="0"/>
    <n v="0"/>
    <n v="0"/>
    <n v="134252.13"/>
  </r>
  <r>
    <x v="6"/>
    <s v="06/2022"/>
    <s v="BHCOE - 137300 - Electric - Dist -"/>
    <x v="53"/>
    <x v="4"/>
    <s v="BH Colorado Electric Oper Co"/>
    <s v="SEC"/>
    <x v="1"/>
    <n v="6023397.6200000001"/>
    <n v="14139.710000000001"/>
    <n v="-2498.41"/>
    <n v="0"/>
    <n v="0"/>
    <n v="0"/>
    <n v="0"/>
    <n v="6035038.9199999999"/>
  </r>
  <r>
    <x v="6"/>
    <s v="06/2022"/>
    <s v="BHCOE - 137300 - Electric - Dist -"/>
    <x v="53"/>
    <x v="4"/>
    <s v="BH Colorado Electric Oper Co"/>
    <s v="SEC"/>
    <x v="3"/>
    <n v="134252.13"/>
    <n v="3511.2000000000003"/>
    <n v="0"/>
    <n v="-1721.19"/>
    <n v="0"/>
    <n v="0"/>
    <n v="0"/>
    <n v="136042.14000000001"/>
  </r>
  <r>
    <x v="7"/>
    <s v="07/2022"/>
    <s v="BHCOE - 137300 - Electric - Dist -"/>
    <x v="53"/>
    <x v="4"/>
    <s v="BH Colorado Electric Oper Co"/>
    <s v="SEC"/>
    <x v="1"/>
    <n v="6035038.9199999999"/>
    <n v="14106.83"/>
    <n v="0"/>
    <n v="0"/>
    <n v="0"/>
    <n v="0"/>
    <n v="0"/>
    <n v="6049145.75"/>
  </r>
  <r>
    <x v="7"/>
    <s v="07/2022"/>
    <s v="BHCOE - 137300 - Electric - Dist -"/>
    <x v="53"/>
    <x v="4"/>
    <s v="BH Colorado Electric Oper Co"/>
    <s v="SEC"/>
    <x v="3"/>
    <n v="136042.14000000001"/>
    <n v="3503.04"/>
    <n v="0"/>
    <n v="0"/>
    <n v="0"/>
    <n v="0"/>
    <n v="0"/>
    <n v="139545.18"/>
  </r>
  <r>
    <x v="8"/>
    <s v="08/2022"/>
    <s v="BHCOE - 137300 - Electric - Dist -"/>
    <x v="53"/>
    <x v="4"/>
    <s v="BH Colorado Electric Oper Co"/>
    <s v="SEC"/>
    <x v="1"/>
    <n v="6049145.75"/>
    <n v="14076.43"/>
    <n v="0"/>
    <n v="0"/>
    <n v="0"/>
    <n v="0"/>
    <n v="0"/>
    <n v="6063222.1799999997"/>
  </r>
  <r>
    <x v="8"/>
    <s v="08/2022"/>
    <s v="BHCOE - 137300 - Electric - Dist -"/>
    <x v="53"/>
    <x v="4"/>
    <s v="BH Colorado Electric Oper Co"/>
    <s v="SEC"/>
    <x v="3"/>
    <n v="139545.18"/>
    <n v="3495.4900000000002"/>
    <n v="0"/>
    <n v="0"/>
    <n v="0"/>
    <n v="0"/>
    <n v="0"/>
    <n v="143040.67000000001"/>
  </r>
  <r>
    <x v="9"/>
    <s v="09/2022"/>
    <s v="BHCOE - 137300 - Electric - Dist -"/>
    <x v="53"/>
    <x v="4"/>
    <s v="BH Colorado Electric Oper Co"/>
    <s v="SEC"/>
    <x v="1"/>
    <n v="6063222.1799999997"/>
    <n v="14179.85"/>
    <n v="-168.03"/>
    <n v="0"/>
    <n v="0"/>
    <n v="0"/>
    <n v="0"/>
    <n v="6077234"/>
  </r>
  <r>
    <x v="9"/>
    <s v="09/2022"/>
    <s v="BHCOE - 137300 - Electric - Dist -"/>
    <x v="53"/>
    <x v="4"/>
    <s v="BH Colorado Electric Oper Co"/>
    <s v="SEC"/>
    <x v="3"/>
    <n v="143040.67000000001"/>
    <n v="3521.17"/>
    <n v="0"/>
    <n v="-2.06"/>
    <n v="0"/>
    <n v="0"/>
    <n v="0"/>
    <n v="146559.78"/>
  </r>
  <r>
    <x v="10"/>
    <s v="10/2022"/>
    <s v="BHCOE - 137300 - Electric - Dist -"/>
    <x v="53"/>
    <x v="4"/>
    <s v="BH Colorado Electric Oper Co"/>
    <s v="SEC"/>
    <x v="1"/>
    <n v="6077234"/>
    <n v="14285.16"/>
    <n v="-1378.02"/>
    <n v="0"/>
    <n v="0"/>
    <n v="0"/>
    <n v="0"/>
    <n v="6090141.1399999997"/>
  </r>
  <r>
    <x v="10"/>
    <s v="10/2022"/>
    <s v="BHCOE - 137300 - Electric - Dist -"/>
    <x v="53"/>
    <x v="4"/>
    <s v="BH Colorado Electric Oper Co"/>
    <s v="SEC"/>
    <x v="3"/>
    <n v="146559.78"/>
    <n v="3547.32"/>
    <n v="0"/>
    <n v="0"/>
    <n v="0"/>
    <n v="0"/>
    <n v="0"/>
    <n v="150107.1"/>
  </r>
  <r>
    <x v="11"/>
    <s v="11/2022"/>
    <s v="BHCOE - 137300 - Electric - Dist -"/>
    <x v="53"/>
    <x v="4"/>
    <s v="BH Colorado Electric Oper Co"/>
    <s v="SEC"/>
    <x v="1"/>
    <n v="6090141.1399999997"/>
    <n v="14335.35"/>
    <n v="-2800.12"/>
    <n v="0"/>
    <n v="0"/>
    <n v="0"/>
    <n v="0"/>
    <n v="6101676.3700000001"/>
  </r>
  <r>
    <x v="11"/>
    <s v="11/2022"/>
    <s v="BHCOE - 137300 - Electric - Dist -"/>
    <x v="53"/>
    <x v="4"/>
    <s v="BH Colorado Electric Oper Co"/>
    <s v="SEC"/>
    <x v="3"/>
    <n v="150107.1"/>
    <n v="3559.79"/>
    <n v="0"/>
    <n v="0"/>
    <n v="0"/>
    <n v="0"/>
    <n v="0"/>
    <n v="153666.89000000001"/>
  </r>
  <r>
    <x v="12"/>
    <s v="12/2022"/>
    <s v="BHCOE - 137300 - Electric - Dist -"/>
    <x v="53"/>
    <x v="4"/>
    <s v="BH Colorado Electric Oper Co"/>
    <s v="SEC"/>
    <x v="1"/>
    <n v="6101676.3700000001"/>
    <n v="14384.18"/>
    <n v="-20048.09"/>
    <n v="0"/>
    <n v="0"/>
    <n v="0"/>
    <n v="0"/>
    <n v="6096012.46"/>
  </r>
  <r>
    <x v="12"/>
    <s v="12/2022"/>
    <s v="BHCOE - 137300 - Electric - Dist -"/>
    <x v="53"/>
    <x v="4"/>
    <s v="BH Colorado Electric Oper Co"/>
    <s v="SEC"/>
    <x v="3"/>
    <n v="153666.89000000001"/>
    <n v="3571.91"/>
    <n v="0"/>
    <n v="-28910.07"/>
    <n v="0"/>
    <n v="0"/>
    <n v="0"/>
    <n v="128328.73"/>
  </r>
  <r>
    <x v="0"/>
    <s v="12/2021"/>
    <s v="BHCOE - 138901 - Electric - Gen"/>
    <x v="54"/>
    <x v="0"/>
    <s v="BH Colorado Electric Oper Co"/>
    <s v="SEC"/>
    <x v="2"/>
    <n v="0"/>
    <n v="0"/>
    <n v="0"/>
    <n v="0"/>
    <n v="0"/>
    <n v="0"/>
    <n v="0"/>
    <n v="0"/>
  </r>
  <r>
    <x v="1"/>
    <s v="01/2022"/>
    <s v="BHCOE - 138901 - Electric - Gen"/>
    <x v="54"/>
    <x v="0"/>
    <s v="BH Colorado Electric Oper Co"/>
    <s v="SEC"/>
    <x v="2"/>
    <n v="0"/>
    <n v="0"/>
    <n v="0"/>
    <n v="0"/>
    <n v="0"/>
    <n v="0"/>
    <n v="0"/>
    <n v="0"/>
  </r>
  <r>
    <x v="2"/>
    <s v="02/2022"/>
    <s v="BHCOE - 138901 - Electric - Gen"/>
    <x v="54"/>
    <x v="0"/>
    <s v="BH Colorado Electric Oper Co"/>
    <s v="SEC"/>
    <x v="2"/>
    <n v="0"/>
    <n v="0"/>
    <n v="0"/>
    <n v="0"/>
    <n v="0"/>
    <n v="0"/>
    <n v="0"/>
    <n v="0"/>
  </r>
  <r>
    <x v="3"/>
    <s v="03/2022"/>
    <s v="BHCOE - 138901 - Electric - Gen"/>
    <x v="54"/>
    <x v="0"/>
    <s v="BH Colorado Electric Oper Co"/>
    <s v="SEC"/>
    <x v="2"/>
    <n v="0"/>
    <n v="0"/>
    <n v="0"/>
    <n v="0"/>
    <n v="0"/>
    <n v="0"/>
    <n v="0"/>
    <n v="0"/>
  </r>
  <r>
    <x v="4"/>
    <s v="04/2022"/>
    <s v="BHCOE - 138901 - Electric - Gen"/>
    <x v="54"/>
    <x v="0"/>
    <s v="BH Colorado Electric Oper Co"/>
    <s v="SEC"/>
    <x v="2"/>
    <n v="0"/>
    <n v="0"/>
    <n v="0"/>
    <n v="0"/>
    <n v="0"/>
    <n v="0"/>
    <n v="0"/>
    <n v="0"/>
  </r>
  <r>
    <x v="5"/>
    <s v="05/2022"/>
    <s v="BHCOE - 138901 - Electric - Gen"/>
    <x v="54"/>
    <x v="0"/>
    <s v="BH Colorado Electric Oper Co"/>
    <s v="SEC"/>
    <x v="2"/>
    <n v="0"/>
    <n v="0"/>
    <n v="0"/>
    <n v="0"/>
    <n v="0"/>
    <n v="0"/>
    <n v="0"/>
    <n v="0"/>
  </r>
  <r>
    <x v="6"/>
    <s v="06/2022"/>
    <s v="BHCOE - 138901 - Electric - Gen"/>
    <x v="54"/>
    <x v="0"/>
    <s v="BH Colorado Electric Oper Co"/>
    <s v="SEC"/>
    <x v="2"/>
    <n v="0"/>
    <n v="0"/>
    <n v="-952022.88"/>
    <n v="-30764.95"/>
    <n v="2576810.08"/>
    <n v="0"/>
    <n v="-1594022.25"/>
    <n v="0"/>
  </r>
  <r>
    <x v="7"/>
    <s v="07/2022"/>
    <s v="BHCOE - 138901 - Electric - Gen"/>
    <x v="54"/>
    <x v="0"/>
    <s v="BH Colorado Electric Oper Co"/>
    <s v="SEC"/>
    <x v="2"/>
    <n v="0"/>
    <n v="0"/>
    <n v="0"/>
    <n v="604.41999999999996"/>
    <n v="0"/>
    <n v="0"/>
    <n v="0"/>
    <n v="604.41999999999996"/>
  </r>
  <r>
    <x v="8"/>
    <s v="08/2022"/>
    <s v="BHCOE - 138901 - Electric - Gen"/>
    <x v="54"/>
    <x v="0"/>
    <s v="BH Colorado Electric Oper Co"/>
    <s v="SEC"/>
    <x v="2"/>
    <n v="604.41999999999996"/>
    <n v="0"/>
    <n v="0"/>
    <n v="-5845.5"/>
    <n v="0"/>
    <n v="0"/>
    <n v="0"/>
    <n v="-5241.08"/>
  </r>
  <r>
    <x v="9"/>
    <s v="09/2022"/>
    <s v="BHCOE - 138901 - Electric - Gen"/>
    <x v="54"/>
    <x v="0"/>
    <s v="BH Colorado Electric Oper Co"/>
    <s v="SEC"/>
    <x v="2"/>
    <n v="-5241.08"/>
    <n v="0"/>
    <n v="0"/>
    <n v="0"/>
    <n v="0"/>
    <n v="0"/>
    <n v="0"/>
    <n v="-5241.08"/>
  </r>
  <r>
    <x v="10"/>
    <s v="10/2022"/>
    <s v="BHCOE - 138901 - Electric - Gen"/>
    <x v="54"/>
    <x v="0"/>
    <s v="BH Colorado Electric Oper Co"/>
    <s v="SEC"/>
    <x v="2"/>
    <n v="-5241.08"/>
    <n v="0"/>
    <n v="0"/>
    <n v="0"/>
    <n v="0"/>
    <n v="0"/>
    <n v="0"/>
    <n v="-5241.08"/>
  </r>
  <r>
    <x v="11"/>
    <s v="11/2022"/>
    <s v="BHCOE - 138901 - Electric - Gen"/>
    <x v="54"/>
    <x v="0"/>
    <s v="BH Colorado Electric Oper Co"/>
    <s v="SEC"/>
    <x v="2"/>
    <n v="-5241.08"/>
    <n v="0"/>
    <n v="0"/>
    <n v="0"/>
    <n v="0"/>
    <n v="0"/>
    <n v="0"/>
    <n v="-5241.08"/>
  </r>
  <r>
    <x v="12"/>
    <s v="12/2022"/>
    <s v="BHCOE - 138901 - Electric - Gen"/>
    <x v="54"/>
    <x v="0"/>
    <s v="BH Colorado Electric Oper Co"/>
    <s v="SEC"/>
    <x v="2"/>
    <n v="-5241.08"/>
    <n v="0"/>
    <n v="0"/>
    <n v="0"/>
    <n v="0"/>
    <n v="0"/>
    <n v="0"/>
    <n v="-5241.08"/>
  </r>
  <r>
    <x v="0"/>
    <s v="12/2021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1"/>
    <s v="01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2"/>
    <s v="02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3"/>
    <s v="03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4"/>
    <s v="04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5"/>
    <s v="05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6"/>
    <s v="06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7"/>
    <s v="07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8"/>
    <s v="08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9"/>
    <s v="09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10"/>
    <s v="10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11"/>
    <s v="11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12"/>
    <s v="12/2022"/>
    <s v="BHCOE - 138902 - Electric - Gen"/>
    <x v="55"/>
    <x v="0"/>
    <s v="BH Colorado Electric Oper Co"/>
    <s v="SEC"/>
    <x v="2"/>
    <n v="0"/>
    <n v="0"/>
    <n v="0"/>
    <n v="0"/>
    <n v="0"/>
    <n v="0"/>
    <n v="0"/>
    <n v="0"/>
  </r>
  <r>
    <x v="0"/>
    <s v="12/2021"/>
    <s v="BHCOE - 139001 - Elect - 850"/>
    <x v="56"/>
    <x v="0"/>
    <s v="BH Colorado Electric Oper Co"/>
    <s v="SEC"/>
    <x v="1"/>
    <n v="2058.17"/>
    <n v="65.510000000000005"/>
    <n v="0"/>
    <n v="0"/>
    <n v="0"/>
    <n v="0"/>
    <n v="0"/>
    <n v="2123.6799999999998"/>
  </r>
  <r>
    <x v="0"/>
    <s v="12/2021"/>
    <s v="BHCOE - 139001 - Electric - Gen -"/>
    <x v="56"/>
    <x v="0"/>
    <s v="BH Colorado Electric Oper Co"/>
    <s v="SEC"/>
    <x v="1"/>
    <n v="4794716.5"/>
    <n v="18046.060000000001"/>
    <n v="0"/>
    <n v="0"/>
    <n v="0"/>
    <n v="-12738.28"/>
    <n v="0"/>
    <n v="4800024.28"/>
  </r>
  <r>
    <x v="0"/>
    <s v="12/2021"/>
    <s v="BHCOE - 139001 - Elect - 850"/>
    <x v="56"/>
    <x v="0"/>
    <s v="BH Colorado Electric Oper Co"/>
    <s v="SEC"/>
    <x v="3"/>
    <n v="202.97"/>
    <n v="6.46"/>
    <n v="0"/>
    <n v="0"/>
    <n v="0"/>
    <n v="0"/>
    <n v="0"/>
    <n v="209.43"/>
  </r>
  <r>
    <x v="0"/>
    <s v="12/2021"/>
    <s v="BHCOE - 139001 - Electric - Gen -"/>
    <x v="56"/>
    <x v="0"/>
    <s v="BH Colorado Electric Oper Co"/>
    <s v="SEC"/>
    <x v="3"/>
    <n v="233802.26"/>
    <n v="1779.19"/>
    <n v="0"/>
    <n v="0"/>
    <n v="0"/>
    <n v="10304.42"/>
    <n v="0"/>
    <n v="245885.87"/>
  </r>
  <r>
    <x v="1"/>
    <s v="01/2022"/>
    <s v="BHCOE - 139001 - Elect - 850"/>
    <x v="56"/>
    <x v="0"/>
    <s v="BH Colorado Electric Oper Co"/>
    <s v="SEC"/>
    <x v="1"/>
    <n v="2123.6799999999998"/>
    <n v="65.510000000000005"/>
    <n v="0"/>
    <n v="0"/>
    <n v="0"/>
    <n v="0"/>
    <n v="0"/>
    <n v="2189.19"/>
  </r>
  <r>
    <x v="1"/>
    <s v="01/2022"/>
    <s v="BHCOE - 139001 - Electric - Gen -"/>
    <x v="56"/>
    <x v="0"/>
    <s v="BH Colorado Electric Oper Co"/>
    <s v="SEC"/>
    <x v="1"/>
    <n v="4800024.28"/>
    <n v="18089.810000000001"/>
    <n v="0"/>
    <n v="0"/>
    <n v="0"/>
    <n v="0"/>
    <n v="0"/>
    <n v="4818114.09"/>
  </r>
  <r>
    <x v="1"/>
    <s v="01/2022"/>
    <s v="BHCOE - 139001 - Elect - 850"/>
    <x v="56"/>
    <x v="0"/>
    <s v="BH Colorado Electric Oper Co"/>
    <s v="SEC"/>
    <x v="3"/>
    <n v="209.43"/>
    <n v="6.46"/>
    <n v="0"/>
    <n v="0"/>
    <n v="0"/>
    <n v="0"/>
    <n v="0"/>
    <n v="215.89000000000001"/>
  </r>
  <r>
    <x v="1"/>
    <s v="01/2022"/>
    <s v="BHCOE - 139001 - Electric - Gen -"/>
    <x v="56"/>
    <x v="0"/>
    <s v="BH Colorado Electric Oper Co"/>
    <s v="SEC"/>
    <x v="3"/>
    <n v="245885.87"/>
    <n v="1783.5"/>
    <n v="0"/>
    <n v="0"/>
    <n v="0"/>
    <n v="0"/>
    <n v="0"/>
    <n v="247669.37"/>
  </r>
  <r>
    <x v="2"/>
    <s v="02/2022"/>
    <s v="BHCOE - 139001 - Elect - 850"/>
    <x v="56"/>
    <x v="0"/>
    <s v="BH Colorado Electric Oper Co"/>
    <s v="SEC"/>
    <x v="1"/>
    <n v="2189.19"/>
    <n v="65.510000000000005"/>
    <n v="0"/>
    <n v="0"/>
    <n v="0"/>
    <n v="0"/>
    <n v="0"/>
    <n v="2254.7000000000003"/>
  </r>
  <r>
    <x v="2"/>
    <s v="02/2022"/>
    <s v="BHCOE - 139001 - Electric - Gen -"/>
    <x v="56"/>
    <x v="0"/>
    <s v="BH Colorado Electric Oper Co"/>
    <s v="SEC"/>
    <x v="1"/>
    <n v="4818114.09"/>
    <n v="18089.810000000001"/>
    <n v="0"/>
    <n v="0"/>
    <n v="0"/>
    <n v="0"/>
    <n v="0"/>
    <n v="4836203.9000000004"/>
  </r>
  <r>
    <x v="2"/>
    <s v="02/2022"/>
    <s v="BHCOE - 139001 - Elect - 850"/>
    <x v="56"/>
    <x v="0"/>
    <s v="BH Colorado Electric Oper Co"/>
    <s v="SEC"/>
    <x v="3"/>
    <n v="215.89000000000001"/>
    <n v="6.46"/>
    <n v="0"/>
    <n v="0"/>
    <n v="0"/>
    <n v="0"/>
    <n v="0"/>
    <n v="222.35"/>
  </r>
  <r>
    <x v="2"/>
    <s v="02/2022"/>
    <s v="BHCOE - 139001 - Electric - Gen -"/>
    <x v="56"/>
    <x v="0"/>
    <s v="BH Colorado Electric Oper Co"/>
    <s v="SEC"/>
    <x v="3"/>
    <n v="247669.37"/>
    <n v="1783.5"/>
    <n v="0"/>
    <n v="0"/>
    <n v="0"/>
    <n v="0"/>
    <n v="0"/>
    <n v="249452.87"/>
  </r>
  <r>
    <x v="3"/>
    <s v="03/2022"/>
    <s v="BHCOE - 139001 - Elect - 850"/>
    <x v="56"/>
    <x v="0"/>
    <s v="BH Colorado Electric Oper Co"/>
    <s v="SEC"/>
    <x v="1"/>
    <n v="2254.7000000000003"/>
    <n v="65.510000000000005"/>
    <n v="0"/>
    <n v="0"/>
    <n v="0"/>
    <n v="0"/>
    <n v="0"/>
    <n v="2320.21"/>
  </r>
  <r>
    <x v="3"/>
    <s v="03/2022"/>
    <s v="BHCOE - 139001 - Electric - Gen -"/>
    <x v="56"/>
    <x v="0"/>
    <s v="BH Colorado Electric Oper Co"/>
    <s v="SEC"/>
    <x v="1"/>
    <n v="4836203.9000000004"/>
    <n v="18059.07"/>
    <n v="0"/>
    <n v="0"/>
    <n v="0"/>
    <n v="0"/>
    <n v="0"/>
    <n v="4854262.97"/>
  </r>
  <r>
    <x v="3"/>
    <s v="03/2022"/>
    <s v="BHCOE - 139001 - Elect - 850"/>
    <x v="56"/>
    <x v="0"/>
    <s v="BH Colorado Electric Oper Co"/>
    <s v="SEC"/>
    <x v="3"/>
    <n v="222.35"/>
    <n v="6.46"/>
    <n v="0"/>
    <n v="0"/>
    <n v="0"/>
    <n v="0"/>
    <n v="0"/>
    <n v="228.81"/>
  </r>
  <r>
    <x v="3"/>
    <s v="03/2022"/>
    <s v="BHCOE - 139001 - Electric - Gen -"/>
    <x v="56"/>
    <x v="0"/>
    <s v="BH Colorado Electric Oper Co"/>
    <s v="SEC"/>
    <x v="3"/>
    <n v="249452.87"/>
    <n v="1780.47"/>
    <n v="0"/>
    <n v="0"/>
    <n v="0"/>
    <n v="0"/>
    <n v="0"/>
    <n v="251233.34"/>
  </r>
  <r>
    <x v="4"/>
    <s v="04/2022"/>
    <s v="BHCOE - 139001 - Elect - 850"/>
    <x v="56"/>
    <x v="0"/>
    <s v="BH Colorado Electric Oper Co"/>
    <s v="SEC"/>
    <x v="1"/>
    <n v="2320.21"/>
    <n v="65.510000000000005"/>
    <n v="0"/>
    <n v="0"/>
    <n v="0"/>
    <n v="0"/>
    <n v="0"/>
    <n v="2385.7200000000003"/>
  </r>
  <r>
    <x v="4"/>
    <s v="04/2022"/>
    <s v="BHCOE - 139001 - Electric - Gen -"/>
    <x v="56"/>
    <x v="0"/>
    <s v="BH Colorado Electric Oper Co"/>
    <s v="SEC"/>
    <x v="1"/>
    <n v="4854262.97"/>
    <n v="18028.34"/>
    <n v="0"/>
    <n v="0"/>
    <n v="0"/>
    <n v="0"/>
    <n v="0"/>
    <n v="4872291.3100000005"/>
  </r>
  <r>
    <x v="4"/>
    <s v="04/2022"/>
    <s v="BHCOE - 139001 - Elect - 850"/>
    <x v="56"/>
    <x v="0"/>
    <s v="BH Colorado Electric Oper Co"/>
    <s v="SEC"/>
    <x v="3"/>
    <n v="228.81"/>
    <n v="6.46"/>
    <n v="0"/>
    <n v="0"/>
    <n v="0"/>
    <n v="0"/>
    <n v="0"/>
    <n v="235.27"/>
  </r>
  <r>
    <x v="4"/>
    <s v="04/2022"/>
    <s v="BHCOE - 139001 - Electric - Gen -"/>
    <x v="56"/>
    <x v="0"/>
    <s v="BH Colorado Electric Oper Co"/>
    <s v="SEC"/>
    <x v="3"/>
    <n v="251233.34"/>
    <n v="1777.44"/>
    <n v="0"/>
    <n v="0"/>
    <n v="0"/>
    <n v="0"/>
    <n v="0"/>
    <n v="253010.78"/>
  </r>
  <r>
    <x v="5"/>
    <s v="05/2022"/>
    <s v="BHCOE - 139001 - Elect - 850"/>
    <x v="56"/>
    <x v="0"/>
    <s v="BH Colorado Electric Oper Co"/>
    <s v="SEC"/>
    <x v="1"/>
    <n v="2385.7200000000003"/>
    <n v="65.510000000000005"/>
    <n v="0"/>
    <n v="0"/>
    <n v="0"/>
    <n v="0"/>
    <n v="0"/>
    <n v="2451.23"/>
  </r>
  <r>
    <x v="5"/>
    <s v="05/2022"/>
    <s v="BHCOE - 139001 - Electric - Gen -"/>
    <x v="56"/>
    <x v="0"/>
    <s v="BH Colorado Electric Oper Co"/>
    <s v="SEC"/>
    <x v="1"/>
    <n v="4872291.3100000005"/>
    <n v="18028.350000000002"/>
    <n v="0"/>
    <n v="0"/>
    <n v="0"/>
    <n v="0"/>
    <n v="0"/>
    <n v="4890319.66"/>
  </r>
  <r>
    <x v="5"/>
    <s v="05/2022"/>
    <s v="BHCOE - 139001 - Elect - 850"/>
    <x v="56"/>
    <x v="0"/>
    <s v="BH Colorado Electric Oper Co"/>
    <s v="SEC"/>
    <x v="3"/>
    <n v="235.27"/>
    <n v="6.46"/>
    <n v="0"/>
    <n v="0"/>
    <n v="0"/>
    <n v="0"/>
    <n v="0"/>
    <n v="241.73000000000002"/>
  </r>
  <r>
    <x v="5"/>
    <s v="05/2022"/>
    <s v="BHCOE - 139001 - Electric - Gen -"/>
    <x v="56"/>
    <x v="0"/>
    <s v="BH Colorado Electric Oper Co"/>
    <s v="SEC"/>
    <x v="3"/>
    <n v="253010.78"/>
    <n v="1777.44"/>
    <n v="0"/>
    <n v="0"/>
    <n v="0"/>
    <n v="0"/>
    <n v="0"/>
    <n v="254788.22"/>
  </r>
  <r>
    <x v="6"/>
    <s v="06/2022"/>
    <s v="BHCOE - 139001 - Elect - 850"/>
    <x v="56"/>
    <x v="0"/>
    <s v="BH Colorado Electric Oper Co"/>
    <s v="SEC"/>
    <x v="1"/>
    <n v="2451.23"/>
    <n v="65.510000000000005"/>
    <n v="0"/>
    <n v="0"/>
    <n v="0"/>
    <n v="0"/>
    <n v="0"/>
    <n v="2516.7400000000002"/>
  </r>
  <r>
    <x v="6"/>
    <s v="06/2022"/>
    <s v="BHCOE - 139001 - Electric - Gen -"/>
    <x v="56"/>
    <x v="0"/>
    <s v="BH Colorado Electric Oper Co"/>
    <s v="SEC"/>
    <x v="1"/>
    <n v="4890319.66"/>
    <n v="18145.66"/>
    <n v="0"/>
    <n v="0"/>
    <n v="0"/>
    <n v="0"/>
    <n v="0"/>
    <n v="4908465.32"/>
  </r>
  <r>
    <x v="6"/>
    <s v="06/2022"/>
    <s v="BHCOE - 139001 - Elect - 850"/>
    <x v="56"/>
    <x v="0"/>
    <s v="BH Colorado Electric Oper Co"/>
    <s v="SEC"/>
    <x v="3"/>
    <n v="241.73000000000002"/>
    <n v="6.46"/>
    <n v="0"/>
    <n v="0"/>
    <n v="0"/>
    <n v="0"/>
    <n v="0"/>
    <n v="248.19"/>
  </r>
  <r>
    <x v="6"/>
    <s v="06/2022"/>
    <s v="BHCOE - 139001 - Electric - Gen -"/>
    <x v="56"/>
    <x v="0"/>
    <s v="BH Colorado Electric Oper Co"/>
    <s v="SEC"/>
    <x v="3"/>
    <n v="254788.22"/>
    <n v="1789.01"/>
    <n v="0"/>
    <n v="0"/>
    <n v="0"/>
    <n v="0"/>
    <n v="0"/>
    <n v="256577.23"/>
  </r>
  <r>
    <x v="7"/>
    <s v="07/2022"/>
    <s v="BHCOE - 139001 - Elect - 850"/>
    <x v="56"/>
    <x v="0"/>
    <s v="BH Colorado Electric Oper Co"/>
    <s v="SEC"/>
    <x v="1"/>
    <n v="2516.7400000000002"/>
    <n v="65.510000000000005"/>
    <n v="0"/>
    <n v="0"/>
    <n v="0"/>
    <n v="0"/>
    <n v="0"/>
    <n v="2582.25"/>
  </r>
  <r>
    <x v="7"/>
    <s v="07/2022"/>
    <s v="BHCOE - 139001 - Electric - Gen -"/>
    <x v="56"/>
    <x v="0"/>
    <s v="BH Colorado Electric Oper Co"/>
    <s v="SEC"/>
    <x v="1"/>
    <n v="4908465.32"/>
    <n v="18375.45"/>
    <n v="-160897.93"/>
    <n v="0"/>
    <n v="0"/>
    <n v="0"/>
    <n v="0"/>
    <n v="4765942.84"/>
  </r>
  <r>
    <x v="7"/>
    <s v="07/2022"/>
    <s v="BHCOE - 139001 - Elect - 850"/>
    <x v="56"/>
    <x v="0"/>
    <s v="BH Colorado Electric Oper Co"/>
    <s v="SEC"/>
    <x v="3"/>
    <n v="248.19"/>
    <n v="6.46"/>
    <n v="0"/>
    <n v="0"/>
    <n v="0"/>
    <n v="0"/>
    <n v="0"/>
    <n v="254.65"/>
  </r>
  <r>
    <x v="7"/>
    <s v="07/2022"/>
    <s v="BHCOE - 139001 - Electric - Gen -"/>
    <x v="56"/>
    <x v="0"/>
    <s v="BH Colorado Electric Oper Co"/>
    <s v="SEC"/>
    <x v="3"/>
    <n v="256577.23"/>
    <n v="1811.66"/>
    <n v="0"/>
    <n v="-42556.32"/>
    <n v="0"/>
    <n v="0"/>
    <n v="0"/>
    <n v="215832.57"/>
  </r>
  <r>
    <x v="8"/>
    <s v="08/2022"/>
    <s v="BHCOE - 139001 - Elect - 850"/>
    <x v="56"/>
    <x v="0"/>
    <s v="BH Colorado Electric Oper Co"/>
    <s v="SEC"/>
    <x v="1"/>
    <n v="2582.25"/>
    <n v="65.510000000000005"/>
    <n v="0"/>
    <n v="0"/>
    <n v="0"/>
    <n v="0"/>
    <n v="0"/>
    <n v="2647.76"/>
  </r>
  <r>
    <x v="8"/>
    <s v="08/2022"/>
    <s v="BHCOE - 139001 - Electric - Gen -"/>
    <x v="56"/>
    <x v="0"/>
    <s v="BH Colorado Electric Oper Co"/>
    <s v="SEC"/>
    <x v="1"/>
    <n v="4765942.84"/>
    <n v="18487.95"/>
    <n v="0"/>
    <n v="0"/>
    <n v="0"/>
    <n v="0"/>
    <n v="0"/>
    <n v="4784430.79"/>
  </r>
  <r>
    <x v="8"/>
    <s v="08/2022"/>
    <s v="BHCOE - 139001 - Elect - 850"/>
    <x v="56"/>
    <x v="0"/>
    <s v="BH Colorado Electric Oper Co"/>
    <s v="SEC"/>
    <x v="3"/>
    <n v="254.65"/>
    <n v="6.46"/>
    <n v="0"/>
    <n v="0"/>
    <n v="0"/>
    <n v="0"/>
    <n v="0"/>
    <n v="261.11"/>
  </r>
  <r>
    <x v="8"/>
    <s v="08/2022"/>
    <s v="BHCOE - 139001 - Electric - Gen -"/>
    <x v="56"/>
    <x v="0"/>
    <s v="BH Colorado Electric Oper Co"/>
    <s v="SEC"/>
    <x v="3"/>
    <n v="215832.57"/>
    <n v="1822.76"/>
    <n v="0"/>
    <n v="0"/>
    <n v="0"/>
    <n v="0"/>
    <n v="0"/>
    <n v="217655.33000000002"/>
  </r>
  <r>
    <x v="9"/>
    <s v="09/2022"/>
    <s v="BHCOE - 139001 - Elect - 850"/>
    <x v="56"/>
    <x v="0"/>
    <s v="BH Colorado Electric Oper Co"/>
    <s v="SEC"/>
    <x v="1"/>
    <n v="2647.76"/>
    <n v="65.510000000000005"/>
    <n v="0"/>
    <n v="0"/>
    <n v="0"/>
    <n v="0"/>
    <n v="0"/>
    <n v="2713.27"/>
  </r>
  <r>
    <x v="9"/>
    <s v="09/2022"/>
    <s v="BHCOE - 139001 - Electric - Gen -"/>
    <x v="56"/>
    <x v="0"/>
    <s v="BH Colorado Electric Oper Co"/>
    <s v="SEC"/>
    <x v="1"/>
    <n v="4784430.79"/>
    <n v="18487.95"/>
    <n v="0"/>
    <n v="0"/>
    <n v="0"/>
    <n v="0"/>
    <n v="0"/>
    <n v="4802918.74"/>
  </r>
  <r>
    <x v="9"/>
    <s v="09/2022"/>
    <s v="BHCOE - 139001 - Elect - 850"/>
    <x v="56"/>
    <x v="0"/>
    <s v="BH Colorado Electric Oper Co"/>
    <s v="SEC"/>
    <x v="3"/>
    <n v="261.11"/>
    <n v="6.46"/>
    <n v="0"/>
    <n v="0"/>
    <n v="0"/>
    <n v="0"/>
    <n v="0"/>
    <n v="267.57"/>
  </r>
  <r>
    <x v="9"/>
    <s v="09/2022"/>
    <s v="BHCOE - 139001 - Electric - Gen -"/>
    <x v="56"/>
    <x v="0"/>
    <s v="BH Colorado Electric Oper Co"/>
    <s v="SEC"/>
    <x v="3"/>
    <n v="217655.33000000002"/>
    <n v="1822.76"/>
    <n v="0"/>
    <n v="0"/>
    <n v="0"/>
    <n v="0"/>
    <n v="0"/>
    <n v="219478.09"/>
  </r>
  <r>
    <x v="10"/>
    <s v="10/2022"/>
    <s v="BHCOE - 139001 - Elect - 850"/>
    <x v="56"/>
    <x v="0"/>
    <s v="BH Colorado Electric Oper Co"/>
    <s v="SEC"/>
    <x v="1"/>
    <n v="2713.27"/>
    <n v="65.510000000000005"/>
    <n v="0"/>
    <n v="0"/>
    <n v="0"/>
    <n v="0"/>
    <n v="0"/>
    <n v="2778.78"/>
  </r>
  <r>
    <x v="10"/>
    <s v="10/2022"/>
    <s v="BHCOE - 139001 - Electric - Gen -"/>
    <x v="56"/>
    <x v="0"/>
    <s v="BH Colorado Electric Oper Co"/>
    <s v="SEC"/>
    <x v="1"/>
    <n v="4802918.74"/>
    <n v="18519.45"/>
    <n v="0"/>
    <n v="0"/>
    <n v="0"/>
    <n v="0"/>
    <n v="0"/>
    <n v="4821438.1900000004"/>
  </r>
  <r>
    <x v="10"/>
    <s v="10/2022"/>
    <s v="BHCOE - 139001 - Elect - 850"/>
    <x v="56"/>
    <x v="0"/>
    <s v="BH Colorado Electric Oper Co"/>
    <s v="SEC"/>
    <x v="3"/>
    <n v="267.57"/>
    <n v="6.46"/>
    <n v="0"/>
    <n v="0"/>
    <n v="0"/>
    <n v="0"/>
    <n v="0"/>
    <n v="274.03000000000003"/>
  </r>
  <r>
    <x v="10"/>
    <s v="10/2022"/>
    <s v="BHCOE - 139001 - Electric - Gen -"/>
    <x v="56"/>
    <x v="0"/>
    <s v="BH Colorado Electric Oper Co"/>
    <s v="SEC"/>
    <x v="3"/>
    <n v="219478.09"/>
    <n v="1825.8600000000001"/>
    <n v="0"/>
    <n v="0"/>
    <n v="0"/>
    <n v="0"/>
    <n v="0"/>
    <n v="221303.95"/>
  </r>
  <r>
    <x v="11"/>
    <s v="11/2022"/>
    <s v="BHCOE - 139001 - Elect - 850"/>
    <x v="56"/>
    <x v="0"/>
    <s v="BH Colorado Electric Oper Co"/>
    <s v="SEC"/>
    <x v="1"/>
    <n v="2778.78"/>
    <n v="65.510000000000005"/>
    <n v="0"/>
    <n v="0"/>
    <n v="0"/>
    <n v="0"/>
    <n v="0"/>
    <n v="2844.29"/>
  </r>
  <r>
    <x v="11"/>
    <s v="11/2022"/>
    <s v="BHCOE - 139001 - Electric - Gen -"/>
    <x v="56"/>
    <x v="0"/>
    <s v="BH Colorado Electric Oper Co"/>
    <s v="SEC"/>
    <x v="1"/>
    <n v="4821438.1900000004"/>
    <n v="18550.96"/>
    <n v="0"/>
    <n v="0"/>
    <n v="0"/>
    <n v="0"/>
    <n v="0"/>
    <n v="4839989.1500000004"/>
  </r>
  <r>
    <x v="11"/>
    <s v="11/2022"/>
    <s v="BHCOE - 139001 - Elect - 850"/>
    <x v="56"/>
    <x v="0"/>
    <s v="BH Colorado Electric Oper Co"/>
    <s v="SEC"/>
    <x v="3"/>
    <n v="274.03000000000003"/>
    <n v="6.46"/>
    <n v="0"/>
    <n v="0"/>
    <n v="0"/>
    <n v="0"/>
    <n v="0"/>
    <n v="280.49"/>
  </r>
  <r>
    <x v="11"/>
    <s v="11/2022"/>
    <s v="BHCOE - 139001 - Electric - Gen -"/>
    <x v="56"/>
    <x v="0"/>
    <s v="BH Colorado Electric Oper Co"/>
    <s v="SEC"/>
    <x v="3"/>
    <n v="221303.95"/>
    <n v="1828.97"/>
    <n v="0"/>
    <n v="0"/>
    <n v="0"/>
    <n v="0"/>
    <n v="0"/>
    <n v="223132.92"/>
  </r>
  <r>
    <x v="12"/>
    <s v="12/2022"/>
    <s v="BHCOE - 139001 - Elect - 850"/>
    <x v="56"/>
    <x v="0"/>
    <s v="BH Colorado Electric Oper Co"/>
    <s v="SEC"/>
    <x v="1"/>
    <n v="2844.29"/>
    <n v="65.460000000000008"/>
    <n v="0"/>
    <n v="0"/>
    <n v="0"/>
    <n v="0"/>
    <n v="0"/>
    <n v="2909.75"/>
  </r>
  <r>
    <x v="12"/>
    <s v="12/2022"/>
    <s v="BHCOE - 139001 - Electric - Gen -"/>
    <x v="56"/>
    <x v="0"/>
    <s v="BH Colorado Electric Oper Co"/>
    <s v="SEC"/>
    <x v="1"/>
    <n v="4839989.1500000004"/>
    <n v="18421.560000000001"/>
    <n v="0"/>
    <n v="0"/>
    <n v="0"/>
    <n v="0"/>
    <n v="0"/>
    <n v="4858410.71"/>
  </r>
  <r>
    <x v="12"/>
    <s v="12/2022"/>
    <s v="BHCOE - 139001 - Elect - 850"/>
    <x v="56"/>
    <x v="0"/>
    <s v="BH Colorado Electric Oper Co"/>
    <s v="SEC"/>
    <x v="3"/>
    <n v="280.49"/>
    <n v="6.45"/>
    <n v="0"/>
    <n v="0"/>
    <n v="0"/>
    <n v="0"/>
    <n v="0"/>
    <n v="286.94"/>
  </r>
  <r>
    <x v="12"/>
    <s v="12/2022"/>
    <s v="BHCOE - 139001 - Electric - Gen -"/>
    <x v="56"/>
    <x v="0"/>
    <s v="BH Colorado Electric Oper Co"/>
    <s v="SEC"/>
    <x v="3"/>
    <n v="223132.92"/>
    <n v="1828.97"/>
    <n v="0"/>
    <n v="0"/>
    <n v="0"/>
    <n v="0"/>
    <n v="0"/>
    <n v="224961.89"/>
  </r>
  <r>
    <x v="0"/>
    <s v="12/2021"/>
    <s v="BHCOE - 139051 - Electric - Gen -"/>
    <x v="57"/>
    <x v="0"/>
    <s v="BH Colorado Electric Oper Co"/>
    <s v="SEC"/>
    <x v="1"/>
    <n v="339804.96"/>
    <n v="4756.2"/>
    <n v="0"/>
    <n v="0"/>
    <n v="0"/>
    <n v="0"/>
    <n v="0"/>
    <n v="344561.16000000003"/>
  </r>
  <r>
    <x v="0"/>
    <s v="12/2021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1"/>
    <s v="01/2022"/>
    <s v="BHCOE - 139051 - Electric - Gen -"/>
    <x v="57"/>
    <x v="0"/>
    <s v="BH Colorado Electric Oper Co"/>
    <s v="SEC"/>
    <x v="1"/>
    <n v="344561.16000000003"/>
    <n v="4756.2"/>
    <n v="0"/>
    <n v="0"/>
    <n v="0"/>
    <n v="0"/>
    <n v="0"/>
    <n v="349317.36"/>
  </r>
  <r>
    <x v="1"/>
    <s v="01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2"/>
    <s v="02/2022"/>
    <s v="BHCOE - 139051 - Electric - Gen -"/>
    <x v="57"/>
    <x v="0"/>
    <s v="BH Colorado Electric Oper Co"/>
    <s v="SEC"/>
    <x v="1"/>
    <n v="349317.36"/>
    <n v="4756.2"/>
    <n v="0"/>
    <n v="0"/>
    <n v="0"/>
    <n v="0"/>
    <n v="0"/>
    <n v="354073.56"/>
  </r>
  <r>
    <x v="2"/>
    <s v="02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3"/>
    <s v="03/2022"/>
    <s v="BHCOE - 139051 - Electric - Gen -"/>
    <x v="57"/>
    <x v="0"/>
    <s v="BH Colorado Electric Oper Co"/>
    <s v="SEC"/>
    <x v="1"/>
    <n v="354073.56"/>
    <n v="4756.2"/>
    <n v="0"/>
    <n v="0"/>
    <n v="0"/>
    <n v="0"/>
    <n v="0"/>
    <n v="358829.76"/>
  </r>
  <r>
    <x v="3"/>
    <s v="03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4"/>
    <s v="04/2022"/>
    <s v="BHCOE - 139051 - Electric - Gen -"/>
    <x v="57"/>
    <x v="0"/>
    <s v="BH Colorado Electric Oper Co"/>
    <s v="SEC"/>
    <x v="1"/>
    <n v="358829.76"/>
    <n v="4756.2"/>
    <n v="0"/>
    <n v="0"/>
    <n v="0"/>
    <n v="0"/>
    <n v="0"/>
    <n v="363585.96"/>
  </r>
  <r>
    <x v="4"/>
    <s v="04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5"/>
    <s v="05/2022"/>
    <s v="BHCOE - 139051 - Electric - Gen -"/>
    <x v="57"/>
    <x v="0"/>
    <s v="BH Colorado Electric Oper Co"/>
    <s v="SEC"/>
    <x v="1"/>
    <n v="363585.96"/>
    <n v="4756.2"/>
    <n v="0"/>
    <n v="0"/>
    <n v="0"/>
    <n v="0"/>
    <n v="0"/>
    <n v="368342.16000000003"/>
  </r>
  <r>
    <x v="5"/>
    <s v="05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6"/>
    <s v="06/2022"/>
    <s v="BHCOE - 139051 - Electric - Gen -"/>
    <x v="57"/>
    <x v="0"/>
    <s v="BH Colorado Electric Oper Co"/>
    <s v="SEC"/>
    <x v="1"/>
    <n v="368342.16000000003"/>
    <n v="4756.2"/>
    <n v="0"/>
    <n v="0"/>
    <n v="0"/>
    <n v="0"/>
    <n v="0"/>
    <n v="373098.36"/>
  </r>
  <r>
    <x v="6"/>
    <s v="06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7"/>
    <s v="07/2022"/>
    <s v="BHCOE - 139051 - Electric - Gen -"/>
    <x v="57"/>
    <x v="0"/>
    <s v="BH Colorado Electric Oper Co"/>
    <s v="SEC"/>
    <x v="1"/>
    <n v="373098.36"/>
    <n v="4756.2"/>
    <n v="0"/>
    <n v="0"/>
    <n v="0"/>
    <n v="0"/>
    <n v="0"/>
    <n v="377854.56"/>
  </r>
  <r>
    <x v="7"/>
    <s v="07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8"/>
    <s v="08/2022"/>
    <s v="BHCOE - 139051 - Electric - Gen -"/>
    <x v="57"/>
    <x v="0"/>
    <s v="BH Colorado Electric Oper Co"/>
    <s v="SEC"/>
    <x v="1"/>
    <n v="377854.56"/>
    <n v="4756.2"/>
    <n v="0"/>
    <n v="0"/>
    <n v="0"/>
    <n v="0"/>
    <n v="0"/>
    <n v="382610.76"/>
  </r>
  <r>
    <x v="8"/>
    <s v="08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9"/>
    <s v="09/2022"/>
    <s v="BHCOE - 139051 - Electric - Gen -"/>
    <x v="57"/>
    <x v="0"/>
    <s v="BH Colorado Electric Oper Co"/>
    <s v="SEC"/>
    <x v="1"/>
    <n v="382610.76"/>
    <n v="4756.2"/>
    <n v="0"/>
    <n v="0"/>
    <n v="0"/>
    <n v="0"/>
    <n v="0"/>
    <n v="387366.96"/>
  </r>
  <r>
    <x v="9"/>
    <s v="09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10"/>
    <s v="10/2022"/>
    <s v="BHCOE - 139051 - Electric - Gen -"/>
    <x v="57"/>
    <x v="0"/>
    <s v="BH Colorado Electric Oper Co"/>
    <s v="SEC"/>
    <x v="1"/>
    <n v="387366.96"/>
    <n v="4756.2"/>
    <n v="0"/>
    <n v="0"/>
    <n v="0"/>
    <n v="0"/>
    <n v="0"/>
    <n v="392123.16000000003"/>
  </r>
  <r>
    <x v="10"/>
    <s v="10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11"/>
    <s v="11/2022"/>
    <s v="BHCOE - 139051 - Electric - Gen -"/>
    <x v="57"/>
    <x v="0"/>
    <s v="BH Colorado Electric Oper Co"/>
    <s v="SEC"/>
    <x v="1"/>
    <n v="392123.16000000003"/>
    <n v="4756.2"/>
    <n v="0"/>
    <n v="0"/>
    <n v="0"/>
    <n v="0"/>
    <n v="0"/>
    <n v="396879.35999999999"/>
  </r>
  <r>
    <x v="11"/>
    <s v="11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12"/>
    <s v="12/2022"/>
    <s v="BHCOE - 139051 - Electric - Gen -"/>
    <x v="57"/>
    <x v="0"/>
    <s v="BH Colorado Electric Oper Co"/>
    <s v="SEC"/>
    <x v="1"/>
    <n v="396879.35999999999"/>
    <n v="4756.2"/>
    <n v="0"/>
    <n v="0"/>
    <n v="0"/>
    <n v="0"/>
    <n v="0"/>
    <n v="401635.56"/>
  </r>
  <r>
    <x v="12"/>
    <s v="12/2022"/>
    <s v="BHCOE - 139051 - Electric - Gen -"/>
    <x v="57"/>
    <x v="0"/>
    <s v="BH Colorado Electric Oper Co"/>
    <s v="SEC"/>
    <x v="3"/>
    <n v="52807.56"/>
    <n v="0"/>
    <n v="0"/>
    <n v="0"/>
    <n v="0"/>
    <n v="0"/>
    <n v="0"/>
    <n v="52807.56"/>
  </r>
  <r>
    <x v="0"/>
    <s v="12/2021"/>
    <s v="BHCOE - 139101 - Electric - Gen -"/>
    <x v="58"/>
    <x v="0"/>
    <s v="BH Colorado Electric Oper Co"/>
    <s v="SEC"/>
    <x v="1"/>
    <n v="987497.61"/>
    <n v="10240.66"/>
    <n v="0"/>
    <n v="0"/>
    <n v="0"/>
    <n v="0"/>
    <n v="0"/>
    <n v="997738.27"/>
  </r>
  <r>
    <x v="0"/>
    <s v="12/2021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1"/>
    <s v="01/2022"/>
    <s v="BHCOE - 139101 - Electric - Gen -"/>
    <x v="58"/>
    <x v="0"/>
    <s v="BH Colorado Electric Oper Co"/>
    <s v="SEC"/>
    <x v="1"/>
    <n v="997738.27"/>
    <n v="10240.66"/>
    <n v="0"/>
    <n v="0"/>
    <n v="0"/>
    <n v="0"/>
    <n v="0"/>
    <n v="1007978.93"/>
  </r>
  <r>
    <x v="1"/>
    <s v="01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2"/>
    <s v="02/2022"/>
    <s v="BHCOE - 139101 - Electric - Gen -"/>
    <x v="58"/>
    <x v="0"/>
    <s v="BH Colorado Electric Oper Co"/>
    <s v="SEC"/>
    <x v="1"/>
    <n v="1007978.93"/>
    <n v="10240.66"/>
    <n v="0"/>
    <n v="0"/>
    <n v="0"/>
    <n v="0"/>
    <n v="0"/>
    <n v="1018219.59"/>
  </r>
  <r>
    <x v="2"/>
    <s v="02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3"/>
    <s v="03/2022"/>
    <s v="BHCOE - 139101 - Electric - Gen -"/>
    <x v="58"/>
    <x v="0"/>
    <s v="BH Colorado Electric Oper Co"/>
    <s v="SEC"/>
    <x v="1"/>
    <n v="1018219.59"/>
    <n v="10316.24"/>
    <n v="0"/>
    <n v="0"/>
    <n v="0"/>
    <n v="0"/>
    <n v="0"/>
    <n v="1028535.83"/>
  </r>
  <r>
    <x v="3"/>
    <s v="03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4"/>
    <s v="04/2022"/>
    <s v="BHCOE - 139101 - Electric - Gen -"/>
    <x v="58"/>
    <x v="0"/>
    <s v="BH Colorado Electric Oper Co"/>
    <s v="SEC"/>
    <x v="1"/>
    <n v="1028535.83"/>
    <n v="10391.83"/>
    <n v="0"/>
    <n v="0"/>
    <n v="0"/>
    <n v="0"/>
    <n v="0"/>
    <n v="1038927.66"/>
  </r>
  <r>
    <x v="4"/>
    <s v="04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5"/>
    <s v="05/2022"/>
    <s v="BHCOE - 139101 - Electric - Gen -"/>
    <x v="58"/>
    <x v="0"/>
    <s v="BH Colorado Electric Oper Co"/>
    <s v="SEC"/>
    <x v="1"/>
    <n v="1038927.66"/>
    <n v="10388.41"/>
    <n v="-1174.56"/>
    <n v="0"/>
    <n v="0"/>
    <n v="0"/>
    <n v="0"/>
    <n v="1048141.51"/>
  </r>
  <r>
    <x v="5"/>
    <s v="05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6"/>
    <s v="06/2022"/>
    <s v="BHCOE - 139101 - Electric - Gen -"/>
    <x v="58"/>
    <x v="0"/>
    <s v="BH Colorado Electric Oper Co"/>
    <s v="SEC"/>
    <x v="1"/>
    <n v="1048141.51"/>
    <n v="10385"/>
    <n v="0.01"/>
    <n v="0"/>
    <n v="0"/>
    <n v="0"/>
    <n v="0"/>
    <n v="1058526.52"/>
  </r>
  <r>
    <x v="6"/>
    <s v="06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7"/>
    <s v="07/2022"/>
    <s v="BHCOE - 139101 - Electric - Gen -"/>
    <x v="58"/>
    <x v="0"/>
    <s v="BH Colorado Electric Oper Co"/>
    <s v="SEC"/>
    <x v="1"/>
    <n v="1058526.52"/>
    <n v="9083.630000000001"/>
    <n v="0"/>
    <n v="0"/>
    <n v="0"/>
    <n v="0"/>
    <n v="0"/>
    <n v="1067610.1499999999"/>
  </r>
  <r>
    <x v="7"/>
    <s v="07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8"/>
    <s v="08/2022"/>
    <s v="BHCOE - 139101 - Electric - Gen -"/>
    <x v="58"/>
    <x v="0"/>
    <s v="BH Colorado Electric Oper Co"/>
    <s v="SEC"/>
    <x v="1"/>
    <n v="1067610.1499999999"/>
    <n v="7782.27"/>
    <n v="0"/>
    <n v="0"/>
    <n v="0"/>
    <n v="0"/>
    <n v="0"/>
    <n v="1075392.42"/>
  </r>
  <r>
    <x v="8"/>
    <s v="08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9"/>
    <s v="09/2022"/>
    <s v="BHCOE - 139101 - Electric - Gen -"/>
    <x v="58"/>
    <x v="0"/>
    <s v="BH Colorado Electric Oper Co"/>
    <s v="SEC"/>
    <x v="1"/>
    <n v="1075392.42"/>
    <n v="7782.27"/>
    <n v="0"/>
    <n v="0"/>
    <n v="0"/>
    <n v="0"/>
    <n v="0"/>
    <n v="1083174.69"/>
  </r>
  <r>
    <x v="9"/>
    <s v="09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10"/>
    <s v="10/2022"/>
    <s v="BHCOE - 139101 - Electric - Gen -"/>
    <x v="58"/>
    <x v="0"/>
    <s v="BH Colorado Electric Oper Co"/>
    <s v="SEC"/>
    <x v="1"/>
    <n v="1083174.69"/>
    <n v="7782.27"/>
    <n v="0"/>
    <n v="0"/>
    <n v="0"/>
    <n v="0"/>
    <n v="0"/>
    <n v="1090956.96"/>
  </r>
  <r>
    <x v="10"/>
    <s v="10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11"/>
    <s v="11/2022"/>
    <s v="BHCOE - 139101 - Electric - Gen -"/>
    <x v="58"/>
    <x v="0"/>
    <s v="BH Colorado Electric Oper Co"/>
    <s v="SEC"/>
    <x v="1"/>
    <n v="1090956.96"/>
    <n v="7782.27"/>
    <n v="0"/>
    <n v="0"/>
    <n v="0"/>
    <n v="0"/>
    <n v="0"/>
    <n v="1098739.23"/>
  </r>
  <r>
    <x v="11"/>
    <s v="11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12"/>
    <s v="12/2022"/>
    <s v="BHCOE - 139101 - Electric - Gen -"/>
    <x v="58"/>
    <x v="0"/>
    <s v="BH Colorado Electric Oper Co"/>
    <s v="SEC"/>
    <x v="1"/>
    <n v="1098739.23"/>
    <n v="7664.6100000000006"/>
    <n v="0"/>
    <n v="0"/>
    <n v="0"/>
    <n v="0"/>
    <n v="0"/>
    <n v="1106403.8400000001"/>
  </r>
  <r>
    <x v="12"/>
    <s v="12/2022"/>
    <s v="BHCOE - 139101 - Electric - Gen -"/>
    <x v="58"/>
    <x v="0"/>
    <s v="BH Colorado Electric Oper Co"/>
    <s v="SEC"/>
    <x v="3"/>
    <n v="92909.61"/>
    <n v="0"/>
    <n v="0"/>
    <n v="0"/>
    <n v="0"/>
    <n v="0"/>
    <n v="0"/>
    <n v="92909.61"/>
  </r>
  <r>
    <x v="0"/>
    <s v="12/2021"/>
    <s v="BHCOE - 139103 - Electric - Gen -"/>
    <x v="59"/>
    <x v="0"/>
    <s v="BH Colorado Electric Oper Co"/>
    <s v="SEC"/>
    <x v="1"/>
    <n v="37828.92"/>
    <n v="27579.34"/>
    <n v="0"/>
    <n v="0"/>
    <n v="0"/>
    <n v="0"/>
    <n v="0"/>
    <n v="65408.26"/>
  </r>
  <r>
    <x v="0"/>
    <s v="12/2021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0"/>
    <s v="12/2021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0"/>
    <s v="12/2021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1"/>
    <s v="01/2022"/>
    <s v="BHCOE - 139103 - Electric - Gen -"/>
    <x v="59"/>
    <x v="0"/>
    <s v="BH Colorado Electric Oper Co"/>
    <s v="SEC"/>
    <x v="1"/>
    <n v="65408.26"/>
    <n v="28943.53"/>
    <n v="0"/>
    <n v="0"/>
    <n v="0"/>
    <n v="0"/>
    <n v="0"/>
    <n v="94351.790000000008"/>
  </r>
  <r>
    <x v="1"/>
    <s v="01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1"/>
    <s v="01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1"/>
    <s v="01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2"/>
    <s v="02/2022"/>
    <s v="BHCOE - 139103 - Electric - Gen -"/>
    <x v="59"/>
    <x v="0"/>
    <s v="BH Colorado Electric Oper Co"/>
    <s v="SEC"/>
    <x v="1"/>
    <n v="94351.790000000008"/>
    <n v="29456.53"/>
    <n v="0"/>
    <n v="0"/>
    <n v="0"/>
    <n v="0"/>
    <n v="0"/>
    <n v="123808.32000000001"/>
  </r>
  <r>
    <x v="2"/>
    <s v="02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2"/>
    <s v="02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2"/>
    <s v="02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3"/>
    <s v="03/2022"/>
    <s v="BHCOE - 139103 - Electric - Gen -"/>
    <x v="59"/>
    <x v="0"/>
    <s v="BH Colorado Electric Oper Co"/>
    <s v="SEC"/>
    <x v="1"/>
    <n v="123808.32000000001"/>
    <n v="29456.53"/>
    <n v="0"/>
    <n v="0"/>
    <n v="0"/>
    <n v="0"/>
    <n v="0"/>
    <n v="153264.85"/>
  </r>
  <r>
    <x v="3"/>
    <s v="03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3"/>
    <s v="03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3"/>
    <s v="03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4"/>
    <s v="04/2022"/>
    <s v="BHCOE - 139103 - Electric - Gen -"/>
    <x v="59"/>
    <x v="0"/>
    <s v="BH Colorado Electric Oper Co"/>
    <s v="SEC"/>
    <x v="1"/>
    <n v="153264.85"/>
    <n v="29189.81"/>
    <n v="-28023.920000000002"/>
    <n v="0"/>
    <n v="0"/>
    <n v="0"/>
    <n v="0"/>
    <n v="154430.74"/>
  </r>
  <r>
    <x v="4"/>
    <s v="04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4"/>
    <s v="04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4"/>
    <s v="04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5"/>
    <s v="05/2022"/>
    <s v="BHCOE - 139103 - Electric - Gen -"/>
    <x v="59"/>
    <x v="0"/>
    <s v="BH Colorado Electric Oper Co"/>
    <s v="SEC"/>
    <x v="1"/>
    <n v="154430.74"/>
    <n v="27401.99"/>
    <n v="0"/>
    <n v="0"/>
    <n v="0"/>
    <n v="0"/>
    <n v="0"/>
    <n v="181832.73"/>
  </r>
  <r>
    <x v="5"/>
    <s v="05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5"/>
    <s v="05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5"/>
    <s v="05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6"/>
    <s v="06/2022"/>
    <s v="BHCOE - 139103 - Electric - Gen -"/>
    <x v="59"/>
    <x v="0"/>
    <s v="BH Colorado Electric Oper Co"/>
    <s v="SEC"/>
    <x v="1"/>
    <n v="181832.73"/>
    <n v="25880.91"/>
    <n v="0"/>
    <n v="0"/>
    <n v="0"/>
    <n v="0"/>
    <n v="0"/>
    <n v="207713.64"/>
  </r>
  <r>
    <x v="6"/>
    <s v="06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6"/>
    <s v="06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6"/>
    <s v="06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7"/>
    <s v="07/2022"/>
    <s v="BHCOE - 139103 - Electric - Gen -"/>
    <x v="59"/>
    <x v="0"/>
    <s v="BH Colorado Electric Oper Co"/>
    <s v="SEC"/>
    <x v="1"/>
    <n v="207713.64"/>
    <n v="25880.91"/>
    <n v="0"/>
    <n v="0"/>
    <n v="0"/>
    <n v="0"/>
    <n v="0"/>
    <n v="233594.55000000002"/>
  </r>
  <r>
    <x v="7"/>
    <s v="07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7"/>
    <s v="07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7"/>
    <s v="07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8"/>
    <s v="08/2022"/>
    <s v="BHCOE - 139103 - Electric - Gen -"/>
    <x v="59"/>
    <x v="0"/>
    <s v="BH Colorado Electric Oper Co"/>
    <s v="SEC"/>
    <x v="1"/>
    <n v="233594.55000000002"/>
    <n v="25880.91"/>
    <n v="0"/>
    <n v="0"/>
    <n v="0"/>
    <n v="0"/>
    <n v="0"/>
    <n v="259475.46"/>
  </r>
  <r>
    <x v="8"/>
    <s v="08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8"/>
    <s v="08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8"/>
    <s v="08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9"/>
    <s v="09/2022"/>
    <s v="BHCOE - 139103 - Electric - Gen -"/>
    <x v="59"/>
    <x v="0"/>
    <s v="BH Colorado Electric Oper Co"/>
    <s v="SEC"/>
    <x v="1"/>
    <n v="259475.46"/>
    <n v="25880.91"/>
    <n v="0"/>
    <n v="0"/>
    <n v="0"/>
    <n v="0"/>
    <n v="0"/>
    <n v="285356.37"/>
  </r>
  <r>
    <x v="9"/>
    <s v="09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9"/>
    <s v="09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9"/>
    <s v="09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10"/>
    <s v="10/2022"/>
    <s v="BHCOE - 139103 - Electric - Gen -"/>
    <x v="59"/>
    <x v="0"/>
    <s v="BH Colorado Electric Oper Co"/>
    <s v="SEC"/>
    <x v="1"/>
    <n v="285356.37"/>
    <n v="26558.41"/>
    <n v="0"/>
    <n v="0"/>
    <n v="0"/>
    <n v="0"/>
    <n v="0"/>
    <n v="311914.78000000003"/>
  </r>
  <r>
    <x v="10"/>
    <s v="10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10"/>
    <s v="10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10"/>
    <s v="10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11"/>
    <s v="11/2022"/>
    <s v="BHCOE - 139103 - Electric - Gen -"/>
    <x v="59"/>
    <x v="0"/>
    <s v="BH Colorado Electric Oper Co"/>
    <s v="SEC"/>
    <x v="1"/>
    <n v="311914.78000000003"/>
    <n v="27235.91"/>
    <n v="0"/>
    <n v="0"/>
    <n v="0"/>
    <n v="0"/>
    <n v="0"/>
    <n v="339150.69"/>
  </r>
  <r>
    <x v="11"/>
    <s v="11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11"/>
    <s v="11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11"/>
    <s v="11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12"/>
    <s v="12/2022"/>
    <s v="BHCOE - 139103 - Electric - Gen -"/>
    <x v="59"/>
    <x v="0"/>
    <s v="BH Colorado Electric Oper Co"/>
    <s v="SEC"/>
    <x v="1"/>
    <n v="339150.69"/>
    <n v="32230.240000000002"/>
    <n v="0"/>
    <n v="0"/>
    <n v="0"/>
    <n v="0"/>
    <n v="0"/>
    <n v="371380.93"/>
  </r>
  <r>
    <x v="12"/>
    <s v="12/2022"/>
    <s v="BHCOE - 139103 - Electric-Gen-Prod"/>
    <x v="59"/>
    <x v="0"/>
    <s v="BH Colorado Electric Oper Co"/>
    <s v="SEC"/>
    <x v="1"/>
    <n v="26.76"/>
    <n v="0"/>
    <n v="0"/>
    <n v="0"/>
    <n v="0"/>
    <n v="0"/>
    <n v="0"/>
    <n v="26.76"/>
  </r>
  <r>
    <x v="12"/>
    <s v="12/2022"/>
    <s v="BHCOE - 139103 - Electric - Gen -"/>
    <x v="59"/>
    <x v="0"/>
    <s v="BH Colorado Electric Oper Co"/>
    <s v="SEC"/>
    <x v="3"/>
    <n v="45107.88"/>
    <n v="0"/>
    <n v="0"/>
    <n v="0"/>
    <n v="0"/>
    <n v="0"/>
    <n v="0"/>
    <n v="45107.88"/>
  </r>
  <r>
    <x v="12"/>
    <s v="12/2022"/>
    <s v="BHCOE - 139103 - Electric-Gen-Prod"/>
    <x v="59"/>
    <x v="0"/>
    <s v="BH Colorado Electric Oper Co"/>
    <s v="SEC"/>
    <x v="3"/>
    <n v="-26.76"/>
    <n v="0"/>
    <n v="0"/>
    <n v="0"/>
    <n v="0"/>
    <n v="0"/>
    <n v="0"/>
    <n v="-26.76"/>
  </r>
  <r>
    <x v="0"/>
    <s v="12/2021"/>
    <s v="BHCOE - 139104 - Electric - Gen -"/>
    <x v="60"/>
    <x v="0"/>
    <s v="BH Colorado Electric Oper Co"/>
    <s v="SEC"/>
    <x v="1"/>
    <n v="3082"/>
    <n v="225.95000000000002"/>
    <n v="0"/>
    <n v="0"/>
    <n v="0"/>
    <n v="0"/>
    <n v="0"/>
    <n v="3307.9500000000003"/>
  </r>
  <r>
    <x v="0"/>
    <s v="12/2021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1"/>
    <s v="01/2022"/>
    <s v="BHCOE - 139104 - Electric - Gen -"/>
    <x v="60"/>
    <x v="0"/>
    <s v="BH Colorado Electric Oper Co"/>
    <s v="SEC"/>
    <x v="1"/>
    <n v="3307.9500000000003"/>
    <n v="225.95000000000002"/>
    <n v="0"/>
    <n v="0"/>
    <n v="0"/>
    <n v="0"/>
    <n v="0"/>
    <n v="3533.9"/>
  </r>
  <r>
    <x v="1"/>
    <s v="01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2"/>
    <s v="02/2022"/>
    <s v="BHCOE - 139104 - Electric - Gen -"/>
    <x v="60"/>
    <x v="0"/>
    <s v="BH Colorado Electric Oper Co"/>
    <s v="SEC"/>
    <x v="1"/>
    <n v="3533.9"/>
    <n v="225.95000000000002"/>
    <n v="0"/>
    <n v="0"/>
    <n v="0"/>
    <n v="0"/>
    <n v="0"/>
    <n v="3759.85"/>
  </r>
  <r>
    <x v="2"/>
    <s v="02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3"/>
    <s v="03/2022"/>
    <s v="BHCOE - 139104 - Electric - Gen -"/>
    <x v="60"/>
    <x v="0"/>
    <s v="BH Colorado Electric Oper Co"/>
    <s v="SEC"/>
    <x v="1"/>
    <n v="3759.85"/>
    <n v="225.95000000000002"/>
    <n v="0"/>
    <n v="0"/>
    <n v="0"/>
    <n v="0"/>
    <n v="0"/>
    <n v="3985.8"/>
  </r>
  <r>
    <x v="3"/>
    <s v="03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4"/>
    <s v="04/2022"/>
    <s v="BHCOE - 139104 - Electric - Gen -"/>
    <x v="60"/>
    <x v="0"/>
    <s v="BH Colorado Electric Oper Co"/>
    <s v="SEC"/>
    <x v="1"/>
    <n v="3985.8"/>
    <n v="225.95000000000002"/>
    <n v="0"/>
    <n v="0"/>
    <n v="0"/>
    <n v="0"/>
    <n v="0"/>
    <n v="4211.75"/>
  </r>
  <r>
    <x v="4"/>
    <s v="04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5"/>
    <s v="05/2022"/>
    <s v="BHCOE - 139104 - Electric - Gen -"/>
    <x v="60"/>
    <x v="0"/>
    <s v="BH Colorado Electric Oper Co"/>
    <s v="SEC"/>
    <x v="1"/>
    <n v="4211.75"/>
    <n v="225.95000000000002"/>
    <n v="0"/>
    <n v="0"/>
    <n v="0"/>
    <n v="0"/>
    <n v="0"/>
    <n v="4437.7"/>
  </r>
  <r>
    <x v="5"/>
    <s v="05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6"/>
    <s v="06/2022"/>
    <s v="BHCOE - 139104 - Electric - Gen -"/>
    <x v="60"/>
    <x v="0"/>
    <s v="BH Colorado Electric Oper Co"/>
    <s v="SEC"/>
    <x v="1"/>
    <n v="4437.7"/>
    <n v="225.95000000000002"/>
    <n v="0"/>
    <n v="0"/>
    <n v="0"/>
    <n v="0"/>
    <n v="0"/>
    <n v="4663.6500000000005"/>
  </r>
  <r>
    <x v="6"/>
    <s v="06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7"/>
    <s v="07/2022"/>
    <s v="BHCOE - 139104 - Electric - Gen -"/>
    <x v="60"/>
    <x v="0"/>
    <s v="BH Colorado Electric Oper Co"/>
    <s v="SEC"/>
    <x v="1"/>
    <n v="4663.6500000000005"/>
    <n v="225.95000000000002"/>
    <n v="0"/>
    <n v="0"/>
    <n v="0"/>
    <n v="0"/>
    <n v="0"/>
    <n v="4889.6000000000004"/>
  </r>
  <r>
    <x v="7"/>
    <s v="07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8"/>
    <s v="08/2022"/>
    <s v="BHCOE - 139104 - Electric - Gen -"/>
    <x v="60"/>
    <x v="0"/>
    <s v="BH Colorado Electric Oper Co"/>
    <s v="SEC"/>
    <x v="1"/>
    <n v="4889.6000000000004"/>
    <n v="225.95000000000002"/>
    <n v="0"/>
    <n v="0"/>
    <n v="0"/>
    <n v="0"/>
    <n v="0"/>
    <n v="5115.55"/>
  </r>
  <r>
    <x v="8"/>
    <s v="08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9"/>
    <s v="09/2022"/>
    <s v="BHCOE - 139104 - Electric - Gen -"/>
    <x v="60"/>
    <x v="0"/>
    <s v="BH Colorado Electric Oper Co"/>
    <s v="SEC"/>
    <x v="1"/>
    <n v="5115.55"/>
    <n v="169"/>
    <n v="-2678"/>
    <n v="0"/>
    <n v="0"/>
    <n v="0"/>
    <n v="0"/>
    <n v="2606.5500000000002"/>
  </r>
  <r>
    <x v="9"/>
    <s v="09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10"/>
    <s v="10/2022"/>
    <s v="BHCOE - 139104 - Electric - Gen -"/>
    <x v="60"/>
    <x v="0"/>
    <s v="BH Colorado Electric Oper Co"/>
    <s v="SEC"/>
    <x v="1"/>
    <n v="2606.5500000000002"/>
    <n v="0"/>
    <n v="0"/>
    <n v="0"/>
    <n v="0"/>
    <n v="0"/>
    <n v="0"/>
    <n v="2606.5500000000002"/>
  </r>
  <r>
    <x v="10"/>
    <s v="10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11"/>
    <s v="11/2022"/>
    <s v="BHCOE - 139104 - Electric - Gen -"/>
    <x v="60"/>
    <x v="0"/>
    <s v="BH Colorado Electric Oper Co"/>
    <s v="SEC"/>
    <x v="1"/>
    <n v="2606.5500000000002"/>
    <n v="0"/>
    <n v="0"/>
    <n v="0"/>
    <n v="0"/>
    <n v="0"/>
    <n v="0"/>
    <n v="2606.5500000000002"/>
  </r>
  <r>
    <x v="11"/>
    <s v="11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12"/>
    <s v="12/2022"/>
    <s v="BHCOE - 139104 - Electric - Gen -"/>
    <x v="60"/>
    <x v="0"/>
    <s v="BH Colorado Electric Oper Co"/>
    <s v="SEC"/>
    <x v="1"/>
    <n v="2606.5500000000002"/>
    <n v="0"/>
    <n v="0"/>
    <n v="0"/>
    <n v="0"/>
    <n v="0"/>
    <n v="0"/>
    <n v="2606.5500000000002"/>
  </r>
  <r>
    <x v="12"/>
    <s v="12/2022"/>
    <s v="BHCOE - 139104 - Electric-Gen-Prod"/>
    <x v="60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104 - Electric - Gen -"/>
    <x v="60"/>
    <x v="0"/>
    <s v="BH Colorado Electric Oper Co"/>
    <s v="SEC"/>
    <x v="3"/>
    <n v="9427.4500000000007"/>
    <n v="0"/>
    <n v="0"/>
    <n v="0"/>
    <n v="0"/>
    <n v="0"/>
    <n v="0"/>
    <n v="9427.4500000000007"/>
  </r>
  <r>
    <x v="0"/>
    <s v="12/2021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105 - Electric - Gen -"/>
    <x v="61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1"/>
    <s v="01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2"/>
    <s v="02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3"/>
    <s v="03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4"/>
    <s v="04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5"/>
    <s v="05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6"/>
    <s v="06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7"/>
    <s v="07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8"/>
    <s v="08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9"/>
    <s v="09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10"/>
    <s v="10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11"/>
    <s v="11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12"/>
    <s v="12/2022"/>
    <s v="BHCOE - 139107 - Electric - Gen -"/>
    <x v="62"/>
    <x v="0"/>
    <s v="BH Colorado Electric Oper Co"/>
    <s v="SEC"/>
    <x v="1"/>
    <n v="-10275.93"/>
    <n v="0"/>
    <n v="0"/>
    <n v="0"/>
    <n v="0"/>
    <n v="0"/>
    <n v="0"/>
    <n v="-10275.93"/>
  </r>
  <r>
    <x v="0"/>
    <s v="12/2021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1"/>
    <s v="01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2"/>
    <s v="02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3"/>
    <s v="03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4"/>
    <s v="04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5"/>
    <s v="05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6"/>
    <s v="06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7"/>
    <s v="07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8"/>
    <s v="08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9"/>
    <s v="09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10"/>
    <s v="10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11"/>
    <s v="11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12"/>
    <s v="12/2022"/>
    <s v="BHCOE - 139159-Electric-CnCity West"/>
    <x v="63"/>
    <x v="0"/>
    <s v="BH Colorado Electric Oper Co"/>
    <s v="SEC"/>
    <x v="2"/>
    <n v="0"/>
    <n v="0"/>
    <n v="0"/>
    <n v="0"/>
    <n v="0"/>
    <n v="0"/>
    <n v="0"/>
    <n v="0"/>
  </r>
  <r>
    <x v="0"/>
    <s v="12/2021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1-Electric - Gen - -PT"/>
    <x v="64"/>
    <x v="0"/>
    <s v="BH Colorado Electric Oper Co"/>
    <s v="SEC"/>
    <x v="1"/>
    <n v="28947.16"/>
    <n v="1211.17"/>
    <n v="0"/>
    <n v="0"/>
    <n v="11445.28"/>
    <n v="0"/>
    <n v="0"/>
    <n v="41603.61"/>
  </r>
  <r>
    <x v="0"/>
    <s v="12/2021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1"/>
    <s v="01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1-Electric - Gen - -PT"/>
    <x v="64"/>
    <x v="0"/>
    <s v="BH Colorado Electric Oper Co"/>
    <s v="SEC"/>
    <x v="1"/>
    <n v="41603.61"/>
    <n v="1211.17"/>
    <n v="0"/>
    <n v="0"/>
    <n v="0"/>
    <n v="0"/>
    <n v="0"/>
    <n v="42814.78"/>
  </r>
  <r>
    <x v="1"/>
    <s v="01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2"/>
    <s v="02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1-Electric - Gen - -PT"/>
    <x v="64"/>
    <x v="0"/>
    <s v="BH Colorado Electric Oper Co"/>
    <s v="SEC"/>
    <x v="1"/>
    <n v="42814.78"/>
    <n v="1211.17"/>
    <n v="0"/>
    <n v="0"/>
    <n v="0"/>
    <n v="0"/>
    <n v="0"/>
    <n v="44025.950000000004"/>
  </r>
  <r>
    <x v="2"/>
    <s v="02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3"/>
    <s v="03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1-Electric - Gen - -PT"/>
    <x v="64"/>
    <x v="0"/>
    <s v="BH Colorado Electric Oper Co"/>
    <s v="SEC"/>
    <x v="1"/>
    <n v="44025.950000000004"/>
    <n v="1211.17"/>
    <n v="0"/>
    <n v="0"/>
    <n v="0"/>
    <n v="0"/>
    <n v="0"/>
    <n v="45237.120000000003"/>
  </r>
  <r>
    <x v="3"/>
    <s v="03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4"/>
    <s v="04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1-Electric - Gen - -PT"/>
    <x v="64"/>
    <x v="0"/>
    <s v="BH Colorado Electric Oper Co"/>
    <s v="SEC"/>
    <x v="1"/>
    <n v="45237.120000000003"/>
    <n v="1211.17"/>
    <n v="0"/>
    <n v="0"/>
    <n v="0"/>
    <n v="0"/>
    <n v="0"/>
    <n v="46448.29"/>
  </r>
  <r>
    <x v="4"/>
    <s v="04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5"/>
    <s v="05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1-Electric - Gen - -PT"/>
    <x v="64"/>
    <x v="0"/>
    <s v="BH Colorado Electric Oper Co"/>
    <s v="SEC"/>
    <x v="1"/>
    <n v="46448.29"/>
    <n v="1211.17"/>
    <n v="0"/>
    <n v="0"/>
    <n v="0"/>
    <n v="0"/>
    <n v="0"/>
    <n v="47659.46"/>
  </r>
  <r>
    <x v="5"/>
    <s v="05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6"/>
    <s v="06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1-Electric - Gen - -PT"/>
    <x v="64"/>
    <x v="0"/>
    <s v="BH Colorado Electric Oper Co"/>
    <s v="SEC"/>
    <x v="1"/>
    <n v="47659.46"/>
    <n v="1211.17"/>
    <n v="0"/>
    <n v="0"/>
    <n v="0"/>
    <n v="0"/>
    <n v="0"/>
    <n v="48870.63"/>
  </r>
  <r>
    <x v="6"/>
    <s v="06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7"/>
    <s v="07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1-Electric - Gen - -PT"/>
    <x v="64"/>
    <x v="0"/>
    <s v="BH Colorado Electric Oper Co"/>
    <s v="SEC"/>
    <x v="1"/>
    <n v="48870.63"/>
    <n v="1211.17"/>
    <n v="0"/>
    <n v="0"/>
    <n v="1210.3399999999999"/>
    <n v="0"/>
    <n v="0"/>
    <n v="51292.14"/>
  </r>
  <r>
    <x v="7"/>
    <s v="07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8"/>
    <s v="08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1-Electric - Gen - -PT"/>
    <x v="64"/>
    <x v="0"/>
    <s v="BH Colorado Electric Oper Co"/>
    <s v="SEC"/>
    <x v="1"/>
    <n v="51292.14"/>
    <n v="1211.17"/>
    <n v="0"/>
    <n v="0"/>
    <n v="1210.3399999999999"/>
    <n v="0"/>
    <n v="0"/>
    <n v="53713.65"/>
  </r>
  <r>
    <x v="8"/>
    <s v="08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9"/>
    <s v="09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1-Electric - Gen - -PT"/>
    <x v="64"/>
    <x v="0"/>
    <s v="BH Colorado Electric Oper Co"/>
    <s v="SEC"/>
    <x v="1"/>
    <n v="53713.65"/>
    <n v="1211.17"/>
    <n v="0"/>
    <n v="0"/>
    <n v="-2420.6799999999998"/>
    <n v="0"/>
    <n v="0"/>
    <n v="52504.14"/>
  </r>
  <r>
    <x v="9"/>
    <s v="09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10"/>
    <s v="10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1-Electric - Gen - -PT"/>
    <x v="64"/>
    <x v="0"/>
    <s v="BH Colorado Electric Oper Co"/>
    <s v="SEC"/>
    <x v="1"/>
    <n v="52504.14"/>
    <n v="1211.17"/>
    <n v="0"/>
    <n v="0"/>
    <n v="0"/>
    <n v="0"/>
    <n v="0"/>
    <n v="53715.31"/>
  </r>
  <r>
    <x v="10"/>
    <s v="10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11"/>
    <s v="11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1-Electric - Gen - -PT"/>
    <x v="64"/>
    <x v="0"/>
    <s v="BH Colorado Electric Oper Co"/>
    <s v="SEC"/>
    <x v="1"/>
    <n v="53715.31"/>
    <n v="1211.17"/>
    <n v="0"/>
    <n v="0"/>
    <n v="0"/>
    <n v="0"/>
    <n v="0"/>
    <n v="54926.48"/>
  </r>
  <r>
    <x v="11"/>
    <s v="11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12"/>
    <s v="12/2022"/>
    <s v="BHCOE - 139201 - Electric - Gen -"/>
    <x v="64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1 - Electric - Prod"/>
    <x v="64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1-Electric - Gen - -PT"/>
    <x v="64"/>
    <x v="0"/>
    <s v="BH Colorado Electric Oper Co"/>
    <s v="SEC"/>
    <x v="1"/>
    <n v="54926.48"/>
    <n v="1211.17"/>
    <n v="0"/>
    <n v="0"/>
    <n v="0"/>
    <n v="0"/>
    <n v="0"/>
    <n v="56137.65"/>
  </r>
  <r>
    <x v="12"/>
    <s v="12/2022"/>
    <s v="BHCOE - 139201-Electric - Prod-PT"/>
    <x v="64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1-Electric - Gen - -PT"/>
    <x v="64"/>
    <x v="0"/>
    <s v="BH Colorado Electric Oper Co"/>
    <s v="SEC"/>
    <x v="3"/>
    <n v="-1.4000000000000001"/>
    <n v="0"/>
    <n v="0"/>
    <n v="0"/>
    <n v="0"/>
    <n v="0"/>
    <n v="0"/>
    <n v="-1.4000000000000001"/>
  </r>
  <r>
    <x v="0"/>
    <s v="12/2021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0"/>
    <s v="12/2021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1"/>
    <s v="01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2"/>
    <s v="02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3"/>
    <s v="03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4"/>
    <s v="04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5"/>
    <s v="05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6"/>
    <s v="06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7"/>
    <s v="07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8"/>
    <s v="08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9"/>
    <s v="09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10"/>
    <s v="10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11"/>
    <s v="11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2 - Electric - Gen -"/>
    <x v="65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2 - Electric - Prod"/>
    <x v="65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2-Electric - Gen - -PT"/>
    <x v="65"/>
    <x v="0"/>
    <s v="BH Colorado Electric Oper Co"/>
    <s v="SEC"/>
    <x v="1"/>
    <n v="55399.39"/>
    <n v="0"/>
    <n v="0"/>
    <n v="0"/>
    <n v="0"/>
    <n v="0"/>
    <n v="0"/>
    <n v="55399.39"/>
  </r>
  <r>
    <x v="12"/>
    <s v="12/2022"/>
    <s v="BHCOE - 139202-Electric - Prod-PT"/>
    <x v="65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0"/>
    <s v="12/2021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3-Electric - Gen - -PT"/>
    <x v="66"/>
    <x v="0"/>
    <s v="BH Colorado Electric Oper Co"/>
    <s v="SEC"/>
    <x v="1"/>
    <n v="2385734.2599999998"/>
    <n v="32870.870000000003"/>
    <n v="0"/>
    <n v="0"/>
    <n v="0"/>
    <n v="0"/>
    <n v="0"/>
    <n v="2418605.13"/>
  </r>
  <r>
    <x v="0"/>
    <s v="12/2021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0"/>
    <s v="12/2021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1"/>
    <s v="01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1"/>
    <s v="01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3-Electric - Gen - -PT"/>
    <x v="66"/>
    <x v="0"/>
    <s v="BH Colorado Electric Oper Co"/>
    <s v="SEC"/>
    <x v="1"/>
    <n v="2418605.13"/>
    <n v="33469.300000000003"/>
    <n v="0"/>
    <n v="0"/>
    <n v="0"/>
    <n v="0"/>
    <n v="0"/>
    <n v="2452074.4300000002"/>
  </r>
  <r>
    <x v="1"/>
    <s v="01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1"/>
    <s v="01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2"/>
    <s v="02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2"/>
    <s v="02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3-Electric - Gen - -PT"/>
    <x v="66"/>
    <x v="0"/>
    <s v="BH Colorado Electric Oper Co"/>
    <s v="SEC"/>
    <x v="1"/>
    <n v="2452074.4300000002"/>
    <n v="33492.239999999998"/>
    <n v="0"/>
    <n v="0"/>
    <n v="0"/>
    <n v="0"/>
    <n v="0"/>
    <n v="2485566.67"/>
  </r>
  <r>
    <x v="2"/>
    <s v="02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2"/>
    <s v="02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3"/>
    <s v="03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3"/>
    <s v="03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3-Electric - Gen - -PT"/>
    <x v="66"/>
    <x v="0"/>
    <s v="BH Colorado Electric Oper Co"/>
    <s v="SEC"/>
    <x v="1"/>
    <n v="2485566.67"/>
    <n v="33438.870000000003"/>
    <n v="-16251.16"/>
    <n v="0"/>
    <n v="15168"/>
    <n v="0"/>
    <n v="0"/>
    <n v="2517922.38"/>
  </r>
  <r>
    <x v="3"/>
    <s v="03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3"/>
    <s v="03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4"/>
    <s v="04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4"/>
    <s v="04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3-Electric - Gen - -PT"/>
    <x v="66"/>
    <x v="0"/>
    <s v="BH Colorado Electric Oper Co"/>
    <s v="SEC"/>
    <x v="1"/>
    <n v="2517922.38"/>
    <n v="33313.97"/>
    <n v="-8973.17"/>
    <n v="0"/>
    <n v="16764"/>
    <n v="0"/>
    <n v="0"/>
    <n v="2559027.1800000002"/>
  </r>
  <r>
    <x v="4"/>
    <s v="04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4"/>
    <s v="04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5"/>
    <s v="05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5"/>
    <s v="05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3-Electric - Gen - -PT"/>
    <x v="66"/>
    <x v="0"/>
    <s v="BH Colorado Electric Oper Co"/>
    <s v="SEC"/>
    <x v="1"/>
    <n v="2559027.1800000002"/>
    <n v="33169.89"/>
    <n v="-19482.93"/>
    <n v="0"/>
    <n v="14154"/>
    <n v="0"/>
    <n v="0"/>
    <n v="2586868.14"/>
  </r>
  <r>
    <x v="5"/>
    <s v="05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5"/>
    <s v="05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6"/>
    <s v="06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6"/>
    <s v="06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3-Electric - Gen - -PT"/>
    <x v="66"/>
    <x v="0"/>
    <s v="BH Colorado Electric Oper Co"/>
    <s v="SEC"/>
    <x v="1"/>
    <n v="2586868.14"/>
    <n v="33054.199999999997"/>
    <n v="0"/>
    <n v="0"/>
    <n v="0"/>
    <n v="0"/>
    <n v="0"/>
    <n v="2619922.34"/>
  </r>
  <r>
    <x v="6"/>
    <s v="06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6"/>
    <s v="06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7"/>
    <s v="07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7"/>
    <s v="07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3-Electric - Gen - -PT"/>
    <x v="66"/>
    <x v="0"/>
    <s v="BH Colorado Electric Oper Co"/>
    <s v="SEC"/>
    <x v="1"/>
    <n v="2619922.34"/>
    <n v="32738.799999999999"/>
    <n v="-53228.73"/>
    <n v="0"/>
    <n v="34600"/>
    <n v="0"/>
    <n v="0"/>
    <n v="2634032.41"/>
  </r>
  <r>
    <x v="7"/>
    <s v="07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7"/>
    <s v="07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8"/>
    <s v="08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8"/>
    <s v="08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3-Electric - Gen - -PT"/>
    <x v="66"/>
    <x v="0"/>
    <s v="BH Colorado Electric Oper Co"/>
    <s v="SEC"/>
    <x v="1"/>
    <n v="2634032.41"/>
    <n v="32772.57"/>
    <n v="0"/>
    <n v="0"/>
    <n v="0"/>
    <n v="0"/>
    <n v="0"/>
    <n v="2666804.98"/>
  </r>
  <r>
    <x v="8"/>
    <s v="08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8"/>
    <s v="08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9"/>
    <s v="09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9"/>
    <s v="09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3-Electric - Gen - -PT"/>
    <x v="66"/>
    <x v="0"/>
    <s v="BH Colorado Electric Oper Co"/>
    <s v="SEC"/>
    <x v="1"/>
    <n v="2666804.98"/>
    <n v="33795.94"/>
    <n v="0"/>
    <n v="0"/>
    <n v="0"/>
    <n v="0"/>
    <n v="0"/>
    <n v="2700600.92"/>
  </r>
  <r>
    <x v="9"/>
    <s v="09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9"/>
    <s v="09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10"/>
    <s v="10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10"/>
    <s v="10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3-Electric - Gen - -PT"/>
    <x v="66"/>
    <x v="0"/>
    <s v="BH Colorado Electric Oper Co"/>
    <s v="SEC"/>
    <x v="1"/>
    <n v="2700600.92"/>
    <n v="34484.520000000004"/>
    <n v="0"/>
    <n v="0"/>
    <n v="0"/>
    <n v="0"/>
    <n v="0"/>
    <n v="2735085.44"/>
  </r>
  <r>
    <x v="10"/>
    <s v="10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10"/>
    <s v="10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11"/>
    <s v="11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11"/>
    <s v="11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3-Electric - Gen - -PT"/>
    <x v="66"/>
    <x v="0"/>
    <s v="BH Colorado Electric Oper Co"/>
    <s v="SEC"/>
    <x v="1"/>
    <n v="2735085.44"/>
    <n v="34992"/>
    <n v="0"/>
    <n v="0"/>
    <n v="0"/>
    <n v="0"/>
    <n v="0"/>
    <n v="2770077.44"/>
  </r>
  <r>
    <x v="11"/>
    <s v="11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11"/>
    <s v="11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12"/>
    <s v="12/2022"/>
    <s v="BHCOE - 139203 - Electric - Gen -"/>
    <x v="66"/>
    <x v="0"/>
    <s v="BH Colorado Electric Oper Co"/>
    <s v="SEC"/>
    <x v="1"/>
    <n v="2743"/>
    <n v="0"/>
    <n v="0"/>
    <n v="0"/>
    <n v="0"/>
    <n v="0"/>
    <n v="0"/>
    <n v="2743"/>
  </r>
  <r>
    <x v="12"/>
    <s v="12/2022"/>
    <s v="BHCOE - 139203 - Electric - Prod"/>
    <x v="66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3-Electric - Gen - -PT"/>
    <x v="66"/>
    <x v="0"/>
    <s v="BH Colorado Electric Oper Co"/>
    <s v="SEC"/>
    <x v="1"/>
    <n v="2770077.44"/>
    <n v="34859.22"/>
    <n v="0"/>
    <n v="0"/>
    <n v="0"/>
    <n v="0"/>
    <n v="0"/>
    <n v="2804936.66"/>
  </r>
  <r>
    <x v="12"/>
    <s v="12/2022"/>
    <s v="BHCOE - 139203-Electric - Prod-PT"/>
    <x v="66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3 - Electric - Gen -"/>
    <x v="66"/>
    <x v="0"/>
    <s v="BH Colorado Electric Oper Co"/>
    <s v="SEC"/>
    <x v="3"/>
    <n v="40.65"/>
    <n v="0"/>
    <n v="0"/>
    <n v="0"/>
    <n v="0"/>
    <n v="0"/>
    <n v="0"/>
    <n v="40.65"/>
  </r>
  <r>
    <x v="12"/>
    <s v="12/2022"/>
    <s v="BHCOE - 139203-Electric - Gen - -PT"/>
    <x v="66"/>
    <x v="0"/>
    <s v="BH Colorado Electric Oper Co"/>
    <s v="SEC"/>
    <x v="3"/>
    <n v="-4.1500000000000004"/>
    <n v="0"/>
    <n v="0"/>
    <n v="0"/>
    <n v="0"/>
    <n v="0"/>
    <n v="0"/>
    <n v="-4.1500000000000004"/>
  </r>
  <r>
    <x v="0"/>
    <s v="12/2021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0"/>
    <s v="12/2021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4-Electric - Prod-PT"/>
    <x v="67"/>
    <x v="0"/>
    <s v="BH Colorado Electric Oper Co"/>
    <s v="SEC"/>
    <x v="1"/>
    <n v="970876.70000000007"/>
    <n v="17756.830000000002"/>
    <n v="0"/>
    <n v="0"/>
    <n v="0"/>
    <n v="0"/>
    <n v="0"/>
    <n v="988633.53"/>
  </r>
  <r>
    <x v="0"/>
    <s v="12/2021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1"/>
    <s v="01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1"/>
    <s v="01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4-Electric - Prod-PT"/>
    <x v="67"/>
    <x v="0"/>
    <s v="BH Colorado Electric Oper Co"/>
    <s v="SEC"/>
    <x v="1"/>
    <n v="988633.53"/>
    <n v="18254.77"/>
    <n v="0"/>
    <n v="0"/>
    <n v="0"/>
    <n v="0"/>
    <n v="0"/>
    <n v="1006888.3"/>
  </r>
  <r>
    <x v="1"/>
    <s v="01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2"/>
    <s v="02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2"/>
    <s v="02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4-Electric - Prod-PT"/>
    <x v="67"/>
    <x v="0"/>
    <s v="BH Colorado Electric Oper Co"/>
    <s v="SEC"/>
    <x v="1"/>
    <n v="1006888.3"/>
    <n v="18279.600000000002"/>
    <n v="0"/>
    <n v="0"/>
    <n v="0"/>
    <n v="0"/>
    <n v="0"/>
    <n v="1025167.9"/>
  </r>
  <r>
    <x v="2"/>
    <s v="02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3"/>
    <s v="03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3"/>
    <s v="03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4-Electric - Prod-PT"/>
    <x v="67"/>
    <x v="0"/>
    <s v="BH Colorado Electric Oper Co"/>
    <s v="SEC"/>
    <x v="1"/>
    <n v="1025167.9"/>
    <n v="18372.600000000002"/>
    <n v="0"/>
    <n v="0"/>
    <n v="0"/>
    <n v="0"/>
    <n v="0"/>
    <n v="1043540.5"/>
  </r>
  <r>
    <x v="3"/>
    <s v="03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4"/>
    <s v="04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4"/>
    <s v="04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4-Electric - Prod-PT"/>
    <x v="67"/>
    <x v="0"/>
    <s v="BH Colorado Electric Oper Co"/>
    <s v="SEC"/>
    <x v="1"/>
    <n v="1043540.5"/>
    <n v="18487.43"/>
    <n v="0"/>
    <n v="0"/>
    <n v="0"/>
    <n v="0"/>
    <n v="0"/>
    <n v="1062027.93"/>
  </r>
  <r>
    <x v="4"/>
    <s v="04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5"/>
    <s v="05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5"/>
    <s v="05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4-Electric - Prod-PT"/>
    <x v="67"/>
    <x v="0"/>
    <s v="BH Colorado Electric Oper Co"/>
    <s v="SEC"/>
    <x v="1"/>
    <n v="1062027.93"/>
    <n v="18153.260000000002"/>
    <n v="-86956.1"/>
    <n v="0"/>
    <n v="31818"/>
    <n v="0"/>
    <n v="0"/>
    <n v="1025043.09"/>
  </r>
  <r>
    <x v="5"/>
    <s v="05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6"/>
    <s v="06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6"/>
    <s v="06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4-Electric - Prod-PT"/>
    <x v="67"/>
    <x v="0"/>
    <s v="BH Colorado Electric Oper Co"/>
    <s v="SEC"/>
    <x v="1"/>
    <n v="1025043.09"/>
    <n v="17791.740000000002"/>
    <n v="0"/>
    <n v="0"/>
    <n v="0"/>
    <n v="0"/>
    <n v="0"/>
    <n v="1042834.83"/>
  </r>
  <r>
    <x v="6"/>
    <s v="06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7"/>
    <s v="07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7"/>
    <s v="07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4-Electric - Prod-PT"/>
    <x v="67"/>
    <x v="0"/>
    <s v="BH Colorado Electric Oper Co"/>
    <s v="SEC"/>
    <x v="1"/>
    <n v="1042834.83"/>
    <n v="17718.82"/>
    <n v="-17036.189999999999"/>
    <n v="0"/>
    <n v="0"/>
    <n v="0"/>
    <n v="0"/>
    <n v="1043517.46"/>
  </r>
  <r>
    <x v="7"/>
    <s v="07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8"/>
    <s v="08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8"/>
    <s v="08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4-Electric - Prod-PT"/>
    <x v="67"/>
    <x v="0"/>
    <s v="BH Colorado Electric Oper Co"/>
    <s v="SEC"/>
    <x v="1"/>
    <n v="1043517.46"/>
    <n v="17645.900000000001"/>
    <n v="0"/>
    <n v="0"/>
    <n v="0"/>
    <n v="0"/>
    <n v="0"/>
    <n v="1061163.3600000001"/>
  </r>
  <r>
    <x v="8"/>
    <s v="08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9"/>
    <s v="09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9"/>
    <s v="09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4-Electric - Prod-PT"/>
    <x v="67"/>
    <x v="0"/>
    <s v="BH Colorado Electric Oper Co"/>
    <s v="SEC"/>
    <x v="1"/>
    <n v="1061163.3600000001"/>
    <n v="17645.900000000001"/>
    <n v="0"/>
    <n v="0"/>
    <n v="0"/>
    <n v="0"/>
    <n v="0"/>
    <n v="1078809.26"/>
  </r>
  <r>
    <x v="9"/>
    <s v="09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10"/>
    <s v="10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10"/>
    <s v="10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4-Electric - Prod-PT"/>
    <x v="67"/>
    <x v="0"/>
    <s v="BH Colorado Electric Oper Co"/>
    <s v="SEC"/>
    <x v="1"/>
    <n v="1078809.26"/>
    <n v="17645.96"/>
    <n v="0"/>
    <n v="0"/>
    <n v="0"/>
    <n v="0"/>
    <n v="0"/>
    <n v="1096455.22"/>
  </r>
  <r>
    <x v="10"/>
    <s v="10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11"/>
    <s v="11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11"/>
    <s v="11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4-Electric - Prod-PT"/>
    <x v="67"/>
    <x v="0"/>
    <s v="BH Colorado Electric Oper Co"/>
    <s v="SEC"/>
    <x v="1"/>
    <n v="1096455.22"/>
    <n v="17646.03"/>
    <n v="0"/>
    <n v="0"/>
    <n v="0"/>
    <n v="0"/>
    <n v="0"/>
    <n v="1114101.25"/>
  </r>
  <r>
    <x v="11"/>
    <s v="11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12"/>
    <s v="12/2022"/>
    <s v="BHCOE - 139204 - Electric - Gen -"/>
    <x v="67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4 - Electric - Prod"/>
    <x v="67"/>
    <x v="0"/>
    <s v="BH Colorado Electric Oper Co"/>
    <s v="SEC"/>
    <x v="1"/>
    <n v="-4327.05"/>
    <n v="0"/>
    <n v="0"/>
    <n v="0"/>
    <n v="0"/>
    <n v="0"/>
    <n v="0"/>
    <n v="-4327.05"/>
  </r>
  <r>
    <x v="12"/>
    <s v="12/2022"/>
    <s v="BHCOE - 139204-Electric - Gen - -PT"/>
    <x v="67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4-Electric - Prod-PT"/>
    <x v="67"/>
    <x v="0"/>
    <s v="BH Colorado Electric Oper Co"/>
    <s v="SEC"/>
    <x v="1"/>
    <n v="1114101.25"/>
    <n v="18241.75"/>
    <n v="0"/>
    <n v="0"/>
    <n v="0"/>
    <n v="0"/>
    <n v="0"/>
    <n v="1132343"/>
  </r>
  <r>
    <x v="12"/>
    <s v="12/2022"/>
    <s v="BHCOE - 139204-Electric - Prod-PT"/>
    <x v="67"/>
    <x v="0"/>
    <s v="BH Colorado Electric Oper Co"/>
    <s v="SEC"/>
    <x v="3"/>
    <n v="125.02"/>
    <n v="0"/>
    <n v="0"/>
    <n v="0"/>
    <n v="0"/>
    <n v="0"/>
    <n v="0"/>
    <n v="125.02"/>
  </r>
  <r>
    <x v="0"/>
    <s v="12/2021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5-Electric - Gen - -PT"/>
    <x v="68"/>
    <x v="0"/>
    <s v="BH Colorado Electric Oper Co"/>
    <s v="SEC"/>
    <x v="1"/>
    <n v="5304405.9400000004"/>
    <n v="72638.19"/>
    <n v="0"/>
    <n v="0"/>
    <n v="0"/>
    <n v="0"/>
    <n v="0"/>
    <n v="5377044.1299999999"/>
  </r>
  <r>
    <x v="0"/>
    <s v="12/2021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1"/>
    <s v="01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5-Electric - Gen - -PT"/>
    <x v="68"/>
    <x v="0"/>
    <s v="BH Colorado Electric Oper Co"/>
    <s v="SEC"/>
    <x v="1"/>
    <n v="5377044.1299999999"/>
    <n v="80966.84"/>
    <n v="0"/>
    <n v="0"/>
    <n v="0"/>
    <n v="0"/>
    <n v="0"/>
    <n v="5458010.9699999997"/>
  </r>
  <r>
    <x v="1"/>
    <s v="01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2"/>
    <s v="02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5-Electric - Gen - -PT"/>
    <x v="68"/>
    <x v="0"/>
    <s v="BH Colorado Electric Oper Co"/>
    <s v="SEC"/>
    <x v="1"/>
    <n v="5458010.9699999997"/>
    <n v="90593.14"/>
    <n v="0"/>
    <n v="0"/>
    <n v="0"/>
    <n v="0"/>
    <n v="0"/>
    <n v="5548604.1100000003"/>
  </r>
  <r>
    <x v="2"/>
    <s v="02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3"/>
    <s v="03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5-Electric - Gen - -PT"/>
    <x v="68"/>
    <x v="0"/>
    <s v="BH Colorado Electric Oper Co"/>
    <s v="SEC"/>
    <x v="1"/>
    <n v="5548604.1100000003"/>
    <n v="92838.58"/>
    <n v="0"/>
    <n v="0"/>
    <n v="0"/>
    <n v="0"/>
    <n v="0"/>
    <n v="5641442.6900000004"/>
  </r>
  <r>
    <x v="3"/>
    <s v="03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4"/>
    <s v="04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5-Electric - Gen - -PT"/>
    <x v="68"/>
    <x v="0"/>
    <s v="BH Colorado Electric Oper Co"/>
    <s v="SEC"/>
    <x v="1"/>
    <n v="5641442.6900000004"/>
    <n v="93991.71"/>
    <n v="0"/>
    <n v="0"/>
    <n v="0"/>
    <n v="0"/>
    <n v="0"/>
    <n v="5735434.4000000004"/>
  </r>
  <r>
    <x v="4"/>
    <s v="04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5"/>
    <s v="05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5-Electric - Gen - -PT"/>
    <x v="68"/>
    <x v="0"/>
    <s v="BH Colorado Electric Oper Co"/>
    <s v="SEC"/>
    <x v="1"/>
    <n v="5735434.4000000004"/>
    <n v="94986.790000000008"/>
    <n v="-73696.62"/>
    <n v="0"/>
    <n v="50642"/>
    <n v="0"/>
    <n v="0"/>
    <n v="5807366.5700000003"/>
  </r>
  <r>
    <x v="5"/>
    <s v="05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6"/>
    <s v="06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5-Electric - Gen - -PT"/>
    <x v="68"/>
    <x v="0"/>
    <s v="BH Colorado Electric Oper Co"/>
    <s v="SEC"/>
    <x v="1"/>
    <n v="5807366.5700000003"/>
    <n v="95532.64"/>
    <n v="0"/>
    <n v="0"/>
    <n v="0"/>
    <n v="0"/>
    <n v="0"/>
    <n v="5902899.21"/>
  </r>
  <r>
    <x v="6"/>
    <s v="06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7"/>
    <s v="07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5-Electric - Gen - -PT"/>
    <x v="68"/>
    <x v="0"/>
    <s v="BH Colorado Electric Oper Co"/>
    <s v="SEC"/>
    <x v="1"/>
    <n v="5902899.21"/>
    <n v="101435.58"/>
    <n v="0"/>
    <n v="0"/>
    <n v="0"/>
    <n v="0"/>
    <n v="0"/>
    <n v="6004334.79"/>
  </r>
  <r>
    <x v="7"/>
    <s v="07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8"/>
    <s v="08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5-Electric - Gen - -PT"/>
    <x v="68"/>
    <x v="0"/>
    <s v="BH Colorado Electric Oper Co"/>
    <s v="SEC"/>
    <x v="1"/>
    <n v="6004334.79"/>
    <n v="107247.06"/>
    <n v="0"/>
    <n v="0"/>
    <n v="0"/>
    <n v="0"/>
    <n v="0"/>
    <n v="6111581.8499999996"/>
  </r>
  <r>
    <x v="8"/>
    <s v="08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9"/>
    <s v="09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5-Electric - Gen - -PT"/>
    <x v="68"/>
    <x v="0"/>
    <s v="BH Colorado Electric Oper Co"/>
    <s v="SEC"/>
    <x v="1"/>
    <n v="6111581.8499999996"/>
    <n v="107850.89"/>
    <n v="0"/>
    <n v="0"/>
    <n v="0"/>
    <n v="0"/>
    <n v="0"/>
    <n v="6219432.7400000002"/>
  </r>
  <r>
    <x v="9"/>
    <s v="09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10"/>
    <s v="10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5-Electric - Gen - -PT"/>
    <x v="68"/>
    <x v="0"/>
    <s v="BH Colorado Electric Oper Co"/>
    <s v="SEC"/>
    <x v="1"/>
    <n v="6219432.7400000002"/>
    <n v="108109.78"/>
    <n v="0"/>
    <n v="0"/>
    <n v="0"/>
    <n v="0"/>
    <n v="0"/>
    <n v="6327542.5199999996"/>
  </r>
  <r>
    <x v="10"/>
    <s v="10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11"/>
    <s v="11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5-Electric - Gen - -PT"/>
    <x v="68"/>
    <x v="0"/>
    <s v="BH Colorado Electric Oper Co"/>
    <s v="SEC"/>
    <x v="1"/>
    <n v="6327542.5199999996"/>
    <n v="108171.56"/>
    <n v="0"/>
    <n v="0"/>
    <n v="0"/>
    <n v="0"/>
    <n v="0"/>
    <n v="6435714.0800000001"/>
  </r>
  <r>
    <x v="11"/>
    <s v="11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12"/>
    <s v="12/2022"/>
    <s v="BHCOE - 139205 - Electric - Gen -"/>
    <x v="68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5 - Electric - Prod"/>
    <x v="68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5-Electric - Gen - -PT"/>
    <x v="68"/>
    <x v="0"/>
    <s v="BH Colorado Electric Oper Co"/>
    <s v="SEC"/>
    <x v="1"/>
    <n v="6435714.0800000001"/>
    <n v="108547.92"/>
    <n v="0"/>
    <n v="0"/>
    <n v="0"/>
    <n v="0"/>
    <n v="0"/>
    <n v="6544262"/>
  </r>
  <r>
    <x v="12"/>
    <s v="12/2022"/>
    <s v="BHCOE - 139205-Electric - Prod-PT"/>
    <x v="68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5-Electric - Gen - -PT"/>
    <x v="68"/>
    <x v="0"/>
    <s v="BH Colorado Electric Oper Co"/>
    <s v="SEC"/>
    <x v="3"/>
    <n v="-5.78"/>
    <n v="0"/>
    <n v="0"/>
    <n v="0"/>
    <n v="0"/>
    <n v="0"/>
    <n v="0"/>
    <n v="-5.78"/>
  </r>
  <r>
    <x v="0"/>
    <s v="12/2021"/>
    <s v="BHCOE - 139206 - Electric - Gen -"/>
    <x v="69"/>
    <x v="0"/>
    <s v="BH Colorado Electric Oper Co"/>
    <s v="SEC"/>
    <x v="1"/>
    <n v="78681.710000000006"/>
    <n v="19.850000000000001"/>
    <n v="0"/>
    <n v="0"/>
    <n v="0"/>
    <n v="0"/>
    <n v="0"/>
    <n v="78701.56"/>
  </r>
  <r>
    <x v="0"/>
    <s v="12/2021"/>
    <s v="BHCOE - 139206 - Electric - Prod"/>
    <x v="69"/>
    <x v="0"/>
    <s v="BH Colorado Electric Oper Co"/>
    <s v="SEC"/>
    <x v="1"/>
    <n v="6417.45"/>
    <n v="1.57"/>
    <n v="0"/>
    <n v="0"/>
    <n v="0"/>
    <n v="0"/>
    <n v="0"/>
    <n v="6419.02"/>
  </r>
  <r>
    <x v="0"/>
    <s v="12/2021"/>
    <s v="BHCOE - 139206-Electric - Gen - -PT"/>
    <x v="69"/>
    <x v="0"/>
    <s v="BH Colorado Electric Oper Co"/>
    <s v="SEC"/>
    <x v="1"/>
    <n v="98142.22"/>
    <n v="608.23"/>
    <n v="-34724.870000000003"/>
    <n v="0"/>
    <n v="941.66"/>
    <n v="0"/>
    <n v="0"/>
    <n v="64967.24"/>
  </r>
  <r>
    <x v="0"/>
    <s v="12/2021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1"/>
    <s v="01/2022"/>
    <s v="BHCOE - 139206 - Electric - Gen -"/>
    <x v="69"/>
    <x v="0"/>
    <s v="BH Colorado Electric Oper Co"/>
    <s v="SEC"/>
    <x v="1"/>
    <n v="78701.56"/>
    <n v="19.850000000000001"/>
    <n v="0"/>
    <n v="0"/>
    <n v="0"/>
    <n v="0"/>
    <n v="0"/>
    <n v="78721.41"/>
  </r>
  <r>
    <x v="1"/>
    <s v="01/2022"/>
    <s v="BHCOE - 139206 - Electric - Prod"/>
    <x v="69"/>
    <x v="0"/>
    <s v="BH Colorado Electric Oper Co"/>
    <s v="SEC"/>
    <x v="1"/>
    <n v="6419.02"/>
    <n v="1.57"/>
    <n v="0"/>
    <n v="0"/>
    <n v="0"/>
    <n v="0"/>
    <n v="0"/>
    <n v="6420.59"/>
  </r>
  <r>
    <x v="1"/>
    <s v="01/2022"/>
    <s v="BHCOE - 139206-Electric - Gen - -PT"/>
    <x v="69"/>
    <x v="0"/>
    <s v="BH Colorado Electric Oper Co"/>
    <s v="SEC"/>
    <x v="1"/>
    <n v="64967.24"/>
    <n v="603.6"/>
    <n v="0"/>
    <n v="0"/>
    <n v="0"/>
    <n v="0"/>
    <n v="0"/>
    <n v="65570.84"/>
  </r>
  <r>
    <x v="1"/>
    <s v="01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2"/>
    <s v="02/2022"/>
    <s v="BHCOE - 139206 - Electric - Gen -"/>
    <x v="69"/>
    <x v="0"/>
    <s v="BH Colorado Electric Oper Co"/>
    <s v="SEC"/>
    <x v="1"/>
    <n v="78721.41"/>
    <n v="19.850000000000001"/>
    <n v="0"/>
    <n v="0"/>
    <n v="0"/>
    <n v="0"/>
    <n v="0"/>
    <n v="78741.259999999995"/>
  </r>
  <r>
    <x v="2"/>
    <s v="02/2022"/>
    <s v="BHCOE - 139206 - Electric - Prod"/>
    <x v="69"/>
    <x v="0"/>
    <s v="BH Colorado Electric Oper Co"/>
    <s v="SEC"/>
    <x v="1"/>
    <n v="6420.59"/>
    <n v="1.57"/>
    <n v="0"/>
    <n v="0"/>
    <n v="0"/>
    <n v="0"/>
    <n v="0"/>
    <n v="6422.16"/>
  </r>
  <r>
    <x v="2"/>
    <s v="02/2022"/>
    <s v="BHCOE - 139206-Electric - Gen - -PT"/>
    <x v="69"/>
    <x v="0"/>
    <s v="BH Colorado Electric Oper Co"/>
    <s v="SEC"/>
    <x v="1"/>
    <n v="65570.84"/>
    <n v="603.6"/>
    <n v="0"/>
    <n v="0"/>
    <n v="0"/>
    <n v="0"/>
    <n v="0"/>
    <n v="66174.44"/>
  </r>
  <r>
    <x v="2"/>
    <s v="02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3"/>
    <s v="03/2022"/>
    <s v="BHCOE - 139206 - Electric - Gen -"/>
    <x v="69"/>
    <x v="0"/>
    <s v="BH Colorado Electric Oper Co"/>
    <s v="SEC"/>
    <x v="1"/>
    <n v="78741.259999999995"/>
    <n v="19.850000000000001"/>
    <n v="0"/>
    <n v="0"/>
    <n v="0"/>
    <n v="0"/>
    <n v="0"/>
    <n v="78761.11"/>
  </r>
  <r>
    <x v="3"/>
    <s v="03/2022"/>
    <s v="BHCOE - 139206 - Electric - Prod"/>
    <x v="69"/>
    <x v="0"/>
    <s v="BH Colorado Electric Oper Co"/>
    <s v="SEC"/>
    <x v="1"/>
    <n v="6422.16"/>
    <n v="1.57"/>
    <n v="0"/>
    <n v="0"/>
    <n v="0"/>
    <n v="0"/>
    <n v="0"/>
    <n v="6423.7300000000005"/>
  </r>
  <r>
    <x v="3"/>
    <s v="03/2022"/>
    <s v="BHCOE - 139206-Electric - Gen - -PT"/>
    <x v="69"/>
    <x v="0"/>
    <s v="BH Colorado Electric Oper Co"/>
    <s v="SEC"/>
    <x v="1"/>
    <n v="66174.44"/>
    <n v="602.65"/>
    <n v="-7173.68"/>
    <n v="0"/>
    <n v="0"/>
    <n v="0"/>
    <n v="0"/>
    <n v="59603.41"/>
  </r>
  <r>
    <x v="3"/>
    <s v="03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4"/>
    <s v="04/2022"/>
    <s v="BHCOE - 139206 - Electric - Gen -"/>
    <x v="69"/>
    <x v="0"/>
    <s v="BH Colorado Electric Oper Co"/>
    <s v="SEC"/>
    <x v="1"/>
    <n v="78761.11"/>
    <n v="19.850000000000001"/>
    <n v="0"/>
    <n v="0"/>
    <n v="0"/>
    <n v="0"/>
    <n v="0"/>
    <n v="78780.960000000006"/>
  </r>
  <r>
    <x v="4"/>
    <s v="04/2022"/>
    <s v="BHCOE - 139206 - Electric - Prod"/>
    <x v="69"/>
    <x v="0"/>
    <s v="BH Colorado Electric Oper Co"/>
    <s v="SEC"/>
    <x v="1"/>
    <n v="6423.7300000000005"/>
    <n v="1.57"/>
    <n v="0"/>
    <n v="0"/>
    <n v="0"/>
    <n v="0"/>
    <n v="0"/>
    <n v="6425.3"/>
  </r>
  <r>
    <x v="4"/>
    <s v="04/2022"/>
    <s v="BHCOE - 139206-Electric - Gen - -PT"/>
    <x v="69"/>
    <x v="0"/>
    <s v="BH Colorado Electric Oper Co"/>
    <s v="SEC"/>
    <x v="1"/>
    <n v="59603.41"/>
    <n v="601.76"/>
    <n v="0"/>
    <n v="0"/>
    <n v="0"/>
    <n v="0"/>
    <n v="0"/>
    <n v="60205.17"/>
  </r>
  <r>
    <x v="4"/>
    <s v="04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Gen Prod 139206"/>
    <x v="69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5"/>
    <s v="05/2022"/>
    <s v="BHCOE - 139206 - Electric - Gen -"/>
    <x v="69"/>
    <x v="0"/>
    <s v="BH Colorado Electric Oper Co"/>
    <s v="SEC"/>
    <x v="1"/>
    <n v="78780.960000000006"/>
    <n v="19.850000000000001"/>
    <n v="0"/>
    <n v="0"/>
    <n v="0"/>
    <n v="0"/>
    <n v="0"/>
    <n v="78800.81"/>
  </r>
  <r>
    <x v="5"/>
    <s v="05/2022"/>
    <s v="BHCOE - 139206 - Electric - Prod"/>
    <x v="69"/>
    <x v="0"/>
    <s v="BH Colorado Electric Oper Co"/>
    <s v="SEC"/>
    <x v="1"/>
    <n v="6425.3"/>
    <n v="1.57"/>
    <n v="0"/>
    <n v="0"/>
    <n v="0"/>
    <n v="0"/>
    <n v="0"/>
    <n v="6426.87"/>
  </r>
  <r>
    <x v="5"/>
    <s v="05/2022"/>
    <s v="BHCOE - 139206-Electric - Gen - -PT"/>
    <x v="69"/>
    <x v="0"/>
    <s v="BH Colorado Electric Oper Co"/>
    <s v="SEC"/>
    <x v="1"/>
    <n v="60205.17"/>
    <n v="601.82000000000005"/>
    <n v="0"/>
    <n v="0"/>
    <n v="0"/>
    <n v="0"/>
    <n v="0"/>
    <n v="60806.99"/>
  </r>
  <r>
    <x v="5"/>
    <s v="05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6"/>
    <s v="06/2022"/>
    <s v="BHCOE - 139206 - Electric - Gen -"/>
    <x v="69"/>
    <x v="0"/>
    <s v="BH Colorado Electric Oper Co"/>
    <s v="SEC"/>
    <x v="1"/>
    <n v="78800.81"/>
    <n v="19.850000000000001"/>
    <n v="0"/>
    <n v="0"/>
    <n v="0"/>
    <n v="0"/>
    <n v="0"/>
    <n v="78820.66"/>
  </r>
  <r>
    <x v="6"/>
    <s v="06/2022"/>
    <s v="BHCOE - 139206 - Electric - Prod"/>
    <x v="69"/>
    <x v="0"/>
    <s v="BH Colorado Electric Oper Co"/>
    <s v="SEC"/>
    <x v="1"/>
    <n v="6426.87"/>
    <n v="1.57"/>
    <n v="0"/>
    <n v="0"/>
    <n v="0"/>
    <n v="0"/>
    <n v="0"/>
    <n v="6428.4400000000005"/>
  </r>
  <r>
    <x v="6"/>
    <s v="06/2022"/>
    <s v="BHCOE - 139206-Electric - Gen - -PT"/>
    <x v="69"/>
    <x v="0"/>
    <s v="BH Colorado Electric Oper Co"/>
    <s v="SEC"/>
    <x v="1"/>
    <n v="60806.99"/>
    <n v="602.15"/>
    <n v="0"/>
    <n v="0"/>
    <n v="0"/>
    <n v="0"/>
    <n v="0"/>
    <n v="61409.14"/>
  </r>
  <r>
    <x v="6"/>
    <s v="06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T&amp;D 139206"/>
    <x v="69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7"/>
    <s v="07/2022"/>
    <s v="BHCOE - 139206 - Electric - Gen -"/>
    <x v="69"/>
    <x v="0"/>
    <s v="BH Colorado Electric Oper Co"/>
    <s v="SEC"/>
    <x v="1"/>
    <n v="78820.66"/>
    <n v="19.850000000000001"/>
    <n v="0"/>
    <n v="0"/>
    <n v="0"/>
    <n v="0"/>
    <n v="0"/>
    <n v="78840.509999999995"/>
  </r>
  <r>
    <x v="7"/>
    <s v="07/2022"/>
    <s v="BHCOE - 139206 - Electric - Prod"/>
    <x v="69"/>
    <x v="0"/>
    <s v="BH Colorado Electric Oper Co"/>
    <s v="SEC"/>
    <x v="1"/>
    <n v="6428.4400000000005"/>
    <n v="1.57"/>
    <n v="0"/>
    <n v="0"/>
    <n v="0"/>
    <n v="0"/>
    <n v="0"/>
    <n v="6430.01"/>
  </r>
  <r>
    <x v="7"/>
    <s v="07/2022"/>
    <s v="BHCOE - 139206-Electric - Gen - -PT"/>
    <x v="69"/>
    <x v="0"/>
    <s v="BH Colorado Electric Oper Co"/>
    <s v="SEC"/>
    <x v="1"/>
    <n v="61409.14"/>
    <n v="602.47"/>
    <n v="0"/>
    <n v="0"/>
    <n v="0"/>
    <n v="0"/>
    <n v="0"/>
    <n v="62011.61"/>
  </r>
  <r>
    <x v="7"/>
    <s v="07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9"/>
    <s v="09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6 - Electric - Gen -"/>
    <x v="69"/>
    <x v="0"/>
    <s v="BH Colorado Electric Oper Co"/>
    <s v="SEC"/>
    <x v="1"/>
    <n v="78840.509999999995"/>
    <n v="19.850000000000001"/>
    <n v="0"/>
    <n v="0"/>
    <n v="0"/>
    <n v="0"/>
    <n v="0"/>
    <n v="78860.36"/>
  </r>
  <r>
    <x v="8"/>
    <s v="08/2022"/>
    <s v="BHCOE - 139206 - Electric - Prod"/>
    <x v="69"/>
    <x v="0"/>
    <s v="BH Colorado Electric Oper Co"/>
    <s v="SEC"/>
    <x v="1"/>
    <n v="6430.01"/>
    <n v="1.57"/>
    <n v="0"/>
    <n v="0"/>
    <n v="0"/>
    <n v="0"/>
    <n v="0"/>
    <n v="6431.58"/>
  </r>
  <r>
    <x v="8"/>
    <s v="08/2022"/>
    <s v="BHCOE - 139206-Electric - Gen - -PT"/>
    <x v="69"/>
    <x v="0"/>
    <s v="BH Colorado Electric Oper Co"/>
    <s v="SEC"/>
    <x v="1"/>
    <n v="62011.61"/>
    <n v="602.47"/>
    <n v="0"/>
    <n v="0"/>
    <n v="0"/>
    <n v="0"/>
    <n v="0"/>
    <n v="62614.080000000002"/>
  </r>
  <r>
    <x v="8"/>
    <s v="08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General 139206"/>
    <x v="69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9"/>
    <s v="09/2022"/>
    <s v="BHCOE - 139206 - Electric - Gen -"/>
    <x v="69"/>
    <x v="0"/>
    <s v="BH Colorado Electric Oper Co"/>
    <s v="SEC"/>
    <x v="1"/>
    <n v="78860.36"/>
    <n v="19.850000000000001"/>
    <n v="0"/>
    <n v="0"/>
    <n v="0"/>
    <n v="0"/>
    <n v="0"/>
    <n v="78880.210000000006"/>
  </r>
  <r>
    <x v="9"/>
    <s v="09/2022"/>
    <s v="BHCOE - 139206 - Electric - Prod"/>
    <x v="69"/>
    <x v="0"/>
    <s v="BH Colorado Electric Oper Co"/>
    <s v="SEC"/>
    <x v="1"/>
    <n v="6431.58"/>
    <n v="1.57"/>
    <n v="0"/>
    <n v="0"/>
    <n v="0"/>
    <n v="0"/>
    <n v="0"/>
    <n v="6433.1500000000005"/>
  </r>
  <r>
    <x v="9"/>
    <s v="09/2022"/>
    <s v="BHCOE - 139206-Electric - Gen - -PT"/>
    <x v="69"/>
    <x v="0"/>
    <s v="BH Colorado Electric Oper Co"/>
    <s v="SEC"/>
    <x v="1"/>
    <n v="62614.080000000002"/>
    <n v="602.47"/>
    <n v="0"/>
    <n v="0"/>
    <n v="0"/>
    <n v="0"/>
    <n v="0"/>
    <n v="63216.55"/>
  </r>
  <r>
    <x v="9"/>
    <s v="09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10"/>
    <s v="10/2022"/>
    <s v="BHCOE - 139206 - Electric - Gen -"/>
    <x v="69"/>
    <x v="0"/>
    <s v="BH Colorado Electric Oper Co"/>
    <s v="SEC"/>
    <x v="1"/>
    <n v="78880.210000000006"/>
    <n v="19.850000000000001"/>
    <n v="0"/>
    <n v="0"/>
    <n v="0"/>
    <n v="0"/>
    <n v="0"/>
    <n v="78900.06"/>
  </r>
  <r>
    <x v="10"/>
    <s v="10/2022"/>
    <s v="BHCOE - 139206 - Electric - Prod"/>
    <x v="69"/>
    <x v="0"/>
    <s v="BH Colorado Electric Oper Co"/>
    <s v="SEC"/>
    <x v="1"/>
    <n v="6433.1500000000005"/>
    <n v="1.57"/>
    <n v="0"/>
    <n v="0"/>
    <n v="0"/>
    <n v="0"/>
    <n v="0"/>
    <n v="6434.72"/>
  </r>
  <r>
    <x v="10"/>
    <s v="10/2022"/>
    <s v="BHCOE - 139206-Electric - Gen - -PT"/>
    <x v="69"/>
    <x v="0"/>
    <s v="BH Colorado Electric Oper Co"/>
    <s v="SEC"/>
    <x v="1"/>
    <n v="63216.55"/>
    <n v="628.88"/>
    <n v="0"/>
    <n v="0"/>
    <n v="0"/>
    <n v="0"/>
    <n v="0"/>
    <n v="63845.43"/>
  </r>
  <r>
    <x v="10"/>
    <s v="10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11"/>
    <s v="11/2022"/>
    <s v="BHCOE - 139206 - Electric - Gen -"/>
    <x v="69"/>
    <x v="0"/>
    <s v="BH Colorado Electric Oper Co"/>
    <s v="SEC"/>
    <x v="1"/>
    <n v="78900.06"/>
    <n v="19.850000000000001"/>
    <n v="0"/>
    <n v="0"/>
    <n v="0"/>
    <n v="0"/>
    <n v="0"/>
    <n v="78919.91"/>
  </r>
  <r>
    <x v="11"/>
    <s v="11/2022"/>
    <s v="BHCOE - 139206 - Electric - Prod"/>
    <x v="69"/>
    <x v="0"/>
    <s v="BH Colorado Electric Oper Co"/>
    <s v="SEC"/>
    <x v="1"/>
    <n v="6434.72"/>
    <n v="1.57"/>
    <n v="0"/>
    <n v="0"/>
    <n v="0"/>
    <n v="0"/>
    <n v="0"/>
    <n v="6436.29"/>
  </r>
  <r>
    <x v="11"/>
    <s v="11/2022"/>
    <s v="BHCOE - 139206-Electric - Gen - -PT"/>
    <x v="69"/>
    <x v="0"/>
    <s v="BH Colorado Electric Oper Co"/>
    <s v="SEC"/>
    <x v="1"/>
    <n v="63845.43"/>
    <n v="658.83"/>
    <n v="0"/>
    <n v="0"/>
    <n v="0"/>
    <n v="0"/>
    <n v="0"/>
    <n v="64504.26"/>
  </r>
  <r>
    <x v="11"/>
    <s v="11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12"/>
    <s v="12/2022"/>
    <s v="BHCOE - 139206 - Electric - Gen -"/>
    <x v="69"/>
    <x v="0"/>
    <s v="BH Colorado Electric Oper Co"/>
    <s v="SEC"/>
    <x v="1"/>
    <n v="78919.91"/>
    <n v="19.850000000000001"/>
    <n v="0"/>
    <n v="0"/>
    <n v="0"/>
    <n v="0"/>
    <n v="0"/>
    <n v="78939.759999999995"/>
  </r>
  <r>
    <x v="12"/>
    <s v="12/2022"/>
    <s v="BHCOE - 139206 - Electric - Prod"/>
    <x v="69"/>
    <x v="0"/>
    <s v="BH Colorado Electric Oper Co"/>
    <s v="SEC"/>
    <x v="1"/>
    <n v="6436.29"/>
    <n v="1.57"/>
    <n v="0"/>
    <n v="0"/>
    <n v="0"/>
    <n v="0"/>
    <n v="0"/>
    <n v="6437.8600000000006"/>
  </r>
  <r>
    <x v="12"/>
    <s v="12/2022"/>
    <s v="BHCOE - 139206-Electric - Gen - -PT"/>
    <x v="69"/>
    <x v="0"/>
    <s v="BH Colorado Electric Oper Co"/>
    <s v="SEC"/>
    <x v="1"/>
    <n v="64504.26"/>
    <n v="664.72"/>
    <n v="0"/>
    <n v="0"/>
    <n v="0"/>
    <n v="0"/>
    <n v="0"/>
    <n v="65168.98"/>
  </r>
  <r>
    <x v="12"/>
    <s v="12/2022"/>
    <s v="BHCOE - 139206-Electric - Prod-PT"/>
    <x v="69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206-Electric - Gen - -PT"/>
    <x v="69"/>
    <x v="0"/>
    <s v="BH Colorado Electric Oper Co"/>
    <s v="SEC"/>
    <x v="3"/>
    <n v="991.74"/>
    <n v="0"/>
    <n v="0"/>
    <n v="0"/>
    <n v="0"/>
    <n v="0"/>
    <n v="0"/>
    <n v="991.74"/>
  </r>
  <r>
    <x v="0"/>
    <s v="12/2021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Gen Prod 139207"/>
    <x v="70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T&amp;D 139207"/>
    <x v="70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General 139207"/>
    <x v="70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Gen Prod 139208"/>
    <x v="71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T&amp;D 139208"/>
    <x v="71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General 139208"/>
    <x v="71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Gen Prod 139209"/>
    <x v="72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T&amp;D 139209"/>
    <x v="72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139300 - Electric - Gen -"/>
    <x v="73"/>
    <x v="0"/>
    <s v="BH Colorado Electric Oper Co"/>
    <s v="SEC"/>
    <x v="1"/>
    <n v="23069.54"/>
    <n v="126.39"/>
    <n v="0"/>
    <n v="0"/>
    <n v="0"/>
    <n v="0"/>
    <n v="0"/>
    <n v="23195.93"/>
  </r>
  <r>
    <x v="1"/>
    <s v="01/2022"/>
    <s v="BHCOE - 139300 - Electric - Gen -"/>
    <x v="73"/>
    <x v="0"/>
    <s v="BH Colorado Electric Oper Co"/>
    <s v="SEC"/>
    <x v="1"/>
    <n v="23195.93"/>
    <n v="126.39"/>
    <n v="0"/>
    <n v="0"/>
    <n v="0"/>
    <n v="0"/>
    <n v="0"/>
    <n v="23322.32"/>
  </r>
  <r>
    <x v="2"/>
    <s v="02/2022"/>
    <s v="BHCOE - 139300 - Electric - Gen -"/>
    <x v="73"/>
    <x v="0"/>
    <s v="BH Colorado Electric Oper Co"/>
    <s v="SEC"/>
    <x v="1"/>
    <n v="23322.32"/>
    <n v="126.39"/>
    <n v="0"/>
    <n v="0"/>
    <n v="0"/>
    <n v="0"/>
    <n v="0"/>
    <n v="23448.71"/>
  </r>
  <r>
    <x v="3"/>
    <s v="03/2022"/>
    <s v="BHCOE - 139300 - Electric - Gen -"/>
    <x v="73"/>
    <x v="0"/>
    <s v="BH Colorado Electric Oper Co"/>
    <s v="SEC"/>
    <x v="1"/>
    <n v="23448.71"/>
    <n v="126.39"/>
    <n v="0"/>
    <n v="0"/>
    <n v="0"/>
    <n v="0"/>
    <n v="0"/>
    <n v="23575.100000000002"/>
  </r>
  <r>
    <x v="4"/>
    <s v="04/2022"/>
    <s v="BHCOE - 139300 - Electric - Gen -"/>
    <x v="73"/>
    <x v="0"/>
    <s v="BH Colorado Electric Oper Co"/>
    <s v="SEC"/>
    <x v="1"/>
    <n v="23575.100000000002"/>
    <n v="126.39"/>
    <n v="0"/>
    <n v="0"/>
    <n v="0"/>
    <n v="0"/>
    <n v="0"/>
    <n v="23701.49"/>
  </r>
  <r>
    <x v="5"/>
    <s v="05/2022"/>
    <s v="BHCOE - 139300 - Electric - Gen -"/>
    <x v="73"/>
    <x v="0"/>
    <s v="BH Colorado Electric Oper Co"/>
    <s v="SEC"/>
    <x v="1"/>
    <n v="23701.49"/>
    <n v="126.39"/>
    <n v="0"/>
    <n v="0"/>
    <n v="0"/>
    <n v="0"/>
    <n v="0"/>
    <n v="23827.88"/>
  </r>
  <r>
    <x v="6"/>
    <s v="06/2022"/>
    <s v="BHCOE - 139300 - Electric - Gen -"/>
    <x v="73"/>
    <x v="0"/>
    <s v="BH Colorado Electric Oper Co"/>
    <s v="SEC"/>
    <x v="1"/>
    <n v="23827.88"/>
    <n v="126.39"/>
    <n v="0"/>
    <n v="0"/>
    <n v="0"/>
    <n v="0"/>
    <n v="0"/>
    <n v="23954.27"/>
  </r>
  <r>
    <x v="7"/>
    <s v="07/2022"/>
    <s v="BHCOE - 139300 - Electric - Gen -"/>
    <x v="73"/>
    <x v="0"/>
    <s v="BH Colorado Electric Oper Co"/>
    <s v="SEC"/>
    <x v="1"/>
    <n v="23954.27"/>
    <n v="126.39"/>
    <n v="0"/>
    <n v="0"/>
    <n v="0"/>
    <n v="0"/>
    <n v="0"/>
    <n v="24080.66"/>
  </r>
  <r>
    <x v="8"/>
    <s v="08/2022"/>
    <s v="BHCOE - 139300 - Electric - Gen -"/>
    <x v="73"/>
    <x v="0"/>
    <s v="BH Colorado Electric Oper Co"/>
    <s v="SEC"/>
    <x v="1"/>
    <n v="24080.66"/>
    <n v="126.39"/>
    <n v="0"/>
    <n v="0"/>
    <n v="0"/>
    <n v="0"/>
    <n v="0"/>
    <n v="24207.05"/>
  </r>
  <r>
    <x v="9"/>
    <s v="09/2022"/>
    <s v="BHCOE - 139300 - Electric - Gen -"/>
    <x v="73"/>
    <x v="0"/>
    <s v="BH Colorado Electric Oper Co"/>
    <s v="SEC"/>
    <x v="1"/>
    <n v="24207.05"/>
    <n v="126.39"/>
    <n v="0"/>
    <n v="0"/>
    <n v="0"/>
    <n v="0"/>
    <n v="0"/>
    <n v="24333.439999999999"/>
  </r>
  <r>
    <x v="10"/>
    <s v="10/2022"/>
    <s v="BHCOE - 139300 - Electric - Gen -"/>
    <x v="73"/>
    <x v="0"/>
    <s v="BH Colorado Electric Oper Co"/>
    <s v="SEC"/>
    <x v="1"/>
    <n v="24333.439999999999"/>
    <n v="126.39"/>
    <n v="0"/>
    <n v="0"/>
    <n v="0"/>
    <n v="0"/>
    <n v="0"/>
    <n v="24459.83"/>
  </r>
  <r>
    <x v="11"/>
    <s v="11/2022"/>
    <s v="BHCOE - 139300 - Electric - Gen -"/>
    <x v="73"/>
    <x v="0"/>
    <s v="BH Colorado Electric Oper Co"/>
    <s v="SEC"/>
    <x v="1"/>
    <n v="24459.83"/>
    <n v="126.39"/>
    <n v="0"/>
    <n v="0"/>
    <n v="0"/>
    <n v="0"/>
    <n v="0"/>
    <n v="24586.22"/>
  </r>
  <r>
    <x v="12"/>
    <s v="12/2022"/>
    <s v="BHCOE - 139300 - Electric - Gen -"/>
    <x v="73"/>
    <x v="0"/>
    <s v="BH Colorado Electric Oper Co"/>
    <s v="SEC"/>
    <x v="1"/>
    <n v="24586.22"/>
    <n v="126.39"/>
    <n v="0"/>
    <n v="0"/>
    <n v="0"/>
    <n v="0"/>
    <n v="0"/>
    <n v="24712.61"/>
  </r>
  <r>
    <x v="0"/>
    <s v="12/2021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0"/>
    <s v="12/2021"/>
    <s v="BHCOE - 139400 - Electric-Gen-Prod"/>
    <x v="74"/>
    <x v="0"/>
    <s v="BH Colorado Electric Oper Co"/>
    <s v="SEC"/>
    <x v="1"/>
    <n v="88685.03"/>
    <n v="5246.86"/>
    <n v="0"/>
    <n v="0"/>
    <n v="0"/>
    <n v="0"/>
    <n v="0"/>
    <n v="93931.89"/>
  </r>
  <r>
    <x v="0"/>
    <s v="12/2021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0"/>
    <s v="12/2021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1"/>
    <s v="01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1"/>
    <s v="01/2022"/>
    <s v="BHCOE - 139400 - Electric-Gen-Prod"/>
    <x v="74"/>
    <x v="0"/>
    <s v="BH Colorado Electric Oper Co"/>
    <s v="SEC"/>
    <x v="1"/>
    <n v="93931.89"/>
    <n v="5342.96"/>
    <n v="0"/>
    <n v="0"/>
    <n v="0"/>
    <n v="0"/>
    <n v="0"/>
    <n v="99274.85"/>
  </r>
  <r>
    <x v="1"/>
    <s v="01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1"/>
    <s v="01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2"/>
    <s v="02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2"/>
    <s v="02/2022"/>
    <s v="BHCOE - 139400 - Electric-Gen-Prod"/>
    <x v="74"/>
    <x v="0"/>
    <s v="BH Colorado Electric Oper Co"/>
    <s v="SEC"/>
    <x v="1"/>
    <n v="99274.85"/>
    <n v="5386.6"/>
    <n v="-42624.68"/>
    <n v="0"/>
    <n v="0"/>
    <n v="0"/>
    <n v="0"/>
    <n v="62036.770000000004"/>
  </r>
  <r>
    <x v="2"/>
    <s v="02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2"/>
    <s v="02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3"/>
    <s v="03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3"/>
    <s v="03/2022"/>
    <s v="BHCOE - 139400 - Electric-Gen-Prod"/>
    <x v="74"/>
    <x v="0"/>
    <s v="BH Colorado Electric Oper Co"/>
    <s v="SEC"/>
    <x v="1"/>
    <n v="62036.770000000004"/>
    <n v="5298.55"/>
    <n v="0"/>
    <n v="0"/>
    <n v="0"/>
    <n v="0"/>
    <n v="0"/>
    <n v="67335.320000000007"/>
  </r>
  <r>
    <x v="3"/>
    <s v="03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3"/>
    <s v="03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4"/>
    <s v="04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4"/>
    <s v="04/2022"/>
    <s v="BHCOE - 139400 - Electric-Gen-Prod"/>
    <x v="74"/>
    <x v="0"/>
    <s v="BH Colorado Electric Oper Co"/>
    <s v="SEC"/>
    <x v="1"/>
    <n v="67335.320000000007"/>
    <n v="5277.36"/>
    <n v="-2457.59"/>
    <n v="0"/>
    <n v="0"/>
    <n v="0"/>
    <n v="0"/>
    <n v="70155.09"/>
  </r>
  <r>
    <x v="4"/>
    <s v="04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4"/>
    <s v="04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5"/>
    <s v="05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5"/>
    <s v="05/2022"/>
    <s v="BHCOE - 139400 - Electric-Gen-Prod"/>
    <x v="74"/>
    <x v="0"/>
    <s v="BH Colorado Electric Oper Co"/>
    <s v="SEC"/>
    <x v="1"/>
    <n v="70155.09"/>
    <n v="5324.1500000000005"/>
    <n v="0"/>
    <n v="0"/>
    <n v="0"/>
    <n v="0"/>
    <n v="0"/>
    <n v="75479.240000000005"/>
  </r>
  <r>
    <x v="5"/>
    <s v="05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5"/>
    <s v="05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6"/>
    <s v="06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6"/>
    <s v="06/2022"/>
    <s v="BHCOE - 139400 - Electric-Gen-Prod"/>
    <x v="74"/>
    <x v="0"/>
    <s v="BH Colorado Electric Oper Co"/>
    <s v="SEC"/>
    <x v="1"/>
    <n v="75479.240000000005"/>
    <n v="5436.49"/>
    <n v="0"/>
    <n v="0"/>
    <n v="0"/>
    <n v="0"/>
    <n v="0"/>
    <n v="80915.73"/>
  </r>
  <r>
    <x v="6"/>
    <s v="06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6"/>
    <s v="06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7"/>
    <s v="07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7"/>
    <s v="07/2022"/>
    <s v="BHCOE - 139400 - Electric-Gen-Prod"/>
    <x v="74"/>
    <x v="0"/>
    <s v="BH Colorado Electric Oper Co"/>
    <s v="SEC"/>
    <x v="1"/>
    <n v="80915.73"/>
    <n v="5516.2"/>
    <n v="-55798.03"/>
    <n v="0"/>
    <n v="0"/>
    <n v="0"/>
    <n v="0"/>
    <n v="30633.9"/>
  </r>
  <r>
    <x v="7"/>
    <s v="07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7"/>
    <s v="07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8"/>
    <s v="08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8"/>
    <s v="08/2022"/>
    <s v="BHCOE - 139400 - Electric-Gen-Prod"/>
    <x v="74"/>
    <x v="0"/>
    <s v="BH Colorado Electric Oper Co"/>
    <s v="SEC"/>
    <x v="1"/>
    <n v="30633.9"/>
    <n v="5516.96"/>
    <n v="0"/>
    <n v="0"/>
    <n v="0"/>
    <n v="0"/>
    <n v="0"/>
    <n v="36150.86"/>
  </r>
  <r>
    <x v="8"/>
    <s v="08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8"/>
    <s v="08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9"/>
    <s v="09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9"/>
    <s v="09/2022"/>
    <s v="BHCOE - 139400 - Electric-Gen-Prod"/>
    <x v="74"/>
    <x v="0"/>
    <s v="BH Colorado Electric Oper Co"/>
    <s v="SEC"/>
    <x v="1"/>
    <n v="36150.86"/>
    <n v="5527.04"/>
    <n v="0"/>
    <n v="0"/>
    <n v="0"/>
    <n v="0"/>
    <n v="0"/>
    <n v="41677.9"/>
  </r>
  <r>
    <x v="9"/>
    <s v="09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9"/>
    <s v="09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10"/>
    <s v="10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10"/>
    <s v="10/2022"/>
    <s v="BHCOE - 139400 - Electric-Gen-Prod"/>
    <x v="74"/>
    <x v="0"/>
    <s v="BH Colorado Electric Oper Co"/>
    <s v="SEC"/>
    <x v="1"/>
    <n v="41677.9"/>
    <n v="5540.88"/>
    <n v="0"/>
    <n v="0"/>
    <n v="0"/>
    <n v="0"/>
    <n v="0"/>
    <n v="47218.78"/>
  </r>
  <r>
    <x v="10"/>
    <s v="10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10"/>
    <s v="10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11"/>
    <s v="11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11"/>
    <s v="11/2022"/>
    <s v="BHCOE - 139400 - Electric-Gen-Prod"/>
    <x v="74"/>
    <x v="0"/>
    <s v="BH Colorado Electric Oper Co"/>
    <s v="SEC"/>
    <x v="1"/>
    <n v="47218.78"/>
    <n v="5610.86"/>
    <n v="0"/>
    <n v="0"/>
    <n v="0"/>
    <n v="0"/>
    <n v="0"/>
    <n v="52829.64"/>
  </r>
  <r>
    <x v="11"/>
    <s v="11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11"/>
    <s v="11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12"/>
    <s v="12/2022"/>
    <s v="BHCOE - 139400 - Electric - Gen -"/>
    <x v="74"/>
    <x v="0"/>
    <s v="BH Colorado Electric Oper Co"/>
    <s v="SEC"/>
    <x v="1"/>
    <n v="0.01"/>
    <n v="0"/>
    <n v="0"/>
    <n v="0"/>
    <n v="0"/>
    <n v="0"/>
    <n v="0"/>
    <n v="0.01"/>
  </r>
  <r>
    <x v="12"/>
    <s v="12/2022"/>
    <s v="BHCOE - 139400 - Electric-Gen-Prod"/>
    <x v="74"/>
    <x v="0"/>
    <s v="BH Colorado Electric Oper Co"/>
    <s v="SEC"/>
    <x v="1"/>
    <n v="52829.64"/>
    <n v="5715.78"/>
    <n v="-2020.16"/>
    <n v="0"/>
    <n v="0"/>
    <n v="0"/>
    <n v="0"/>
    <n v="56525.26"/>
  </r>
  <r>
    <x v="12"/>
    <s v="12/2022"/>
    <s v="BHCOE - 139400 - Electric - Gen -"/>
    <x v="74"/>
    <x v="0"/>
    <s v="BH Colorado Electric Oper Co"/>
    <s v="SEC"/>
    <x v="3"/>
    <n v="-0.03"/>
    <n v="0"/>
    <n v="0"/>
    <n v="0"/>
    <n v="0"/>
    <n v="0"/>
    <n v="0"/>
    <n v="-0.03"/>
  </r>
  <r>
    <x v="12"/>
    <s v="12/2022"/>
    <s v="BHCOE - 139400 - Electric-Gen-Prod"/>
    <x v="74"/>
    <x v="0"/>
    <s v="BH Colorado Electric Oper Co"/>
    <s v="SEC"/>
    <x v="3"/>
    <n v="281245.40000000002"/>
    <n v="0"/>
    <n v="0"/>
    <n v="0"/>
    <n v="0"/>
    <n v="0"/>
    <n v="0"/>
    <n v="281245.40000000002"/>
  </r>
  <r>
    <x v="0"/>
    <s v="12/2021"/>
    <s v="BHCOE - 139410 - Electric - Gen -"/>
    <x v="75"/>
    <x v="0"/>
    <s v="BH Colorado Electric Oper Co"/>
    <s v="SEC"/>
    <x v="1"/>
    <n v="-9310.06"/>
    <n v="24.810000000000002"/>
    <n v="0"/>
    <n v="0"/>
    <n v="0"/>
    <n v="0"/>
    <n v="0"/>
    <n v="-9285.25"/>
  </r>
  <r>
    <x v="0"/>
    <s v="12/2021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1"/>
    <s v="01/2022"/>
    <s v="BHCOE - 139410 - Electric - Gen -"/>
    <x v="75"/>
    <x v="0"/>
    <s v="BH Colorado Electric Oper Co"/>
    <s v="SEC"/>
    <x v="1"/>
    <n v="-9285.25"/>
    <n v="24.810000000000002"/>
    <n v="0"/>
    <n v="0"/>
    <n v="0"/>
    <n v="0"/>
    <n v="0"/>
    <n v="-9260.44"/>
  </r>
  <r>
    <x v="1"/>
    <s v="01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2"/>
    <s v="02/2022"/>
    <s v="BHCOE - 139410 - Electric - Gen -"/>
    <x v="75"/>
    <x v="0"/>
    <s v="BH Colorado Electric Oper Co"/>
    <s v="SEC"/>
    <x v="1"/>
    <n v="-9260.44"/>
    <n v="24.810000000000002"/>
    <n v="0"/>
    <n v="0"/>
    <n v="0"/>
    <n v="0"/>
    <n v="0"/>
    <n v="-9235.630000000001"/>
  </r>
  <r>
    <x v="2"/>
    <s v="02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3"/>
    <s v="03/2022"/>
    <s v="BHCOE - 139410 - Electric - Gen -"/>
    <x v="75"/>
    <x v="0"/>
    <s v="BH Colorado Electric Oper Co"/>
    <s v="SEC"/>
    <x v="1"/>
    <n v="-9235.630000000001"/>
    <n v="24.810000000000002"/>
    <n v="0"/>
    <n v="0"/>
    <n v="0"/>
    <n v="0"/>
    <n v="0"/>
    <n v="-9210.82"/>
  </r>
  <r>
    <x v="3"/>
    <s v="03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4"/>
    <s v="04/2022"/>
    <s v="BHCOE - 139410 - Electric - Gen -"/>
    <x v="75"/>
    <x v="0"/>
    <s v="BH Colorado Electric Oper Co"/>
    <s v="SEC"/>
    <x v="1"/>
    <n v="-9210.82"/>
    <n v="24.810000000000002"/>
    <n v="0"/>
    <n v="0"/>
    <n v="0"/>
    <n v="0"/>
    <n v="0"/>
    <n v="-9186.01"/>
  </r>
  <r>
    <x v="4"/>
    <s v="04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5"/>
    <s v="05/2022"/>
    <s v="BHCOE - 139410 - Electric - Gen -"/>
    <x v="75"/>
    <x v="0"/>
    <s v="BH Colorado Electric Oper Co"/>
    <s v="SEC"/>
    <x v="1"/>
    <n v="-9186.01"/>
    <n v="24.810000000000002"/>
    <n v="0"/>
    <n v="0"/>
    <n v="0"/>
    <n v="0"/>
    <n v="0"/>
    <n v="-9161.2000000000007"/>
  </r>
  <r>
    <x v="5"/>
    <s v="05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6"/>
    <s v="06/2022"/>
    <s v="BHCOE - 139410 - Electric - Gen -"/>
    <x v="75"/>
    <x v="0"/>
    <s v="BH Colorado Electric Oper Co"/>
    <s v="SEC"/>
    <x v="1"/>
    <n v="-9161.2000000000007"/>
    <n v="24.810000000000002"/>
    <n v="0"/>
    <n v="0"/>
    <n v="0"/>
    <n v="0"/>
    <n v="0"/>
    <n v="-9136.39"/>
  </r>
  <r>
    <x v="6"/>
    <s v="06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7"/>
    <s v="07/2022"/>
    <s v="BHCOE - 139410 - Electric - Gen -"/>
    <x v="75"/>
    <x v="0"/>
    <s v="BH Colorado Electric Oper Co"/>
    <s v="SEC"/>
    <x v="1"/>
    <n v="-9136.39"/>
    <n v="24.810000000000002"/>
    <n v="0"/>
    <n v="0"/>
    <n v="0"/>
    <n v="0"/>
    <n v="0"/>
    <n v="-9111.58"/>
  </r>
  <r>
    <x v="7"/>
    <s v="07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8"/>
    <s v="08/2022"/>
    <s v="BHCOE - 139410 - Electric - Gen -"/>
    <x v="75"/>
    <x v="0"/>
    <s v="BH Colorado Electric Oper Co"/>
    <s v="SEC"/>
    <x v="1"/>
    <n v="-9111.58"/>
    <n v="24.810000000000002"/>
    <n v="0"/>
    <n v="0"/>
    <n v="0"/>
    <n v="0"/>
    <n v="0"/>
    <n v="-9086.77"/>
  </r>
  <r>
    <x v="8"/>
    <s v="08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9"/>
    <s v="09/2022"/>
    <s v="BHCOE - 139410 - Electric - Gen -"/>
    <x v="75"/>
    <x v="0"/>
    <s v="BH Colorado Electric Oper Co"/>
    <s v="SEC"/>
    <x v="1"/>
    <n v="-9086.77"/>
    <n v="24.810000000000002"/>
    <n v="0"/>
    <n v="0"/>
    <n v="0"/>
    <n v="0"/>
    <n v="0"/>
    <n v="-9061.9600000000009"/>
  </r>
  <r>
    <x v="9"/>
    <s v="09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10"/>
    <s v="10/2022"/>
    <s v="BHCOE - 139410 - Electric - Gen -"/>
    <x v="75"/>
    <x v="0"/>
    <s v="BH Colorado Electric Oper Co"/>
    <s v="SEC"/>
    <x v="1"/>
    <n v="-9061.9600000000009"/>
    <n v="24.810000000000002"/>
    <n v="0"/>
    <n v="0"/>
    <n v="0"/>
    <n v="0"/>
    <n v="0"/>
    <n v="-9037.15"/>
  </r>
  <r>
    <x v="10"/>
    <s v="10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11"/>
    <s v="11/2022"/>
    <s v="BHCOE - 139410 - Electric - Gen -"/>
    <x v="75"/>
    <x v="0"/>
    <s v="BH Colorado Electric Oper Co"/>
    <s v="SEC"/>
    <x v="1"/>
    <n v="-9037.15"/>
    <n v="24.810000000000002"/>
    <n v="0"/>
    <n v="0"/>
    <n v="0"/>
    <n v="0"/>
    <n v="0"/>
    <n v="-9012.34"/>
  </r>
  <r>
    <x v="11"/>
    <s v="11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12"/>
    <s v="12/2022"/>
    <s v="BHCOE - 139410 - Electric - Gen -"/>
    <x v="75"/>
    <x v="0"/>
    <s v="BH Colorado Electric Oper Co"/>
    <s v="SEC"/>
    <x v="1"/>
    <n v="-9012.34"/>
    <n v="24.810000000000002"/>
    <n v="0"/>
    <n v="0"/>
    <n v="0"/>
    <n v="0"/>
    <n v="0"/>
    <n v="-8987.5300000000007"/>
  </r>
  <r>
    <x v="12"/>
    <s v="12/2022"/>
    <s v="BHCOE - 139410 - Electric - Gen -"/>
    <x v="75"/>
    <x v="0"/>
    <s v="BH Colorado Electric Oper Co"/>
    <s v="SEC"/>
    <x v="3"/>
    <n v="-7.24"/>
    <n v="0"/>
    <n v="0"/>
    <n v="0"/>
    <n v="0"/>
    <n v="0"/>
    <n v="0"/>
    <n v="-7.24"/>
  </r>
  <r>
    <x v="0"/>
    <s v="12/2021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500 - Electric-Gen-Prod"/>
    <x v="76"/>
    <x v="0"/>
    <s v="BH Colorado Electric Oper Co"/>
    <s v="SEC"/>
    <x v="1"/>
    <n v="245560.45"/>
    <n v="468.73"/>
    <n v="-84391.92"/>
    <n v="0"/>
    <n v="0"/>
    <n v="0"/>
    <n v="0"/>
    <n v="161637.26"/>
  </r>
  <r>
    <x v="0"/>
    <s v="12/2021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1"/>
    <s v="01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500 - Electric-Gen-Prod"/>
    <x v="76"/>
    <x v="0"/>
    <s v="BH Colorado Electric Oper Co"/>
    <s v="SEC"/>
    <x v="1"/>
    <n v="161637.26"/>
    <n v="432.61"/>
    <n v="0"/>
    <n v="0"/>
    <n v="0"/>
    <n v="0"/>
    <n v="0"/>
    <n v="162069.87"/>
  </r>
  <r>
    <x v="1"/>
    <s v="01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2"/>
    <s v="02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500 - Electric-Gen-Prod"/>
    <x v="76"/>
    <x v="0"/>
    <s v="BH Colorado Electric Oper Co"/>
    <s v="SEC"/>
    <x v="1"/>
    <n v="162069.87"/>
    <n v="433.44"/>
    <n v="0"/>
    <n v="0"/>
    <n v="0"/>
    <n v="0"/>
    <n v="0"/>
    <n v="162503.31"/>
  </r>
  <r>
    <x v="2"/>
    <s v="02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3"/>
    <s v="03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500 - Electric-Gen-Prod"/>
    <x v="76"/>
    <x v="0"/>
    <s v="BH Colorado Electric Oper Co"/>
    <s v="SEC"/>
    <x v="1"/>
    <n v="162503.31"/>
    <n v="433.16"/>
    <n v="0"/>
    <n v="0"/>
    <n v="0"/>
    <n v="0"/>
    <n v="0"/>
    <n v="162936.47"/>
  </r>
  <r>
    <x v="3"/>
    <s v="03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4"/>
    <s v="04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500 - Electric-Gen-Prod"/>
    <x v="76"/>
    <x v="0"/>
    <s v="BH Colorado Electric Oper Co"/>
    <s v="SEC"/>
    <x v="1"/>
    <n v="162936.47"/>
    <n v="429.27"/>
    <n v="-7416.74"/>
    <n v="0"/>
    <n v="0"/>
    <n v="0"/>
    <n v="0"/>
    <n v="155949"/>
  </r>
  <r>
    <x v="4"/>
    <s v="04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5"/>
    <s v="05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500 - Electric-Gen-Prod"/>
    <x v="76"/>
    <x v="0"/>
    <s v="BH Colorado Electric Oper Co"/>
    <s v="SEC"/>
    <x v="1"/>
    <n v="155949"/>
    <n v="425.38"/>
    <n v="0"/>
    <n v="0"/>
    <n v="0"/>
    <n v="0"/>
    <n v="0"/>
    <n v="156374.38"/>
  </r>
  <r>
    <x v="5"/>
    <s v="05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6"/>
    <s v="06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500 - Electric-Gen-Prod"/>
    <x v="76"/>
    <x v="0"/>
    <s v="BH Colorado Electric Oper Co"/>
    <s v="SEC"/>
    <x v="1"/>
    <n v="156374.38"/>
    <n v="418.92"/>
    <n v="0"/>
    <n v="0"/>
    <n v="0"/>
    <n v="0"/>
    <n v="0"/>
    <n v="156793.30000000002"/>
  </r>
  <r>
    <x v="6"/>
    <s v="06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7"/>
    <s v="07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500 - Electric-Gen-Prod"/>
    <x v="76"/>
    <x v="0"/>
    <s v="BH Colorado Electric Oper Co"/>
    <s v="SEC"/>
    <x v="1"/>
    <n v="156793.30000000002"/>
    <n v="395.36"/>
    <n v="-32566.97"/>
    <n v="0"/>
    <n v="0"/>
    <n v="0"/>
    <n v="0"/>
    <n v="124621.69"/>
  </r>
  <r>
    <x v="7"/>
    <s v="07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8"/>
    <s v="08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500 - Electric-Gen-Prod"/>
    <x v="76"/>
    <x v="0"/>
    <s v="BH Colorado Electric Oper Co"/>
    <s v="SEC"/>
    <x v="1"/>
    <n v="124621.69"/>
    <n v="378.27"/>
    <n v="0"/>
    <n v="0"/>
    <n v="0"/>
    <n v="0"/>
    <n v="0"/>
    <n v="124999.96"/>
  </r>
  <r>
    <x v="8"/>
    <s v="08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9"/>
    <s v="09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500 - Electric-Gen-Prod"/>
    <x v="76"/>
    <x v="0"/>
    <s v="BH Colorado Electric Oper Co"/>
    <s v="SEC"/>
    <x v="1"/>
    <n v="124999.96"/>
    <n v="375.66"/>
    <n v="-4954.59"/>
    <n v="0"/>
    <n v="0"/>
    <n v="0"/>
    <n v="0"/>
    <n v="120421.03"/>
  </r>
  <r>
    <x v="9"/>
    <s v="09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10"/>
    <s v="10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500 - Electric-Gen-Prod"/>
    <x v="76"/>
    <x v="0"/>
    <s v="BH Colorado Electric Oper Co"/>
    <s v="SEC"/>
    <x v="1"/>
    <n v="120421.03"/>
    <n v="373.06"/>
    <n v="0"/>
    <n v="0"/>
    <n v="0"/>
    <n v="0"/>
    <n v="0"/>
    <n v="120794.09"/>
  </r>
  <r>
    <x v="10"/>
    <s v="10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11"/>
    <s v="11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500 - Electric-Gen-Prod"/>
    <x v="76"/>
    <x v="0"/>
    <s v="BH Colorado Electric Oper Co"/>
    <s v="SEC"/>
    <x v="1"/>
    <n v="120794.09"/>
    <n v="373.06"/>
    <n v="0"/>
    <n v="0"/>
    <n v="0"/>
    <n v="0"/>
    <n v="0"/>
    <n v="121167.15000000001"/>
  </r>
  <r>
    <x v="11"/>
    <s v="11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12"/>
    <s v="12/2022"/>
    <s v="BHCOE - 139500 - Electric - Gen -"/>
    <x v="76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500 - Electric-Gen-Prod"/>
    <x v="76"/>
    <x v="0"/>
    <s v="BH Colorado Electric Oper Co"/>
    <s v="SEC"/>
    <x v="1"/>
    <n v="121167.15000000001"/>
    <n v="373.06"/>
    <n v="0"/>
    <n v="0"/>
    <n v="0"/>
    <n v="0"/>
    <n v="0"/>
    <n v="121540.21"/>
  </r>
  <r>
    <x v="12"/>
    <s v="12/2022"/>
    <s v="BHCOE - 139500 - Electric-Gen-Prod"/>
    <x v="76"/>
    <x v="0"/>
    <s v="BH Colorado Electric Oper Co"/>
    <s v="SEC"/>
    <x v="3"/>
    <n v="10633.4"/>
    <n v="0"/>
    <n v="0"/>
    <n v="0"/>
    <n v="0"/>
    <n v="0"/>
    <n v="0"/>
    <n v="10633.4"/>
  </r>
  <r>
    <x v="0"/>
    <s v="12/2021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0"/>
    <s v="12/2021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0"/>
    <s v="12/2021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1"/>
    <s v="01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1"/>
    <s v="01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2"/>
    <s v="02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2"/>
    <s v="02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3"/>
    <s v="03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3"/>
    <s v="03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4"/>
    <s v="04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4"/>
    <s v="04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5"/>
    <s v="05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5"/>
    <s v="05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6"/>
    <s v="06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6"/>
    <s v="06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7"/>
    <s v="07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7"/>
    <s v="07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8"/>
    <s v="08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8"/>
    <s v="08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9"/>
    <s v="09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9"/>
    <s v="09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10"/>
    <s v="10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10"/>
    <s v="10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11"/>
    <s v="11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11"/>
    <s v="11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601 - Electric - Gen -"/>
    <x v="77"/>
    <x v="0"/>
    <s v="BH Colorado Electric Oper Co"/>
    <s v="SEC"/>
    <x v="1"/>
    <n v="24989.7"/>
    <n v="0"/>
    <n v="0"/>
    <n v="0"/>
    <n v="0"/>
    <n v="0"/>
    <n v="0"/>
    <n v="24989.7"/>
  </r>
  <r>
    <x v="12"/>
    <s v="12/2022"/>
    <s v="BHCOE - 139601 - Electric-Gen-Prod"/>
    <x v="77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601-Electric - Gen - -PT"/>
    <x v="77"/>
    <x v="0"/>
    <s v="BH Colorado Electric Oper Co"/>
    <s v="SEC"/>
    <x v="1"/>
    <n v="285970.87"/>
    <n v="0"/>
    <n v="0"/>
    <n v="0"/>
    <n v="0"/>
    <n v="0"/>
    <n v="0"/>
    <n v="285970.87"/>
  </r>
  <r>
    <x v="12"/>
    <s v="12/2022"/>
    <s v="BHCOE - 139601-Electric-Gen-Prod-PT"/>
    <x v="77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602 - Electric - Gen -"/>
    <x v="78"/>
    <x v="0"/>
    <s v="BH Colorado Electric Oper Co"/>
    <s v="SEC"/>
    <x v="1"/>
    <n v="186033.16"/>
    <n v="928.48"/>
    <n v="0"/>
    <n v="0"/>
    <n v="0"/>
    <n v="0"/>
    <n v="0"/>
    <n v="186961.64"/>
  </r>
  <r>
    <x v="0"/>
    <s v="12/2021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602-Electric - Gen - -PT"/>
    <x v="78"/>
    <x v="0"/>
    <s v="BH Colorado Electric Oper Co"/>
    <s v="SEC"/>
    <x v="1"/>
    <n v="703442.72"/>
    <n v="8133.7"/>
    <n v="0"/>
    <n v="0"/>
    <n v="0"/>
    <n v="0"/>
    <n v="0"/>
    <n v="711576.42"/>
  </r>
  <r>
    <x v="0"/>
    <s v="12/2021"/>
    <s v="BHCOE - 139602-Electric-Gen-Prod-PT"/>
    <x v="78"/>
    <x v="0"/>
    <s v="BH Colorado Electric Oper Co"/>
    <s v="SEC"/>
    <x v="1"/>
    <n v="-149012.38"/>
    <n v="134.65"/>
    <n v="0"/>
    <n v="0"/>
    <n v="0"/>
    <n v="0"/>
    <n v="0"/>
    <n v="-148877.73000000001"/>
  </r>
  <r>
    <x v="0"/>
    <s v="12/2021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1"/>
    <s v="01/2022"/>
    <s v="BHCOE - 139602 - Electric - Gen -"/>
    <x v="78"/>
    <x v="0"/>
    <s v="BH Colorado Electric Oper Co"/>
    <s v="SEC"/>
    <x v="1"/>
    <n v="186961.64"/>
    <n v="928.48"/>
    <n v="0"/>
    <n v="0"/>
    <n v="0"/>
    <n v="0"/>
    <n v="0"/>
    <n v="187890.12"/>
  </r>
  <r>
    <x v="1"/>
    <s v="01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602-Electric - Gen - -PT"/>
    <x v="78"/>
    <x v="0"/>
    <s v="BH Colorado Electric Oper Co"/>
    <s v="SEC"/>
    <x v="1"/>
    <n v="711576.42"/>
    <n v="8133.7"/>
    <n v="0"/>
    <n v="0"/>
    <n v="0"/>
    <n v="0"/>
    <n v="0"/>
    <n v="719710.12"/>
  </r>
  <r>
    <x v="1"/>
    <s v="01/2022"/>
    <s v="BHCOE - 139602-Electric-Gen-Prod-PT"/>
    <x v="78"/>
    <x v="0"/>
    <s v="BH Colorado Electric Oper Co"/>
    <s v="SEC"/>
    <x v="1"/>
    <n v="-148877.73000000001"/>
    <n v="134.65"/>
    <n v="0"/>
    <n v="0"/>
    <n v="0"/>
    <n v="0"/>
    <n v="0"/>
    <n v="-148743.08000000002"/>
  </r>
  <r>
    <x v="1"/>
    <s v="01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2"/>
    <s v="02/2022"/>
    <s v="BHCOE - 139602 - Electric - Gen -"/>
    <x v="78"/>
    <x v="0"/>
    <s v="BH Colorado Electric Oper Co"/>
    <s v="SEC"/>
    <x v="1"/>
    <n v="187890.12"/>
    <n v="928.48"/>
    <n v="0"/>
    <n v="0"/>
    <n v="0"/>
    <n v="0"/>
    <n v="0"/>
    <n v="188818.6"/>
  </r>
  <r>
    <x v="2"/>
    <s v="02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602-Electric - Gen - -PT"/>
    <x v="78"/>
    <x v="0"/>
    <s v="BH Colorado Electric Oper Co"/>
    <s v="SEC"/>
    <x v="1"/>
    <n v="719710.12"/>
    <n v="8133.7"/>
    <n v="0"/>
    <n v="0"/>
    <n v="0"/>
    <n v="0"/>
    <n v="0"/>
    <n v="727843.82000000007"/>
  </r>
  <r>
    <x v="2"/>
    <s v="02/2022"/>
    <s v="BHCOE - 139602-Electric-Gen-Prod-PT"/>
    <x v="78"/>
    <x v="0"/>
    <s v="BH Colorado Electric Oper Co"/>
    <s v="SEC"/>
    <x v="1"/>
    <n v="-148743.08000000002"/>
    <n v="134.65"/>
    <n v="0"/>
    <n v="0"/>
    <n v="0"/>
    <n v="0"/>
    <n v="0"/>
    <n v="-148608.43"/>
  </r>
  <r>
    <x v="2"/>
    <s v="02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3"/>
    <s v="03/2022"/>
    <s v="BHCOE - 139602 - Electric - Gen -"/>
    <x v="78"/>
    <x v="0"/>
    <s v="BH Colorado Electric Oper Co"/>
    <s v="SEC"/>
    <x v="1"/>
    <n v="188818.6"/>
    <n v="928.48"/>
    <n v="0"/>
    <n v="0"/>
    <n v="0"/>
    <n v="0"/>
    <n v="0"/>
    <n v="189747.08000000002"/>
  </r>
  <r>
    <x v="3"/>
    <s v="03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602-Electric - Gen - -PT"/>
    <x v="78"/>
    <x v="0"/>
    <s v="BH Colorado Electric Oper Co"/>
    <s v="SEC"/>
    <x v="1"/>
    <n v="727843.82000000007"/>
    <n v="8254.23"/>
    <n v="0"/>
    <n v="0"/>
    <n v="0"/>
    <n v="0"/>
    <n v="0"/>
    <n v="736098.05"/>
  </r>
  <r>
    <x v="3"/>
    <s v="03/2022"/>
    <s v="BHCOE - 139602-Electric-Gen-Prod-PT"/>
    <x v="78"/>
    <x v="0"/>
    <s v="BH Colorado Electric Oper Co"/>
    <s v="SEC"/>
    <x v="1"/>
    <n v="-148608.43"/>
    <n v="134.65"/>
    <n v="0"/>
    <n v="0"/>
    <n v="0"/>
    <n v="0"/>
    <n v="0"/>
    <n v="-148473.78"/>
  </r>
  <r>
    <x v="3"/>
    <s v="03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4"/>
    <s v="04/2022"/>
    <s v="BHCOE - 139602 - Electric - Gen -"/>
    <x v="78"/>
    <x v="0"/>
    <s v="BH Colorado Electric Oper Co"/>
    <s v="SEC"/>
    <x v="1"/>
    <n v="189747.08000000002"/>
    <n v="928.48"/>
    <n v="0"/>
    <n v="0"/>
    <n v="0"/>
    <n v="0"/>
    <n v="0"/>
    <n v="190675.56"/>
  </r>
  <r>
    <x v="4"/>
    <s v="04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602-Electric - Gen - -PT"/>
    <x v="78"/>
    <x v="0"/>
    <s v="BH Colorado Electric Oper Co"/>
    <s v="SEC"/>
    <x v="1"/>
    <n v="736098.05"/>
    <n v="8374.77"/>
    <n v="0"/>
    <n v="0"/>
    <n v="0"/>
    <n v="0"/>
    <n v="0"/>
    <n v="744472.82000000007"/>
  </r>
  <r>
    <x v="4"/>
    <s v="04/2022"/>
    <s v="BHCOE - 139602-Electric-Gen-Prod-PT"/>
    <x v="78"/>
    <x v="0"/>
    <s v="BH Colorado Electric Oper Co"/>
    <s v="SEC"/>
    <x v="1"/>
    <n v="-148473.78"/>
    <n v="134.65"/>
    <n v="0"/>
    <n v="0"/>
    <n v="0"/>
    <n v="0"/>
    <n v="0"/>
    <n v="-148339.13"/>
  </r>
  <r>
    <x v="4"/>
    <s v="04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5"/>
    <s v="05/2022"/>
    <s v="BHCOE - 139602 - Electric - Gen -"/>
    <x v="78"/>
    <x v="0"/>
    <s v="BH Colorado Electric Oper Co"/>
    <s v="SEC"/>
    <x v="1"/>
    <n v="190675.56"/>
    <n v="928.48"/>
    <n v="0"/>
    <n v="0"/>
    <n v="0"/>
    <n v="0"/>
    <n v="0"/>
    <n v="191604.04"/>
  </r>
  <r>
    <x v="5"/>
    <s v="05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602-Electric - Gen - -PT"/>
    <x v="78"/>
    <x v="0"/>
    <s v="BH Colorado Electric Oper Co"/>
    <s v="SEC"/>
    <x v="1"/>
    <n v="744472.82000000007"/>
    <n v="8374.77"/>
    <n v="0"/>
    <n v="0"/>
    <n v="0"/>
    <n v="0"/>
    <n v="0"/>
    <n v="752847.59"/>
  </r>
  <r>
    <x v="5"/>
    <s v="05/2022"/>
    <s v="BHCOE - 139602-Electric-Gen-Prod-PT"/>
    <x v="78"/>
    <x v="0"/>
    <s v="BH Colorado Electric Oper Co"/>
    <s v="SEC"/>
    <x v="1"/>
    <n v="-148339.13"/>
    <n v="134.65"/>
    <n v="0"/>
    <n v="0"/>
    <n v="0"/>
    <n v="0"/>
    <n v="0"/>
    <n v="-148204.48000000001"/>
  </r>
  <r>
    <x v="5"/>
    <s v="05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6"/>
    <s v="06/2022"/>
    <s v="BHCOE - 139602 - Electric - Gen -"/>
    <x v="78"/>
    <x v="0"/>
    <s v="BH Colorado Electric Oper Co"/>
    <s v="SEC"/>
    <x v="1"/>
    <n v="191604.04"/>
    <n v="928.48"/>
    <n v="0"/>
    <n v="0"/>
    <n v="0"/>
    <n v="0"/>
    <n v="0"/>
    <n v="192532.52"/>
  </r>
  <r>
    <x v="6"/>
    <s v="06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602-Electric - Gen - -PT"/>
    <x v="78"/>
    <x v="0"/>
    <s v="BH Colorado Electric Oper Co"/>
    <s v="SEC"/>
    <x v="1"/>
    <n v="752847.59"/>
    <n v="8374.77"/>
    <n v="0"/>
    <n v="0"/>
    <n v="0"/>
    <n v="0"/>
    <n v="0"/>
    <n v="761222.36"/>
  </r>
  <r>
    <x v="6"/>
    <s v="06/2022"/>
    <s v="BHCOE - 139602-Electric-Gen-Prod-PT"/>
    <x v="78"/>
    <x v="0"/>
    <s v="BH Colorado Electric Oper Co"/>
    <s v="SEC"/>
    <x v="1"/>
    <n v="-148204.48000000001"/>
    <n v="134.65"/>
    <n v="0"/>
    <n v="0"/>
    <n v="0"/>
    <n v="0"/>
    <n v="0"/>
    <n v="-148069.83000000002"/>
  </r>
  <r>
    <x v="6"/>
    <s v="06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7"/>
    <s v="07/2022"/>
    <s v="BHCOE - 139602 - Electric - Gen -"/>
    <x v="78"/>
    <x v="0"/>
    <s v="BH Colorado Electric Oper Co"/>
    <s v="SEC"/>
    <x v="1"/>
    <n v="192532.52"/>
    <n v="928.48"/>
    <n v="0"/>
    <n v="0"/>
    <n v="0"/>
    <n v="0"/>
    <n v="0"/>
    <n v="193461"/>
  </r>
  <r>
    <x v="7"/>
    <s v="07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602-Electric - Gen - -PT"/>
    <x v="78"/>
    <x v="0"/>
    <s v="BH Colorado Electric Oper Co"/>
    <s v="SEC"/>
    <x v="1"/>
    <n v="761222.36"/>
    <n v="8374.77"/>
    <n v="0"/>
    <n v="0"/>
    <n v="0"/>
    <n v="0"/>
    <n v="0"/>
    <n v="769597.13"/>
  </r>
  <r>
    <x v="7"/>
    <s v="07/2022"/>
    <s v="BHCOE - 139602-Electric-Gen-Prod-PT"/>
    <x v="78"/>
    <x v="0"/>
    <s v="BH Colorado Electric Oper Co"/>
    <s v="SEC"/>
    <x v="1"/>
    <n v="-148069.83000000002"/>
    <n v="134.65"/>
    <n v="0"/>
    <n v="0"/>
    <n v="0"/>
    <n v="0"/>
    <n v="0"/>
    <n v="-147935.18"/>
  </r>
  <r>
    <x v="7"/>
    <s v="07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8"/>
    <s v="08/2022"/>
    <s v="BHCOE - 139602 - Electric - Gen -"/>
    <x v="78"/>
    <x v="0"/>
    <s v="BH Colorado Electric Oper Co"/>
    <s v="SEC"/>
    <x v="1"/>
    <n v="193461"/>
    <n v="928.48"/>
    <n v="0"/>
    <n v="0"/>
    <n v="0"/>
    <n v="0"/>
    <n v="0"/>
    <n v="194389.48"/>
  </r>
  <r>
    <x v="8"/>
    <s v="08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602-Electric - Gen - -PT"/>
    <x v="78"/>
    <x v="0"/>
    <s v="BH Colorado Electric Oper Co"/>
    <s v="SEC"/>
    <x v="1"/>
    <n v="769597.13"/>
    <n v="8385.5400000000009"/>
    <n v="0"/>
    <n v="0"/>
    <n v="0"/>
    <n v="0"/>
    <n v="0"/>
    <n v="777982.67"/>
  </r>
  <r>
    <x v="8"/>
    <s v="08/2022"/>
    <s v="BHCOE - 139602-Electric-Gen-Prod-PT"/>
    <x v="78"/>
    <x v="0"/>
    <s v="BH Colorado Electric Oper Co"/>
    <s v="SEC"/>
    <x v="1"/>
    <n v="-147935.18"/>
    <n v="134.65"/>
    <n v="0"/>
    <n v="0"/>
    <n v="0"/>
    <n v="0"/>
    <n v="0"/>
    <n v="-147800.53"/>
  </r>
  <r>
    <x v="8"/>
    <s v="08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9"/>
    <s v="09/2022"/>
    <s v="BHCOE - 139602 - Electric - Gen -"/>
    <x v="78"/>
    <x v="0"/>
    <s v="BH Colorado Electric Oper Co"/>
    <s v="SEC"/>
    <x v="1"/>
    <n v="194389.48"/>
    <n v="928.48"/>
    <n v="0"/>
    <n v="0"/>
    <n v="0"/>
    <n v="0"/>
    <n v="0"/>
    <n v="195317.96"/>
  </r>
  <r>
    <x v="9"/>
    <s v="09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602-Electric - Gen - -PT"/>
    <x v="78"/>
    <x v="0"/>
    <s v="BH Colorado Electric Oper Co"/>
    <s v="SEC"/>
    <x v="1"/>
    <n v="777982.67"/>
    <n v="8396.33"/>
    <n v="0"/>
    <n v="0"/>
    <n v="0"/>
    <n v="0"/>
    <n v="0"/>
    <n v="786379"/>
  </r>
  <r>
    <x v="9"/>
    <s v="09/2022"/>
    <s v="BHCOE - 139602-Electric-Gen-Prod-PT"/>
    <x v="78"/>
    <x v="0"/>
    <s v="BH Colorado Electric Oper Co"/>
    <s v="SEC"/>
    <x v="1"/>
    <n v="-147800.53"/>
    <n v="134.65"/>
    <n v="0"/>
    <n v="0"/>
    <n v="0"/>
    <n v="0"/>
    <n v="0"/>
    <n v="-147665.88"/>
  </r>
  <r>
    <x v="9"/>
    <s v="09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10"/>
    <s v="10/2022"/>
    <s v="BHCOE - 139602 - Electric - Gen -"/>
    <x v="78"/>
    <x v="0"/>
    <s v="BH Colorado Electric Oper Co"/>
    <s v="SEC"/>
    <x v="1"/>
    <n v="195317.96"/>
    <n v="928.48"/>
    <n v="0"/>
    <n v="0"/>
    <n v="0"/>
    <n v="0"/>
    <n v="0"/>
    <n v="196246.44"/>
  </r>
  <r>
    <x v="10"/>
    <s v="10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602-Electric - Gen - -PT"/>
    <x v="78"/>
    <x v="0"/>
    <s v="BH Colorado Electric Oper Co"/>
    <s v="SEC"/>
    <x v="1"/>
    <n v="786379"/>
    <n v="8396.33"/>
    <n v="0"/>
    <n v="0"/>
    <n v="0"/>
    <n v="0"/>
    <n v="0"/>
    <n v="794775.33000000007"/>
  </r>
  <r>
    <x v="10"/>
    <s v="10/2022"/>
    <s v="BHCOE - 139602-Electric-Gen-Prod-PT"/>
    <x v="78"/>
    <x v="0"/>
    <s v="BH Colorado Electric Oper Co"/>
    <s v="SEC"/>
    <x v="1"/>
    <n v="-147665.88"/>
    <n v="134.65"/>
    <n v="0"/>
    <n v="0"/>
    <n v="0"/>
    <n v="0"/>
    <n v="0"/>
    <n v="-147531.23000000001"/>
  </r>
  <r>
    <x v="10"/>
    <s v="10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11"/>
    <s v="11/2022"/>
    <s v="BHCOE - 139602 - Electric - Gen -"/>
    <x v="78"/>
    <x v="0"/>
    <s v="BH Colorado Electric Oper Co"/>
    <s v="SEC"/>
    <x v="1"/>
    <n v="196246.44"/>
    <n v="928.48"/>
    <n v="0"/>
    <n v="0"/>
    <n v="0"/>
    <n v="0"/>
    <n v="0"/>
    <n v="197174.92"/>
  </r>
  <r>
    <x v="11"/>
    <s v="11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602-Electric - Gen - -PT"/>
    <x v="78"/>
    <x v="0"/>
    <s v="BH Colorado Electric Oper Co"/>
    <s v="SEC"/>
    <x v="1"/>
    <n v="794775.33000000007"/>
    <n v="8396.33"/>
    <n v="0"/>
    <n v="0"/>
    <n v="0"/>
    <n v="0"/>
    <n v="0"/>
    <n v="803171.66"/>
  </r>
  <r>
    <x v="11"/>
    <s v="11/2022"/>
    <s v="BHCOE - 139602-Electric-Gen-Prod-PT"/>
    <x v="78"/>
    <x v="0"/>
    <s v="BH Colorado Electric Oper Co"/>
    <s v="SEC"/>
    <x v="1"/>
    <n v="-147531.23000000001"/>
    <n v="134.65"/>
    <n v="0"/>
    <n v="0"/>
    <n v="0"/>
    <n v="0"/>
    <n v="0"/>
    <n v="-147396.58000000002"/>
  </r>
  <r>
    <x v="11"/>
    <s v="11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12"/>
    <s v="12/2022"/>
    <s v="BHCOE - 139602 - Electric - Gen -"/>
    <x v="78"/>
    <x v="0"/>
    <s v="BH Colorado Electric Oper Co"/>
    <s v="SEC"/>
    <x v="1"/>
    <n v="197174.92"/>
    <n v="928.48"/>
    <n v="0"/>
    <n v="0"/>
    <n v="0"/>
    <n v="0"/>
    <n v="0"/>
    <n v="198103.4"/>
  </r>
  <r>
    <x v="12"/>
    <s v="12/2022"/>
    <s v="BHCOE - 139602 - Electric-Gen-Prod"/>
    <x v="78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602-Electric - Gen - -PT"/>
    <x v="78"/>
    <x v="0"/>
    <s v="BH Colorado Electric Oper Co"/>
    <s v="SEC"/>
    <x v="1"/>
    <n v="803171.66"/>
    <n v="8396.33"/>
    <n v="0"/>
    <n v="0"/>
    <n v="0"/>
    <n v="0"/>
    <n v="0"/>
    <n v="811567.99"/>
  </r>
  <r>
    <x v="12"/>
    <s v="12/2022"/>
    <s v="BHCOE - 139602-Electric-Gen-Prod-PT"/>
    <x v="78"/>
    <x v="0"/>
    <s v="BH Colorado Electric Oper Co"/>
    <s v="SEC"/>
    <x v="1"/>
    <n v="-147396.58000000002"/>
    <n v="0"/>
    <n v="0"/>
    <n v="0"/>
    <n v="0"/>
    <n v="147396.58000000002"/>
    <n v="0"/>
    <n v="0"/>
  </r>
  <r>
    <x v="12"/>
    <s v="12/2022"/>
    <s v="BHCOE - 139602-Electric - Gen - -PT"/>
    <x v="78"/>
    <x v="0"/>
    <s v="BH Colorado Electric Oper Co"/>
    <s v="SEC"/>
    <x v="3"/>
    <n v="153577.04"/>
    <n v="0"/>
    <n v="0"/>
    <n v="0"/>
    <n v="0"/>
    <n v="0"/>
    <n v="0"/>
    <n v="153577.04"/>
  </r>
  <r>
    <x v="0"/>
    <s v="12/2021"/>
    <s v="BHCOE - 139700 - Electric - Gen -"/>
    <x v="79"/>
    <x v="0"/>
    <s v="BH Colorado Electric Oper Co"/>
    <s v="SEC"/>
    <x v="1"/>
    <n v="700326.28"/>
    <n v="9178.0500000000011"/>
    <n v="0"/>
    <n v="0"/>
    <n v="0"/>
    <n v="0"/>
    <n v="0"/>
    <n v="709504.33"/>
  </r>
  <r>
    <x v="0"/>
    <s v="12/2021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0"/>
    <s v="12/2021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1"/>
    <s v="01/2022"/>
    <s v="BHCOE - 139700 - Electric - Gen -"/>
    <x v="79"/>
    <x v="0"/>
    <s v="BH Colorado Electric Oper Co"/>
    <s v="SEC"/>
    <x v="1"/>
    <n v="709504.33"/>
    <n v="9178.0500000000011"/>
    <n v="0"/>
    <n v="0"/>
    <n v="0"/>
    <n v="0"/>
    <n v="0"/>
    <n v="718682.38"/>
  </r>
  <r>
    <x v="1"/>
    <s v="01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1"/>
    <s v="01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2"/>
    <s v="02/2022"/>
    <s v="BHCOE - 139700 - Electric - Gen -"/>
    <x v="79"/>
    <x v="0"/>
    <s v="BH Colorado Electric Oper Co"/>
    <s v="SEC"/>
    <x v="1"/>
    <n v="718682.38"/>
    <n v="9178.0500000000011"/>
    <n v="0"/>
    <n v="0"/>
    <n v="0"/>
    <n v="0"/>
    <n v="0"/>
    <n v="727860.43"/>
  </r>
  <r>
    <x v="2"/>
    <s v="02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2"/>
    <s v="02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3"/>
    <s v="03/2022"/>
    <s v="BHCOE - 139700 - Electric - Gen -"/>
    <x v="79"/>
    <x v="0"/>
    <s v="BH Colorado Electric Oper Co"/>
    <s v="SEC"/>
    <x v="1"/>
    <n v="727860.43"/>
    <n v="8102.46"/>
    <n v="-299121"/>
    <n v="0"/>
    <n v="0"/>
    <n v="0"/>
    <n v="0"/>
    <n v="436841.89"/>
  </r>
  <r>
    <x v="3"/>
    <s v="03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3"/>
    <s v="03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4"/>
    <s v="04/2022"/>
    <s v="BHCOE - 139700 - Electric - Gen -"/>
    <x v="79"/>
    <x v="0"/>
    <s v="BH Colorado Electric Oper Co"/>
    <s v="SEC"/>
    <x v="1"/>
    <n v="436841.89"/>
    <n v="7026.87"/>
    <n v="0"/>
    <n v="0"/>
    <n v="0"/>
    <n v="0"/>
    <n v="0"/>
    <n v="443868.76"/>
  </r>
  <r>
    <x v="4"/>
    <s v="04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4"/>
    <s v="04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5"/>
    <s v="05/2022"/>
    <s v="BHCOE - 139700 - Electric - Gen -"/>
    <x v="79"/>
    <x v="0"/>
    <s v="BH Colorado Electric Oper Co"/>
    <s v="SEC"/>
    <x v="1"/>
    <n v="443868.76"/>
    <n v="7026.87"/>
    <n v="0"/>
    <n v="0"/>
    <n v="0"/>
    <n v="0"/>
    <n v="0"/>
    <n v="450895.63"/>
  </r>
  <r>
    <x v="5"/>
    <s v="05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5"/>
    <s v="05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6"/>
    <s v="06/2022"/>
    <s v="BHCOE - 139700 - Electric - Gen -"/>
    <x v="79"/>
    <x v="0"/>
    <s v="BH Colorado Electric Oper Co"/>
    <s v="SEC"/>
    <x v="1"/>
    <n v="450895.63"/>
    <n v="7026.87"/>
    <n v="0"/>
    <n v="0"/>
    <n v="0"/>
    <n v="0"/>
    <n v="0"/>
    <n v="457922.5"/>
  </r>
  <r>
    <x v="6"/>
    <s v="06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6"/>
    <s v="06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7"/>
    <s v="07/2022"/>
    <s v="BHCOE - 139700 - Electric - Gen -"/>
    <x v="79"/>
    <x v="0"/>
    <s v="BH Colorado Electric Oper Co"/>
    <s v="SEC"/>
    <x v="1"/>
    <n v="457922.5"/>
    <n v="7026.87"/>
    <n v="0"/>
    <n v="0"/>
    <n v="0"/>
    <n v="0"/>
    <n v="0"/>
    <n v="464949.37"/>
  </r>
  <r>
    <x v="7"/>
    <s v="07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7"/>
    <s v="07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8"/>
    <s v="08/2022"/>
    <s v="BHCOE - 139700 - Electric - Gen -"/>
    <x v="79"/>
    <x v="0"/>
    <s v="BH Colorado Electric Oper Co"/>
    <s v="SEC"/>
    <x v="1"/>
    <n v="464949.37"/>
    <n v="7026.87"/>
    <n v="0"/>
    <n v="0"/>
    <n v="0"/>
    <n v="0"/>
    <n v="0"/>
    <n v="471976.24"/>
  </r>
  <r>
    <x v="8"/>
    <s v="08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8"/>
    <s v="08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9"/>
    <s v="09/2022"/>
    <s v="BHCOE - 139700 - Electric - Gen -"/>
    <x v="79"/>
    <x v="0"/>
    <s v="BH Colorado Electric Oper Co"/>
    <s v="SEC"/>
    <x v="1"/>
    <n v="471976.24"/>
    <n v="7026.87"/>
    <n v="0"/>
    <n v="0"/>
    <n v="0"/>
    <n v="0"/>
    <n v="0"/>
    <n v="479003.11"/>
  </r>
  <r>
    <x v="9"/>
    <s v="09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9"/>
    <s v="09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10"/>
    <s v="10/2022"/>
    <s v="BHCOE - 139700 - Electric - Gen -"/>
    <x v="79"/>
    <x v="0"/>
    <s v="BH Colorado Electric Oper Co"/>
    <s v="SEC"/>
    <x v="1"/>
    <n v="479003.11"/>
    <n v="7026.87"/>
    <n v="0"/>
    <n v="0"/>
    <n v="0"/>
    <n v="0"/>
    <n v="0"/>
    <n v="486029.98"/>
  </r>
  <r>
    <x v="10"/>
    <s v="10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10"/>
    <s v="10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11"/>
    <s v="11/2022"/>
    <s v="BHCOE - 139700 - Electric - Gen -"/>
    <x v="79"/>
    <x v="0"/>
    <s v="BH Colorado Electric Oper Co"/>
    <s v="SEC"/>
    <x v="1"/>
    <n v="486029.98"/>
    <n v="6554.42"/>
    <n v="-131387.79999999999"/>
    <n v="0"/>
    <n v="0"/>
    <n v="0"/>
    <n v="0"/>
    <n v="361196.60000000003"/>
  </r>
  <r>
    <x v="11"/>
    <s v="11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11"/>
    <s v="11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12"/>
    <s v="12/2022"/>
    <s v="BHCOE - 139700 - Electric - Gen -"/>
    <x v="79"/>
    <x v="0"/>
    <s v="BH Colorado Electric Oper Co"/>
    <s v="SEC"/>
    <x v="1"/>
    <n v="361196.60000000003"/>
    <n v="6318.87"/>
    <n v="0"/>
    <n v="0"/>
    <n v="0"/>
    <n v="0"/>
    <n v="0"/>
    <n v="367515.47000000003"/>
  </r>
  <r>
    <x v="12"/>
    <s v="12/2022"/>
    <s v="BHCOE - 139700 - Electric-Gen-Prod"/>
    <x v="79"/>
    <x v="0"/>
    <s v="BH Colorado Electric Oper Co"/>
    <s v="SEC"/>
    <x v="1"/>
    <n v="0"/>
    <n v="0"/>
    <n v="0"/>
    <n v="0"/>
    <n v="0"/>
    <n v="0"/>
    <n v="0"/>
    <n v="0"/>
  </r>
  <r>
    <x v="12"/>
    <s v="12/2022"/>
    <s v="BHCOE - 139700 - Electric - Gen -"/>
    <x v="79"/>
    <x v="0"/>
    <s v="BH Colorado Electric Oper Co"/>
    <s v="SEC"/>
    <x v="3"/>
    <n v="27879.47"/>
    <n v="0"/>
    <n v="0"/>
    <n v="0"/>
    <n v="0"/>
    <n v="0"/>
    <n v="0"/>
    <n v="27879.47"/>
  </r>
  <r>
    <x v="0"/>
    <s v="12/2021"/>
    <s v="BHCOE - 139710 - Electric - Gen -"/>
    <x v="80"/>
    <x v="0"/>
    <s v="BH Colorado Electric Oper Co"/>
    <s v="SEC"/>
    <x v="1"/>
    <n v="1031383.53"/>
    <n v="8665.6200000000008"/>
    <n v="0"/>
    <n v="0"/>
    <n v="0"/>
    <n v="0"/>
    <n v="0"/>
    <n v="1040049.15"/>
  </r>
  <r>
    <x v="0"/>
    <s v="12/2021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1"/>
    <s v="01/2022"/>
    <s v="BHCOE - 139710 - Electric - Gen -"/>
    <x v="80"/>
    <x v="0"/>
    <s v="BH Colorado Electric Oper Co"/>
    <s v="SEC"/>
    <x v="1"/>
    <n v="1040049.15"/>
    <n v="8665.6200000000008"/>
    <n v="0"/>
    <n v="0"/>
    <n v="0"/>
    <n v="0"/>
    <n v="0"/>
    <n v="1048714.77"/>
  </r>
  <r>
    <x v="1"/>
    <s v="01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2"/>
    <s v="02/2022"/>
    <s v="BHCOE - 139710 - Electric - Gen -"/>
    <x v="80"/>
    <x v="0"/>
    <s v="BH Colorado Electric Oper Co"/>
    <s v="SEC"/>
    <x v="1"/>
    <n v="1048714.77"/>
    <n v="8665.6200000000008"/>
    <n v="0"/>
    <n v="0"/>
    <n v="0"/>
    <n v="0"/>
    <n v="0"/>
    <n v="1057380.3899999999"/>
  </r>
  <r>
    <x v="2"/>
    <s v="02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3"/>
    <s v="03/2022"/>
    <s v="BHCOE - 139710 - Electric - Gen -"/>
    <x v="80"/>
    <x v="0"/>
    <s v="BH Colorado Electric Oper Co"/>
    <s v="SEC"/>
    <x v="1"/>
    <n v="1057380.3899999999"/>
    <n v="8665.6200000000008"/>
    <n v="0"/>
    <n v="0"/>
    <n v="0"/>
    <n v="0"/>
    <n v="0"/>
    <n v="1066046.01"/>
  </r>
  <r>
    <x v="3"/>
    <s v="03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4"/>
    <s v="04/2022"/>
    <s v="BHCOE - 139710 - Electric - Gen -"/>
    <x v="80"/>
    <x v="0"/>
    <s v="BH Colorado Electric Oper Co"/>
    <s v="SEC"/>
    <x v="1"/>
    <n v="1066046.01"/>
    <n v="8665.6200000000008"/>
    <n v="0"/>
    <n v="0"/>
    <n v="0"/>
    <n v="0"/>
    <n v="0"/>
    <n v="1074711.6299999999"/>
  </r>
  <r>
    <x v="4"/>
    <s v="04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5"/>
    <s v="05/2022"/>
    <s v="BHCOE - 139710 - Electric - Gen -"/>
    <x v="80"/>
    <x v="0"/>
    <s v="BH Colorado Electric Oper Co"/>
    <s v="SEC"/>
    <x v="1"/>
    <n v="1074711.6299999999"/>
    <n v="8665.6200000000008"/>
    <n v="0"/>
    <n v="0"/>
    <n v="0"/>
    <n v="0"/>
    <n v="0"/>
    <n v="1083377.25"/>
  </r>
  <r>
    <x v="5"/>
    <s v="05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6"/>
    <s v="06/2022"/>
    <s v="BHCOE - 139710 - Electric - Gen -"/>
    <x v="80"/>
    <x v="0"/>
    <s v="BH Colorado Electric Oper Co"/>
    <s v="SEC"/>
    <x v="1"/>
    <n v="1083377.25"/>
    <n v="8665.6200000000008"/>
    <n v="0"/>
    <n v="0"/>
    <n v="0"/>
    <n v="0"/>
    <n v="0"/>
    <n v="1092042.8700000001"/>
  </r>
  <r>
    <x v="6"/>
    <s v="06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7"/>
    <s v="07/2022"/>
    <s v="BHCOE - 139710 - Electric - Gen -"/>
    <x v="80"/>
    <x v="0"/>
    <s v="BH Colorado Electric Oper Co"/>
    <s v="SEC"/>
    <x v="1"/>
    <n v="1092042.8700000001"/>
    <n v="8665.6200000000008"/>
    <n v="0"/>
    <n v="0"/>
    <n v="0"/>
    <n v="0"/>
    <n v="0"/>
    <n v="1100708.49"/>
  </r>
  <r>
    <x v="7"/>
    <s v="07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8"/>
    <s v="08/2022"/>
    <s v="BHCOE - 139710 - Electric - Gen -"/>
    <x v="80"/>
    <x v="0"/>
    <s v="BH Colorado Electric Oper Co"/>
    <s v="SEC"/>
    <x v="1"/>
    <n v="1100708.49"/>
    <n v="8665.6200000000008"/>
    <n v="0"/>
    <n v="0"/>
    <n v="0"/>
    <n v="0"/>
    <n v="0"/>
    <n v="1109374.1100000001"/>
  </r>
  <r>
    <x v="8"/>
    <s v="08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9"/>
    <s v="09/2022"/>
    <s v="BHCOE - 139710 - Electric - Gen -"/>
    <x v="80"/>
    <x v="0"/>
    <s v="BH Colorado Electric Oper Co"/>
    <s v="SEC"/>
    <x v="1"/>
    <n v="1109374.1100000001"/>
    <n v="8673.52"/>
    <n v="2197.7200000000003"/>
    <n v="0"/>
    <n v="0"/>
    <n v="0"/>
    <n v="0"/>
    <n v="1120245.3500000001"/>
  </r>
  <r>
    <x v="9"/>
    <s v="09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10"/>
    <s v="10/2022"/>
    <s v="BHCOE - 139710 - Electric - Gen -"/>
    <x v="80"/>
    <x v="0"/>
    <s v="BH Colorado Electric Oper Co"/>
    <s v="SEC"/>
    <x v="1"/>
    <n v="1120245.3500000001"/>
    <n v="8681.42"/>
    <n v="0"/>
    <n v="0"/>
    <n v="0"/>
    <n v="0"/>
    <n v="0"/>
    <n v="1128926.77"/>
  </r>
  <r>
    <x v="10"/>
    <s v="10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11"/>
    <s v="11/2022"/>
    <s v="BHCOE - 139710 - Electric - Gen -"/>
    <x v="80"/>
    <x v="0"/>
    <s v="BH Colorado Electric Oper Co"/>
    <s v="SEC"/>
    <x v="1"/>
    <n v="1128926.77"/>
    <n v="8681.42"/>
    <n v="0"/>
    <n v="0"/>
    <n v="0"/>
    <n v="0"/>
    <n v="0"/>
    <n v="1137608.19"/>
  </r>
  <r>
    <x v="11"/>
    <s v="11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12"/>
    <s v="12/2022"/>
    <s v="BHCOE - 139710 - Electric - Gen -"/>
    <x v="80"/>
    <x v="0"/>
    <s v="BH Colorado Electric Oper Co"/>
    <s v="SEC"/>
    <x v="1"/>
    <n v="1137608.19"/>
    <n v="8791.98"/>
    <n v="0"/>
    <n v="0"/>
    <n v="0"/>
    <n v="0"/>
    <n v="0"/>
    <n v="1146400.17"/>
  </r>
  <r>
    <x v="12"/>
    <s v="12/2022"/>
    <s v="BHCOE - 139710 - Electric - Gen -"/>
    <x v="80"/>
    <x v="0"/>
    <s v="BH Colorado Electric Oper Co"/>
    <s v="SEC"/>
    <x v="3"/>
    <n v="24.310000000000002"/>
    <n v="0"/>
    <n v="0"/>
    <n v="0"/>
    <n v="0"/>
    <n v="0"/>
    <n v="0"/>
    <n v="24.310000000000002"/>
  </r>
  <r>
    <x v="0"/>
    <s v="12/2021"/>
    <s v="BHCOE - 139800 - Electric - Gen -"/>
    <x v="81"/>
    <x v="0"/>
    <s v="BH Colorado Electric Oper Co"/>
    <s v="SEC"/>
    <x v="1"/>
    <n v="81713.61"/>
    <n v="631.18000000000006"/>
    <n v="0"/>
    <n v="0"/>
    <n v="0"/>
    <n v="0"/>
    <n v="0"/>
    <n v="82344.790000000008"/>
  </r>
  <r>
    <x v="0"/>
    <s v="12/2021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1"/>
    <s v="01/2022"/>
    <s v="BHCOE - 139800 - Electric - Gen -"/>
    <x v="81"/>
    <x v="0"/>
    <s v="BH Colorado Electric Oper Co"/>
    <s v="SEC"/>
    <x v="1"/>
    <n v="82344.790000000008"/>
    <n v="631.18000000000006"/>
    <n v="0"/>
    <n v="0"/>
    <n v="0"/>
    <n v="0"/>
    <n v="0"/>
    <n v="82975.97"/>
  </r>
  <r>
    <x v="1"/>
    <s v="01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2"/>
    <s v="02/2022"/>
    <s v="BHCOE - 139800 - Electric - Gen -"/>
    <x v="81"/>
    <x v="0"/>
    <s v="BH Colorado Electric Oper Co"/>
    <s v="SEC"/>
    <x v="1"/>
    <n v="82975.97"/>
    <n v="631.18000000000006"/>
    <n v="0"/>
    <n v="0"/>
    <n v="0"/>
    <n v="0"/>
    <n v="0"/>
    <n v="83607.150000000009"/>
  </r>
  <r>
    <x v="2"/>
    <s v="02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3"/>
    <s v="03/2022"/>
    <s v="BHCOE - 139800 - Electric - Gen -"/>
    <x v="81"/>
    <x v="0"/>
    <s v="BH Colorado Electric Oper Co"/>
    <s v="SEC"/>
    <x v="1"/>
    <n v="83607.150000000009"/>
    <n v="679.31000000000006"/>
    <n v="0"/>
    <n v="0"/>
    <n v="0"/>
    <n v="0"/>
    <n v="0"/>
    <n v="84286.46"/>
  </r>
  <r>
    <x v="3"/>
    <s v="03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4"/>
    <s v="04/2022"/>
    <s v="BHCOE - 139800 - Electric - Gen -"/>
    <x v="81"/>
    <x v="0"/>
    <s v="BH Colorado Electric Oper Co"/>
    <s v="SEC"/>
    <x v="1"/>
    <n v="84286.46"/>
    <n v="727.44"/>
    <n v="0"/>
    <n v="0"/>
    <n v="0"/>
    <n v="0"/>
    <n v="0"/>
    <n v="85013.900000000009"/>
  </r>
  <r>
    <x v="4"/>
    <s v="04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5"/>
    <s v="05/2022"/>
    <s v="BHCOE - 139800 - Electric - Gen -"/>
    <x v="81"/>
    <x v="0"/>
    <s v="BH Colorado Electric Oper Co"/>
    <s v="SEC"/>
    <x v="1"/>
    <n v="85013.900000000009"/>
    <n v="727.44"/>
    <n v="0"/>
    <n v="0"/>
    <n v="0"/>
    <n v="0"/>
    <n v="0"/>
    <n v="85741.34"/>
  </r>
  <r>
    <x v="5"/>
    <s v="05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6"/>
    <s v="06/2022"/>
    <s v="BHCOE - 139800 - Electric - Gen -"/>
    <x v="81"/>
    <x v="0"/>
    <s v="BH Colorado Electric Oper Co"/>
    <s v="SEC"/>
    <x v="1"/>
    <n v="85741.34"/>
    <n v="727.44"/>
    <n v="0"/>
    <n v="0"/>
    <n v="0"/>
    <n v="0"/>
    <n v="0"/>
    <n v="86468.78"/>
  </r>
  <r>
    <x v="6"/>
    <s v="06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7"/>
    <s v="07/2022"/>
    <s v="BHCOE - 139800 - Electric - Gen -"/>
    <x v="81"/>
    <x v="0"/>
    <s v="BH Colorado Electric Oper Co"/>
    <s v="SEC"/>
    <x v="1"/>
    <n v="86468.78"/>
    <n v="727.44"/>
    <n v="0"/>
    <n v="0"/>
    <n v="0"/>
    <n v="0"/>
    <n v="0"/>
    <n v="87196.22"/>
  </r>
  <r>
    <x v="7"/>
    <s v="07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8"/>
    <s v="08/2022"/>
    <s v="BHCOE - 139800 - Electric - Gen -"/>
    <x v="81"/>
    <x v="0"/>
    <s v="BH Colorado Electric Oper Co"/>
    <s v="SEC"/>
    <x v="1"/>
    <n v="87196.22"/>
    <n v="727.44"/>
    <n v="0"/>
    <n v="0"/>
    <n v="0"/>
    <n v="0"/>
    <n v="0"/>
    <n v="87923.66"/>
  </r>
  <r>
    <x v="8"/>
    <s v="08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9"/>
    <s v="09/2022"/>
    <s v="BHCOE - 139800 - Electric - Gen -"/>
    <x v="81"/>
    <x v="0"/>
    <s v="BH Colorado Electric Oper Co"/>
    <s v="SEC"/>
    <x v="1"/>
    <n v="87923.66"/>
    <n v="727.44"/>
    <n v="0"/>
    <n v="0"/>
    <n v="0"/>
    <n v="0"/>
    <n v="0"/>
    <n v="88651.1"/>
  </r>
  <r>
    <x v="9"/>
    <s v="09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10"/>
    <s v="10/2022"/>
    <s v="BHCOE - 139800 - Electric - Gen -"/>
    <x v="81"/>
    <x v="0"/>
    <s v="BH Colorado Electric Oper Co"/>
    <s v="SEC"/>
    <x v="1"/>
    <n v="88651.1"/>
    <n v="727.44"/>
    <n v="0"/>
    <n v="0"/>
    <n v="0"/>
    <n v="0"/>
    <n v="0"/>
    <n v="89378.540000000008"/>
  </r>
  <r>
    <x v="10"/>
    <s v="10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11"/>
    <s v="11/2022"/>
    <s v="BHCOE - 139800 - Electric - Gen -"/>
    <x v="81"/>
    <x v="0"/>
    <s v="BH Colorado Electric Oper Co"/>
    <s v="SEC"/>
    <x v="1"/>
    <n v="89378.540000000008"/>
    <n v="727.44"/>
    <n v="0"/>
    <n v="0"/>
    <n v="0"/>
    <n v="0"/>
    <n v="0"/>
    <n v="90105.98"/>
  </r>
  <r>
    <x v="11"/>
    <s v="11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12"/>
    <s v="12/2022"/>
    <s v="BHCOE - 139800 - Electric - Gen -"/>
    <x v="81"/>
    <x v="0"/>
    <s v="BH Colorado Electric Oper Co"/>
    <s v="SEC"/>
    <x v="1"/>
    <n v="90105.98"/>
    <n v="822.83"/>
    <n v="0"/>
    <n v="0"/>
    <n v="0"/>
    <n v="0"/>
    <n v="0"/>
    <n v="90928.81"/>
  </r>
  <r>
    <x v="12"/>
    <s v="12/2022"/>
    <s v="BHCOE - 139800 - Electric - Gen -"/>
    <x v="81"/>
    <x v="0"/>
    <s v="BH Colorado Electric Oper Co"/>
    <s v="SEC"/>
    <x v="3"/>
    <n v="4146.53"/>
    <n v="0"/>
    <n v="0"/>
    <n v="0"/>
    <n v="0"/>
    <n v="0"/>
    <n v="0"/>
    <n v="4146.53"/>
  </r>
  <r>
    <x v="0"/>
    <s v="12/2021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1"/>
    <s v="01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2"/>
    <s v="02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3"/>
    <s v="03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4"/>
    <s v="04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5"/>
    <s v="05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6"/>
    <s v="06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7"/>
    <s v="07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8"/>
    <s v="08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9"/>
    <s v="09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10"/>
    <s v="10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11"/>
    <s v="11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12"/>
    <s v="12/2022"/>
    <s v="BHCOE - NEXT - Electric - Next - De"/>
    <x v="82"/>
    <x v="2"/>
    <s v="BH Colorado Electric Oper Co"/>
    <s v="SEC"/>
    <x v="1"/>
    <n v="0"/>
    <n v="0"/>
    <n v="0"/>
    <n v="0"/>
    <n v="0"/>
    <n v="0"/>
    <n v="0"/>
    <n v="0"/>
  </r>
  <r>
    <x v="0"/>
    <s v="12/2021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0"/>
    <s v="12/2021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1"/>
    <s v="01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1"/>
    <s v="01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2"/>
    <s v="02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2"/>
    <s v="02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3"/>
    <s v="03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3"/>
    <s v="03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4"/>
    <s v="04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4"/>
    <s v="04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5"/>
    <s v="05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5"/>
    <s v="05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6"/>
    <s v="06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6"/>
    <s v="06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7"/>
    <s v="07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7"/>
    <s v="07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8"/>
    <s v="08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8"/>
    <s v="08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9"/>
    <s v="09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9"/>
    <s v="09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10"/>
    <s v="10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10"/>
    <s v="10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11"/>
    <s v="11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11"/>
    <s v="11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  <r>
    <x v="12"/>
    <s v="12/2022"/>
    <s v="BHCOE - Unspecified - Prod"/>
    <x v="83"/>
    <x v="2"/>
    <s v="BH Colorado Electric Oper Co"/>
    <s v="SEC"/>
    <x v="1"/>
    <n v="-713429.09"/>
    <n v="0"/>
    <n v="0"/>
    <n v="0"/>
    <n v="0"/>
    <n v="0"/>
    <n v="0"/>
    <n v="-713429.09"/>
  </r>
  <r>
    <x v="12"/>
    <s v="12/2022"/>
    <s v="BHCOE - Unspecified - Prod"/>
    <x v="83"/>
    <x v="2"/>
    <s v="BH Colorado Electric Oper Co"/>
    <s v="SEC"/>
    <x v="3"/>
    <n v="713429.09"/>
    <n v="0"/>
    <n v="0"/>
    <n v="0"/>
    <n v="0"/>
    <n v="0"/>
    <n v="0"/>
    <n v="713429.0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E1E975-CE5D-4853-A554-86F2A347D36B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>
  <location ref="A3:N91" firstHeaderRow="1" firstDataRow="3" firstDataCol="1" rowPageCount="1" colPageCount="1"/>
  <pivotFields count="17">
    <pivotField axis="axisCol" numFmtId="14" subtotalTop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ubtotalTop="0" showAll="0" defaultSubtotal="0"/>
    <pivotField subtotalTop="0" showAll="0" defaultSubtotal="0"/>
    <pivotField subtotalTop="0" showAll="0" defaultSubtotal="0"/>
    <pivotField subtotalTop="0" showAll="0" defaultSubtotal="0"/>
    <pivotField axis="axisPage" subtotalTop="0" multipleItemSelectionAllowed="1" showAll="0" defaultSubtotal="0">
      <items count="5">
        <item x="0"/>
        <item x="4"/>
        <item h="1" x="1"/>
        <item x="2"/>
        <item h="1" x="3"/>
      </items>
    </pivotField>
    <pivotField subtotalTop="0" showAll="0" defaultSubtotal="0"/>
    <pivotField axis="axisRow" subtotalTop="0" showAll="0" defaultSubtotal="0">
      <items count="5">
        <item x="0"/>
        <item x="1"/>
        <item x="3"/>
        <item x="2"/>
        <item x="4"/>
      </items>
    </pivotField>
    <pivotField subtotalTop="0" showAll="0" defaultSubtotal="0"/>
    <pivotField subtotalTop="0" showAll="0" defaultSubtotal="0"/>
    <pivotField axis="axisRow" subtotalTop="0" showAll="0" defaultSubtotal="0">
      <items count="82">
        <item x="45"/>
        <item x="46"/>
        <item x="47"/>
        <item x="48"/>
        <item x="49"/>
        <item x="50"/>
        <item x="60"/>
        <item x="61"/>
        <item x="62"/>
        <item x="63"/>
        <item x="64"/>
        <item x="65"/>
        <item x="66"/>
        <item x="67"/>
        <item x="51"/>
        <item x="59"/>
        <item x="52"/>
        <item x="53"/>
        <item x="54"/>
        <item x="55"/>
        <item x="56"/>
        <item x="57"/>
        <item x="58"/>
        <item x="68"/>
        <item x="69"/>
        <item x="70"/>
        <item x="71"/>
        <item x="72"/>
        <item x="73"/>
        <item x="74"/>
        <item x="75"/>
        <item x="76"/>
        <item x="81"/>
        <item x="77"/>
        <item x="78"/>
        <item x="79"/>
        <item x="8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6"/>
        <item x="27"/>
        <item x="24"/>
        <item x="28"/>
        <item x="29"/>
        <item x="20"/>
        <item x="21"/>
        <item x="22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23"/>
        <item x="44"/>
        <item x="25"/>
      </items>
    </pivotField>
    <pivotField subtotalTop="0" showAll="0" defaultSubtotal="0"/>
    <pivotField subtotalTop="0" showAll="0" defaultSubtotal="0"/>
    <pivotField subtotalTop="0" showAll="0" defaultSubtotal="0"/>
    <pivotField subtotalTop="0" showAll="0" defaultSubtotal="0"/>
    <pivotField dataField="1" subtotalTop="0" showAll="0" defaultSubtotal="0"/>
    <pivotField axis="axisCol" subtotalTop="0" showAll="0" defaultSubtotal="0">
      <items count="4">
        <item x="0"/>
        <item x="1"/>
        <item x="2"/>
        <item x="3"/>
      </items>
    </pivotField>
  </pivotFields>
  <rowFields count="2">
    <field x="7"/>
    <field x="10"/>
  </rowFields>
  <rowItems count="86">
    <i>
      <x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>
      <x v="1"/>
    </i>
    <i r="1">
      <x/>
    </i>
    <i r="1">
      <x v="1"/>
    </i>
    <i r="1">
      <x v="2"/>
    </i>
    <i r="1">
      <x v="3"/>
    </i>
    <i r="1">
      <x v="4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>
      <x v="2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>
      <x v="4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</rowItems>
  <colFields count="2">
    <field x="16"/>
    <field x="0"/>
  </colFields>
  <colItems count="13">
    <i>
      <x v="1"/>
      <x v="12"/>
    </i>
    <i>
      <x v="2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colItems>
  <pageFields count="1">
    <pageField fld="5" hier="-1"/>
  </pageFields>
  <dataFields count="1">
    <dataField name="Sum of end_bal" fld="15" baseField="0" baseItem="0" numFmtId="164"/>
  </dataFields>
  <formats count="3">
    <format dxfId="9">
      <pivotArea outline="0" collapsedLevelsAreSubtotals="1" fieldPosition="0"/>
    </format>
    <format dxfId="8">
      <pivotArea dataOnly="0" labelOnly="1" outline="0" fieldPosition="0">
        <references count="1">
          <reference field="5" count="0"/>
        </references>
      </pivotArea>
    </format>
    <format dxfId="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590167-DEA3-4FA3-83B9-F1C386470181}" name="PivotTable2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>
  <location ref="A3:N94" firstHeaderRow="1" firstDataRow="3" firstDataCol="1" rowPageCount="1" colPageCount="1"/>
  <pivotFields count="17">
    <pivotField axis="axisCol" numFmtId="14" subtotalTop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ubtotalTop="0" showAll="0" defaultSubtotal="0"/>
    <pivotField subtotalTop="0" showAll="0" defaultSubtotal="0"/>
    <pivotField axis="axisRow" subtotalTop="0" showAll="0" defaultSubtotal="0">
      <items count="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</items>
    </pivotField>
    <pivotField axis="axisRow" subtotalTop="0" showAll="0" defaultSubtotal="0">
      <items count="5">
        <item x="4"/>
        <item x="0"/>
        <item x="1"/>
        <item x="3"/>
        <item x="2"/>
      </items>
    </pivotField>
    <pivotField subtotalTop="0" showAll="0" defaultSubtotal="0"/>
    <pivotField subtotalTop="0" showAll="0" defaultSubtotal="0"/>
    <pivotField axis="axisPage" subtotalTop="0" multipleItemSelectionAllowed="1" showAll="0" defaultSubtotal="0">
      <items count="5">
        <item x="1"/>
        <item x="3"/>
        <item x="0"/>
        <item x="2"/>
        <item h="1" x="4"/>
      </items>
    </pivotField>
    <pivotField numFmtId="43" subtotalTop="0" showAll="0" defaultSubtotal="0"/>
    <pivotField numFmtId="43" subtotalTop="0" showAll="0" defaultSubtotal="0"/>
    <pivotField numFmtId="43" subtotalTop="0" showAll="0" defaultSubtotal="0"/>
    <pivotField numFmtId="43" subtotalTop="0" showAll="0" defaultSubtotal="0"/>
    <pivotField numFmtId="43" subtotalTop="0" showAll="0" defaultSubtotal="0"/>
    <pivotField numFmtId="43" subtotalTop="0" showAll="0" defaultSubtotal="0"/>
    <pivotField numFmtId="43" subtotalTop="0" showAll="0" defaultSubtotal="0"/>
    <pivotField dataField="1" numFmtId="43" subtotalTop="0" showAll="0" defaultSubtotal="0"/>
    <pivotField axis="axisCol" subtotalTop="0" showAll="0" defaultSubtotal="0">
      <items count="4">
        <item x="0"/>
        <item x="1"/>
        <item x="2"/>
        <item x="3"/>
      </items>
    </pivotField>
  </pivotFields>
  <rowFields count="2">
    <field x="4"/>
    <field x="3"/>
  </rowFields>
  <rowItems count="89">
    <i>
      <x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36"/>
    </i>
    <i r="1">
      <x v="37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>
      <x v="2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9"/>
    </i>
    <i r="1">
      <x v="20"/>
    </i>
    <i r="1">
      <x v="21"/>
    </i>
    <i r="1">
      <x v="23"/>
    </i>
    <i r="1">
      <x v="24"/>
    </i>
    <i>
      <x v="3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>
      <x v="4"/>
    </i>
    <i r="1">
      <x v="18"/>
    </i>
    <i r="1">
      <x v="22"/>
    </i>
    <i r="1">
      <x v="70"/>
    </i>
    <i r="1">
      <x v="71"/>
    </i>
    <i r="1">
      <x v="72"/>
    </i>
    <i r="1">
      <x v="82"/>
    </i>
    <i r="1">
      <x v="83"/>
    </i>
  </rowItems>
  <colFields count="2">
    <field x="16"/>
    <field x="0"/>
  </colFields>
  <colItems count="13">
    <i>
      <x v="1"/>
      <x v="12"/>
    </i>
    <i>
      <x v="2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colItems>
  <pageFields count="1">
    <pageField fld="7" hier="-1"/>
  </pageFields>
  <dataFields count="1">
    <dataField name="Sum of end_bal" fld="15" baseField="0" baseItem="0"/>
  </dataFields>
  <formats count="7">
    <format dxfId="6">
      <pivotArea collapsedLevelsAreSubtotals="1" fieldPosition="0">
        <references count="2">
          <reference field="3" count="18"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</reference>
          <reference field="4" count="1" selected="0">
            <x v="0"/>
          </reference>
        </references>
      </pivotArea>
    </format>
    <format dxfId="5">
      <pivotArea collapsedLevelsAreSubtotals="1" fieldPosition="0">
        <references count="1">
          <reference field="4" count="1">
            <x v="1"/>
          </reference>
        </references>
      </pivotArea>
    </format>
    <format dxfId="4">
      <pivotArea collapsedLevelsAreSubtotals="1" fieldPosition="0">
        <references count="2">
          <reference field="3" count="30">
            <x v="0"/>
            <x v="1"/>
            <x v="2"/>
            <x v="3"/>
            <x v="4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3"/>
            <x v="74"/>
            <x v="75"/>
            <x v="76"/>
            <x v="77"/>
            <x v="78"/>
            <x v="79"/>
            <x v="80"/>
            <x v="81"/>
          </reference>
          <reference field="4" count="1" selected="0">
            <x v="1"/>
          </reference>
        </references>
      </pivotArea>
    </format>
    <format dxfId="3">
      <pivotArea collapsedLevelsAreSubtotals="1" fieldPosition="0">
        <references count="1">
          <reference field="4" count="1">
            <x v="2"/>
          </reference>
        </references>
      </pivotArea>
    </format>
    <format dxfId="2">
      <pivotArea collapsedLevelsAreSubtotals="1" fieldPosition="0">
        <references count="2">
          <reference field="3" count="18"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9"/>
            <x v="20"/>
            <x v="21"/>
            <x v="23"/>
            <x v="24"/>
          </reference>
          <reference field="4" count="1" selected="0">
            <x v="2"/>
          </reference>
        </references>
      </pivotArea>
    </format>
    <format dxfId="1">
      <pivotArea collapsedLevelsAreSubtotals="1" fieldPosition="0">
        <references count="1">
          <reference field="4" count="1">
            <x v="3"/>
          </reference>
        </references>
      </pivotArea>
    </format>
    <format dxfId="0">
      <pivotArea collapsedLevelsAreSubtotals="1" fieldPosition="0">
        <references count="2">
          <reference field="3" count="11">
            <x v="25"/>
            <x v="26"/>
            <x v="27"/>
            <x v="28"/>
            <x v="29"/>
            <x v="30"/>
            <x v="31"/>
            <x v="32"/>
            <x v="33"/>
            <x v="34"/>
            <x v="35"/>
          </reference>
          <reference field="4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D6AF3-BD7E-4368-8788-1F72CDE414F4}">
  <sheetPr>
    <tabColor theme="6" tint="0.59999389629810485"/>
  </sheetPr>
  <dimension ref="A1:P138"/>
  <sheetViews>
    <sheetView tabSelected="1" zoomScale="80" zoomScaleNormal="80" workbookViewId="0"/>
  </sheetViews>
  <sheetFormatPr defaultColWidth="10.5703125" defaultRowHeight="12.75"/>
  <cols>
    <col min="1" max="1" width="6.85546875" style="104" customWidth="1"/>
    <col min="2" max="2" width="32.42578125" style="105" customWidth="1"/>
    <col min="3" max="9" width="18.42578125" style="105" customWidth="1"/>
    <col min="10" max="10" width="14.28515625" style="105" customWidth="1"/>
    <col min="11" max="11" width="17.28515625" style="105" customWidth="1"/>
    <col min="12" max="12" width="14.85546875" style="105" customWidth="1"/>
    <col min="13" max="13" width="19" style="105" customWidth="1"/>
    <col min="14" max="14" width="16.7109375" style="105" customWidth="1"/>
    <col min="15" max="15" width="12.42578125" style="105" customWidth="1"/>
    <col min="16" max="16" width="13.85546875" style="105" bestFit="1" customWidth="1"/>
    <col min="17" max="16384" width="10.5703125" style="105"/>
  </cols>
  <sheetData>
    <row r="1" spans="1:12">
      <c r="C1" s="102"/>
      <c r="E1" s="106" t="s">
        <v>573</v>
      </c>
      <c r="F1" s="102"/>
      <c r="H1" s="102"/>
      <c r="I1" s="102"/>
      <c r="J1" s="102"/>
    </row>
    <row r="2" spans="1:12">
      <c r="A2" s="107"/>
      <c r="C2" s="102"/>
      <c r="D2" s="102"/>
      <c r="E2" s="77" t="s">
        <v>574</v>
      </c>
      <c r="F2" s="102"/>
      <c r="H2" s="102"/>
      <c r="I2" s="102"/>
      <c r="J2" s="102"/>
      <c r="L2" s="108"/>
    </row>
    <row r="3" spans="1:12">
      <c r="A3" s="107"/>
      <c r="C3" s="102"/>
      <c r="D3" s="102"/>
      <c r="E3" s="109" t="str">
        <f>'[9]Act Att-H'!C7</f>
        <v>Black Hills Colorado Electric, LLC</v>
      </c>
      <c r="F3" s="102"/>
      <c r="H3" s="102"/>
      <c r="I3" s="110" t="s">
        <v>575</v>
      </c>
      <c r="J3" s="102"/>
    </row>
    <row r="4" spans="1:12">
      <c r="A4" s="107"/>
      <c r="C4" s="102"/>
      <c r="D4" s="102"/>
      <c r="E4" s="102"/>
      <c r="F4" s="102"/>
      <c r="G4" s="102"/>
      <c r="H4" s="102"/>
      <c r="I4" s="102"/>
    </row>
    <row r="5" spans="1:12" ht="15" customHeight="1">
      <c r="A5" s="107"/>
      <c r="B5" s="111"/>
      <c r="C5" s="323" t="s">
        <v>576</v>
      </c>
      <c r="D5" s="324"/>
      <c r="E5" s="324"/>
      <c r="F5" s="324"/>
      <c r="G5" s="325"/>
      <c r="H5" s="112" t="s">
        <v>577</v>
      </c>
      <c r="I5" s="112" t="s">
        <v>578</v>
      </c>
    </row>
    <row r="6" spans="1:12">
      <c r="A6" s="107"/>
      <c r="B6" s="111"/>
    </row>
    <row r="7" spans="1:12" s="115" customFormat="1" ht="30" customHeight="1">
      <c r="A7" s="113" t="s">
        <v>579</v>
      </c>
      <c r="B7" s="78" t="s">
        <v>538</v>
      </c>
      <c r="C7" s="78" t="s">
        <v>536</v>
      </c>
      <c r="D7" s="78" t="s">
        <v>528</v>
      </c>
      <c r="E7" s="78" t="s">
        <v>525</v>
      </c>
      <c r="F7" s="78" t="s">
        <v>539</v>
      </c>
      <c r="G7" s="114" t="s">
        <v>540</v>
      </c>
      <c r="H7" s="78" t="s">
        <v>541</v>
      </c>
      <c r="I7" s="78" t="s">
        <v>542</v>
      </c>
    </row>
    <row r="8" spans="1:12" s="117" customFormat="1">
      <c r="A8" s="107"/>
      <c r="B8" s="77" t="s">
        <v>543</v>
      </c>
      <c r="C8" s="77" t="s">
        <v>544</v>
      </c>
      <c r="D8" s="77" t="s">
        <v>545</v>
      </c>
      <c r="E8" s="78" t="s">
        <v>546</v>
      </c>
      <c r="F8" s="78" t="s">
        <v>547</v>
      </c>
      <c r="G8" s="78" t="s">
        <v>548</v>
      </c>
      <c r="H8" s="78" t="s">
        <v>549</v>
      </c>
      <c r="I8" s="116" t="s">
        <v>550</v>
      </c>
    </row>
    <row r="9" spans="1:12" s="117" customFormat="1" ht="39.6" customHeight="1">
      <c r="A9" s="107"/>
      <c r="B9" s="118" t="s">
        <v>551</v>
      </c>
      <c r="C9" s="78" t="s">
        <v>552</v>
      </c>
      <c r="D9" s="78" t="s">
        <v>553</v>
      </c>
      <c r="E9" s="78" t="s">
        <v>554</v>
      </c>
      <c r="F9" s="78" t="s">
        <v>555</v>
      </c>
      <c r="G9" s="78" t="s">
        <v>556</v>
      </c>
      <c r="H9" s="77" t="s">
        <v>557</v>
      </c>
      <c r="I9" s="77" t="s">
        <v>558</v>
      </c>
    </row>
    <row r="10" spans="1:12" ht="15">
      <c r="A10" s="107">
        <v>1</v>
      </c>
      <c r="B10" s="119" t="s">
        <v>559</v>
      </c>
      <c r="C10" s="83">
        <f>+PIS!B117</f>
        <v>424419332.86000007</v>
      </c>
      <c r="D10" s="83">
        <f>+PIS!C117</f>
        <v>242287439.33000001</v>
      </c>
      <c r="E10" s="83">
        <f>+PIS!D117</f>
        <v>383163465.91999996</v>
      </c>
      <c r="F10" s="83">
        <f>+PIS!E117</f>
        <v>39146482.159999996</v>
      </c>
      <c r="G10" s="83">
        <f>+PIS!F117</f>
        <v>22892222</v>
      </c>
      <c r="H10" s="83">
        <v>0</v>
      </c>
      <c r="I10" s="83">
        <v>0</v>
      </c>
      <c r="J10" s="167"/>
      <c r="K10" s="117"/>
    </row>
    <row r="11" spans="1:12" ht="15">
      <c r="A11" s="107">
        <v>2</v>
      </c>
      <c r="B11" s="119" t="s">
        <v>560</v>
      </c>
      <c r="C11" s="83">
        <f>+PIS!B118</f>
        <v>429823036.78000009</v>
      </c>
      <c r="D11" s="83">
        <f>+PIS!C118</f>
        <v>241912678.32000002</v>
      </c>
      <c r="E11" s="83">
        <f>+PIS!D118</f>
        <v>384374412.01999998</v>
      </c>
      <c r="F11" s="83">
        <f>+PIS!E118</f>
        <v>41371136.439999998</v>
      </c>
      <c r="G11" s="83">
        <f>+PIS!F118</f>
        <v>22911759</v>
      </c>
      <c r="H11" s="83">
        <v>0</v>
      </c>
      <c r="I11" s="83">
        <v>0</v>
      </c>
      <c r="J11" s="167"/>
      <c r="K11" s="117"/>
    </row>
    <row r="12" spans="1:12" ht="15">
      <c r="A12" s="107">
        <v>3</v>
      </c>
      <c r="B12" s="102" t="s">
        <v>561</v>
      </c>
      <c r="C12" s="83">
        <f>+PIS!B119</f>
        <v>429823036.78000009</v>
      </c>
      <c r="D12" s="83">
        <f>+PIS!C119</f>
        <v>241905056.51999998</v>
      </c>
      <c r="E12" s="83">
        <f>+PIS!D119</f>
        <v>386708122.97000003</v>
      </c>
      <c r="F12" s="83">
        <f>+PIS!E119</f>
        <v>41853917.130000003</v>
      </c>
      <c r="G12" s="83">
        <f>+PIS!F119</f>
        <v>22687655</v>
      </c>
      <c r="H12" s="83">
        <v>0</v>
      </c>
      <c r="I12" s="83">
        <v>0</v>
      </c>
      <c r="J12" s="167"/>
      <c r="K12" s="117"/>
    </row>
    <row r="13" spans="1:12" ht="15">
      <c r="A13" s="107">
        <v>4</v>
      </c>
      <c r="B13" s="102" t="s">
        <v>562</v>
      </c>
      <c r="C13" s="83">
        <f>+PIS!B120</f>
        <v>424361103</v>
      </c>
      <c r="D13" s="83">
        <f>+PIS!C120</f>
        <v>242004040.05000001</v>
      </c>
      <c r="E13" s="83">
        <f>+PIS!D120</f>
        <v>387403220.57000005</v>
      </c>
      <c r="F13" s="83">
        <f>+PIS!E120</f>
        <v>41573625.689999998</v>
      </c>
      <c r="G13" s="83">
        <f>+PIS!F120</f>
        <v>22280707</v>
      </c>
      <c r="H13" s="83">
        <v>0</v>
      </c>
      <c r="I13" s="83">
        <v>0</v>
      </c>
      <c r="J13" s="167"/>
      <c r="K13" s="117"/>
    </row>
    <row r="14" spans="1:12" ht="15">
      <c r="A14" s="107">
        <v>5</v>
      </c>
      <c r="B14" s="102" t="s">
        <v>563</v>
      </c>
      <c r="C14" s="83">
        <f>+PIS!B121</f>
        <v>424138603.00000006</v>
      </c>
      <c r="D14" s="83">
        <f>+PIS!C121</f>
        <v>258324912.56999999</v>
      </c>
      <c r="E14" s="83">
        <f>+PIS!D121</f>
        <v>393231605.05999988</v>
      </c>
      <c r="F14" s="83">
        <f>+PIS!E121</f>
        <v>41911984.119999997</v>
      </c>
      <c r="G14" s="83">
        <f>+PIS!F121</f>
        <v>22197772</v>
      </c>
      <c r="H14" s="83">
        <v>0</v>
      </c>
      <c r="I14" s="83">
        <v>0</v>
      </c>
      <c r="J14" s="167"/>
      <c r="K14" s="117"/>
    </row>
    <row r="15" spans="1:12" ht="15">
      <c r="A15" s="107">
        <v>6</v>
      </c>
      <c r="B15" s="102" t="s">
        <v>142</v>
      </c>
      <c r="C15" s="83">
        <f>+PIS!B122</f>
        <v>424140742.00000006</v>
      </c>
      <c r="D15" s="83">
        <f>+PIS!C122</f>
        <v>259004835.46999997</v>
      </c>
      <c r="E15" s="83">
        <f>+PIS!D122</f>
        <v>395401081.97999996</v>
      </c>
      <c r="F15" s="83">
        <f>+PIS!E122</f>
        <v>41755949.43</v>
      </c>
      <c r="G15" s="83">
        <f>+PIS!F122</f>
        <v>22227944</v>
      </c>
      <c r="H15" s="83">
        <v>0</v>
      </c>
      <c r="I15" s="83">
        <v>0</v>
      </c>
      <c r="J15" s="167"/>
      <c r="K15" s="117"/>
    </row>
    <row r="16" spans="1:12" ht="15">
      <c r="A16" s="107">
        <v>7</v>
      </c>
      <c r="B16" s="102" t="s">
        <v>564</v>
      </c>
      <c r="C16" s="83">
        <f>+PIS!B123</f>
        <v>424508004.90000004</v>
      </c>
      <c r="D16" s="83">
        <f>+PIS!C123</f>
        <v>259875268.44</v>
      </c>
      <c r="E16" s="83">
        <f>+PIS!D123</f>
        <v>395238175.33999991</v>
      </c>
      <c r="F16" s="83">
        <f>+PIS!E123</f>
        <v>41972436.920000002</v>
      </c>
      <c r="G16" s="83">
        <f>+PIS!F123</f>
        <v>22369153</v>
      </c>
      <c r="H16" s="83">
        <v>0</v>
      </c>
      <c r="I16" s="83">
        <v>0</v>
      </c>
      <c r="J16" s="167"/>
      <c r="K16" s="117"/>
    </row>
    <row r="17" spans="1:14" ht="15">
      <c r="A17" s="107">
        <v>8</v>
      </c>
      <c r="B17" s="102" t="s">
        <v>565</v>
      </c>
      <c r="C17" s="83">
        <f>+PIS!B124</f>
        <v>424661951.97999996</v>
      </c>
      <c r="D17" s="83">
        <f>+PIS!C124</f>
        <v>260600369.89999998</v>
      </c>
      <c r="E17" s="83">
        <f>+PIS!D124</f>
        <v>397865764.21999997</v>
      </c>
      <c r="F17" s="83">
        <f>+PIS!E124</f>
        <v>43024772.629999995</v>
      </c>
      <c r="G17" s="83">
        <f>+PIS!F124</f>
        <v>23015208</v>
      </c>
      <c r="H17" s="83">
        <v>0</v>
      </c>
      <c r="I17" s="83">
        <v>0</v>
      </c>
      <c r="J17" s="167"/>
      <c r="K17" s="117"/>
    </row>
    <row r="18" spans="1:14" ht="15">
      <c r="A18" s="107">
        <v>9</v>
      </c>
      <c r="B18" s="102" t="s">
        <v>566</v>
      </c>
      <c r="C18" s="83">
        <f>+PIS!B125</f>
        <v>424661951.97999996</v>
      </c>
      <c r="D18" s="83">
        <f>+PIS!C125</f>
        <v>260612236.66999999</v>
      </c>
      <c r="E18" s="83">
        <f>+PIS!D125</f>
        <v>398933295.36999995</v>
      </c>
      <c r="F18" s="83">
        <f>+PIS!E125</f>
        <v>43200242.540000007</v>
      </c>
      <c r="G18" s="83">
        <f>+PIS!F125</f>
        <v>23254601</v>
      </c>
      <c r="H18" s="83">
        <v>0</v>
      </c>
      <c r="I18" s="83">
        <v>0</v>
      </c>
      <c r="J18" s="167"/>
      <c r="K18" s="117"/>
    </row>
    <row r="19" spans="1:14" ht="15">
      <c r="A19" s="107">
        <v>10</v>
      </c>
      <c r="B19" s="102" t="s">
        <v>567</v>
      </c>
      <c r="C19" s="83">
        <f>+PIS!B126</f>
        <v>424626951.98000002</v>
      </c>
      <c r="D19" s="83">
        <f>+PIS!C126</f>
        <v>260062725.99000001</v>
      </c>
      <c r="E19" s="83">
        <f>+PIS!D126</f>
        <v>398976585.50999999</v>
      </c>
      <c r="F19" s="83">
        <f>+PIS!E126</f>
        <v>43368823.980000012</v>
      </c>
      <c r="G19" s="83">
        <f>+PIS!F126</f>
        <v>23275912</v>
      </c>
      <c r="H19" s="83">
        <v>0</v>
      </c>
      <c r="I19" s="83">
        <v>0</v>
      </c>
      <c r="J19" s="167"/>
      <c r="K19" s="117"/>
    </row>
    <row r="20" spans="1:14" ht="15">
      <c r="A20" s="107">
        <v>11</v>
      </c>
      <c r="B20" s="102" t="s">
        <v>568</v>
      </c>
      <c r="C20" s="83">
        <f>+PIS!B127</f>
        <v>424621951.98000008</v>
      </c>
      <c r="D20" s="83">
        <f>+PIS!C127</f>
        <v>261665031.68000001</v>
      </c>
      <c r="E20" s="83">
        <f>+PIS!D127</f>
        <v>401477383.65999991</v>
      </c>
      <c r="F20" s="83">
        <f>+PIS!E127</f>
        <v>43663839.68</v>
      </c>
      <c r="G20" s="83">
        <f>+PIS!F127</f>
        <v>23003817</v>
      </c>
      <c r="H20" s="83">
        <v>0</v>
      </c>
      <c r="I20" s="83">
        <v>0</v>
      </c>
      <c r="J20" s="167"/>
      <c r="K20" s="117"/>
    </row>
    <row r="21" spans="1:14" ht="15">
      <c r="A21" s="107">
        <v>12</v>
      </c>
      <c r="B21" s="102" t="s">
        <v>569</v>
      </c>
      <c r="C21" s="83">
        <f>+PIS!B128</f>
        <v>424621951.98000008</v>
      </c>
      <c r="D21" s="83">
        <f>+PIS!C128</f>
        <v>263713430.58000001</v>
      </c>
      <c r="E21" s="83">
        <f>+PIS!D128</f>
        <v>407143563.68000007</v>
      </c>
      <c r="F21" s="83">
        <f>+PIS!E128</f>
        <v>43715058.350000001</v>
      </c>
      <c r="G21" s="83">
        <f>+PIS!F128</f>
        <v>23072353</v>
      </c>
      <c r="H21" s="83">
        <v>0</v>
      </c>
      <c r="I21" s="83">
        <v>0</v>
      </c>
      <c r="J21" s="167"/>
      <c r="K21" s="117"/>
    </row>
    <row r="22" spans="1:14" ht="15">
      <c r="A22" s="107">
        <v>13</v>
      </c>
      <c r="B22" s="102" t="s">
        <v>570</v>
      </c>
      <c r="C22" s="83">
        <f>+PIS!B129</f>
        <v>424917972.89000005</v>
      </c>
      <c r="D22" s="83">
        <f>+PIS!C129</f>
        <v>264303962.91</v>
      </c>
      <c r="E22" s="83">
        <f>+PIS!D129</f>
        <v>410978289.37000006</v>
      </c>
      <c r="F22" s="83">
        <f>+PIS!E129</f>
        <v>44386551.81000001</v>
      </c>
      <c r="G22" s="83">
        <f>+PIS!F129</f>
        <v>22745275</v>
      </c>
      <c r="H22" s="83">
        <v>0</v>
      </c>
      <c r="I22" s="83">
        <v>0</v>
      </c>
      <c r="J22" s="167"/>
      <c r="K22" s="117"/>
    </row>
    <row r="23" spans="1:14" ht="13.5" thickBot="1">
      <c r="A23" s="107">
        <v>14</v>
      </c>
      <c r="B23" s="120" t="s">
        <v>571</v>
      </c>
      <c r="C23" s="121">
        <f>SUM(C10:C22)/13</f>
        <v>425332814.77769244</v>
      </c>
      <c r="D23" s="121">
        <f>SUM(D10:D22)/13</f>
        <v>255097845.26384613</v>
      </c>
      <c r="E23" s="121">
        <f t="shared" ref="E23:I23" si="0">SUM(E10:E22)/13</f>
        <v>395453458.89769226</v>
      </c>
      <c r="F23" s="121">
        <f t="shared" si="0"/>
        <v>42380370.836923085</v>
      </c>
      <c r="G23" s="121">
        <f t="shared" si="0"/>
        <v>22764182.923076924</v>
      </c>
      <c r="H23" s="121">
        <f t="shared" si="0"/>
        <v>0</v>
      </c>
      <c r="I23" s="121">
        <f t="shared" si="0"/>
        <v>0</v>
      </c>
      <c r="J23" s="199"/>
      <c r="K23" s="117"/>
    </row>
    <row r="24" spans="1:14" ht="14.25" thickTop="1" thickBot="1">
      <c r="A24" s="107"/>
      <c r="B24" s="329">
        <v>44896</v>
      </c>
      <c r="C24" s="330"/>
      <c r="D24" s="330"/>
      <c r="E24" s="330"/>
      <c r="F24" s="330"/>
      <c r="G24" s="331"/>
      <c r="H24" s="175"/>
      <c r="I24" s="329">
        <v>44531</v>
      </c>
      <c r="J24" s="330"/>
      <c r="K24" s="330"/>
      <c r="L24" s="330"/>
      <c r="M24" s="330"/>
      <c r="N24" s="331"/>
    </row>
    <row r="25" spans="1:14">
      <c r="A25" s="107"/>
      <c r="B25" s="267" t="s">
        <v>865</v>
      </c>
      <c r="C25" s="258">
        <v>432114197</v>
      </c>
      <c r="D25" s="258">
        <v>264303963</v>
      </c>
      <c r="E25" s="258">
        <v>410978288</v>
      </c>
      <c r="F25" s="258">
        <f>529900+45008222</f>
        <v>45538122</v>
      </c>
      <c r="G25" s="259">
        <f>22745275+261441404</f>
        <v>284186679</v>
      </c>
      <c r="H25" s="210"/>
      <c r="I25" s="267" t="s">
        <v>865</v>
      </c>
      <c r="J25" s="258">
        <v>429646343</v>
      </c>
      <c r="K25" s="258">
        <v>242287439</v>
      </c>
      <c r="L25" s="258">
        <v>383163466</v>
      </c>
      <c r="M25" s="258">
        <f>529900+47054085</f>
        <v>47583985</v>
      </c>
      <c r="N25" s="259">
        <f>22892222+261441404</f>
        <v>284333626</v>
      </c>
    </row>
    <row r="26" spans="1:14">
      <c r="A26" s="107"/>
      <c r="B26" s="260" t="s">
        <v>866</v>
      </c>
      <c r="C26" s="257">
        <f>+C75</f>
        <v>7196224</v>
      </c>
      <c r="D26" s="257"/>
      <c r="E26" s="257"/>
      <c r="F26" s="257"/>
      <c r="G26" s="261"/>
      <c r="H26" s="255"/>
      <c r="I26" s="260" t="s">
        <v>866</v>
      </c>
      <c r="J26" s="257"/>
      <c r="K26" s="257"/>
      <c r="L26" s="257"/>
      <c r="M26" s="257">
        <f>+C63</f>
        <v>7196224</v>
      </c>
      <c r="N26" s="261"/>
    </row>
    <row r="27" spans="1:14">
      <c r="A27" s="107"/>
      <c r="B27" s="266" t="s">
        <v>591</v>
      </c>
      <c r="C27" s="256"/>
      <c r="D27" s="256"/>
      <c r="E27" s="256"/>
      <c r="F27" s="256">
        <f>G75</f>
        <v>1151569</v>
      </c>
      <c r="G27" s="262">
        <f>-E75</f>
        <v>-261441404</v>
      </c>
      <c r="H27" s="255"/>
      <c r="I27" s="266" t="s">
        <v>591</v>
      </c>
      <c r="J27" s="256"/>
      <c r="K27" s="256"/>
      <c r="L27" s="256"/>
      <c r="M27" s="256">
        <f>G63</f>
        <v>1241279</v>
      </c>
      <c r="N27" s="262">
        <f>-E63</f>
        <v>-261441404</v>
      </c>
    </row>
    <row r="28" spans="1:14" ht="13.5" thickBot="1">
      <c r="A28" s="107"/>
      <c r="B28" s="263" t="s">
        <v>535</v>
      </c>
      <c r="C28" s="264">
        <f>+C22-C25+C26</f>
        <v>-0.10999995470046997</v>
      </c>
      <c r="D28" s="264">
        <f t="shared" ref="D28:E28" si="1">+D22-D25+D26</f>
        <v>-9.0000003576278687E-2</v>
      </c>
      <c r="E28" s="264">
        <f t="shared" si="1"/>
        <v>1.3700000643730164</v>
      </c>
      <c r="F28" s="264">
        <f>+F22-F25+F27</f>
        <v>-1.1899999901652336</v>
      </c>
      <c r="G28" s="265">
        <f>+G22-G25-G27</f>
        <v>0</v>
      </c>
      <c r="H28" s="210"/>
      <c r="I28" s="263" t="s">
        <v>535</v>
      </c>
      <c r="J28" s="264">
        <f>+C10-J25+J26</f>
        <v>-5227010.1399999261</v>
      </c>
      <c r="K28" s="264">
        <f>+D10-K25+K26</f>
        <v>0.33000001311302185</v>
      </c>
      <c r="L28" s="264">
        <f>+E10-L25+L26</f>
        <v>-8.0000042915344238E-2</v>
      </c>
      <c r="M28" s="264">
        <f>+F10-M25+M26+M27</f>
        <v>0.15999999642372131</v>
      </c>
      <c r="N28" s="265">
        <f>+G10-N25-N27</f>
        <v>0</v>
      </c>
    </row>
    <row r="29" spans="1:14">
      <c r="A29" s="107"/>
      <c r="B29" s="102"/>
      <c r="C29" s="210"/>
      <c r="D29" s="210"/>
      <c r="E29" s="210"/>
      <c r="F29" s="210"/>
      <c r="G29" s="210"/>
      <c r="H29" s="210"/>
      <c r="I29" s="210"/>
      <c r="J29" s="274"/>
    </row>
    <row r="30" spans="1:14">
      <c r="A30" s="107"/>
      <c r="B30" s="102"/>
      <c r="C30" s="124"/>
      <c r="D30" s="125"/>
      <c r="E30" s="326" t="s">
        <v>580</v>
      </c>
      <c r="F30" s="327"/>
      <c r="G30" s="327"/>
      <c r="H30" s="327"/>
      <c r="I30" s="328"/>
    </row>
    <row r="31" spans="1:14">
      <c r="A31" s="107"/>
      <c r="B31" s="102"/>
    </row>
    <row r="32" spans="1:14" ht="25.5">
      <c r="A32" s="113" t="s">
        <v>579</v>
      </c>
      <c r="B32" s="78" t="s">
        <v>538</v>
      </c>
      <c r="C32" s="78" t="s">
        <v>581</v>
      </c>
      <c r="D32" s="78" t="s">
        <v>581</v>
      </c>
      <c r="E32" s="78" t="s">
        <v>536</v>
      </c>
      <c r="F32" s="78" t="s">
        <v>528</v>
      </c>
      <c r="G32" s="78" t="s">
        <v>525</v>
      </c>
      <c r="H32" s="78" t="s">
        <v>539</v>
      </c>
      <c r="I32" s="78" t="s">
        <v>540</v>
      </c>
    </row>
    <row r="33" spans="1:10">
      <c r="A33" s="107"/>
      <c r="B33" s="77" t="s">
        <v>543</v>
      </c>
      <c r="C33" s="77" t="s">
        <v>544</v>
      </c>
      <c r="D33" s="77" t="s">
        <v>545</v>
      </c>
      <c r="E33" s="78" t="s">
        <v>546</v>
      </c>
      <c r="F33" s="78" t="s">
        <v>547</v>
      </c>
      <c r="G33" s="78" t="s">
        <v>548</v>
      </c>
      <c r="H33" s="78" t="s">
        <v>549</v>
      </c>
      <c r="I33" s="116" t="s">
        <v>550</v>
      </c>
    </row>
    <row r="34" spans="1:10" ht="26.45" customHeight="1">
      <c r="A34" s="107"/>
      <c r="B34" s="118" t="s">
        <v>551</v>
      </c>
      <c r="C34" s="78"/>
      <c r="D34" s="77"/>
      <c r="E34" s="126" t="s">
        <v>582</v>
      </c>
      <c r="F34" s="126" t="s">
        <v>583</v>
      </c>
      <c r="G34" s="126" t="s">
        <v>584</v>
      </c>
      <c r="H34" s="126" t="s">
        <v>585</v>
      </c>
      <c r="I34" s="126" t="s">
        <v>586</v>
      </c>
    </row>
    <row r="35" spans="1:10" ht="15">
      <c r="A35" s="107">
        <v>15</v>
      </c>
      <c r="B35" s="119" t="s">
        <v>559</v>
      </c>
      <c r="C35" s="78"/>
      <c r="D35" s="78"/>
      <c r="E35" s="83">
        <f>+Accum!E115</f>
        <v>113164497.34124731</v>
      </c>
      <c r="F35" s="83">
        <f>+Accum!F115</f>
        <v>46193935.165855415</v>
      </c>
      <c r="G35" s="83">
        <f>+Accum!G115</f>
        <v>152179529.63425758</v>
      </c>
      <c r="H35" s="83">
        <f>+Accum!H115</f>
        <v>19353545.738639716</v>
      </c>
      <c r="I35" s="83">
        <f>+Accum!I115</f>
        <v>3488956</v>
      </c>
      <c r="J35" s="167"/>
    </row>
    <row r="36" spans="1:10" ht="15">
      <c r="A36" s="107">
        <v>16</v>
      </c>
      <c r="B36" s="119" t="s">
        <v>560</v>
      </c>
      <c r="C36" s="78"/>
      <c r="D36" s="78"/>
      <c r="E36" s="83">
        <f>+Accum!E116</f>
        <v>119833609.9660757</v>
      </c>
      <c r="F36" s="83">
        <f>+Accum!F116</f>
        <v>45377602.673049301</v>
      </c>
      <c r="G36" s="83">
        <f>+Accum!G116</f>
        <v>152883986.36312547</v>
      </c>
      <c r="H36" s="83">
        <f>+Accum!H116</f>
        <v>20491694.517749518</v>
      </c>
      <c r="I36" s="83">
        <f>+Accum!I116</f>
        <v>3734756</v>
      </c>
      <c r="J36" s="167"/>
    </row>
    <row r="37" spans="1:10" ht="15">
      <c r="A37" s="107">
        <v>17</v>
      </c>
      <c r="B37" s="102" t="s">
        <v>561</v>
      </c>
      <c r="C37" s="78"/>
      <c r="D37" s="78"/>
      <c r="E37" s="83">
        <f>+Accum!E117</f>
        <v>121100618.25107239</v>
      </c>
      <c r="F37" s="83">
        <f>+Accum!F117</f>
        <v>45691284.700087763</v>
      </c>
      <c r="G37" s="83">
        <f>+Accum!G117</f>
        <v>153442176.44813156</v>
      </c>
      <c r="H37" s="83">
        <f>+Accum!H117</f>
        <v>20772309.560708277</v>
      </c>
      <c r="I37" s="83">
        <f>+Accum!I117</f>
        <v>4054872</v>
      </c>
      <c r="J37" s="167"/>
    </row>
    <row r="38" spans="1:10" ht="15">
      <c r="A38" s="107">
        <v>18</v>
      </c>
      <c r="B38" s="102" t="s">
        <v>562</v>
      </c>
      <c r="C38" s="78"/>
      <c r="D38" s="78"/>
      <c r="E38" s="83">
        <f>+Accum!E118</f>
        <v>116922031.47691913</v>
      </c>
      <c r="F38" s="83">
        <f>+Accum!F118</f>
        <v>46031260.611641638</v>
      </c>
      <c r="G38" s="83">
        <f>+Accum!G118</f>
        <v>153739329.30726722</v>
      </c>
      <c r="H38" s="83">
        <f>+Accum!H118</f>
        <v>20600057.184172019</v>
      </c>
      <c r="I38" s="83">
        <f>+Accum!I118</f>
        <v>4303505</v>
      </c>
      <c r="J38" s="167"/>
    </row>
    <row r="39" spans="1:10" ht="15">
      <c r="A39" s="107">
        <v>19</v>
      </c>
      <c r="B39" s="102" t="s">
        <v>563</v>
      </c>
      <c r="C39" s="78"/>
      <c r="D39" s="78"/>
      <c r="E39" s="83">
        <f>+Accum!E119</f>
        <v>117972381.86504272</v>
      </c>
      <c r="F39" s="83">
        <f>+Accum!F119</f>
        <v>46381972.708754286</v>
      </c>
      <c r="G39" s="83">
        <f>+Accum!G119</f>
        <v>154749249.58586621</v>
      </c>
      <c r="H39" s="83">
        <f>+Accum!H119</f>
        <v>20698474.540336732</v>
      </c>
      <c r="I39" s="83">
        <f>+Accum!I119</f>
        <v>4522274</v>
      </c>
      <c r="J39" s="167"/>
    </row>
    <row r="40" spans="1:10" ht="15">
      <c r="A40" s="107">
        <v>20</v>
      </c>
      <c r="B40" s="102" t="s">
        <v>142</v>
      </c>
      <c r="C40" s="78"/>
      <c r="D40" s="78"/>
      <c r="E40" s="83">
        <f>+Accum!E120</f>
        <v>119222731.96376497</v>
      </c>
      <c r="F40" s="83">
        <f>+Accum!F120</f>
        <v>46753254.857643507</v>
      </c>
      <c r="G40" s="83">
        <f>+Accum!G120</f>
        <v>155145452.52374724</v>
      </c>
      <c r="H40" s="83">
        <f>+Accum!H120</f>
        <v>21104175.064844288</v>
      </c>
      <c r="I40" s="83">
        <f>+Accum!I120</f>
        <v>4679451</v>
      </c>
      <c r="J40" s="167"/>
    </row>
    <row r="41" spans="1:10" ht="15">
      <c r="A41" s="107">
        <v>21</v>
      </c>
      <c r="B41" s="102" t="s">
        <v>564</v>
      </c>
      <c r="C41" s="78"/>
      <c r="D41" s="78"/>
      <c r="E41" s="83">
        <f>+Accum!E121</f>
        <v>120219997.4386083</v>
      </c>
      <c r="F41" s="83">
        <f>+Accum!F121</f>
        <v>46607606.92755986</v>
      </c>
      <c r="G41" s="83">
        <f>+Accum!G121</f>
        <v>154154432.60342833</v>
      </c>
      <c r="H41" s="83">
        <f>+Accum!H121</f>
        <v>20187466.120403558</v>
      </c>
      <c r="I41" s="83">
        <f>+Accum!I121</f>
        <v>4929973</v>
      </c>
      <c r="J41" s="167"/>
    </row>
    <row r="42" spans="1:10" ht="15">
      <c r="A42" s="107">
        <v>22</v>
      </c>
      <c r="B42" s="102" t="s">
        <v>565</v>
      </c>
      <c r="C42" s="78"/>
      <c r="D42" s="78"/>
      <c r="E42" s="83">
        <f>+Accum!E122</f>
        <v>121484196.48449238</v>
      </c>
      <c r="F42" s="83">
        <f>+Accum!F122</f>
        <v>47491856.954499297</v>
      </c>
      <c r="G42" s="83">
        <f>+Accum!G122</f>
        <v>155659554.22952315</v>
      </c>
      <c r="H42" s="83">
        <f>+Accum!H122</f>
        <v>20142081.171485189</v>
      </c>
      <c r="I42" s="83">
        <f>+Accum!I122</f>
        <v>5035692</v>
      </c>
      <c r="J42" s="167"/>
    </row>
    <row r="43" spans="1:10" ht="15">
      <c r="A43" s="107">
        <v>23</v>
      </c>
      <c r="B43" s="102" t="s">
        <v>566</v>
      </c>
      <c r="C43" s="78"/>
      <c r="D43" s="78"/>
      <c r="E43" s="83">
        <f>+Accum!E123</f>
        <v>122738677.23396184</v>
      </c>
      <c r="F43" s="83">
        <f>+Accum!F123</f>
        <v>47863236.524956174</v>
      </c>
      <c r="G43" s="83">
        <f>+Accum!G123</f>
        <v>156373418.75518018</v>
      </c>
      <c r="H43" s="83">
        <f>+Accum!H123</f>
        <v>20382612.835901849</v>
      </c>
      <c r="I43" s="83">
        <f>+Accum!I123</f>
        <v>5299332</v>
      </c>
      <c r="J43" s="167"/>
    </row>
    <row r="44" spans="1:10" ht="15">
      <c r="A44" s="107">
        <v>24</v>
      </c>
      <c r="B44" s="102" t="s">
        <v>567</v>
      </c>
      <c r="C44" s="78"/>
      <c r="D44" s="78"/>
      <c r="E44" s="83">
        <f>+Accum!E124</f>
        <v>123923501.02315767</v>
      </c>
      <c r="F44" s="83">
        <f>+Accum!F124</f>
        <v>47719328.379934691</v>
      </c>
      <c r="G44" s="83">
        <f>+Accum!G124</f>
        <v>155655667.58628842</v>
      </c>
      <c r="H44" s="83">
        <f>+Accum!H124</f>
        <v>20689496.820619218</v>
      </c>
      <c r="I44" s="83">
        <f>+Accum!I124</f>
        <v>5560567</v>
      </c>
      <c r="J44" s="167"/>
    </row>
    <row r="45" spans="1:10" ht="15">
      <c r="A45" s="107">
        <v>25</v>
      </c>
      <c r="B45" s="102" t="s">
        <v>568</v>
      </c>
      <c r="C45" s="78"/>
      <c r="D45" s="78"/>
      <c r="E45" s="83">
        <f>+Accum!E125</f>
        <v>125162757.51303728</v>
      </c>
      <c r="F45" s="83">
        <f>+Accum!F125</f>
        <v>48604330.486245431</v>
      </c>
      <c r="G45" s="83">
        <f>+Accum!G125</f>
        <v>157819757.75726971</v>
      </c>
      <c r="H45" s="83">
        <f>+Accum!H125</f>
        <v>20949372.263447616</v>
      </c>
      <c r="I45" s="83">
        <f>+Accum!I125</f>
        <v>6611714</v>
      </c>
      <c r="J45" s="167"/>
    </row>
    <row r="46" spans="1:10" ht="15">
      <c r="A46" s="107">
        <v>26</v>
      </c>
      <c r="B46" s="102" t="s">
        <v>569</v>
      </c>
      <c r="C46" s="78"/>
      <c r="D46" s="78"/>
      <c r="E46" s="83">
        <f>+Accum!E126</f>
        <v>126414276.76090701</v>
      </c>
      <c r="F46" s="83">
        <f>+Accum!F126</f>
        <v>48879817.220615178</v>
      </c>
      <c r="G46" s="83">
        <f>+Accum!G126</f>
        <v>158147467.07745102</v>
      </c>
      <c r="H46" s="83">
        <f>+Accum!H126</f>
        <v>20557755.981026825</v>
      </c>
      <c r="I46" s="83">
        <f>+Accum!I126</f>
        <v>6879543</v>
      </c>
      <c r="J46" s="167"/>
    </row>
    <row r="47" spans="1:10" ht="15">
      <c r="A47" s="107">
        <v>27</v>
      </c>
      <c r="B47" s="102" t="s">
        <v>570</v>
      </c>
      <c r="C47" s="78"/>
      <c r="D47" s="78"/>
      <c r="E47" s="83">
        <f>+Accum!E127</f>
        <v>127508984.69864899</v>
      </c>
      <c r="F47" s="83">
        <f>+Accum!F127</f>
        <v>48570417.830211848</v>
      </c>
      <c r="G47" s="83">
        <f>+Accum!G127</f>
        <v>156335883.34363261</v>
      </c>
      <c r="H47" s="83">
        <f>+Accum!H127</f>
        <v>22580427.327506546</v>
      </c>
      <c r="I47" s="83">
        <f>+Accum!I127</f>
        <v>6269229</v>
      </c>
      <c r="J47" s="167"/>
    </row>
    <row r="48" spans="1:10" ht="13.5" thickBot="1">
      <c r="A48" s="107">
        <v>28</v>
      </c>
      <c r="B48" s="120" t="s">
        <v>571</v>
      </c>
      <c r="C48" s="121"/>
      <c r="D48" s="121"/>
      <c r="E48" s="121">
        <f t="shared" ref="E48:I48" si="2">SUM(E35:E47)/13</f>
        <v>121205250.92437965</v>
      </c>
      <c r="F48" s="121">
        <f t="shared" si="2"/>
        <v>47089685.003158025</v>
      </c>
      <c r="G48" s="121">
        <f t="shared" si="2"/>
        <v>155098915.78578222</v>
      </c>
      <c r="H48" s="121">
        <f t="shared" si="2"/>
        <v>20654574.548218567</v>
      </c>
      <c r="I48" s="121">
        <f t="shared" si="2"/>
        <v>5028451.076923077</v>
      </c>
      <c r="J48" s="199"/>
    </row>
    <row r="49" spans="1:16" ht="14.25" thickTop="1" thickBot="1">
      <c r="A49" s="107"/>
      <c r="B49" s="120"/>
      <c r="C49" s="175"/>
      <c r="D49" s="175"/>
      <c r="J49" s="199"/>
    </row>
    <row r="50" spans="1:16" ht="13.5" thickBot="1">
      <c r="A50" s="107"/>
      <c r="B50" s="120"/>
      <c r="C50" s="175"/>
      <c r="D50" s="329">
        <v>44896</v>
      </c>
      <c r="E50" s="330"/>
      <c r="F50" s="330"/>
      <c r="G50" s="330"/>
      <c r="H50" s="330"/>
      <c r="I50" s="331"/>
      <c r="J50" s="199"/>
      <c r="K50" s="329">
        <v>44531</v>
      </c>
      <c r="L50" s="330"/>
      <c r="M50" s="330"/>
      <c r="N50" s="330"/>
      <c r="O50" s="330"/>
      <c r="P50" s="331"/>
    </row>
    <row r="51" spans="1:16">
      <c r="A51" s="107"/>
      <c r="B51" s="120"/>
      <c r="C51" s="175"/>
      <c r="D51" s="267" t="s">
        <v>865</v>
      </c>
      <c r="E51" s="258">
        <f>40117+129968760</f>
        <v>130008877</v>
      </c>
      <c r="F51" s="258">
        <v>48570418</v>
      </c>
      <c r="G51" s="258">
        <v>156335881</v>
      </c>
      <c r="H51" s="258">
        <f>21710822+1344766</f>
        <v>23055588</v>
      </c>
      <c r="I51" s="259">
        <f>6269229+143792772</f>
        <v>150062001</v>
      </c>
      <c r="J51" s="199"/>
      <c r="K51" s="267" t="s">
        <v>865</v>
      </c>
      <c r="L51" s="258">
        <f>40225+113441191</f>
        <v>113481416</v>
      </c>
      <c r="M51" s="258">
        <v>46318516</v>
      </c>
      <c r="N51" s="258">
        <v>152587038</v>
      </c>
      <c r="O51" s="258">
        <f>19818923+1276028</f>
        <v>21094951</v>
      </c>
      <c r="P51" s="259">
        <f>3488956+130720701</f>
        <v>134209657</v>
      </c>
    </row>
    <row r="52" spans="1:16">
      <c r="A52" s="107"/>
      <c r="B52" s="120"/>
      <c r="C52" s="175"/>
      <c r="D52" s="260" t="s">
        <v>866</v>
      </c>
      <c r="E52" s="257">
        <f>+D75</f>
        <v>2499891</v>
      </c>
      <c r="F52" s="257"/>
      <c r="G52" s="257"/>
      <c r="H52" s="257"/>
      <c r="I52" s="261"/>
      <c r="J52" s="199"/>
      <c r="K52" s="260" t="s">
        <v>866</v>
      </c>
      <c r="L52" s="257">
        <f>+D63</f>
        <v>2197786</v>
      </c>
      <c r="M52" s="257"/>
      <c r="N52" s="257"/>
      <c r="O52" s="257"/>
      <c r="P52" s="261"/>
    </row>
    <row r="53" spans="1:16">
      <c r="A53" s="107"/>
      <c r="B53" s="120"/>
      <c r="C53" s="175"/>
      <c r="D53" s="260" t="s">
        <v>872</v>
      </c>
      <c r="E53" s="257"/>
      <c r="F53" s="257"/>
      <c r="G53" s="257"/>
      <c r="H53" s="257"/>
      <c r="I53" s="261">
        <f>+F75</f>
        <v>143792772</v>
      </c>
      <c r="J53" s="199"/>
      <c r="K53" s="260" t="s">
        <v>872</v>
      </c>
      <c r="L53" s="257"/>
      <c r="M53" s="257"/>
      <c r="N53" s="257"/>
      <c r="O53" s="257"/>
      <c r="P53" s="261">
        <f>+F63</f>
        <v>130720701</v>
      </c>
    </row>
    <row r="54" spans="1:16">
      <c r="A54" s="107"/>
      <c r="B54" s="120"/>
      <c r="C54" s="175"/>
      <c r="D54" s="266" t="s">
        <v>869</v>
      </c>
      <c r="E54" s="256"/>
      <c r="F54" s="256"/>
      <c r="G54" s="256"/>
      <c r="H54" s="256">
        <f>+H75</f>
        <v>475160</v>
      </c>
      <c r="I54" s="262"/>
      <c r="J54" s="199"/>
      <c r="K54" s="266" t="s">
        <v>869</v>
      </c>
      <c r="L54" s="256"/>
      <c r="M54" s="256"/>
      <c r="N54" s="256"/>
      <c r="O54" s="256">
        <f>+H63</f>
        <v>392627</v>
      </c>
      <c r="P54" s="262"/>
    </row>
    <row r="55" spans="1:16" ht="13.5" thickBot="1">
      <c r="A55" s="107"/>
      <c r="B55" s="102"/>
      <c r="D55" s="263"/>
      <c r="E55" s="264">
        <f>+E47-E51+E52+E54</f>
        <v>-1.301351010799408</v>
      </c>
      <c r="F55" s="264">
        <f>+F47-F51+F52+F54</f>
        <v>-0.16978815197944641</v>
      </c>
      <c r="G55" s="264">
        <f>+G47-G51+G52+G54</f>
        <v>2.3436326086521149</v>
      </c>
      <c r="H55" s="264">
        <f>+H47-H51+H52+H54</f>
        <v>-0.67249345406889915</v>
      </c>
      <c r="I55" s="265">
        <f>+I47-I51+I53+I54</f>
        <v>0</v>
      </c>
      <c r="K55" s="263"/>
      <c r="L55" s="264">
        <f>+E35-L51+L52+L54</f>
        <v>1880867.3412473053</v>
      </c>
      <c r="M55" s="264">
        <f>+F35-M51+M52+M54</f>
        <v>-124580.83414458483</v>
      </c>
      <c r="N55" s="264">
        <f>+G35-N51+N52+N54</f>
        <v>-407508.36574241519</v>
      </c>
      <c r="O55" s="264">
        <f>+H35-O51+O52+O54</f>
        <v>-1348778.2613602839</v>
      </c>
      <c r="P55" s="265">
        <f>+I35-P51+P53+P54</f>
        <v>0</v>
      </c>
    </row>
    <row r="56" spans="1:16">
      <c r="A56" s="107"/>
      <c r="B56" s="102"/>
    </row>
    <row r="57" spans="1:16">
      <c r="A57" s="107"/>
      <c r="B57" s="102"/>
    </row>
    <row r="58" spans="1:16">
      <c r="A58" s="107"/>
      <c r="B58" s="102"/>
    </row>
    <row r="59" spans="1:16">
      <c r="A59" s="127"/>
      <c r="B59" s="102"/>
      <c r="C59" s="128"/>
      <c r="D59" s="129"/>
      <c r="E59" s="128"/>
      <c r="F59" s="128"/>
      <c r="G59" s="128"/>
      <c r="H59" s="128"/>
      <c r="I59" s="128"/>
    </row>
    <row r="60" spans="1:16" s="132" customFormat="1" ht="25.5">
      <c r="A60" s="130"/>
      <c r="B60" s="126" t="s">
        <v>538</v>
      </c>
      <c r="C60" s="126" t="s">
        <v>587</v>
      </c>
      <c r="D60" s="126" t="s">
        <v>588</v>
      </c>
      <c r="E60" s="126" t="s">
        <v>589</v>
      </c>
      <c r="F60" s="126" t="s">
        <v>590</v>
      </c>
      <c r="G60" s="126" t="s">
        <v>591</v>
      </c>
      <c r="H60" s="126" t="s">
        <v>592</v>
      </c>
      <c r="I60" s="131" t="s">
        <v>581</v>
      </c>
    </row>
    <row r="61" spans="1:16" s="132" customFormat="1">
      <c r="A61" s="130"/>
      <c r="B61" s="133" t="s">
        <v>543</v>
      </c>
      <c r="C61" s="133" t="s">
        <v>544</v>
      </c>
      <c r="D61" s="133" t="s">
        <v>545</v>
      </c>
      <c r="E61" s="133" t="s">
        <v>546</v>
      </c>
      <c r="F61" s="133" t="s">
        <v>547</v>
      </c>
      <c r="G61" s="133" t="s">
        <v>548</v>
      </c>
      <c r="H61" s="133" t="s">
        <v>549</v>
      </c>
      <c r="I61" s="134" t="s">
        <v>550</v>
      </c>
    </row>
    <row r="62" spans="1:16" s="132" customFormat="1">
      <c r="A62" s="130"/>
      <c r="B62" s="135" t="s">
        <v>551</v>
      </c>
      <c r="C62" s="126"/>
      <c r="D62" s="126"/>
      <c r="E62" s="126" t="s">
        <v>593</v>
      </c>
      <c r="F62" s="126" t="s">
        <v>593</v>
      </c>
      <c r="G62" s="126" t="s">
        <v>593</v>
      </c>
      <c r="H62" s="126" t="s">
        <v>593</v>
      </c>
      <c r="I62" s="136"/>
    </row>
    <row r="63" spans="1:16" s="132" customFormat="1" ht="15">
      <c r="A63" s="130">
        <f>A48+1</f>
        <v>29</v>
      </c>
      <c r="B63" s="137" t="s">
        <v>559</v>
      </c>
      <c r="C63" s="138">
        <f>+'Balance Sheet - Jan - Dec 2021'!M14</f>
        <v>7196224</v>
      </c>
      <c r="D63" s="138">
        <f>-'Balance Sheet - Jan - Dec 2021'!M28</f>
        <v>2197786</v>
      </c>
      <c r="E63" s="138">
        <f>+'BS - Jan - Dec _ 99200'!N11</f>
        <v>261441404</v>
      </c>
      <c r="F63" s="138">
        <f>-'BS - Jan - Dec _ 99200'!N14</f>
        <v>130720701</v>
      </c>
      <c r="G63" s="138">
        <f>+'Balance Sheet - Jan - Dec 2021'!M13</f>
        <v>1241279</v>
      </c>
      <c r="H63" s="138">
        <f>-'Balance Sheet - Jan - Dec 2021'!M27</f>
        <v>392627</v>
      </c>
      <c r="I63" s="136"/>
      <c r="J63" s="167"/>
    </row>
    <row r="64" spans="1:16" s="132" customFormat="1" ht="15">
      <c r="A64" s="130">
        <f>A63+1</f>
        <v>30</v>
      </c>
      <c r="B64" s="137" t="s">
        <v>560</v>
      </c>
      <c r="C64" s="138">
        <f>+'Balance Sheet - Jan - Dec 2022'!B13</f>
        <v>7196224</v>
      </c>
      <c r="D64" s="138">
        <f>-'Balance Sheet - Jan - Dec 2022'!B28</f>
        <v>2222961</v>
      </c>
      <c r="E64" s="138">
        <f>+'BS - Jan - Dec _ 99200'!B11</f>
        <v>261441404</v>
      </c>
      <c r="F64" s="138">
        <f>-'BS - Jan - Dec _ 99200'!B14</f>
        <v>131810041</v>
      </c>
      <c r="G64" s="138">
        <f>+'Balance Sheet - Jan - Dec 2022'!B12</f>
        <v>1127251</v>
      </c>
      <c r="H64" s="138">
        <f>-'Balance Sheet - Jan - Dec 2022'!B27</f>
        <v>381466</v>
      </c>
      <c r="I64" s="136"/>
      <c r="J64" s="167"/>
    </row>
    <row r="65" spans="1:12" s="132" customFormat="1" ht="15">
      <c r="A65" s="130">
        <f t="shared" ref="A65:A76" si="3">A64+1</f>
        <v>31</v>
      </c>
      <c r="B65" s="137" t="s">
        <v>561</v>
      </c>
      <c r="C65" s="138">
        <f>+'Balance Sheet - Jan - Dec 2022'!C13</f>
        <v>7196224</v>
      </c>
      <c r="D65" s="138">
        <f>-'Balance Sheet - Jan - Dec 2022'!C28</f>
        <v>2248137</v>
      </c>
      <c r="E65" s="138">
        <f>+'BS - Jan - Dec _ 99200'!C11</f>
        <v>261441404</v>
      </c>
      <c r="F65" s="138">
        <f>-'BS - Jan - Dec _ 99200'!C14</f>
        <v>132899380</v>
      </c>
      <c r="G65" s="138">
        <f>+'Balance Sheet - Jan - Dec 2022'!C12</f>
        <v>1127251</v>
      </c>
      <c r="H65" s="138">
        <f>-'Balance Sheet - Jan - Dec 2022'!C27</f>
        <v>390135</v>
      </c>
      <c r="I65" s="136"/>
      <c r="J65" s="167"/>
    </row>
    <row r="66" spans="1:12" s="132" customFormat="1" ht="15">
      <c r="A66" s="130">
        <f t="shared" si="3"/>
        <v>32</v>
      </c>
      <c r="B66" s="137" t="s">
        <v>562</v>
      </c>
      <c r="C66" s="138">
        <f>+'Balance Sheet - Jan - Dec 2022'!D13</f>
        <v>7196224</v>
      </c>
      <c r="D66" s="138">
        <f>-'Balance Sheet - Jan - Dec 2022'!D28</f>
        <v>2273312</v>
      </c>
      <c r="E66" s="138">
        <f>+'BS - Jan - Dec _ 99200'!D11</f>
        <v>261441404</v>
      </c>
      <c r="F66" s="138">
        <f>-'BS - Jan - Dec _ 99200'!D14</f>
        <v>133988719</v>
      </c>
      <c r="G66" s="138">
        <f>+'Balance Sheet - Jan - Dec 2022'!D12</f>
        <v>1127251</v>
      </c>
      <c r="H66" s="138">
        <f>-'Balance Sheet - Jan - Dec 2022'!D27</f>
        <v>398822</v>
      </c>
      <c r="I66" s="136"/>
      <c r="J66" s="167"/>
    </row>
    <row r="67" spans="1:12" s="132" customFormat="1" ht="15">
      <c r="A67" s="130">
        <f t="shared" si="3"/>
        <v>33</v>
      </c>
      <c r="B67" s="137" t="s">
        <v>563</v>
      </c>
      <c r="C67" s="138">
        <f>+'Balance Sheet - Jan - Dec 2022'!E13</f>
        <v>7196224</v>
      </c>
      <c r="D67" s="138">
        <f>-'Balance Sheet - Jan - Dec 2022'!E28</f>
        <v>2298487</v>
      </c>
      <c r="E67" s="138">
        <f>+'BS - Jan - Dec _ 99200'!E11</f>
        <v>261441404</v>
      </c>
      <c r="F67" s="138">
        <f>-'BS - Jan - Dec _ 99200'!E14</f>
        <v>135078058</v>
      </c>
      <c r="G67" s="138">
        <f>+'Balance Sheet - Jan - Dec 2022'!E12</f>
        <v>1127251</v>
      </c>
      <c r="H67" s="138">
        <f>-'Balance Sheet - Jan - Dec 2022'!E27</f>
        <v>407527</v>
      </c>
      <c r="I67" s="136"/>
      <c r="J67" s="167"/>
    </row>
    <row r="68" spans="1:12" s="132" customFormat="1" ht="15">
      <c r="A68" s="130">
        <f t="shared" si="3"/>
        <v>34</v>
      </c>
      <c r="B68" s="137" t="s">
        <v>142</v>
      </c>
      <c r="C68" s="138">
        <f>+'Balance Sheet - Jan - Dec 2022'!F13</f>
        <v>7196224</v>
      </c>
      <c r="D68" s="138">
        <f>-'Balance Sheet - Jan - Dec 2022'!F28</f>
        <v>2323663</v>
      </c>
      <c r="E68" s="138">
        <f>+'BS - Jan - Dec _ 99200'!F11</f>
        <v>261441404</v>
      </c>
      <c r="F68" s="138">
        <f>-'BS - Jan - Dec _ 99200'!F14</f>
        <v>136167397</v>
      </c>
      <c r="G68" s="138">
        <f>+'Balance Sheet - Jan - Dec 2022'!F12</f>
        <v>1127251</v>
      </c>
      <c r="H68" s="138">
        <f>-'Balance Sheet - Jan - Dec 2022'!F27</f>
        <v>416249</v>
      </c>
      <c r="I68" s="136"/>
      <c r="J68" s="167"/>
    </row>
    <row r="69" spans="1:12" s="132" customFormat="1" ht="15">
      <c r="A69" s="130">
        <f t="shared" si="3"/>
        <v>35</v>
      </c>
      <c r="B69" s="137" t="s">
        <v>564</v>
      </c>
      <c r="C69" s="138">
        <f>+'Balance Sheet - Jan - Dec 2022'!G13</f>
        <v>7196224</v>
      </c>
      <c r="D69" s="138">
        <f>-'Balance Sheet - Jan - Dec 2022'!G28</f>
        <v>2348838</v>
      </c>
      <c r="E69" s="138">
        <f>+'BS - Jan - Dec _ 99200'!G11</f>
        <v>261441404</v>
      </c>
      <c r="F69" s="138">
        <f>-'BS - Jan - Dec _ 99200'!G14</f>
        <v>137256736</v>
      </c>
      <c r="G69" s="138">
        <f>+'Balance Sheet - Jan - Dec 2022'!G12</f>
        <v>1127251</v>
      </c>
      <c r="H69" s="138">
        <f>-'Balance Sheet - Jan - Dec 2022'!G27</f>
        <v>424988</v>
      </c>
      <c r="I69" s="136"/>
      <c r="J69" s="167"/>
    </row>
    <row r="70" spans="1:12" s="132" customFormat="1" ht="15">
      <c r="A70" s="130">
        <f t="shared" si="3"/>
        <v>36</v>
      </c>
      <c r="B70" s="137" t="s">
        <v>565</v>
      </c>
      <c r="C70" s="138">
        <f>+'Balance Sheet - Jan - Dec 2022'!H13</f>
        <v>7196224</v>
      </c>
      <c r="D70" s="138">
        <f>-'Balance Sheet - Jan - Dec 2022'!H28</f>
        <v>2374014</v>
      </c>
      <c r="E70" s="138">
        <f>+'BS - Jan - Dec _ 99200'!H11</f>
        <v>261441404</v>
      </c>
      <c r="F70" s="138">
        <f>-'BS - Jan - Dec _ 99200'!H14</f>
        <v>138346076</v>
      </c>
      <c r="G70" s="138">
        <f>+'Balance Sheet - Jan - Dec 2022'!H12</f>
        <v>1150852</v>
      </c>
      <c r="H70" s="138">
        <f>-'Balance Sheet - Jan - Dec 2022'!H27</f>
        <v>433730</v>
      </c>
      <c r="I70" s="136"/>
      <c r="J70" s="167"/>
    </row>
    <row r="71" spans="1:12" s="132" customFormat="1" ht="15">
      <c r="A71" s="130">
        <f t="shared" si="3"/>
        <v>37</v>
      </c>
      <c r="B71" s="137" t="s">
        <v>566</v>
      </c>
      <c r="C71" s="138">
        <f>+'Balance Sheet - Jan - Dec 2022'!I13</f>
        <v>7196224</v>
      </c>
      <c r="D71" s="138">
        <f>-'Balance Sheet - Jan - Dec 2022'!I28</f>
        <v>2374014</v>
      </c>
      <c r="E71" s="138">
        <f>+'BS - Jan - Dec _ 99200'!I11</f>
        <v>261441404</v>
      </c>
      <c r="F71" s="138">
        <f>-'BS - Jan - Dec _ 99200'!I14</f>
        <v>139435415</v>
      </c>
      <c r="G71" s="138">
        <f>+'Balance Sheet - Jan - Dec 2022'!I12</f>
        <v>1151438</v>
      </c>
      <c r="H71" s="138">
        <f>-'Balance Sheet - Jan - Dec 2022'!I27</f>
        <v>442503</v>
      </c>
      <c r="I71" s="136"/>
      <c r="J71" s="167"/>
    </row>
    <row r="72" spans="1:12" s="132" customFormat="1" ht="15">
      <c r="A72" s="130">
        <f t="shared" si="3"/>
        <v>38</v>
      </c>
      <c r="B72" s="137" t="s">
        <v>567</v>
      </c>
      <c r="C72" s="138">
        <f>+'Balance Sheet - Jan - Dec 2022'!J13</f>
        <v>7196224</v>
      </c>
      <c r="D72" s="138">
        <f>-'Balance Sheet - Jan - Dec 2022'!J28</f>
        <v>2424365</v>
      </c>
      <c r="E72" s="138">
        <f>+'BS - Jan - Dec _ 99200'!J11</f>
        <v>261441404</v>
      </c>
      <c r="F72" s="138">
        <f>-'BS - Jan - Dec _ 99200'!J14</f>
        <v>140524754</v>
      </c>
      <c r="G72" s="138">
        <f>+'Balance Sheet - Jan - Dec 2022'!J12</f>
        <v>1151438</v>
      </c>
      <c r="H72" s="138">
        <f>-'Balance Sheet - Jan - Dec 2022'!J27</f>
        <v>451291</v>
      </c>
      <c r="I72" s="136"/>
      <c r="J72" s="167"/>
    </row>
    <row r="73" spans="1:12" s="132" customFormat="1" ht="15">
      <c r="A73" s="130">
        <f t="shared" si="3"/>
        <v>39</v>
      </c>
      <c r="B73" s="137" t="s">
        <v>568</v>
      </c>
      <c r="C73" s="138">
        <f>+'Balance Sheet - Jan - Dec 2022'!K13</f>
        <v>7196224</v>
      </c>
      <c r="D73" s="138">
        <f>-'Balance Sheet - Jan - Dec 2022'!K28</f>
        <v>2449540</v>
      </c>
      <c r="E73" s="138">
        <f>+'BS - Jan - Dec _ 99200'!K11</f>
        <v>261441404</v>
      </c>
      <c r="F73" s="138">
        <f>-'BS - Jan - Dec _ 99200'!K14</f>
        <v>141614093</v>
      </c>
      <c r="G73" s="138">
        <f>+'Balance Sheet - Jan - Dec 2022'!K12</f>
        <v>1151438</v>
      </c>
      <c r="H73" s="138">
        <f>-'Balance Sheet - Jan - Dec 2022'!K27</f>
        <v>460097</v>
      </c>
      <c r="I73" s="136"/>
      <c r="J73" s="167"/>
    </row>
    <row r="74" spans="1:12" s="132" customFormat="1" ht="15">
      <c r="A74" s="130">
        <f t="shared" si="3"/>
        <v>40</v>
      </c>
      <c r="B74" s="137" t="s">
        <v>569</v>
      </c>
      <c r="C74" s="138">
        <f>+'Balance Sheet - Jan - Dec 2022'!L13</f>
        <v>7196224</v>
      </c>
      <c r="D74" s="138">
        <f>-'Balance Sheet - Jan - Dec 2022'!L28</f>
        <v>2474716</v>
      </c>
      <c r="E74" s="138">
        <f>+'BS - Jan - Dec _ 99200'!L11</f>
        <v>261441404</v>
      </c>
      <c r="F74" s="138">
        <f>-'BS - Jan - Dec _ 99200'!L14</f>
        <v>142703432</v>
      </c>
      <c r="G74" s="138">
        <f>+'Balance Sheet - Jan - Dec 2022'!L12</f>
        <v>1151438</v>
      </c>
      <c r="H74" s="138">
        <f>-'Balance Sheet - Jan - Dec 2022'!L27</f>
        <v>468922</v>
      </c>
      <c r="I74" s="136"/>
      <c r="J74" s="167"/>
    </row>
    <row r="75" spans="1:12" s="132" customFormat="1" ht="15">
      <c r="A75" s="130">
        <f t="shared" si="3"/>
        <v>41</v>
      </c>
      <c r="B75" s="137" t="s">
        <v>570</v>
      </c>
      <c r="C75" s="138">
        <f>+'Balance Sheet - Jan - Dec 2022'!M13</f>
        <v>7196224</v>
      </c>
      <c r="D75" s="138">
        <f>-'Balance Sheet - Jan - Dec 2022'!M28</f>
        <v>2499891</v>
      </c>
      <c r="E75" s="138">
        <f>+'BS - Jan - Dec _ 99200'!M11</f>
        <v>261441404</v>
      </c>
      <c r="F75" s="138">
        <f>-'BS - Jan - Dec _ 99200'!M14</f>
        <v>143792772</v>
      </c>
      <c r="G75" s="138">
        <f>+'Balance Sheet - Jan - Dec 2022'!M12</f>
        <v>1151569</v>
      </c>
      <c r="H75" s="138">
        <f>-'Balance Sheet - Jan - Dec 2022'!M27</f>
        <v>475160</v>
      </c>
      <c r="I75" s="136"/>
      <c r="J75" s="167"/>
    </row>
    <row r="76" spans="1:12" s="132" customFormat="1" ht="13.5" thickBot="1">
      <c r="A76" s="130">
        <f t="shared" si="3"/>
        <v>42</v>
      </c>
      <c r="B76" s="137" t="s">
        <v>571</v>
      </c>
      <c r="C76" s="139">
        <f>SUM(C63:C75)/13</f>
        <v>7196224</v>
      </c>
      <c r="D76" s="139">
        <f t="shared" ref="D76:H76" si="4">SUM(D63:D75)/13</f>
        <v>2346901.846153846</v>
      </c>
      <c r="E76" s="139">
        <f t="shared" si="4"/>
        <v>261441404</v>
      </c>
      <c r="F76" s="139">
        <f t="shared" si="4"/>
        <v>137256736.46153846</v>
      </c>
      <c r="G76" s="139">
        <f t="shared" si="4"/>
        <v>1147150.6153846155</v>
      </c>
      <c r="H76" s="139">
        <f t="shared" si="4"/>
        <v>426424.38461538462</v>
      </c>
      <c r="I76" s="139"/>
      <c r="J76" s="199"/>
    </row>
    <row r="77" spans="1:12" ht="13.5" thickTop="1">
      <c r="A77" s="107"/>
      <c r="B77" s="102"/>
      <c r="C77" s="122"/>
      <c r="D77" s="123"/>
      <c r="E77" s="123"/>
      <c r="F77" s="123"/>
      <c r="G77" s="122"/>
      <c r="H77" s="122"/>
      <c r="I77" s="122"/>
    </row>
    <row r="78" spans="1:12">
      <c r="C78" s="102"/>
      <c r="E78" s="106" t="str">
        <f>E1</f>
        <v>Worksheet A4</v>
      </c>
      <c r="F78" s="102"/>
      <c r="H78" s="102"/>
      <c r="I78" s="102"/>
      <c r="J78" s="102"/>
    </row>
    <row r="79" spans="1:12">
      <c r="A79" s="107"/>
      <c r="C79" s="102"/>
      <c r="D79" s="102"/>
      <c r="E79" s="77" t="str">
        <f>E2</f>
        <v>Rate Base Worksheet</v>
      </c>
      <c r="F79" s="102"/>
      <c r="H79" s="102"/>
      <c r="I79" s="102"/>
      <c r="J79" s="102"/>
      <c r="L79" s="108"/>
    </row>
    <row r="80" spans="1:12">
      <c r="A80" s="107"/>
      <c r="C80" s="102"/>
      <c r="E80" s="140" t="str">
        <f>E3</f>
        <v>Black Hills Colorado Electric, LLC</v>
      </c>
      <c r="F80" s="102"/>
      <c r="H80" s="102"/>
      <c r="I80" s="110" t="s">
        <v>594</v>
      </c>
      <c r="J80" s="102"/>
    </row>
    <row r="81" spans="1:11">
      <c r="A81" s="107"/>
      <c r="B81" s="102"/>
      <c r="C81" s="122"/>
      <c r="D81" s="123"/>
      <c r="E81" s="123"/>
      <c r="F81" s="123"/>
      <c r="G81" s="122"/>
      <c r="H81" s="122"/>
      <c r="I81" s="122"/>
    </row>
    <row r="82" spans="1:11">
      <c r="A82" s="107"/>
      <c r="B82" s="141"/>
      <c r="C82" s="326" t="s">
        <v>595</v>
      </c>
      <c r="D82" s="327"/>
      <c r="E82" s="327"/>
      <c r="F82" s="327"/>
      <c r="G82" s="327"/>
      <c r="H82" s="327"/>
      <c r="I82" s="328"/>
    </row>
    <row r="83" spans="1:11" ht="102" customHeight="1">
      <c r="A83" s="107" t="s">
        <v>579</v>
      </c>
      <c r="B83" s="77" t="s">
        <v>538</v>
      </c>
      <c r="C83" s="116" t="s">
        <v>596</v>
      </c>
      <c r="D83" s="116" t="s">
        <v>597</v>
      </c>
      <c r="E83" s="116" t="s">
        <v>598</v>
      </c>
      <c r="F83" s="116" t="s">
        <v>599</v>
      </c>
      <c r="G83" s="116" t="s">
        <v>600</v>
      </c>
      <c r="H83" s="116" t="s">
        <v>601</v>
      </c>
      <c r="I83" s="116" t="s">
        <v>602</v>
      </c>
    </row>
    <row r="84" spans="1:11" s="117" customFormat="1" ht="13.5" thickBot="1">
      <c r="A84" s="107"/>
      <c r="B84" s="77" t="s">
        <v>543</v>
      </c>
      <c r="C84" s="116" t="s">
        <v>544</v>
      </c>
      <c r="D84" s="116" t="s">
        <v>545</v>
      </c>
      <c r="E84" s="116" t="s">
        <v>546</v>
      </c>
      <c r="F84" s="116" t="s">
        <v>547</v>
      </c>
      <c r="G84" s="116" t="s">
        <v>548</v>
      </c>
      <c r="H84" s="116" t="s">
        <v>549</v>
      </c>
      <c r="I84" s="116" t="s">
        <v>550</v>
      </c>
    </row>
    <row r="85" spans="1:11" s="117" customFormat="1" ht="13.5" thickBot="1">
      <c r="A85" s="107"/>
      <c r="B85" s="118" t="s">
        <v>551</v>
      </c>
      <c r="C85" s="78" t="s">
        <v>603</v>
      </c>
      <c r="D85" s="116" t="s">
        <v>604</v>
      </c>
      <c r="E85" s="116" t="s">
        <v>605</v>
      </c>
      <c r="F85" s="116" t="s">
        <v>605</v>
      </c>
      <c r="G85" s="116" t="s">
        <v>605</v>
      </c>
      <c r="H85" s="116" t="s">
        <v>605</v>
      </c>
      <c r="I85" s="116">
        <v>111.57</v>
      </c>
      <c r="J85" s="315" t="s">
        <v>873</v>
      </c>
      <c r="K85" s="319" t="s">
        <v>535</v>
      </c>
    </row>
    <row r="86" spans="1:11">
      <c r="A86" s="107">
        <v>1</v>
      </c>
      <c r="B86" s="119" t="s">
        <v>559</v>
      </c>
      <c r="C86" s="83">
        <v>0</v>
      </c>
      <c r="D86" s="83">
        <v>0</v>
      </c>
      <c r="E86" s="142">
        <f>'[9]A3-ADIT'!D12</f>
        <v>0</v>
      </c>
      <c r="F86" s="142">
        <v>-130446407</v>
      </c>
      <c r="G86" s="142">
        <v>-41588756</v>
      </c>
      <c r="H86" s="142">
        <v>74956049</v>
      </c>
      <c r="I86" s="83">
        <f>+'Adjustments to Rate Base'!I5</f>
        <v>1130673</v>
      </c>
      <c r="J86" s="316">
        <v>1130672</v>
      </c>
      <c r="K86" s="320">
        <f>+I86-J86</f>
        <v>1</v>
      </c>
    </row>
    <row r="87" spans="1:11">
      <c r="A87" s="107">
        <v>2</v>
      </c>
      <c r="B87" s="119" t="s">
        <v>560</v>
      </c>
      <c r="C87" s="83">
        <v>0</v>
      </c>
      <c r="D87" s="83">
        <v>0</v>
      </c>
      <c r="E87" s="143"/>
      <c r="F87" s="143"/>
      <c r="G87" s="143"/>
      <c r="H87" s="143"/>
      <c r="I87" s="83">
        <f>+'Adjustments to Rate Base'!I6</f>
        <v>1524675</v>
      </c>
      <c r="J87" s="317"/>
      <c r="K87" s="321"/>
    </row>
    <row r="88" spans="1:11">
      <c r="A88" s="107">
        <v>3</v>
      </c>
      <c r="B88" s="102" t="s">
        <v>561</v>
      </c>
      <c r="C88" s="83">
        <v>0</v>
      </c>
      <c r="D88" s="83">
        <v>0</v>
      </c>
      <c r="E88" s="143"/>
      <c r="F88" s="143"/>
      <c r="G88" s="143"/>
      <c r="H88" s="143"/>
      <c r="I88" s="83">
        <f>+'Adjustments to Rate Base'!I7</f>
        <v>1299321</v>
      </c>
      <c r="J88" s="317"/>
      <c r="K88" s="321"/>
    </row>
    <row r="89" spans="1:11">
      <c r="A89" s="107">
        <v>4</v>
      </c>
      <c r="B89" s="102" t="s">
        <v>562</v>
      </c>
      <c r="C89" s="83">
        <v>0</v>
      </c>
      <c r="D89" s="83">
        <v>0</v>
      </c>
      <c r="E89" s="143"/>
      <c r="F89" s="143"/>
      <c r="G89" s="143"/>
      <c r="H89" s="143"/>
      <c r="I89" s="83">
        <f>+'Adjustments to Rate Base'!I8</f>
        <v>1001352</v>
      </c>
      <c r="J89" s="317"/>
      <c r="K89" s="321"/>
    </row>
    <row r="90" spans="1:11">
      <c r="A90" s="107">
        <v>5</v>
      </c>
      <c r="B90" s="102" t="s">
        <v>563</v>
      </c>
      <c r="C90" s="83">
        <v>0</v>
      </c>
      <c r="D90" s="83">
        <v>0</v>
      </c>
      <c r="E90" s="143"/>
      <c r="F90" s="143"/>
      <c r="G90" s="143"/>
      <c r="H90" s="143"/>
      <c r="I90" s="83">
        <f>+'Adjustments to Rate Base'!I9</f>
        <v>1150846</v>
      </c>
      <c r="J90" s="317"/>
      <c r="K90" s="321"/>
    </row>
    <row r="91" spans="1:11">
      <c r="A91" s="107">
        <v>6</v>
      </c>
      <c r="B91" s="102" t="s">
        <v>142</v>
      </c>
      <c r="C91" s="83">
        <v>0</v>
      </c>
      <c r="D91" s="83">
        <v>0</v>
      </c>
      <c r="E91" s="143"/>
      <c r="F91" s="143"/>
      <c r="G91" s="143"/>
      <c r="H91" s="143"/>
      <c r="I91" s="83">
        <f>+'Adjustments to Rate Base'!I10</f>
        <v>1384484</v>
      </c>
      <c r="J91" s="317"/>
      <c r="K91" s="321"/>
    </row>
    <row r="92" spans="1:11">
      <c r="A92" s="107">
        <v>7</v>
      </c>
      <c r="B92" s="102" t="s">
        <v>564</v>
      </c>
      <c r="C92" s="83">
        <v>0</v>
      </c>
      <c r="D92" s="83">
        <v>0</v>
      </c>
      <c r="E92" s="143"/>
      <c r="F92" s="143"/>
      <c r="G92" s="143"/>
      <c r="H92" s="143"/>
      <c r="I92" s="83">
        <f>+'Adjustments to Rate Base'!I11</f>
        <v>1168891</v>
      </c>
      <c r="J92" s="317"/>
      <c r="K92" s="321"/>
    </row>
    <row r="93" spans="1:11">
      <c r="A93" s="107">
        <v>8</v>
      </c>
      <c r="B93" s="102" t="s">
        <v>565</v>
      </c>
      <c r="C93" s="83">
        <v>0</v>
      </c>
      <c r="D93" s="83">
        <v>0</v>
      </c>
      <c r="E93" s="143"/>
      <c r="F93" s="143"/>
      <c r="G93" s="143"/>
      <c r="H93" s="143"/>
      <c r="I93" s="83">
        <f>+'Adjustments to Rate Base'!I12</f>
        <v>900174</v>
      </c>
      <c r="J93" s="317"/>
      <c r="K93" s="321"/>
    </row>
    <row r="94" spans="1:11">
      <c r="A94" s="107">
        <v>9</v>
      </c>
      <c r="B94" s="102" t="s">
        <v>566</v>
      </c>
      <c r="C94" s="83">
        <v>0</v>
      </c>
      <c r="D94" s="83">
        <v>0</v>
      </c>
      <c r="E94" s="143"/>
      <c r="F94" s="143"/>
      <c r="G94" s="143"/>
      <c r="H94" s="143"/>
      <c r="I94" s="83">
        <f>+'Adjustments to Rate Base'!I13</f>
        <v>579084</v>
      </c>
      <c r="J94" s="317"/>
      <c r="K94" s="321"/>
    </row>
    <row r="95" spans="1:11">
      <c r="A95" s="107">
        <v>10</v>
      </c>
      <c r="B95" s="102" t="s">
        <v>567</v>
      </c>
      <c r="C95" s="83">
        <v>0</v>
      </c>
      <c r="D95" s="83">
        <v>0</v>
      </c>
      <c r="E95" s="143"/>
      <c r="F95" s="143"/>
      <c r="G95" s="143"/>
      <c r="H95" s="143"/>
      <c r="I95" s="83">
        <f>+'Adjustments to Rate Base'!I14</f>
        <v>747625</v>
      </c>
      <c r="J95" s="317"/>
      <c r="K95" s="321"/>
    </row>
    <row r="96" spans="1:11">
      <c r="A96" s="107">
        <v>11</v>
      </c>
      <c r="B96" s="102" t="s">
        <v>568</v>
      </c>
      <c r="C96" s="83">
        <v>0</v>
      </c>
      <c r="D96" s="83">
        <v>0</v>
      </c>
      <c r="E96" s="143"/>
      <c r="F96" s="143"/>
      <c r="G96" s="143"/>
      <c r="H96" s="143"/>
      <c r="I96" s="83">
        <f>+'Adjustments to Rate Base'!I15</f>
        <v>1483975</v>
      </c>
      <c r="J96" s="317"/>
      <c r="K96" s="321"/>
    </row>
    <row r="97" spans="1:12">
      <c r="A97" s="107">
        <v>12</v>
      </c>
      <c r="B97" s="102" t="s">
        <v>569</v>
      </c>
      <c r="C97" s="83">
        <v>0</v>
      </c>
      <c r="D97" s="83">
        <v>0</v>
      </c>
      <c r="E97" s="143"/>
      <c r="F97" s="143"/>
      <c r="G97" s="143"/>
      <c r="H97" s="143"/>
      <c r="I97" s="83">
        <f>+'Adjustments to Rate Base'!I16</f>
        <v>1363964</v>
      </c>
      <c r="J97" s="317"/>
      <c r="K97" s="321"/>
    </row>
    <row r="98" spans="1:12" ht="13.5" thickBot="1">
      <c r="A98" s="107">
        <v>13</v>
      </c>
      <c r="B98" s="102" t="s">
        <v>570</v>
      </c>
      <c r="C98" s="83">
        <v>0</v>
      </c>
      <c r="D98" s="83">
        <v>0</v>
      </c>
      <c r="E98" s="142">
        <f>'[9]A3-ADIT'!E12</f>
        <v>0</v>
      </c>
      <c r="F98" s="142">
        <v>-132909277</v>
      </c>
      <c r="G98" s="142">
        <v>-70683636</v>
      </c>
      <c r="H98" s="142">
        <v>73130366</v>
      </c>
      <c r="I98" s="83">
        <f>+'Adjustments to Rate Base'!I17</f>
        <v>1578989</v>
      </c>
      <c r="J98" s="318">
        <v>1578989</v>
      </c>
      <c r="K98" s="322">
        <f>+I98-J98</f>
        <v>0</v>
      </c>
    </row>
    <row r="99" spans="1:12" ht="13.5" thickBot="1">
      <c r="A99" s="107">
        <v>14</v>
      </c>
      <c r="B99" s="118" t="s">
        <v>606</v>
      </c>
      <c r="C99" s="121">
        <f>SUM(C86:C98)/13</f>
        <v>0</v>
      </c>
      <c r="D99" s="144">
        <f>SUM(D86:D98)/13</f>
        <v>0</v>
      </c>
      <c r="E99" s="145">
        <f>'[9]A3-ADIT'!F12</f>
        <v>0</v>
      </c>
      <c r="F99" s="145">
        <v>-131677842</v>
      </c>
      <c r="G99" s="145">
        <v>-56136196</v>
      </c>
      <c r="H99" s="145">
        <v>74043207.5</v>
      </c>
      <c r="I99" s="146">
        <f t="shared" ref="I99" si="5">SUM(I86:I98)/13</f>
        <v>1178004.076923077</v>
      </c>
      <c r="J99" s="171"/>
    </row>
    <row r="100" spans="1:12" ht="13.5" thickTop="1">
      <c r="A100" s="107">
        <v>15</v>
      </c>
      <c r="B100" s="102" t="s">
        <v>607</v>
      </c>
      <c r="E100" s="147"/>
      <c r="F100" s="147"/>
      <c r="G100" s="147"/>
      <c r="H100" s="147"/>
      <c r="I100" s="123"/>
    </row>
    <row r="101" spans="1:12" s="117" customFormat="1">
      <c r="A101" s="107"/>
      <c r="B101" s="148"/>
      <c r="C101" s="149"/>
      <c r="D101" s="149"/>
      <c r="E101" s="149"/>
      <c r="F101" s="149"/>
      <c r="G101" s="149"/>
      <c r="H101" s="105"/>
      <c r="I101" s="105"/>
      <c r="J101" s="105"/>
    </row>
    <row r="102" spans="1:12" s="117" customFormat="1">
      <c r="A102" s="107"/>
      <c r="B102" s="148"/>
      <c r="C102" s="149"/>
      <c r="D102" s="149"/>
      <c r="E102" s="149"/>
      <c r="F102" s="149"/>
      <c r="G102" s="149"/>
      <c r="H102" s="105"/>
      <c r="I102" s="105"/>
      <c r="J102" s="105"/>
      <c r="K102" s="105"/>
      <c r="L102" s="105"/>
    </row>
    <row r="103" spans="1:12" s="117" customFormat="1">
      <c r="A103" s="107"/>
      <c r="B103" s="150" t="s">
        <v>608</v>
      </c>
      <c r="C103" s="149"/>
      <c r="D103" s="149"/>
      <c r="E103" s="149"/>
      <c r="F103" s="149"/>
      <c r="G103" s="149"/>
      <c r="H103" s="105"/>
      <c r="I103" s="105"/>
      <c r="J103" s="105"/>
      <c r="L103" s="105"/>
    </row>
    <row r="104" spans="1:12" s="117" customFormat="1" ht="92.25" customHeight="1">
      <c r="A104" s="107">
        <f>+A99+1</f>
        <v>15</v>
      </c>
      <c r="B104" s="151" t="s">
        <v>609</v>
      </c>
      <c r="C104" s="152"/>
      <c r="D104" s="153" t="s">
        <v>610</v>
      </c>
      <c r="E104" s="153" t="s">
        <v>611</v>
      </c>
      <c r="F104" s="153" t="s">
        <v>612</v>
      </c>
      <c r="G104" s="153" t="s">
        <v>613</v>
      </c>
      <c r="H104" s="154" t="s">
        <v>614</v>
      </c>
      <c r="I104" s="154" t="s">
        <v>615</v>
      </c>
      <c r="J104" s="151"/>
      <c r="K104" s="151"/>
      <c r="L104" s="151"/>
    </row>
    <row r="105" spans="1:12" s="117" customFormat="1">
      <c r="A105" s="107">
        <v>16</v>
      </c>
      <c r="B105" s="105"/>
      <c r="C105" s="155" t="s">
        <v>616</v>
      </c>
      <c r="D105" s="156">
        <v>0</v>
      </c>
      <c r="E105" s="156">
        <v>0</v>
      </c>
      <c r="F105" s="156">
        <v>0</v>
      </c>
      <c r="G105" s="156">
        <v>0</v>
      </c>
      <c r="H105" s="156">
        <v>0</v>
      </c>
      <c r="I105" s="157">
        <f t="shared" ref="I105:I110" si="6">+H105*E105*D105*F105*G105</f>
        <v>0</v>
      </c>
      <c r="J105" s="105"/>
      <c r="K105" s="105"/>
      <c r="L105" s="105"/>
    </row>
    <row r="106" spans="1:12" s="117" customFormat="1">
      <c r="A106" s="107">
        <v>17</v>
      </c>
      <c r="B106" s="105"/>
      <c r="C106" s="155" t="s">
        <v>617</v>
      </c>
      <c r="D106" s="158">
        <v>0</v>
      </c>
      <c r="E106" s="156">
        <v>0</v>
      </c>
      <c r="F106" s="156">
        <v>0</v>
      </c>
      <c r="G106" s="156">
        <v>0</v>
      </c>
      <c r="H106" s="156">
        <v>0</v>
      </c>
      <c r="I106" s="157">
        <f t="shared" si="6"/>
        <v>0</v>
      </c>
      <c r="J106" s="105"/>
      <c r="K106" s="105"/>
      <c r="L106" s="105"/>
    </row>
    <row r="107" spans="1:12" s="117" customFormat="1">
      <c r="A107" s="107">
        <v>18</v>
      </c>
      <c r="B107" s="105"/>
      <c r="C107" s="155" t="s">
        <v>618</v>
      </c>
      <c r="D107" s="158"/>
      <c r="E107" s="156"/>
      <c r="F107" s="159"/>
      <c r="G107" s="159"/>
      <c r="H107" s="156"/>
      <c r="I107" s="157">
        <f t="shared" si="6"/>
        <v>0</v>
      </c>
      <c r="J107" s="105"/>
      <c r="K107" s="105"/>
      <c r="L107" s="105"/>
    </row>
    <row r="108" spans="1:12" s="117" customFormat="1">
      <c r="A108" s="107">
        <v>19</v>
      </c>
      <c r="B108" s="105"/>
      <c r="C108" s="155" t="s">
        <v>619</v>
      </c>
      <c r="D108" s="158"/>
      <c r="E108" s="156"/>
      <c r="F108" s="159"/>
      <c r="G108" s="159"/>
      <c r="H108" s="156"/>
      <c r="I108" s="157">
        <f t="shared" si="6"/>
        <v>0</v>
      </c>
      <c r="J108" s="105"/>
      <c r="K108" s="105"/>
      <c r="L108" s="105"/>
    </row>
    <row r="109" spans="1:12" s="117" customFormat="1">
      <c r="A109" s="107">
        <v>20</v>
      </c>
      <c r="B109" s="105"/>
      <c r="C109" s="155" t="s">
        <v>620</v>
      </c>
      <c r="D109" s="158"/>
      <c r="E109" s="156"/>
      <c r="F109" s="159"/>
      <c r="G109" s="159"/>
      <c r="H109" s="156"/>
      <c r="I109" s="157">
        <f t="shared" si="6"/>
        <v>0</v>
      </c>
      <c r="J109" s="105"/>
      <c r="K109" s="105"/>
      <c r="L109" s="105"/>
    </row>
    <row r="110" spans="1:12" s="117" customFormat="1">
      <c r="A110" s="107">
        <v>21</v>
      </c>
      <c r="B110" s="105"/>
      <c r="C110" s="160" t="s">
        <v>620</v>
      </c>
      <c r="D110" s="161">
        <v>0</v>
      </c>
      <c r="E110" s="162">
        <v>0</v>
      </c>
      <c r="F110" s="163"/>
      <c r="G110" s="163"/>
      <c r="H110" s="162"/>
      <c r="I110" s="164">
        <f t="shared" si="6"/>
        <v>0</v>
      </c>
      <c r="J110" s="105"/>
      <c r="K110" s="105"/>
      <c r="L110" s="105"/>
    </row>
    <row r="111" spans="1:12" s="117" customFormat="1">
      <c r="A111" s="107">
        <v>22</v>
      </c>
      <c r="B111" s="105"/>
      <c r="C111" s="151" t="s">
        <v>533</v>
      </c>
      <c r="D111" s="165">
        <f>SUM(D105:D110)</f>
        <v>0</v>
      </c>
      <c r="E111" s="166"/>
      <c r="H111" s="166"/>
      <c r="I111" s="157">
        <f>SUM(I105:I110)</f>
        <v>0</v>
      </c>
      <c r="J111" s="105"/>
      <c r="K111" s="105"/>
    </row>
    <row r="112" spans="1:12">
      <c r="C112" s="102"/>
      <c r="E112" s="106" t="str">
        <f>E1</f>
        <v>Worksheet A4</v>
      </c>
      <c r="F112" s="102"/>
      <c r="H112" s="102"/>
      <c r="I112" s="102"/>
      <c r="J112" s="102"/>
    </row>
    <row r="113" spans="1:12">
      <c r="A113" s="107"/>
      <c r="C113" s="102"/>
      <c r="D113" s="102"/>
      <c r="E113" s="106" t="str">
        <f>E2</f>
        <v>Rate Base Worksheet</v>
      </c>
      <c r="F113" s="102"/>
      <c r="H113" s="102"/>
      <c r="I113" s="102"/>
      <c r="J113" s="102"/>
      <c r="L113" s="108"/>
    </row>
    <row r="114" spans="1:12" ht="15">
      <c r="A114" s="107"/>
      <c r="C114" s="102"/>
      <c r="E114" s="106" t="str">
        <f>E3</f>
        <v>Black Hills Colorado Electric, LLC</v>
      </c>
      <c r="F114" s="102"/>
      <c r="H114" s="167"/>
      <c r="I114" s="110" t="s">
        <v>621</v>
      </c>
      <c r="J114" s="102"/>
    </row>
    <row r="115" spans="1:12" ht="15">
      <c r="A115" s="107"/>
      <c r="B115" s="102"/>
      <c r="C115" s="122"/>
      <c r="D115" s="123"/>
      <c r="E115" s="123"/>
      <c r="F115" s="123"/>
      <c r="G115" s="122"/>
      <c r="H115" s="167"/>
      <c r="I115" s="122"/>
    </row>
    <row r="116" spans="1:12" ht="15">
      <c r="A116" s="107"/>
      <c r="B116" s="141"/>
      <c r="C116" s="326" t="s">
        <v>622</v>
      </c>
      <c r="D116" s="327"/>
      <c r="E116" s="327"/>
      <c r="F116" s="327"/>
      <c r="G116" s="168" t="s">
        <v>623</v>
      </c>
      <c r="H116" s="167"/>
      <c r="I116" s="122"/>
    </row>
    <row r="117" spans="1:12" ht="58.5" customHeight="1">
      <c r="A117" s="107" t="s">
        <v>579</v>
      </c>
      <c r="B117" s="77" t="s">
        <v>538</v>
      </c>
      <c r="C117" s="116" t="s">
        <v>624</v>
      </c>
      <c r="D117" s="116" t="s">
        <v>625</v>
      </c>
      <c r="E117" s="116" t="s">
        <v>626</v>
      </c>
      <c r="F117" s="116" t="s">
        <v>627</v>
      </c>
      <c r="G117" s="116"/>
      <c r="H117" s="167"/>
      <c r="I117" s="169"/>
    </row>
    <row r="118" spans="1:12" s="117" customFormat="1" ht="15.75" thickBot="1">
      <c r="A118" s="107"/>
      <c r="B118" s="77" t="s">
        <v>543</v>
      </c>
      <c r="C118" s="116" t="s">
        <v>544</v>
      </c>
      <c r="D118" s="116" t="s">
        <v>545</v>
      </c>
      <c r="E118" s="116" t="s">
        <v>546</v>
      </c>
      <c r="F118" s="116" t="s">
        <v>547</v>
      </c>
      <c r="G118" s="150" t="s">
        <v>548</v>
      </c>
      <c r="H118" s="167"/>
      <c r="I118" s="170"/>
    </row>
    <row r="119" spans="1:12" s="117" customFormat="1" ht="30.75" customHeight="1" thickBot="1">
      <c r="A119" s="107"/>
      <c r="B119" s="118" t="s">
        <v>551</v>
      </c>
      <c r="C119" s="77" t="s">
        <v>628</v>
      </c>
      <c r="D119" s="77" t="s">
        <v>629</v>
      </c>
      <c r="E119" s="77" t="s">
        <v>630</v>
      </c>
      <c r="F119" s="77" t="s">
        <v>631</v>
      </c>
      <c r="G119" s="315" t="s">
        <v>874</v>
      </c>
      <c r="H119" s="319" t="s">
        <v>535</v>
      </c>
      <c r="I119" s="315" t="s">
        <v>875</v>
      </c>
      <c r="J119" s="319" t="s">
        <v>535</v>
      </c>
      <c r="K119" s="315" t="s">
        <v>876</v>
      </c>
      <c r="L119" s="319" t="s">
        <v>535</v>
      </c>
    </row>
    <row r="120" spans="1:12">
      <c r="A120" s="107">
        <v>1</v>
      </c>
      <c r="B120" s="119" t="s">
        <v>559</v>
      </c>
      <c r="C120" s="83">
        <f>+'Materials and Supplies'!C5</f>
        <v>24500.83536333856</v>
      </c>
      <c r="D120" s="83">
        <f>+'Materials and Supplies'!D5</f>
        <v>940890</v>
      </c>
      <c r="E120" s="83">
        <f>+'Materials and Supplies'!E5</f>
        <v>4530716.0385195892</v>
      </c>
      <c r="F120" s="171">
        <f>SUM(C120:E120)</f>
        <v>5496106.8738829279</v>
      </c>
      <c r="G120" s="316">
        <v>6067</v>
      </c>
      <c r="H120" s="320">
        <f>+C120-G120</f>
        <v>18433.83536333856</v>
      </c>
      <c r="I120" s="316">
        <v>940890</v>
      </c>
      <c r="J120" s="320">
        <f>+D120-I120</f>
        <v>0</v>
      </c>
      <c r="K120" s="316">
        <v>4426394</v>
      </c>
      <c r="L120" s="320">
        <f>+E120-K120</f>
        <v>104322.03851958923</v>
      </c>
    </row>
    <row r="121" spans="1:12">
      <c r="A121" s="107">
        <v>2</v>
      </c>
      <c r="B121" s="119" t="s">
        <v>560</v>
      </c>
      <c r="C121" s="83">
        <f>+'Materials and Supplies'!C6</f>
        <v>25030.189719868842</v>
      </c>
      <c r="D121" s="83">
        <f>+'Materials and Supplies'!D6</f>
        <v>1025149</v>
      </c>
      <c r="E121" s="83">
        <f>+'Materials and Supplies'!E6</f>
        <v>4628604.7120127678</v>
      </c>
      <c r="F121" s="171">
        <f t="shared" ref="F121:F132" si="7">SUM(C121:E121)</f>
        <v>5678783.9017326366</v>
      </c>
      <c r="G121" s="317"/>
      <c r="H121" s="321"/>
      <c r="I121" s="317"/>
      <c r="J121" s="321"/>
      <c r="K121" s="317"/>
      <c r="L121" s="321"/>
    </row>
    <row r="122" spans="1:12">
      <c r="A122" s="107">
        <v>3</v>
      </c>
      <c r="B122" s="102" t="s">
        <v>561</v>
      </c>
      <c r="C122" s="83">
        <f>+'Materials and Supplies'!C7</f>
        <v>24830.123307070662</v>
      </c>
      <c r="D122" s="83">
        <f>+'Materials and Supplies'!D7</f>
        <v>1039430</v>
      </c>
      <c r="E122" s="83">
        <f>+'Materials and Supplies'!E7</f>
        <v>4591608.254880121</v>
      </c>
      <c r="F122" s="171">
        <f t="shared" si="7"/>
        <v>5655868.3781871917</v>
      </c>
      <c r="G122" s="317"/>
      <c r="H122" s="321"/>
      <c r="I122" s="317"/>
      <c r="J122" s="321"/>
      <c r="K122" s="317"/>
      <c r="L122" s="321"/>
    </row>
    <row r="123" spans="1:12">
      <c r="A123" s="107">
        <v>4</v>
      </c>
      <c r="B123" s="102" t="s">
        <v>562</v>
      </c>
      <c r="C123" s="83">
        <f>+'Materials and Supplies'!C8</f>
        <v>25381.574004017813</v>
      </c>
      <c r="D123" s="83">
        <f>+'Materials and Supplies'!D8</f>
        <v>1109064</v>
      </c>
      <c r="E123" s="83">
        <f>+'Materials and Supplies'!E8</f>
        <v>4693583.0030901274</v>
      </c>
      <c r="F123" s="171">
        <f t="shared" si="7"/>
        <v>5828028.5770941451</v>
      </c>
      <c r="G123" s="317"/>
      <c r="H123" s="321"/>
      <c r="I123" s="317"/>
      <c r="J123" s="321"/>
      <c r="K123" s="317"/>
      <c r="L123" s="321"/>
    </row>
    <row r="124" spans="1:12">
      <c r="A124" s="107">
        <v>5</v>
      </c>
      <c r="B124" s="102" t="s">
        <v>563</v>
      </c>
      <c r="C124" s="83">
        <f>+'Materials and Supplies'!C9</f>
        <v>25578.183959494847</v>
      </c>
      <c r="D124" s="83">
        <f>+'Materials and Supplies'!D9</f>
        <v>1113084</v>
      </c>
      <c r="E124" s="83">
        <f>+'Materials and Supplies'!E9</f>
        <v>4729940.2890929272</v>
      </c>
      <c r="F124" s="171">
        <f t="shared" si="7"/>
        <v>5868602.4730524216</v>
      </c>
      <c r="G124" s="317"/>
      <c r="H124" s="321"/>
      <c r="I124" s="317"/>
      <c r="J124" s="321"/>
      <c r="K124" s="317"/>
      <c r="L124" s="321"/>
    </row>
    <row r="125" spans="1:12">
      <c r="A125" s="107">
        <v>6</v>
      </c>
      <c r="B125" s="102" t="s">
        <v>142</v>
      </c>
      <c r="C125" s="83">
        <f>+'Materials and Supplies'!C10</f>
        <v>26104.39280104934</v>
      </c>
      <c r="D125" s="83">
        <f>+'Materials and Supplies'!D10</f>
        <v>1185209</v>
      </c>
      <c r="E125" s="83">
        <f>+'Materials and Supplies'!E10</f>
        <v>4827247.2911884217</v>
      </c>
      <c r="F125" s="171">
        <f t="shared" si="7"/>
        <v>6038560.6839894708</v>
      </c>
      <c r="G125" s="317"/>
      <c r="H125" s="321"/>
      <c r="I125" s="317"/>
      <c r="J125" s="321"/>
      <c r="K125" s="317"/>
      <c r="L125" s="321"/>
    </row>
    <row r="126" spans="1:12">
      <c r="A126" s="107">
        <v>7</v>
      </c>
      <c r="B126" s="102" t="s">
        <v>564</v>
      </c>
      <c r="C126" s="83">
        <f>+'Materials and Supplies'!C11</f>
        <v>26470.788382174567</v>
      </c>
      <c r="D126" s="83">
        <f>+'Materials and Supplies'!D11</f>
        <v>950337</v>
      </c>
      <c r="E126" s="83">
        <f>+'Materials and Supplies'!E11</f>
        <v>4895001.484514039</v>
      </c>
      <c r="F126" s="171">
        <f t="shared" si="7"/>
        <v>5871809.2728962135</v>
      </c>
      <c r="G126" s="317"/>
      <c r="H126" s="321"/>
      <c r="I126" s="317"/>
      <c r="J126" s="321"/>
      <c r="K126" s="317"/>
      <c r="L126" s="321"/>
    </row>
    <row r="127" spans="1:12">
      <c r="A127" s="107">
        <v>8</v>
      </c>
      <c r="B127" s="102" t="s">
        <v>565</v>
      </c>
      <c r="C127" s="83">
        <f>+'Materials and Supplies'!C12</f>
        <v>26625.348937984068</v>
      </c>
      <c r="D127" s="83">
        <f>+'Materials and Supplies'!D12</f>
        <v>985101</v>
      </c>
      <c r="E127" s="83">
        <f>+'Materials and Supplies'!E12</f>
        <v>4923582.9585227361</v>
      </c>
      <c r="F127" s="171">
        <f t="shared" si="7"/>
        <v>5935309.3074607197</v>
      </c>
      <c r="G127" s="317"/>
      <c r="H127" s="321"/>
      <c r="I127" s="317"/>
      <c r="J127" s="321"/>
      <c r="K127" s="317"/>
      <c r="L127" s="321"/>
    </row>
    <row r="128" spans="1:12">
      <c r="A128" s="107">
        <v>9</v>
      </c>
      <c r="B128" s="102" t="s">
        <v>566</v>
      </c>
      <c r="C128" s="83">
        <f>+'Materials and Supplies'!C13</f>
        <v>26794.459929793673</v>
      </c>
      <c r="D128" s="83">
        <f>+'Materials and Supplies'!D13</f>
        <v>1107172</v>
      </c>
      <c r="E128" s="83">
        <f>+'Materials and Supplies'!E13</f>
        <v>4954855.111962378</v>
      </c>
      <c r="F128" s="171">
        <f t="shared" si="7"/>
        <v>6088821.5718921721</v>
      </c>
      <c r="G128" s="317"/>
      <c r="H128" s="321"/>
      <c r="I128" s="317"/>
      <c r="J128" s="321"/>
      <c r="K128" s="317"/>
      <c r="L128" s="321"/>
    </row>
    <row r="129" spans="1:12">
      <c r="A129" s="107">
        <v>10</v>
      </c>
      <c r="B129" s="102" t="s">
        <v>567</v>
      </c>
      <c r="C129" s="83">
        <f>+'Materials and Supplies'!C14</f>
        <v>26866.040523457214</v>
      </c>
      <c r="D129" s="83">
        <f>+'Materials and Supplies'!D14</f>
        <v>1225739</v>
      </c>
      <c r="E129" s="83">
        <f>+'Materials and Supplies'!E14</f>
        <v>4968091.8583405614</v>
      </c>
      <c r="F129" s="171">
        <f t="shared" si="7"/>
        <v>6220696.8988640187</v>
      </c>
      <c r="G129" s="317"/>
      <c r="H129" s="321"/>
      <c r="I129" s="317"/>
      <c r="J129" s="321"/>
      <c r="K129" s="317"/>
      <c r="L129" s="321"/>
    </row>
    <row r="130" spans="1:12">
      <c r="A130" s="107">
        <v>11</v>
      </c>
      <c r="B130" s="102" t="s">
        <v>568</v>
      </c>
      <c r="C130" s="83">
        <f>+'Materials and Supplies'!C15</f>
        <v>26216.212665727086</v>
      </c>
      <c r="D130" s="83">
        <f>+'Materials and Supplies'!D15</f>
        <v>1203784</v>
      </c>
      <c r="E130" s="83">
        <f>+'Materials and Supplies'!E15</f>
        <v>4847925.1189770466</v>
      </c>
      <c r="F130" s="171">
        <f t="shared" si="7"/>
        <v>6077925.3316427739</v>
      </c>
      <c r="G130" s="317"/>
      <c r="H130" s="321"/>
      <c r="I130" s="317"/>
      <c r="J130" s="321"/>
      <c r="K130" s="317"/>
      <c r="L130" s="321"/>
    </row>
    <row r="131" spans="1:12">
      <c r="A131" s="107">
        <v>12</v>
      </c>
      <c r="B131" s="102" t="s">
        <v>569</v>
      </c>
      <c r="C131" s="83">
        <f>+'Materials and Supplies'!C16</f>
        <v>26994.434725650812</v>
      </c>
      <c r="D131" s="83">
        <f>+'Materials and Supplies'!D16</f>
        <v>1320593</v>
      </c>
      <c r="E131" s="83">
        <f>+'Materials and Supplies'!E16</f>
        <v>4991834.6272096559</v>
      </c>
      <c r="F131" s="171">
        <f t="shared" si="7"/>
        <v>6339422.0619353065</v>
      </c>
      <c r="G131" s="317"/>
      <c r="H131" s="321"/>
      <c r="I131" s="317"/>
      <c r="J131" s="321"/>
      <c r="K131" s="317"/>
      <c r="L131" s="321"/>
    </row>
    <row r="132" spans="1:12" ht="13.5" thickBot="1">
      <c r="A132" s="107">
        <v>13</v>
      </c>
      <c r="B132" s="102" t="s">
        <v>570</v>
      </c>
      <c r="C132" s="83">
        <f>+'Materials and Supplies'!C17</f>
        <v>26997</v>
      </c>
      <c r="D132" s="83">
        <f>+'Materials and Supplies'!D17</f>
        <v>1307851</v>
      </c>
      <c r="E132" s="83">
        <f>+'Materials and Supplies'!E17</f>
        <v>4992309</v>
      </c>
      <c r="F132" s="171">
        <f t="shared" si="7"/>
        <v>6327157</v>
      </c>
      <c r="G132" s="318">
        <v>26997</v>
      </c>
      <c r="H132" s="322">
        <f>+C132-G132</f>
        <v>0</v>
      </c>
      <c r="I132" s="318">
        <v>1307851</v>
      </c>
      <c r="J132" s="322">
        <f>+D132-I132</f>
        <v>0</v>
      </c>
      <c r="K132" s="318">
        <v>4992309</v>
      </c>
      <c r="L132" s="322">
        <f>+E132-K132</f>
        <v>0</v>
      </c>
    </row>
    <row r="133" spans="1:12">
      <c r="A133" s="107">
        <v>14</v>
      </c>
      <c r="B133" s="118" t="s">
        <v>606</v>
      </c>
      <c r="C133" s="173">
        <f>SUM(C120:C132)/13</f>
        <v>26029.968024586731</v>
      </c>
      <c r="D133" s="173">
        <f t="shared" ref="D133:E133" si="8">SUM(D120:D132)/13</f>
        <v>1116415.6153846155</v>
      </c>
      <c r="E133" s="173">
        <f t="shared" si="8"/>
        <v>4813484.5960238744</v>
      </c>
      <c r="F133" s="173">
        <f>SUM(F120:F132)/13</f>
        <v>5955930.1794330776</v>
      </c>
      <c r="G133" s="171"/>
      <c r="H133" s="171"/>
      <c r="I133" s="171"/>
    </row>
    <row r="134" spans="1:12">
      <c r="A134" s="107">
        <v>15</v>
      </c>
      <c r="B134" s="118" t="s">
        <v>632</v>
      </c>
      <c r="C134" s="174" t="s">
        <v>633</v>
      </c>
      <c r="D134" s="174" t="s">
        <v>634</v>
      </c>
      <c r="E134" s="174" t="s">
        <v>635</v>
      </c>
      <c r="F134" s="175"/>
      <c r="G134" s="171"/>
      <c r="H134" s="171"/>
      <c r="I134" s="171"/>
    </row>
    <row r="135" spans="1:12" ht="15">
      <c r="A135" s="107">
        <v>16</v>
      </c>
      <c r="B135" s="118" t="s">
        <v>636</v>
      </c>
      <c r="C135" s="176">
        <f>'[9]Act Att-H'!I174</f>
        <v>0.93124420194583424</v>
      </c>
      <c r="D135" s="176">
        <f>'[9]Act Att-H'!I191</f>
        <v>0.12706661096257854</v>
      </c>
      <c r="E135" s="176">
        <v>0</v>
      </c>
      <c r="F135" s="175"/>
      <c r="G135" s="116"/>
      <c r="H135" s="167"/>
      <c r="I135" s="78"/>
    </row>
    <row r="136" spans="1:12" ht="15.75" thickBot="1">
      <c r="A136" s="107">
        <v>17</v>
      </c>
      <c r="B136" s="118" t="s">
        <v>637</v>
      </c>
      <c r="C136" s="121">
        <f>C135*C133</f>
        <v>24240.256799731855</v>
      </c>
      <c r="D136" s="121">
        <f t="shared" ref="D136:E136" si="9">D135*D133</f>
        <v>141859.14867262464</v>
      </c>
      <c r="E136" s="121">
        <f t="shared" si="9"/>
        <v>0</v>
      </c>
      <c r="F136" s="121">
        <f>C136+D136+E136</f>
        <v>166099.40547235648</v>
      </c>
      <c r="G136" s="116"/>
      <c r="H136" s="167"/>
      <c r="I136" s="78"/>
    </row>
    <row r="137" spans="1:12" s="117" customFormat="1" ht="15.75" thickTop="1">
      <c r="A137" s="107">
        <v>18</v>
      </c>
      <c r="B137" s="148"/>
      <c r="C137" s="149"/>
      <c r="D137" s="149"/>
      <c r="E137" s="149"/>
      <c r="F137" s="149"/>
      <c r="G137" s="177"/>
      <c r="H137" s="167"/>
      <c r="I137" s="105"/>
      <c r="J137" s="105"/>
      <c r="K137" s="105"/>
    </row>
    <row r="138" spans="1:12" s="117" customFormat="1" ht="15">
      <c r="A138" s="107"/>
      <c r="B138" s="148"/>
      <c r="C138" s="149"/>
      <c r="D138" s="149"/>
      <c r="E138" s="149"/>
      <c r="F138" s="149"/>
      <c r="H138" s="167"/>
      <c r="I138" s="105"/>
      <c r="J138" s="105"/>
      <c r="K138" s="105"/>
    </row>
  </sheetData>
  <mergeCells count="8">
    <mergeCell ref="C5:G5"/>
    <mergeCell ref="E30:I30"/>
    <mergeCell ref="C82:I82"/>
    <mergeCell ref="C116:F116"/>
    <mergeCell ref="K50:P50"/>
    <mergeCell ref="D50:I50"/>
    <mergeCell ref="I24:N24"/>
    <mergeCell ref="B24:G24"/>
  </mergeCells>
  <pageMargins left="0.5" right="0.25" top="1" bottom="1" header="0.25" footer="0.5"/>
  <pageSetup scale="60" fitToHeight="4" orientation="portrait" r:id="rId1"/>
  <headerFooter alignWithMargins="0">
    <oddHeader>&amp;L&amp;"Times New Roman,Regular"&amp;12ARPA 5-8_Attach A.xlsx</oddHeader>
  </headerFooter>
  <rowBreaks count="2" manualBreakCount="2">
    <brk id="77" max="16383" man="1"/>
    <brk id="1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520C-9563-4E47-81E8-B8FC5F491A58}">
  <sheetPr>
    <tabColor rgb="FF92D050"/>
  </sheetPr>
  <dimension ref="A2:S143"/>
  <sheetViews>
    <sheetView zoomScale="80" zoomScaleNormal="80" workbookViewId="0"/>
  </sheetViews>
  <sheetFormatPr defaultRowHeight="12.75"/>
  <cols>
    <col min="1" max="1" width="40.28515625" bestFit="1" customWidth="1"/>
    <col min="2" max="2" width="16.7109375" customWidth="1"/>
    <col min="3" max="4" width="15.28515625" customWidth="1"/>
    <col min="5" max="5" width="23.28515625" customWidth="1"/>
    <col min="6" max="6" width="15.28515625" customWidth="1"/>
    <col min="7" max="7" width="20.140625" customWidth="1"/>
    <col min="8" max="13" width="15.28515625" customWidth="1"/>
    <col min="14" max="14" width="15.28515625" bestFit="1" customWidth="1"/>
    <col min="15" max="15" width="15" bestFit="1" customWidth="1"/>
    <col min="16" max="16" width="11.85546875" bestFit="1" customWidth="1"/>
    <col min="18" max="18" width="15.7109375" bestFit="1" customWidth="1"/>
    <col min="19" max="19" width="13.42578125" bestFit="1" customWidth="1"/>
  </cols>
  <sheetData>
    <row r="2" spans="1:15">
      <c r="A2" s="3" t="s">
        <v>529</v>
      </c>
      <c r="B2" s="16">
        <v>44531</v>
      </c>
      <c r="C2" s="16">
        <v>44562</v>
      </c>
      <c r="D2" s="16">
        <v>44593</v>
      </c>
      <c r="E2" s="16">
        <v>44621</v>
      </c>
      <c r="F2" s="16">
        <v>44652</v>
      </c>
      <c r="G2" s="16">
        <v>44682</v>
      </c>
      <c r="H2" s="16">
        <v>44713</v>
      </c>
      <c r="I2" s="16">
        <v>44743</v>
      </c>
      <c r="J2" s="16">
        <v>44774</v>
      </c>
      <c r="K2" s="16">
        <v>44805</v>
      </c>
      <c r="L2" s="16">
        <v>44835</v>
      </c>
      <c r="M2" s="16">
        <v>44866</v>
      </c>
      <c r="N2" s="16">
        <v>44896</v>
      </c>
      <c r="O2" s="61" t="s">
        <v>518</v>
      </c>
    </row>
    <row r="3" spans="1:15">
      <c r="A3" s="18" t="s">
        <v>525</v>
      </c>
    </row>
    <row r="4" spans="1:15">
      <c r="A4" t="s">
        <v>189</v>
      </c>
      <c r="B4" s="9">
        <v>658853.93000000005</v>
      </c>
      <c r="C4" s="9">
        <v>658853.93000000005</v>
      </c>
      <c r="D4" s="9">
        <v>658853.93000000005</v>
      </c>
      <c r="E4" s="9">
        <v>660409.51</v>
      </c>
      <c r="F4" s="9">
        <v>675241.29</v>
      </c>
      <c r="G4" s="9">
        <v>675230.97000000009</v>
      </c>
      <c r="H4" s="9">
        <v>716774.01</v>
      </c>
      <c r="I4" s="9">
        <v>716774.01</v>
      </c>
      <c r="J4" s="9">
        <v>716774.01</v>
      </c>
      <c r="K4" s="9">
        <v>716774.01</v>
      </c>
      <c r="L4" s="9">
        <v>716774.01</v>
      </c>
      <c r="M4" s="9">
        <v>675230.97000000009</v>
      </c>
      <c r="N4" s="9">
        <v>685230.97000000009</v>
      </c>
    </row>
    <row r="5" spans="1:15">
      <c r="A5" t="s">
        <v>190</v>
      </c>
      <c r="B5" s="9">
        <v>184620.19</v>
      </c>
      <c r="C5" s="9">
        <v>184620.19</v>
      </c>
      <c r="D5" s="9">
        <v>184620.19</v>
      </c>
      <c r="E5" s="9">
        <v>184620.19</v>
      </c>
      <c r="F5" s="9">
        <v>184620.19</v>
      </c>
      <c r="G5" s="9">
        <v>184620.19</v>
      </c>
      <c r="H5" s="9">
        <v>184620.19</v>
      </c>
      <c r="I5" s="9">
        <v>184620.19</v>
      </c>
      <c r="J5" s="9">
        <v>184620.19</v>
      </c>
      <c r="K5" s="9">
        <v>184620.19</v>
      </c>
      <c r="L5" s="9">
        <v>184620.19</v>
      </c>
      <c r="M5" s="9">
        <v>184620.19</v>
      </c>
      <c r="N5" s="9">
        <v>184620.19</v>
      </c>
    </row>
    <row r="6" spans="1:15">
      <c r="A6" t="s">
        <v>191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19051.650000000001</v>
      </c>
    </row>
    <row r="7" spans="1:15">
      <c r="A7" t="s">
        <v>192</v>
      </c>
      <c r="B7" s="9">
        <v>625227.14</v>
      </c>
      <c r="C7" s="9">
        <v>640840.06000000006</v>
      </c>
      <c r="D7" s="9">
        <v>643978.15</v>
      </c>
      <c r="E7" s="9">
        <v>643978.15</v>
      </c>
      <c r="F7" s="9">
        <v>643978.15</v>
      </c>
      <c r="G7" s="9">
        <v>643978.15</v>
      </c>
      <c r="H7" s="9">
        <v>643978.15</v>
      </c>
      <c r="I7" s="9">
        <v>643978.15</v>
      </c>
      <c r="J7" s="9">
        <v>643978.15</v>
      </c>
      <c r="K7" s="9">
        <v>643978.15</v>
      </c>
      <c r="L7" s="9">
        <v>643978.15</v>
      </c>
      <c r="M7" s="9">
        <v>643978.15</v>
      </c>
      <c r="N7" s="9">
        <v>643978.15</v>
      </c>
    </row>
    <row r="8" spans="1:15">
      <c r="A8" t="s">
        <v>193</v>
      </c>
      <c r="B8" s="9">
        <v>1169918.8700000001</v>
      </c>
      <c r="C8" s="9">
        <v>1169918.8700000001</v>
      </c>
      <c r="D8" s="9">
        <v>1169918.8700000001</v>
      </c>
      <c r="E8" s="9">
        <v>1169918.8700000001</v>
      </c>
      <c r="F8" s="9">
        <v>1169918.8700000001</v>
      </c>
      <c r="G8" s="9">
        <v>1169918.8700000001</v>
      </c>
      <c r="H8" s="9">
        <v>1169918.8700000001</v>
      </c>
      <c r="I8" s="9">
        <v>1169918.8700000001</v>
      </c>
      <c r="J8" s="9">
        <v>1169918.8700000001</v>
      </c>
      <c r="K8" s="9">
        <v>1169918.8700000001</v>
      </c>
      <c r="L8" s="9">
        <v>1169918.8700000001</v>
      </c>
      <c r="M8" s="9">
        <v>1169918.8700000001</v>
      </c>
      <c r="N8" s="9">
        <v>2048733.07</v>
      </c>
    </row>
    <row r="9" spans="1:15">
      <c r="A9" t="s">
        <v>194</v>
      </c>
      <c r="B9" s="71">
        <f>51255493.64+'Pending Retirements'!B7</f>
        <v>51176567.369999997</v>
      </c>
      <c r="C9" s="9">
        <v>51252104.380000003</v>
      </c>
      <c r="D9" s="9">
        <v>51323250.220000006</v>
      </c>
      <c r="E9" s="71">
        <f>51369322.43+'Pending Retirements'!C7</f>
        <v>51309056.969999999</v>
      </c>
      <c r="F9" s="9">
        <v>55758662.900000006</v>
      </c>
      <c r="G9" s="9">
        <v>55765824.810000002</v>
      </c>
      <c r="H9" s="71">
        <f>55766458.01+'Pending Retirements'!D7</f>
        <v>55706192.549999997</v>
      </c>
      <c r="I9" s="9">
        <v>55767111.890000001</v>
      </c>
      <c r="J9" s="9">
        <v>55723706.099999994</v>
      </c>
      <c r="K9" s="71">
        <f>55775661.11+'Pending Retirements'!E7</f>
        <v>55743300.899999999</v>
      </c>
      <c r="L9" s="9">
        <v>55790413.769999996</v>
      </c>
      <c r="M9" s="9">
        <v>61076589.199999996</v>
      </c>
      <c r="N9" s="71">
        <f>60691583.03+'Pending Retirements'!F7</f>
        <v>60589259.700000003</v>
      </c>
    </row>
    <row r="10" spans="1:15">
      <c r="A10" t="s">
        <v>195</v>
      </c>
      <c r="B10" s="71">
        <f>97907315.19+'Pending Retirements'!B8</f>
        <v>97531815.399999991</v>
      </c>
      <c r="C10" s="9">
        <v>98002922.460000008</v>
      </c>
      <c r="D10" s="9">
        <v>98593825.189999998</v>
      </c>
      <c r="E10" s="71">
        <f>98838131.69+'Pending Retirements'!C8</f>
        <v>98729337.789999992</v>
      </c>
      <c r="F10" s="9">
        <v>98874487</v>
      </c>
      <c r="G10" s="9">
        <v>100531441.45999999</v>
      </c>
      <c r="H10" s="71">
        <f>100745372.12+'Pending Retirements'!D8</f>
        <v>100078141.49000001</v>
      </c>
      <c r="I10" s="9">
        <v>100791879.38</v>
      </c>
      <c r="J10" s="9">
        <v>100829209.03</v>
      </c>
      <c r="K10" s="71">
        <f>101348755.6+'Pending Retirements'!E8</f>
        <v>100666120.86</v>
      </c>
      <c r="L10" s="9">
        <v>101645142.47</v>
      </c>
      <c r="M10" s="9">
        <v>101866605.91</v>
      </c>
      <c r="N10" s="71">
        <f>103768937.34+'Pending Retirements'!F8</f>
        <v>103749757.66</v>
      </c>
    </row>
    <row r="11" spans="1:15">
      <c r="A11" t="s">
        <v>196</v>
      </c>
      <c r="B11" s="71">
        <f>57862262.07+'Pending Retirements'!B9</f>
        <v>57826763.32</v>
      </c>
      <c r="C11" s="9">
        <v>58040434.810000002</v>
      </c>
      <c r="D11" s="9">
        <v>58227842.159999996</v>
      </c>
      <c r="E11" s="71">
        <f>57915870.53+'Pending Retirements'!C9</f>
        <v>57900993.660000004</v>
      </c>
      <c r="F11" s="9">
        <v>58065266.670000002</v>
      </c>
      <c r="G11" s="9">
        <v>58309710.280000001</v>
      </c>
      <c r="H11" s="71">
        <f>58160928.42+'Pending Retirements'!D9</f>
        <v>57626149.969999999</v>
      </c>
      <c r="I11" s="9">
        <v>58411841.300000004</v>
      </c>
      <c r="J11" s="9">
        <v>58328785.719999999</v>
      </c>
      <c r="K11" s="71">
        <f>58612374.43+'Pending Retirements'!E9</f>
        <v>58070970.299999997</v>
      </c>
      <c r="L11" s="9">
        <v>58724894.780000001</v>
      </c>
      <c r="M11" s="9">
        <v>58952175.219999999</v>
      </c>
      <c r="N11" s="71">
        <f>59419017.08+'Pending Retirements'!F9</f>
        <v>59389595.879999995</v>
      </c>
    </row>
    <row r="12" spans="1:15">
      <c r="A12" t="s">
        <v>197</v>
      </c>
      <c r="B12" s="71">
        <f>15786957.92+'Pending Retirements'!B10</f>
        <v>15784466.209999999</v>
      </c>
      <c r="C12" s="9">
        <v>15990043.889999999</v>
      </c>
      <c r="D12" s="9">
        <v>16256510.93</v>
      </c>
      <c r="E12" s="71">
        <f>16177717.39+'Pending Retirements'!C10</f>
        <v>16172869.34</v>
      </c>
      <c r="F12" s="9">
        <v>16441763.460000001</v>
      </c>
      <c r="G12" s="9">
        <v>16474928.83</v>
      </c>
      <c r="H12" s="71">
        <f>16731181.91+'Pending Retirements'!D10</f>
        <v>16728077.130000001</v>
      </c>
      <c r="I12" s="9">
        <v>16960685.259999998</v>
      </c>
      <c r="J12" s="9">
        <v>17070238.59</v>
      </c>
      <c r="K12" s="71">
        <f>17174627.96+'Pending Retirements'!E10</f>
        <v>17171523.18</v>
      </c>
      <c r="L12" s="9">
        <v>17256661.219999999</v>
      </c>
      <c r="M12" s="9">
        <v>17371812.960000001</v>
      </c>
      <c r="N12" s="71">
        <f>17480421.12+'Pending Retirements'!F10</f>
        <v>17479585.34</v>
      </c>
    </row>
    <row r="13" spans="1:15">
      <c r="A13" t="s">
        <v>198</v>
      </c>
      <c r="B13" s="71">
        <f>33588283.04+'Pending Retirements'!B11</f>
        <v>33480350.669999998</v>
      </c>
      <c r="C13" s="9">
        <v>33495476.989999998</v>
      </c>
      <c r="D13" s="9">
        <v>33996833.630000003</v>
      </c>
      <c r="E13" s="71">
        <f>33788511.83+'Pending Retirements'!C11</f>
        <v>33766324.309999995</v>
      </c>
      <c r="F13" s="9">
        <v>33555650.049999997</v>
      </c>
      <c r="G13" s="9">
        <v>33669374.489999995</v>
      </c>
      <c r="H13" s="71">
        <f>33642003.46+'Pending Retirements'!D11</f>
        <v>33610373.090000004</v>
      </c>
      <c r="I13" s="9">
        <v>34246683.579999998</v>
      </c>
      <c r="J13" s="9">
        <v>34467415.75</v>
      </c>
      <c r="K13" s="71">
        <f>34208608.52+'Pending Retirements'!E11</f>
        <v>34196142.480000004</v>
      </c>
      <c r="L13" s="9">
        <v>34507725.829999998</v>
      </c>
      <c r="M13" s="9">
        <v>34541532.259999998</v>
      </c>
      <c r="N13" s="71">
        <f>35256603.68+'Pending Retirements'!F11</f>
        <v>35247093.530000001</v>
      </c>
    </row>
    <row r="14" spans="1:15">
      <c r="A14" t="s">
        <v>199</v>
      </c>
      <c r="B14" s="71">
        <f>10300964.28+'Pending Retirements'!B12</f>
        <v>10273325.039999999</v>
      </c>
      <c r="C14" s="9">
        <v>10354400.27</v>
      </c>
      <c r="D14" s="9">
        <v>10406839.85</v>
      </c>
      <c r="E14" s="71">
        <f>10247680.43+'Pending Retirements'!C12</f>
        <v>10235113.439999999</v>
      </c>
      <c r="F14" s="9">
        <v>10277946.25</v>
      </c>
      <c r="G14" s="9">
        <v>10345011.889999999</v>
      </c>
      <c r="H14" s="71">
        <f>10424133.27+'Pending Retirements'!D12</f>
        <v>10419232.77</v>
      </c>
      <c r="I14" s="9">
        <v>10572836.620000001</v>
      </c>
      <c r="J14" s="9">
        <v>10519550.709999999</v>
      </c>
      <c r="K14" s="71">
        <f>10504881.48+'Pending Retirements'!E12</f>
        <v>10500165.540000001</v>
      </c>
      <c r="L14" s="9">
        <v>10540281.199999999</v>
      </c>
      <c r="M14" s="9">
        <v>10483826.409999998</v>
      </c>
      <c r="N14" s="71">
        <f>10680493.7+'Pending Retirements'!F12</f>
        <v>10679256.109999999</v>
      </c>
    </row>
    <row r="15" spans="1:15">
      <c r="A15" t="s">
        <v>200</v>
      </c>
      <c r="B15" s="71">
        <f>31613143.27+'Pending Retirements'!B13</f>
        <v>31567855.02</v>
      </c>
      <c r="C15" s="9">
        <v>31670599.460000001</v>
      </c>
      <c r="D15" s="9">
        <v>31773646.59</v>
      </c>
      <c r="E15" s="71">
        <f>32108702.34+'Pending Retirements'!C13</f>
        <v>32065784.969999999</v>
      </c>
      <c r="F15" s="9">
        <v>32382874.77</v>
      </c>
      <c r="G15" s="9">
        <v>32369304.650000002</v>
      </c>
      <c r="H15" s="71">
        <f>32764963.33+'Pending Retirements'!D13</f>
        <v>32678066.449999999</v>
      </c>
      <c r="I15" s="9">
        <v>32679805.990000002</v>
      </c>
      <c r="J15" s="9">
        <v>33056259.670000002</v>
      </c>
      <c r="K15" s="71">
        <f>33208398.01+'Pending Retirements'!E13</f>
        <v>33120013.220000003</v>
      </c>
      <c r="L15" s="9">
        <v>33284991.57</v>
      </c>
      <c r="M15" s="9">
        <v>33340709.859999999</v>
      </c>
      <c r="N15" s="71">
        <f>32967712.14+'Pending Retirements'!F13</f>
        <v>32884320.75</v>
      </c>
    </row>
    <row r="16" spans="1:15">
      <c r="A16" t="s">
        <v>201</v>
      </c>
      <c r="B16" s="71">
        <f>25529308.65+'Pending Retirements'!B14</f>
        <v>25517190.989999998</v>
      </c>
      <c r="C16" s="9">
        <v>25658434.440000001</v>
      </c>
      <c r="D16" s="9">
        <v>25750360.800000001</v>
      </c>
      <c r="E16" s="71">
        <f>26832263.2+'Pending Retirements'!C14</f>
        <v>26819936.689999998</v>
      </c>
      <c r="F16" s="9">
        <v>27154648.509999998</v>
      </c>
      <c r="G16" s="9">
        <v>27239243.949999999</v>
      </c>
      <c r="H16" s="71">
        <f>27581364.6+'Pending Retirements'!D14</f>
        <v>27569189.740000002</v>
      </c>
      <c r="I16" s="9">
        <v>27382363.559999999</v>
      </c>
      <c r="J16" s="9">
        <v>27633672.960000001</v>
      </c>
      <c r="K16" s="71">
        <f>27923005.64+'Pending Retirements'!E14</f>
        <v>27910830.780000001</v>
      </c>
      <c r="L16" s="9">
        <v>27985005.290000003</v>
      </c>
      <c r="M16" s="9">
        <v>28048471.18</v>
      </c>
      <c r="N16" s="71">
        <f>28367321.53+'Pending Retirements'!F14</f>
        <v>28354073.100000001</v>
      </c>
    </row>
    <row r="17" spans="1:15">
      <c r="A17" t="s">
        <v>202</v>
      </c>
      <c r="B17" s="71">
        <f>10567580.5+'Pending Retirements'!B15</f>
        <v>10543093.189999999</v>
      </c>
      <c r="C17" s="9">
        <v>10626074.18</v>
      </c>
      <c r="D17" s="9">
        <v>10683380.09</v>
      </c>
      <c r="E17" s="71">
        <f>10690376.73+'Pending Retirements'!C15</f>
        <v>10679198.550000001</v>
      </c>
      <c r="F17" s="9">
        <v>10727192.9</v>
      </c>
      <c r="G17" s="9">
        <v>10712500.17</v>
      </c>
      <c r="H17" s="71">
        <f>10666295.97+'Pending Retirements'!D15</f>
        <v>10658667.020000001</v>
      </c>
      <c r="I17" s="9">
        <v>11235086.27</v>
      </c>
      <c r="J17" s="9">
        <v>11276281.1</v>
      </c>
      <c r="K17" s="71">
        <f>11298958.66+'Pending Retirements'!E15</f>
        <v>11286406.67</v>
      </c>
      <c r="L17" s="9">
        <v>11311998.58</v>
      </c>
      <c r="M17" s="9">
        <v>11220393.790000001</v>
      </c>
      <c r="N17" s="71">
        <f>11341583.24+'Pending Retirements'!F15</f>
        <v>11338565.34</v>
      </c>
    </row>
    <row r="18" spans="1:15">
      <c r="A18" t="s">
        <v>203</v>
      </c>
      <c r="B18" s="71">
        <f>14104231.86+'Pending Retirements'!B16</f>
        <v>14100895.109999999</v>
      </c>
      <c r="C18" s="9">
        <v>14158380.08</v>
      </c>
      <c r="D18" s="9">
        <v>14270869.470000001</v>
      </c>
      <c r="E18" s="71">
        <f>14316871.99+'Pending Retirements'!C16</f>
        <v>14314983.93</v>
      </c>
      <c r="F18" s="9">
        <v>14426818.25</v>
      </c>
      <c r="G18" s="9">
        <v>14480140.720000001</v>
      </c>
      <c r="H18" s="71">
        <f>14573376.57+'Pending Retirements'!D16</f>
        <v>14573354.120000001</v>
      </c>
      <c r="I18" s="9">
        <v>14519634.210000001</v>
      </c>
      <c r="J18" s="9">
        <v>14624291.790000001</v>
      </c>
      <c r="K18" s="71">
        <f>14702515.45+'Pending Retirements'!E16</f>
        <v>14701690.619999999</v>
      </c>
      <c r="L18" s="9">
        <v>14740958.41</v>
      </c>
      <c r="M18" s="9">
        <v>14820584.32</v>
      </c>
      <c r="N18" s="9">
        <v>14885361.609999999</v>
      </c>
    </row>
    <row r="19" spans="1:15">
      <c r="A19" t="s">
        <v>204</v>
      </c>
      <c r="B19" s="9">
        <v>1710193.42</v>
      </c>
      <c r="C19" s="9">
        <v>1712808.36</v>
      </c>
      <c r="D19" s="9">
        <v>1722333.66</v>
      </c>
      <c r="E19" s="9">
        <v>1719762.9000000001</v>
      </c>
      <c r="F19" s="9">
        <v>1731292.8399999999</v>
      </c>
      <c r="G19" s="9">
        <v>1737124.2800000003</v>
      </c>
      <c r="H19" s="9">
        <v>1749633.74</v>
      </c>
      <c r="I19" s="9">
        <v>1751419.78</v>
      </c>
      <c r="J19" s="9">
        <v>1754207.04</v>
      </c>
      <c r="K19" s="9">
        <v>1752045.9</v>
      </c>
      <c r="L19" s="9">
        <v>1752130.4</v>
      </c>
      <c r="M19" s="9">
        <v>1751320.3800000001</v>
      </c>
      <c r="N19" s="9">
        <v>1756926.1199999999</v>
      </c>
    </row>
    <row r="20" spans="1:15">
      <c r="A20" t="s">
        <v>205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5">
      <c r="A21" t="s">
        <v>206</v>
      </c>
      <c r="B21" s="9">
        <v>17451103.279999997</v>
      </c>
      <c r="C21" s="9">
        <v>17072519.460000001</v>
      </c>
      <c r="D21" s="9">
        <v>17030047.310000002</v>
      </c>
      <c r="E21" s="9">
        <v>17040414.920000002</v>
      </c>
      <c r="F21" s="9">
        <v>17098493.09</v>
      </c>
      <c r="G21" s="9">
        <v>17102554.75</v>
      </c>
      <c r="H21" s="9">
        <v>17108820.710000001</v>
      </c>
      <c r="I21" s="9">
        <v>16855773.609999999</v>
      </c>
      <c r="J21" s="9">
        <v>16884671.219999999</v>
      </c>
      <c r="K21" s="9">
        <v>16966291.75</v>
      </c>
      <c r="L21" s="9">
        <v>16967529.120000001</v>
      </c>
      <c r="M21" s="9">
        <v>16687860.960000001</v>
      </c>
      <c r="N21" s="9">
        <v>16698557.290000001</v>
      </c>
    </row>
    <row r="22" spans="1:15">
      <c r="A22" t="s">
        <v>207</v>
      </c>
      <c r="B22" s="71">
        <f>2644417.86+'Pending Retirements'!B17</f>
        <v>2630611.9</v>
      </c>
      <c r="C22" s="9">
        <v>2647800.86</v>
      </c>
      <c r="D22" s="9">
        <v>2650213.29</v>
      </c>
      <c r="E22" s="71">
        <f>2654148.94+'Pending Retirements'!C17</f>
        <v>2639760.6800000002</v>
      </c>
      <c r="F22" s="9">
        <v>2649024.23</v>
      </c>
      <c r="G22" s="9">
        <v>2621529.19</v>
      </c>
      <c r="H22" s="71">
        <f>2634840.76+'Pending Retirements'!D17</f>
        <v>2628765.8299999996</v>
      </c>
      <c r="I22" s="9">
        <v>2659671.62</v>
      </c>
      <c r="J22" s="9">
        <v>2691939.45</v>
      </c>
      <c r="K22" s="71">
        <f>2723129.04+'Pending Retirements'!E17</f>
        <v>2717981.27</v>
      </c>
      <c r="L22" s="9">
        <v>2726959.46</v>
      </c>
      <c r="M22" s="9">
        <v>2744834.07</v>
      </c>
      <c r="N22" s="71">
        <f>2746560.85+'Pending Retirements'!F17</f>
        <v>2744353.93</v>
      </c>
    </row>
    <row r="23" spans="1:15">
      <c r="A23" t="s">
        <v>208</v>
      </c>
      <c r="B23" s="71">
        <f>10958470.41+'Pending Retirements'!B18</f>
        <v>10930614.870000001</v>
      </c>
      <c r="C23" s="9">
        <v>11038179.33</v>
      </c>
      <c r="D23" s="9">
        <v>11364798.640000001</v>
      </c>
      <c r="E23" s="71">
        <f>11373614.8+'Pending Retirements'!C18</f>
        <v>11350755.700000001</v>
      </c>
      <c r="F23" s="9">
        <v>11413725.639999999</v>
      </c>
      <c r="G23" s="9">
        <v>11368644.33</v>
      </c>
      <c r="H23" s="71">
        <f>11406727.87+'Pending Retirements'!D18</f>
        <v>11388219.51</v>
      </c>
      <c r="I23" s="9">
        <v>11315679.93</v>
      </c>
      <c r="J23" s="9">
        <v>11357775.02</v>
      </c>
      <c r="K23" s="71">
        <f>11482256.54+'Pending Retirements'!E18</f>
        <v>11457810.819999998</v>
      </c>
      <c r="L23" s="9">
        <v>11527400.34</v>
      </c>
      <c r="M23" s="9">
        <v>11563098.98</v>
      </c>
      <c r="N23" s="71">
        <f>11606058.54+'Pending Retirements'!F18</f>
        <v>11599968.979999999</v>
      </c>
    </row>
    <row r="24" spans="1:15">
      <c r="A24" s="19" t="s">
        <v>532</v>
      </c>
      <c r="B24" s="60">
        <f>SUM(B4:B23)</f>
        <v>383163465.91999996</v>
      </c>
      <c r="C24" s="60">
        <f t="shared" ref="C24:N24" si="0">SUM(C4:C23)</f>
        <v>384374412.01999998</v>
      </c>
      <c r="D24" s="60">
        <f t="shared" si="0"/>
        <v>386708122.97000003</v>
      </c>
      <c r="E24" s="60">
        <f t="shared" si="0"/>
        <v>387403220.57000005</v>
      </c>
      <c r="F24" s="60">
        <f t="shared" si="0"/>
        <v>393231605.05999988</v>
      </c>
      <c r="G24" s="60">
        <f t="shared" si="0"/>
        <v>395401081.97999996</v>
      </c>
      <c r="H24" s="60">
        <f t="shared" si="0"/>
        <v>395238175.33999991</v>
      </c>
      <c r="I24" s="60">
        <f t="shared" si="0"/>
        <v>397865764.21999997</v>
      </c>
      <c r="J24" s="60">
        <f t="shared" si="0"/>
        <v>398933295.36999995</v>
      </c>
      <c r="K24" s="60">
        <f t="shared" si="0"/>
        <v>398976585.50999999</v>
      </c>
      <c r="L24" s="60">
        <f t="shared" si="0"/>
        <v>401477383.65999991</v>
      </c>
      <c r="M24" s="60">
        <f t="shared" si="0"/>
        <v>407143563.68000007</v>
      </c>
      <c r="N24" s="60">
        <f t="shared" si="0"/>
        <v>410978289.37000006</v>
      </c>
      <c r="O24" s="20">
        <f>AVERAGE(B24:N24)</f>
        <v>395453458.89769226</v>
      </c>
    </row>
    <row r="25" spans="1:1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5">
      <c r="A26" s="3" t="s">
        <v>526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5">
      <c r="A27" t="s">
        <v>152</v>
      </c>
      <c r="B27" s="9">
        <v>200900.31</v>
      </c>
      <c r="C27" s="9">
        <v>200900.31</v>
      </c>
      <c r="D27" s="9">
        <v>200900.31</v>
      </c>
      <c r="E27" s="9">
        <v>200900.31</v>
      </c>
      <c r="F27" s="9">
        <v>200900.31</v>
      </c>
      <c r="G27" s="9">
        <v>200900.31</v>
      </c>
      <c r="H27" s="9">
        <v>200900.31</v>
      </c>
      <c r="I27" s="9">
        <v>200900.31</v>
      </c>
      <c r="J27" s="9">
        <v>200900.31</v>
      </c>
      <c r="K27" s="9">
        <v>200900.31</v>
      </c>
      <c r="L27" s="9">
        <v>200900.31</v>
      </c>
      <c r="M27" s="9">
        <v>200900.31</v>
      </c>
      <c r="N27" s="63">
        <v>200900.31</v>
      </c>
    </row>
    <row r="28" spans="1:15">
      <c r="A28" t="s">
        <v>153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63">
        <v>0</v>
      </c>
    </row>
    <row r="29" spans="1:15">
      <c r="A29" t="s">
        <v>154</v>
      </c>
      <c r="B29" s="9">
        <v>310000</v>
      </c>
      <c r="C29" s="9">
        <v>310000</v>
      </c>
      <c r="D29" s="9">
        <v>310000</v>
      </c>
      <c r="E29" s="9">
        <v>310000</v>
      </c>
      <c r="F29" s="9">
        <v>310000</v>
      </c>
      <c r="G29" s="9">
        <v>310000</v>
      </c>
      <c r="H29" s="9">
        <v>310000</v>
      </c>
      <c r="I29" s="9">
        <v>310000</v>
      </c>
      <c r="J29" s="9">
        <v>310000</v>
      </c>
      <c r="K29" s="9">
        <v>310000</v>
      </c>
      <c r="L29" s="9">
        <v>310000</v>
      </c>
      <c r="M29" s="9">
        <v>310000</v>
      </c>
      <c r="N29" s="63">
        <v>310000</v>
      </c>
    </row>
    <row r="30" spans="1:15">
      <c r="A30" t="s">
        <v>155</v>
      </c>
      <c r="B30" s="9">
        <v>19000</v>
      </c>
      <c r="C30" s="9">
        <v>19000</v>
      </c>
      <c r="D30" s="9">
        <v>19000</v>
      </c>
      <c r="E30" s="9">
        <v>19000</v>
      </c>
      <c r="F30" s="9">
        <v>19000</v>
      </c>
      <c r="G30" s="9">
        <v>19000</v>
      </c>
      <c r="H30" s="9">
        <v>19000</v>
      </c>
      <c r="I30" s="9">
        <v>19000</v>
      </c>
      <c r="J30" s="9">
        <v>19000</v>
      </c>
      <c r="K30" s="9">
        <v>19000</v>
      </c>
      <c r="L30" s="9">
        <v>19000</v>
      </c>
      <c r="M30" s="9">
        <v>19000</v>
      </c>
      <c r="N30" s="63">
        <v>19000</v>
      </c>
    </row>
    <row r="31" spans="1:15">
      <c r="A31" t="s">
        <v>156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63">
        <v>0</v>
      </c>
    </row>
    <row r="32" spans="1:15">
      <c r="A32" t="s">
        <v>209</v>
      </c>
      <c r="B32" s="9">
        <v>261405.41</v>
      </c>
      <c r="C32" s="9">
        <v>261405.41</v>
      </c>
      <c r="D32" s="9">
        <v>261405.41</v>
      </c>
      <c r="E32" s="9">
        <v>261405.41</v>
      </c>
      <c r="F32" s="9">
        <v>261405.41</v>
      </c>
      <c r="G32" s="9">
        <v>261405.41</v>
      </c>
      <c r="H32" s="9">
        <v>261405.4</v>
      </c>
      <c r="I32" s="9">
        <v>261405.4</v>
      </c>
      <c r="J32" s="9">
        <v>261405.4</v>
      </c>
      <c r="K32" s="9">
        <v>261405.4</v>
      </c>
      <c r="L32" s="9">
        <v>261405.4</v>
      </c>
      <c r="M32" s="9">
        <v>261405.4</v>
      </c>
      <c r="N32" s="63">
        <v>261405.4</v>
      </c>
    </row>
    <row r="33" spans="1:14">
      <c r="A33" t="s">
        <v>210</v>
      </c>
      <c r="B33" s="9">
        <v>22532.78</v>
      </c>
      <c r="C33" s="9">
        <v>22532.78</v>
      </c>
      <c r="D33" s="9">
        <v>22532.78</v>
      </c>
      <c r="E33" s="9">
        <v>22532.78</v>
      </c>
      <c r="F33" s="9">
        <v>22532.78</v>
      </c>
      <c r="G33" s="9">
        <v>22532.78</v>
      </c>
      <c r="H33" s="9">
        <v>22532.78</v>
      </c>
      <c r="I33" s="9">
        <v>22532.78</v>
      </c>
      <c r="J33" s="9">
        <v>22532.78</v>
      </c>
      <c r="K33" s="9">
        <v>22532.78</v>
      </c>
      <c r="L33" s="9">
        <v>22532.78</v>
      </c>
      <c r="M33" s="9">
        <v>22532.78</v>
      </c>
      <c r="N33" s="63">
        <v>22532.78</v>
      </c>
    </row>
    <row r="34" spans="1:14">
      <c r="A34" t="s">
        <v>211</v>
      </c>
      <c r="B34" s="71">
        <f>7643580.04+'Pending Retirements'!B19</f>
        <v>7547751.1900000004</v>
      </c>
      <c r="C34" s="9">
        <v>7643580.04</v>
      </c>
      <c r="D34" s="9">
        <v>7643580.04</v>
      </c>
      <c r="E34" s="71">
        <f>7617606.59+'Pending Retirements'!C19</f>
        <v>7521777.7400000002</v>
      </c>
      <c r="F34" s="9">
        <v>7617606.5899999999</v>
      </c>
      <c r="G34" s="9">
        <v>7617622.8999999994</v>
      </c>
      <c r="H34" s="71">
        <f>7716740.44+'Pending Retirements'!D19</f>
        <v>7620911.5900000008</v>
      </c>
      <c r="I34" s="9">
        <v>7811808.6500000004</v>
      </c>
      <c r="J34" s="9">
        <v>7811808.6500000004</v>
      </c>
      <c r="K34" s="9">
        <v>7811808.6500000004</v>
      </c>
      <c r="L34" s="9">
        <v>7838433.1299999999</v>
      </c>
      <c r="M34" s="9">
        <v>7838433.1299999999</v>
      </c>
      <c r="N34" s="63">
        <v>7838433.1299999999</v>
      </c>
    </row>
    <row r="35" spans="1:14">
      <c r="A35" t="s">
        <v>212</v>
      </c>
      <c r="B35" s="9">
        <v>1426861.24</v>
      </c>
      <c r="C35" s="9">
        <v>1426861.24</v>
      </c>
      <c r="D35" s="9">
        <v>1426861.24</v>
      </c>
      <c r="E35" s="9">
        <v>1426861.24</v>
      </c>
      <c r="F35" s="9">
        <v>1426861.24</v>
      </c>
      <c r="G35" s="9">
        <v>1426861.24</v>
      </c>
      <c r="H35" s="9">
        <v>1426861.24</v>
      </c>
      <c r="I35" s="9">
        <v>1426861.24</v>
      </c>
      <c r="J35" s="9">
        <v>1426861.24</v>
      </c>
      <c r="K35" s="9">
        <v>1426861.24</v>
      </c>
      <c r="L35" s="9">
        <v>1426861.24</v>
      </c>
      <c r="M35" s="9">
        <v>1426861.24</v>
      </c>
      <c r="N35" s="63">
        <v>1426861.24</v>
      </c>
    </row>
    <row r="36" spans="1:14">
      <c r="A36" t="s">
        <v>213</v>
      </c>
      <c r="B36" s="9">
        <v>1760571.72</v>
      </c>
      <c r="C36" s="9">
        <v>1760571.72</v>
      </c>
      <c r="D36" s="9">
        <v>1760571.72</v>
      </c>
      <c r="E36" s="9">
        <v>1786561.02</v>
      </c>
      <c r="F36" s="9">
        <v>1786561.02</v>
      </c>
      <c r="G36" s="9">
        <v>1785386.46</v>
      </c>
      <c r="H36" s="9">
        <v>1785386.47</v>
      </c>
      <c r="I36" s="9">
        <v>1337925.97</v>
      </c>
      <c r="J36" s="9">
        <v>1337925.97</v>
      </c>
      <c r="K36" s="9">
        <v>1337925.97</v>
      </c>
      <c r="L36" s="9">
        <v>1337925.97</v>
      </c>
      <c r="M36" s="9">
        <v>1337925.97</v>
      </c>
      <c r="N36" s="63">
        <v>1337925.97</v>
      </c>
    </row>
    <row r="37" spans="1:14">
      <c r="A37" t="s">
        <v>214</v>
      </c>
      <c r="B37" s="9">
        <v>940370.14</v>
      </c>
      <c r="C37" s="9">
        <v>974306.48</v>
      </c>
      <c r="D37" s="9">
        <v>974306.48</v>
      </c>
      <c r="E37" s="9">
        <v>974306.48</v>
      </c>
      <c r="F37" s="9">
        <v>956661.88</v>
      </c>
      <c r="G37" s="9">
        <v>856038.80999999994</v>
      </c>
      <c r="H37" s="9">
        <v>856038.80999999994</v>
      </c>
      <c r="I37" s="9">
        <v>856038.81</v>
      </c>
      <c r="J37" s="9">
        <v>856038.81</v>
      </c>
      <c r="K37" s="9">
        <v>856038.81</v>
      </c>
      <c r="L37" s="9">
        <v>900856.97000000009</v>
      </c>
      <c r="M37" s="9">
        <v>900856.97000000009</v>
      </c>
      <c r="N37" s="63">
        <v>1231242.54</v>
      </c>
    </row>
    <row r="38" spans="1:14">
      <c r="A38" t="s">
        <v>215</v>
      </c>
      <c r="B38" s="9">
        <v>14712</v>
      </c>
      <c r="C38" s="9">
        <v>14712</v>
      </c>
      <c r="D38" s="9">
        <v>14712</v>
      </c>
      <c r="E38" s="9">
        <v>14712</v>
      </c>
      <c r="F38" s="9">
        <v>14712</v>
      </c>
      <c r="G38" s="9">
        <v>14712</v>
      </c>
      <c r="H38" s="9">
        <v>14712</v>
      </c>
      <c r="I38" s="9">
        <v>14712</v>
      </c>
      <c r="J38" s="9">
        <v>14712</v>
      </c>
      <c r="K38" s="9">
        <v>12034</v>
      </c>
      <c r="L38" s="9">
        <v>12034</v>
      </c>
      <c r="M38" s="9">
        <v>12034</v>
      </c>
      <c r="N38" s="63">
        <v>12034</v>
      </c>
    </row>
    <row r="39" spans="1:14">
      <c r="A39" t="s">
        <v>216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63">
        <v>0</v>
      </c>
    </row>
    <row r="40" spans="1:14">
      <c r="A40" t="s">
        <v>217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63">
        <v>0</v>
      </c>
    </row>
    <row r="41" spans="1:14">
      <c r="A41" t="s">
        <v>218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63">
        <v>0</v>
      </c>
    </row>
    <row r="42" spans="1:14">
      <c r="A42" t="s">
        <v>219</v>
      </c>
      <c r="B42" s="9">
        <v>216925.63</v>
      </c>
      <c r="C42" s="9">
        <v>216925.63</v>
      </c>
      <c r="D42" s="9">
        <v>216925.63</v>
      </c>
      <c r="E42" s="9">
        <v>216925.63</v>
      </c>
      <c r="F42" s="9">
        <v>216925.63</v>
      </c>
      <c r="G42" s="9">
        <v>216925.63</v>
      </c>
      <c r="H42" s="9">
        <v>216925.63</v>
      </c>
      <c r="I42" s="9">
        <v>216925.63</v>
      </c>
      <c r="J42" s="9">
        <v>216925.63</v>
      </c>
      <c r="K42" s="9">
        <v>216925.63</v>
      </c>
      <c r="L42" s="9">
        <v>216925.63</v>
      </c>
      <c r="M42" s="9">
        <v>216925.63</v>
      </c>
      <c r="N42" s="63">
        <v>216925.63</v>
      </c>
    </row>
    <row r="43" spans="1:14">
      <c r="A43" t="s">
        <v>220</v>
      </c>
      <c r="B43" s="9">
        <v>45525.16</v>
      </c>
      <c r="C43" s="9">
        <v>45525.16</v>
      </c>
      <c r="D43" s="9">
        <v>45525.16</v>
      </c>
      <c r="E43" s="9">
        <v>45525.16</v>
      </c>
      <c r="F43" s="9">
        <v>45525.16</v>
      </c>
      <c r="G43" s="9">
        <v>45525.16</v>
      </c>
      <c r="H43" s="9">
        <v>45525.16</v>
      </c>
      <c r="I43" s="9">
        <v>45525.16</v>
      </c>
      <c r="J43" s="9">
        <v>45525.16</v>
      </c>
      <c r="K43" s="9">
        <v>45525.16</v>
      </c>
      <c r="L43" s="9">
        <v>45525.16</v>
      </c>
      <c r="M43" s="9">
        <v>45525.16</v>
      </c>
      <c r="N43" s="63">
        <v>45525.16</v>
      </c>
    </row>
    <row r="44" spans="1:14">
      <c r="A44" t="s">
        <v>221</v>
      </c>
      <c r="B44" s="9">
        <v>2820168.1</v>
      </c>
      <c r="C44" s="9">
        <v>2816766.1</v>
      </c>
      <c r="D44" s="9">
        <v>2824030.64</v>
      </c>
      <c r="E44" s="9">
        <v>2807779.48</v>
      </c>
      <c r="F44" s="9">
        <v>2802995.01</v>
      </c>
      <c r="G44" s="9">
        <v>2783512.08</v>
      </c>
      <c r="H44" s="9">
        <v>2783512.08</v>
      </c>
      <c r="I44" s="9">
        <v>2730391.35</v>
      </c>
      <c r="J44" s="9">
        <v>2789199.2800000003</v>
      </c>
      <c r="K44" s="9">
        <v>2902748.06</v>
      </c>
      <c r="L44" s="9">
        <v>2905172.33</v>
      </c>
      <c r="M44" s="9">
        <v>2988218.67</v>
      </c>
      <c r="N44" s="63">
        <v>2882807.18</v>
      </c>
    </row>
    <row r="45" spans="1:14">
      <c r="A45" t="s">
        <v>222</v>
      </c>
      <c r="B45" s="9">
        <v>2088032.2800000003</v>
      </c>
      <c r="C45" s="9">
        <v>2092449.2200000002</v>
      </c>
      <c r="D45" s="9">
        <v>2093717.0100000002</v>
      </c>
      <c r="E45" s="9">
        <v>2113749.66</v>
      </c>
      <c r="F45" s="9">
        <v>2120013.7200000002</v>
      </c>
      <c r="G45" s="9">
        <v>2037221.82</v>
      </c>
      <c r="H45" s="9">
        <v>2037221.82</v>
      </c>
      <c r="I45" s="9">
        <v>2020522.3299999998</v>
      </c>
      <c r="J45" s="9">
        <v>2020522.3299999998</v>
      </c>
      <c r="K45" s="9">
        <v>2020522.3299999998</v>
      </c>
      <c r="L45" s="9">
        <v>2020538.0799999998</v>
      </c>
      <c r="M45" s="9">
        <v>2020538.0799999998</v>
      </c>
      <c r="N45" s="63">
        <v>2156963.11</v>
      </c>
    </row>
    <row r="46" spans="1:14">
      <c r="A46" t="s">
        <v>223</v>
      </c>
      <c r="B46" s="9">
        <v>9592186.620000001</v>
      </c>
      <c r="C46" s="9">
        <v>11575612.77</v>
      </c>
      <c r="D46" s="9">
        <v>12108870.530000001</v>
      </c>
      <c r="E46" s="9">
        <v>12162652.880000001</v>
      </c>
      <c r="F46" s="9">
        <v>12410342.5</v>
      </c>
      <c r="G46" s="9">
        <v>12422803.52</v>
      </c>
      <c r="H46" s="9">
        <v>12553049.09</v>
      </c>
      <c r="I46" s="9">
        <v>13966057.119999999</v>
      </c>
      <c r="J46" s="9">
        <v>14072389.02</v>
      </c>
      <c r="K46" s="9">
        <v>14123921.550000001</v>
      </c>
      <c r="L46" s="9">
        <v>14140073.079999998</v>
      </c>
      <c r="M46" s="9">
        <v>14140073.079999998</v>
      </c>
      <c r="N46" s="63">
        <v>14238468.610000001</v>
      </c>
    </row>
    <row r="47" spans="1:14">
      <c r="A47" t="s">
        <v>224</v>
      </c>
      <c r="B47" s="9">
        <v>2343846.42</v>
      </c>
      <c r="C47" s="9">
        <v>2343846.42</v>
      </c>
      <c r="D47" s="9">
        <v>2343846.42</v>
      </c>
      <c r="E47" s="9">
        <v>2336672.7399999998</v>
      </c>
      <c r="F47" s="9">
        <v>2337177.63</v>
      </c>
      <c r="G47" s="9">
        <v>2337177.63</v>
      </c>
      <c r="H47" s="9">
        <v>2339605.0499999998</v>
      </c>
      <c r="I47" s="9">
        <v>2339605.0500000003</v>
      </c>
      <c r="J47" s="9">
        <v>2339605.0500000003</v>
      </c>
      <c r="K47" s="9">
        <v>2339605.0500000003</v>
      </c>
      <c r="L47" s="9">
        <v>2537704.3000000003</v>
      </c>
      <c r="M47" s="9">
        <v>2564168.56</v>
      </c>
      <c r="N47" s="63">
        <v>2581935.92</v>
      </c>
    </row>
    <row r="48" spans="1:14">
      <c r="A48" t="s">
        <v>225</v>
      </c>
      <c r="B48" s="9">
        <v>24905.31</v>
      </c>
      <c r="C48" s="9">
        <v>24905.31</v>
      </c>
      <c r="D48" s="9">
        <v>24905.31</v>
      </c>
      <c r="E48" s="9">
        <v>24905.31</v>
      </c>
      <c r="F48" s="9">
        <v>24905.31</v>
      </c>
      <c r="G48" s="9">
        <v>24905.31</v>
      </c>
      <c r="H48" s="9">
        <v>24905.31</v>
      </c>
      <c r="I48" s="9">
        <v>24905.31</v>
      </c>
      <c r="J48" s="9">
        <v>24905.31</v>
      </c>
      <c r="K48" s="9">
        <v>24905.31</v>
      </c>
      <c r="L48" s="9">
        <v>24905.31</v>
      </c>
      <c r="M48" s="9">
        <v>24905.31</v>
      </c>
      <c r="N48" s="63">
        <v>24905.31</v>
      </c>
    </row>
    <row r="49" spans="1:16">
      <c r="A49" t="s">
        <v>226</v>
      </c>
      <c r="B49" s="9">
        <v>2998940.21</v>
      </c>
      <c r="C49" s="9">
        <v>3107300.7399999998</v>
      </c>
      <c r="D49" s="9">
        <v>3048811.5100000002</v>
      </c>
      <c r="E49" s="9">
        <v>3006673.82</v>
      </c>
      <c r="F49" s="9">
        <v>3024590.64</v>
      </c>
      <c r="G49" s="9">
        <v>3060151.08</v>
      </c>
      <c r="H49" s="9">
        <v>3152976.99</v>
      </c>
      <c r="I49" s="9">
        <v>3151255.3</v>
      </c>
      <c r="J49" s="9">
        <v>3153838.63</v>
      </c>
      <c r="K49" s="9">
        <v>3162773.63</v>
      </c>
      <c r="L49" s="9">
        <v>3169655.89</v>
      </c>
      <c r="M49" s="9">
        <v>3242751.76</v>
      </c>
      <c r="N49" s="63">
        <v>3289569.2800000003</v>
      </c>
    </row>
    <row r="50" spans="1:16">
      <c r="A50" t="s">
        <v>227</v>
      </c>
      <c r="B50" s="9">
        <v>14177.720000000001</v>
      </c>
      <c r="C50" s="9">
        <v>14177.720000000001</v>
      </c>
      <c r="D50" s="9">
        <v>14177.720000000001</v>
      </c>
      <c r="E50" s="9">
        <v>14177.720000000001</v>
      </c>
      <c r="F50" s="9">
        <v>14177.720000000001</v>
      </c>
      <c r="G50" s="9">
        <v>14177.720000000001</v>
      </c>
      <c r="H50" s="9">
        <v>14177.720000000001</v>
      </c>
      <c r="I50" s="9">
        <v>14177.720000000001</v>
      </c>
      <c r="J50" s="9">
        <v>14177.720000000001</v>
      </c>
      <c r="K50" s="9">
        <v>14177.720000000001</v>
      </c>
      <c r="L50" s="9">
        <v>14177.720000000001</v>
      </c>
      <c r="M50" s="9">
        <v>14177.720000000001</v>
      </c>
      <c r="N50" s="63">
        <v>14177.720000000001</v>
      </c>
    </row>
    <row r="51" spans="1:16">
      <c r="A51" t="s">
        <v>228</v>
      </c>
      <c r="B51" s="9">
        <v>410969.39</v>
      </c>
      <c r="C51" s="9">
        <v>413056.86000000004</v>
      </c>
      <c r="D51" s="9">
        <v>412536.69</v>
      </c>
      <c r="E51" s="9">
        <v>412536.69</v>
      </c>
      <c r="F51" s="9">
        <v>405119.95</v>
      </c>
      <c r="G51" s="9">
        <v>405119.95</v>
      </c>
      <c r="H51" s="9">
        <v>392819.85000000003</v>
      </c>
      <c r="I51" s="9">
        <v>360252.88</v>
      </c>
      <c r="J51" s="9">
        <v>360252.88</v>
      </c>
      <c r="K51" s="9">
        <v>355298.29</v>
      </c>
      <c r="L51" s="9">
        <v>355298.29</v>
      </c>
      <c r="M51" s="9">
        <v>355298.29</v>
      </c>
      <c r="N51" s="63">
        <v>355298.29</v>
      </c>
    </row>
    <row r="52" spans="1:16">
      <c r="A52" t="s">
        <v>229</v>
      </c>
      <c r="B52" s="9">
        <v>219977.59</v>
      </c>
      <c r="C52" s="9">
        <v>219977.59</v>
      </c>
      <c r="D52" s="9">
        <v>219977.59</v>
      </c>
      <c r="E52" s="9">
        <v>219977.59</v>
      </c>
      <c r="F52" s="9">
        <v>219977.59</v>
      </c>
      <c r="G52" s="9">
        <v>219977.59</v>
      </c>
      <c r="H52" s="9">
        <v>219977.59</v>
      </c>
      <c r="I52" s="9">
        <v>219977.59</v>
      </c>
      <c r="J52" s="9">
        <v>219977.59</v>
      </c>
      <c r="K52" s="9">
        <v>219977.59</v>
      </c>
      <c r="L52" s="9">
        <v>219977.59</v>
      </c>
      <c r="M52" s="9">
        <v>219977.59</v>
      </c>
      <c r="N52" s="63">
        <v>219977.59</v>
      </c>
    </row>
    <row r="53" spans="1:16">
      <c r="A53" t="s">
        <v>230</v>
      </c>
      <c r="B53" s="9">
        <v>3255870.0999999996</v>
      </c>
      <c r="C53" s="9">
        <v>3255870.0999999996</v>
      </c>
      <c r="D53" s="9">
        <v>3255870.0999999996</v>
      </c>
      <c r="E53" s="9">
        <v>3342480.1999999997</v>
      </c>
      <c r="F53" s="9">
        <v>3342480.1999999997</v>
      </c>
      <c r="G53" s="9">
        <v>3342480.1999999997</v>
      </c>
      <c r="H53" s="9">
        <v>3342480.1999999997</v>
      </c>
      <c r="I53" s="9">
        <v>3342480.2</v>
      </c>
      <c r="J53" s="9">
        <v>3350226.95</v>
      </c>
      <c r="K53" s="9">
        <v>3350226.95</v>
      </c>
      <c r="L53" s="9">
        <v>3350226.95</v>
      </c>
      <c r="M53" s="9">
        <v>3350226.95</v>
      </c>
      <c r="N53" s="63">
        <v>3350226.95</v>
      </c>
      <c r="P53" s="7"/>
    </row>
    <row r="54" spans="1:16">
      <c r="A54" t="s">
        <v>231</v>
      </c>
      <c r="B54" s="9">
        <v>1276206.3700000001</v>
      </c>
      <c r="C54" s="9">
        <v>1276206.3700000001</v>
      </c>
      <c r="D54" s="9">
        <v>1276206.3700000001</v>
      </c>
      <c r="E54" s="9">
        <v>977085.37</v>
      </c>
      <c r="F54" s="9">
        <v>977085.37</v>
      </c>
      <c r="G54" s="9">
        <v>977085.37</v>
      </c>
      <c r="H54" s="9">
        <v>977085.37</v>
      </c>
      <c r="I54" s="9">
        <v>977085.37</v>
      </c>
      <c r="J54" s="9">
        <v>977085.37</v>
      </c>
      <c r="K54" s="9">
        <v>977085.37</v>
      </c>
      <c r="L54" s="9">
        <v>977085.37</v>
      </c>
      <c r="M54" s="9">
        <v>845697.57000000007</v>
      </c>
      <c r="N54" s="63">
        <v>911579.00000000012</v>
      </c>
    </row>
    <row r="55" spans="1:16">
      <c r="A55" t="s">
        <v>232</v>
      </c>
      <c r="B55" s="9">
        <v>1204952.6599999999</v>
      </c>
      <c r="C55" s="9">
        <v>1204952.6599999999</v>
      </c>
      <c r="D55" s="9">
        <v>1204952.6599999999</v>
      </c>
      <c r="E55" s="9">
        <v>1204952.6599999999</v>
      </c>
      <c r="F55" s="9">
        <v>1204952.6599999999</v>
      </c>
      <c r="G55" s="9">
        <v>1204952.6599999999</v>
      </c>
      <c r="H55" s="9">
        <v>1204952.6599999999</v>
      </c>
      <c r="I55" s="9">
        <v>1204952.6599999999</v>
      </c>
      <c r="J55" s="9">
        <v>1204952.6599999999</v>
      </c>
      <c r="K55" s="9">
        <v>1207150.3799999999</v>
      </c>
      <c r="L55" s="9">
        <v>1207150.3799999999</v>
      </c>
      <c r="M55" s="9">
        <v>1207150.3799999999</v>
      </c>
      <c r="N55" s="63">
        <v>1237895.0099999998</v>
      </c>
    </row>
    <row r="56" spans="1:16">
      <c r="A56" t="s">
        <v>233</v>
      </c>
      <c r="B56" s="9">
        <v>129693.81</v>
      </c>
      <c r="C56" s="9">
        <v>129693.81</v>
      </c>
      <c r="D56" s="9">
        <v>129693.81</v>
      </c>
      <c r="E56" s="9">
        <v>149473.80000000002</v>
      </c>
      <c r="F56" s="9">
        <v>149473.80000000002</v>
      </c>
      <c r="G56" s="9">
        <v>149473.80000000002</v>
      </c>
      <c r="H56" s="9">
        <v>149473.80000000002</v>
      </c>
      <c r="I56" s="9">
        <v>149473.80000000002</v>
      </c>
      <c r="J56" s="9">
        <v>149473.80000000002</v>
      </c>
      <c r="K56" s="9">
        <v>149473.80000000002</v>
      </c>
      <c r="L56" s="9">
        <v>149473.80000000002</v>
      </c>
      <c r="M56" s="9">
        <v>149473.80000000002</v>
      </c>
      <c r="N56" s="63">
        <v>188673.68000000002</v>
      </c>
    </row>
    <row r="57" spans="1:16">
      <c r="A57" s="252">
        <v>39910</v>
      </c>
      <c r="B57" s="253"/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>
        <v>11288</v>
      </c>
    </row>
    <row r="58" spans="1:16">
      <c r="A58" s="60">
        <f t="shared" ref="A58:M58" si="1">SUM(A27:A57)</f>
        <v>39910</v>
      </c>
      <c r="B58" s="60">
        <f t="shared" si="1"/>
        <v>39146482.159999996</v>
      </c>
      <c r="C58" s="60">
        <f t="shared" si="1"/>
        <v>41371136.439999998</v>
      </c>
      <c r="D58" s="60">
        <f t="shared" si="1"/>
        <v>41853917.130000003</v>
      </c>
      <c r="E58" s="60">
        <f t="shared" si="1"/>
        <v>41573625.689999998</v>
      </c>
      <c r="F58" s="60">
        <f t="shared" si="1"/>
        <v>41911984.119999997</v>
      </c>
      <c r="G58" s="60">
        <f t="shared" si="1"/>
        <v>41755949.43</v>
      </c>
      <c r="H58" s="60">
        <f t="shared" si="1"/>
        <v>41972436.920000002</v>
      </c>
      <c r="I58" s="60">
        <f t="shared" si="1"/>
        <v>43024772.629999995</v>
      </c>
      <c r="J58" s="60">
        <f t="shared" si="1"/>
        <v>43200242.540000007</v>
      </c>
      <c r="K58" s="60">
        <f t="shared" si="1"/>
        <v>43368823.980000012</v>
      </c>
      <c r="L58" s="60">
        <f t="shared" si="1"/>
        <v>43663839.68</v>
      </c>
      <c r="M58" s="60">
        <f t="shared" si="1"/>
        <v>43715058.350000001</v>
      </c>
      <c r="N58" s="60">
        <f>SUM(N27:N57)</f>
        <v>44386551.81000001</v>
      </c>
      <c r="O58" s="20">
        <f>AVERAGE(B58:N58)</f>
        <v>42380370.836923085</v>
      </c>
    </row>
    <row r="59" spans="1:16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6">
      <c r="A60" s="3" t="s">
        <v>527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6">
      <c r="A61" t="s">
        <v>157</v>
      </c>
      <c r="B61" s="9">
        <v>168504.26</v>
      </c>
      <c r="C61" s="9">
        <v>168504.26</v>
      </c>
      <c r="D61" s="9">
        <v>168504.26</v>
      </c>
      <c r="E61" s="9">
        <v>168504.26</v>
      </c>
      <c r="F61" s="9">
        <v>168504.26</v>
      </c>
      <c r="G61" s="9">
        <v>168504.26</v>
      </c>
      <c r="H61" s="9">
        <v>168504.26</v>
      </c>
      <c r="I61" s="9">
        <v>168504.26</v>
      </c>
      <c r="J61" s="9">
        <v>168504.26</v>
      </c>
      <c r="K61" s="9">
        <v>168504.26</v>
      </c>
      <c r="L61" s="9">
        <v>168504.26</v>
      </c>
      <c r="M61" s="9">
        <v>168504.26</v>
      </c>
      <c r="N61" s="63">
        <v>168504.26</v>
      </c>
    </row>
    <row r="62" spans="1:16">
      <c r="A62" t="s">
        <v>158</v>
      </c>
      <c r="B62" s="9">
        <v>85743.6</v>
      </c>
      <c r="C62" s="9">
        <v>85743.6</v>
      </c>
      <c r="D62" s="9">
        <v>85743.6</v>
      </c>
      <c r="E62" s="9">
        <v>85743.6</v>
      </c>
      <c r="F62" s="9">
        <v>85743.6</v>
      </c>
      <c r="G62" s="9">
        <v>85743.6</v>
      </c>
      <c r="H62" s="9">
        <v>85743.6</v>
      </c>
      <c r="I62" s="9">
        <v>85743.6</v>
      </c>
      <c r="J62" s="9">
        <v>85743.6</v>
      </c>
      <c r="K62" s="9">
        <v>85743.6</v>
      </c>
      <c r="L62" s="9">
        <v>85743.6</v>
      </c>
      <c r="M62" s="9">
        <v>85743.6</v>
      </c>
      <c r="N62" s="63">
        <v>85743.6</v>
      </c>
    </row>
    <row r="63" spans="1:16">
      <c r="A63" t="s">
        <v>159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63">
        <v>0</v>
      </c>
    </row>
    <row r="64" spans="1:16">
      <c r="A64" t="s">
        <v>160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63">
        <v>0</v>
      </c>
    </row>
    <row r="65" spans="1:19">
      <c r="A65" t="s">
        <v>161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63">
        <v>0</v>
      </c>
    </row>
    <row r="66" spans="1:19">
      <c r="A66" t="s">
        <v>162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63">
        <v>0</v>
      </c>
    </row>
    <row r="67" spans="1:19">
      <c r="A67" t="s">
        <v>163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63">
        <v>0</v>
      </c>
    </row>
    <row r="68" spans="1:19">
      <c r="A68" t="s">
        <v>164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63">
        <v>0</v>
      </c>
    </row>
    <row r="69" spans="1:19">
      <c r="A69" t="s">
        <v>165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63">
        <v>0</v>
      </c>
    </row>
    <row r="70" spans="1:19">
      <c r="A70" t="s">
        <v>166</v>
      </c>
      <c r="B70" s="9">
        <v>207692.38</v>
      </c>
      <c r="C70" s="9">
        <v>207692.38</v>
      </c>
      <c r="D70" s="9">
        <v>207692.38</v>
      </c>
      <c r="E70" s="9">
        <v>207692.38</v>
      </c>
      <c r="F70" s="9">
        <v>207692.38</v>
      </c>
      <c r="G70" s="9">
        <v>207692.38</v>
      </c>
      <c r="H70" s="9">
        <v>207692.38</v>
      </c>
      <c r="I70" s="9">
        <v>207692.38</v>
      </c>
      <c r="J70" s="9">
        <v>207692.38</v>
      </c>
      <c r="K70" s="9">
        <v>207692.38</v>
      </c>
      <c r="L70" s="9">
        <v>207692.38</v>
      </c>
      <c r="M70" s="9">
        <v>207692.38</v>
      </c>
      <c r="N70" s="63">
        <v>207692.38</v>
      </c>
    </row>
    <row r="71" spans="1:19">
      <c r="A71" t="s">
        <v>167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63">
        <v>0</v>
      </c>
      <c r="R71" s="9"/>
      <c r="S71" s="9"/>
    </row>
    <row r="72" spans="1:19">
      <c r="A72" t="s">
        <v>168</v>
      </c>
      <c r="B72" s="9">
        <v>6229050.5499999998</v>
      </c>
      <c r="C72" s="9">
        <v>6229050.5499999998</v>
      </c>
      <c r="D72" s="9">
        <v>6229050.5499999998</v>
      </c>
      <c r="E72" s="9">
        <v>6229050.5499999998</v>
      </c>
      <c r="F72" s="9">
        <v>6229050.5499999998</v>
      </c>
      <c r="G72" s="9">
        <v>6229050.5499999998</v>
      </c>
      <c r="H72" s="9">
        <v>6229050.5499999998</v>
      </c>
      <c r="I72" s="9">
        <v>6229050.5499999998</v>
      </c>
      <c r="J72" s="9">
        <v>6229050.5499999998</v>
      </c>
      <c r="K72" s="9">
        <v>6229050.5499999998</v>
      </c>
      <c r="L72" s="9">
        <v>6229050.5499999998</v>
      </c>
      <c r="M72" s="9">
        <v>6229050.5499999998</v>
      </c>
      <c r="N72" s="63">
        <v>6229050.5499999998</v>
      </c>
      <c r="R72" s="9"/>
      <c r="S72" s="9"/>
    </row>
    <row r="73" spans="1:19">
      <c r="A73" t="s">
        <v>169</v>
      </c>
      <c r="B73" s="9">
        <v>14983808.84</v>
      </c>
      <c r="C73" s="9">
        <v>14983808.84</v>
      </c>
      <c r="D73" s="9">
        <v>14983808.84</v>
      </c>
      <c r="E73" s="9">
        <v>14967037.939999999</v>
      </c>
      <c r="F73" s="9">
        <v>14967037.939999999</v>
      </c>
      <c r="G73" s="9">
        <v>14967037.939999999</v>
      </c>
      <c r="H73" s="9">
        <v>14759041.57</v>
      </c>
      <c r="I73" s="9">
        <v>14759041.57</v>
      </c>
      <c r="J73" s="9">
        <v>14759041.57</v>
      </c>
      <c r="K73" s="9">
        <v>14759041.57</v>
      </c>
      <c r="L73" s="9">
        <v>14778950.35</v>
      </c>
      <c r="M73" s="9">
        <v>14778950.35</v>
      </c>
      <c r="N73" s="63">
        <v>14778950.35</v>
      </c>
      <c r="R73" s="9"/>
      <c r="S73" s="9"/>
    </row>
    <row r="74" spans="1:19">
      <c r="A74" t="s">
        <v>170</v>
      </c>
      <c r="B74" s="9">
        <v>9115499.1500000004</v>
      </c>
      <c r="C74" s="9">
        <v>9115499.1500000004</v>
      </c>
      <c r="D74" s="9">
        <v>9115499.1500000004</v>
      </c>
      <c r="E74" s="9">
        <v>9115499.1500000004</v>
      </c>
      <c r="F74" s="9">
        <v>9115499.1500000004</v>
      </c>
      <c r="G74" s="9">
        <v>9115499.1500000004</v>
      </c>
      <c r="H74" s="9">
        <v>9115499.1500000004</v>
      </c>
      <c r="I74" s="9">
        <v>9115499.1500000004</v>
      </c>
      <c r="J74" s="9">
        <v>9115499.1500000004</v>
      </c>
      <c r="K74" s="9">
        <v>9115499.1500000004</v>
      </c>
      <c r="L74" s="9">
        <v>9115499.1500000004</v>
      </c>
      <c r="M74" s="9">
        <v>9115499.1500000004</v>
      </c>
      <c r="N74" s="63">
        <v>9115499.1500000004</v>
      </c>
      <c r="R74" s="9"/>
      <c r="S74" s="9"/>
    </row>
    <row r="75" spans="1:19">
      <c r="A75" t="s">
        <v>171</v>
      </c>
      <c r="B75" s="9">
        <v>2273004.89</v>
      </c>
      <c r="C75" s="9">
        <v>2273004.89</v>
      </c>
      <c r="D75" s="9">
        <v>2273004.89</v>
      </c>
      <c r="E75" s="9">
        <v>2273004.89</v>
      </c>
      <c r="F75" s="9">
        <v>2273004.89</v>
      </c>
      <c r="G75" s="9">
        <v>2273004.89</v>
      </c>
      <c r="H75" s="9">
        <v>2273004.89</v>
      </c>
      <c r="I75" s="9">
        <v>2273004.89</v>
      </c>
      <c r="J75" s="9">
        <v>2273004.89</v>
      </c>
      <c r="K75" s="9">
        <v>2273004.89</v>
      </c>
      <c r="L75" s="9">
        <v>2273004.89</v>
      </c>
      <c r="M75" s="9">
        <v>2273004.89</v>
      </c>
      <c r="N75" s="63">
        <v>2273004.89</v>
      </c>
      <c r="R75" s="9"/>
      <c r="S75" s="9"/>
    </row>
    <row r="76" spans="1:19">
      <c r="A76" t="s">
        <v>172</v>
      </c>
      <c r="B76" s="71">
        <f>375561551.41+'Pending Retirements'!B2</f>
        <v>369789864.57000005</v>
      </c>
      <c r="C76" s="9">
        <v>375367111.27000004</v>
      </c>
      <c r="D76" s="9">
        <v>375367111.27000004</v>
      </c>
      <c r="E76" s="71">
        <f>375347111.27+'Pending Retirements'!C2</f>
        <v>369921948.38999999</v>
      </c>
      <c r="F76" s="9">
        <v>369699448.39000005</v>
      </c>
      <c r="G76" s="9">
        <v>369701587.39000005</v>
      </c>
      <c r="H76" s="71">
        <f>370290346.66+'Pending Retirements'!D2</f>
        <v>370276846.66000003</v>
      </c>
      <c r="I76" s="9">
        <v>370290346.65999997</v>
      </c>
      <c r="J76" s="9">
        <v>370290346.65999997</v>
      </c>
      <c r="K76" s="71">
        <f>370280346.66+'Pending Retirements'!E2</f>
        <v>370275346.66000003</v>
      </c>
      <c r="L76" s="9">
        <v>370270346.66000003</v>
      </c>
      <c r="M76" s="9">
        <v>370270346.66000003</v>
      </c>
      <c r="N76" s="71">
        <f>370727711.3+'Pending Retirements'!F2</f>
        <v>370577655.56999999</v>
      </c>
      <c r="R76" s="9"/>
      <c r="S76" s="9"/>
    </row>
    <row r="77" spans="1:19">
      <c r="A77" t="s">
        <v>173</v>
      </c>
      <c r="B77" s="9">
        <v>18861693.900000002</v>
      </c>
      <c r="C77" s="9">
        <v>18688151.120000001</v>
      </c>
      <c r="D77" s="9">
        <v>18688151.120000001</v>
      </c>
      <c r="E77" s="9">
        <v>18688151.120000001</v>
      </c>
      <c r="F77" s="9">
        <v>18688151.120000001</v>
      </c>
      <c r="G77" s="9">
        <v>18688151.120000001</v>
      </c>
      <c r="H77" s="9">
        <v>18688151.120000001</v>
      </c>
      <c r="I77" s="9">
        <v>18808689.420000002</v>
      </c>
      <c r="J77" s="9">
        <v>18808689.420000002</v>
      </c>
      <c r="K77" s="9">
        <v>18788689.420000002</v>
      </c>
      <c r="L77" s="9">
        <v>18788689.420000002</v>
      </c>
      <c r="M77" s="9">
        <v>18788689.420000002</v>
      </c>
      <c r="N77" s="63">
        <v>18788689.420000002</v>
      </c>
      <c r="R77" s="9"/>
      <c r="S77" s="9"/>
    </row>
    <row r="78" spans="1:19">
      <c r="A78" t="s">
        <v>174</v>
      </c>
      <c r="B78" s="9">
        <v>2704470.7199999997</v>
      </c>
      <c r="C78" s="9">
        <v>2704470.7199999997</v>
      </c>
      <c r="D78" s="9">
        <v>2704470.7199999997</v>
      </c>
      <c r="E78" s="9">
        <v>2704470.7199999997</v>
      </c>
      <c r="F78" s="9">
        <v>2704470.7199999997</v>
      </c>
      <c r="G78" s="9">
        <v>2704470.7199999997</v>
      </c>
      <c r="H78" s="9">
        <v>2704470.7199999997</v>
      </c>
      <c r="I78" s="9">
        <v>2724379.4999999995</v>
      </c>
      <c r="J78" s="9">
        <v>2724379.4999999995</v>
      </c>
      <c r="K78" s="9">
        <v>2724379.4999999995</v>
      </c>
      <c r="L78" s="9">
        <v>2704470.7199999997</v>
      </c>
      <c r="M78" s="9">
        <v>2704470.7199999997</v>
      </c>
      <c r="N78" s="63">
        <v>2704470.7199999997</v>
      </c>
      <c r="R78" s="9"/>
      <c r="S78" s="9"/>
    </row>
    <row r="79" spans="1:19">
      <c r="A79" s="252">
        <v>34700</v>
      </c>
      <c r="B79" s="253"/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  <c r="N79" s="253">
        <v>-11288</v>
      </c>
      <c r="R79" s="9"/>
      <c r="S79" s="9"/>
    </row>
    <row r="80" spans="1:19">
      <c r="A80" s="60">
        <f t="shared" ref="A80:M80" si="2">SUM(A61:A79)</f>
        <v>34700</v>
      </c>
      <c r="B80" s="60">
        <f t="shared" si="2"/>
        <v>424419332.86000007</v>
      </c>
      <c r="C80" s="60">
        <f t="shared" si="2"/>
        <v>429823036.78000009</v>
      </c>
      <c r="D80" s="60">
        <f t="shared" si="2"/>
        <v>429823036.78000009</v>
      </c>
      <c r="E80" s="60">
        <f t="shared" si="2"/>
        <v>424361103</v>
      </c>
      <c r="F80" s="60">
        <f t="shared" si="2"/>
        <v>424138603.00000006</v>
      </c>
      <c r="G80" s="60">
        <f t="shared" si="2"/>
        <v>424140742.00000006</v>
      </c>
      <c r="H80" s="60">
        <f t="shared" si="2"/>
        <v>424508004.90000004</v>
      </c>
      <c r="I80" s="60">
        <f t="shared" si="2"/>
        <v>424661951.97999996</v>
      </c>
      <c r="J80" s="60">
        <f t="shared" si="2"/>
        <v>424661951.97999996</v>
      </c>
      <c r="K80" s="60">
        <f t="shared" si="2"/>
        <v>424626951.98000002</v>
      </c>
      <c r="L80" s="60">
        <f t="shared" si="2"/>
        <v>424621951.98000008</v>
      </c>
      <c r="M80" s="60">
        <f t="shared" si="2"/>
        <v>424621951.98000008</v>
      </c>
      <c r="N80" s="60">
        <f>SUM(N61:N79)</f>
        <v>424917972.89000005</v>
      </c>
      <c r="O80" s="20">
        <f>AVERAGE(B80:N80)</f>
        <v>425332814.77769244</v>
      </c>
    </row>
    <row r="81" spans="1:14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>
      <c r="A82" s="3" t="s">
        <v>528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>
      <c r="A83" t="s">
        <v>175</v>
      </c>
      <c r="B83" s="9">
        <v>1988509.0899999999</v>
      </c>
      <c r="C83" s="9">
        <v>1988509.0899999999</v>
      </c>
      <c r="D83" s="9">
        <v>1988509.0899999999</v>
      </c>
      <c r="E83" s="9">
        <v>1988509.0899999999</v>
      </c>
      <c r="F83" s="9">
        <v>1988509.0899999999</v>
      </c>
      <c r="G83" s="9">
        <v>1988509.0899999999</v>
      </c>
      <c r="H83" s="9">
        <v>1988509.0899999999</v>
      </c>
      <c r="I83" s="9">
        <v>1988509.0899999999</v>
      </c>
      <c r="J83" s="9">
        <v>1988509.0899999999</v>
      </c>
      <c r="K83" s="9">
        <v>1988509.0899999999</v>
      </c>
      <c r="L83" s="9">
        <v>3070171.17</v>
      </c>
      <c r="M83" s="9">
        <v>3077804.15</v>
      </c>
      <c r="N83" s="9">
        <v>3141866.65</v>
      </c>
    </row>
    <row r="84" spans="1:14">
      <c r="A84" t="s">
        <v>176</v>
      </c>
      <c r="B84" s="9">
        <v>4313014.6500000004</v>
      </c>
      <c r="C84" s="9">
        <v>4313014.6500000004</v>
      </c>
      <c r="D84" s="9">
        <v>4313014.6500000004</v>
      </c>
      <c r="E84" s="9">
        <v>4313014.6500000004</v>
      </c>
      <c r="F84" s="9">
        <v>4313014.6500000004</v>
      </c>
      <c r="G84" s="9">
        <v>4313014.6500000004</v>
      </c>
      <c r="H84" s="9">
        <v>4313014.6500000004</v>
      </c>
      <c r="I84" s="9">
        <v>4313014.6500000004</v>
      </c>
      <c r="J84" s="9">
        <v>4313014.6500000004</v>
      </c>
      <c r="K84" s="9">
        <v>4313014.6500000004</v>
      </c>
      <c r="L84" s="9">
        <v>4313014.6500000004</v>
      </c>
      <c r="M84" s="9">
        <v>4313014.6500000004</v>
      </c>
      <c r="N84" s="9">
        <v>4313014.6500000004</v>
      </c>
    </row>
    <row r="85" spans="1:14">
      <c r="A85" t="s">
        <v>177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94034.55</v>
      </c>
    </row>
    <row r="86" spans="1:14">
      <c r="A86" t="s">
        <v>178</v>
      </c>
      <c r="B86" s="9">
        <v>10463520.74</v>
      </c>
      <c r="C86" s="9">
        <v>10463520.74</v>
      </c>
      <c r="D86" s="9">
        <v>10463520.74</v>
      </c>
      <c r="E86" s="9">
        <v>10463520.74</v>
      </c>
      <c r="F86" s="9">
        <v>10463520.74</v>
      </c>
      <c r="G86" s="9">
        <v>10463520.74</v>
      </c>
      <c r="H86" s="9">
        <v>10463520.74</v>
      </c>
      <c r="I86" s="9">
        <v>10463520.74</v>
      </c>
      <c r="J86" s="9">
        <v>10463520.74</v>
      </c>
      <c r="K86" s="9">
        <v>10463520.74</v>
      </c>
      <c r="L86" s="9">
        <v>10463520.74</v>
      </c>
      <c r="M86" s="9">
        <v>10463520.74</v>
      </c>
      <c r="N86" s="9">
        <v>10463520.74</v>
      </c>
    </row>
    <row r="87" spans="1:14">
      <c r="A87" t="s">
        <v>179</v>
      </c>
      <c r="B87" s="9">
        <v>274154.33</v>
      </c>
      <c r="C87" s="9">
        <v>274154.33</v>
      </c>
      <c r="D87" s="9">
        <v>274154.33</v>
      </c>
      <c r="E87" s="9">
        <v>274154.33</v>
      </c>
      <c r="F87" s="9">
        <v>274154.33</v>
      </c>
      <c r="G87" s="9">
        <v>274154.33</v>
      </c>
      <c r="H87" s="9">
        <v>274154.33</v>
      </c>
      <c r="I87" s="9">
        <v>274154.33</v>
      </c>
      <c r="J87" s="9">
        <v>274154.33</v>
      </c>
      <c r="K87" s="9">
        <v>274154.33</v>
      </c>
      <c r="L87" s="9">
        <v>274154.33</v>
      </c>
      <c r="M87" s="9">
        <v>296854.7</v>
      </c>
      <c r="N87" s="9">
        <v>653327.91</v>
      </c>
    </row>
    <row r="88" spans="1:14">
      <c r="A88" t="s">
        <v>180</v>
      </c>
      <c r="B88" s="9">
        <v>220613.03</v>
      </c>
      <c r="C88" s="9">
        <v>220613.03</v>
      </c>
      <c r="D88" s="9">
        <v>220613.03</v>
      </c>
      <c r="E88" s="9">
        <v>220613.03</v>
      </c>
      <c r="F88" s="9">
        <v>220613.03</v>
      </c>
      <c r="G88" s="9">
        <v>220613.03</v>
      </c>
      <c r="H88" s="9">
        <v>220613.03</v>
      </c>
      <c r="I88" s="9">
        <v>220613.03</v>
      </c>
      <c r="J88" s="9">
        <v>220613.03</v>
      </c>
      <c r="K88" s="9">
        <v>220613.03</v>
      </c>
      <c r="L88" s="9">
        <v>220613.03</v>
      </c>
      <c r="M88" s="9">
        <v>220613.03</v>
      </c>
      <c r="N88" s="9">
        <v>220613.03</v>
      </c>
    </row>
    <row r="89" spans="1:14">
      <c r="A89" t="s">
        <v>181</v>
      </c>
      <c r="B89" s="71">
        <f>102011362.1+'Pending Retirements'!B3</f>
        <v>101946383.69</v>
      </c>
      <c r="C89" s="9">
        <v>101649948.44</v>
      </c>
      <c r="D89" s="9">
        <v>101600158.00999999</v>
      </c>
      <c r="E89" s="63">
        <v>101664297.37</v>
      </c>
      <c r="F89" s="9">
        <v>104552304.84</v>
      </c>
      <c r="G89" s="9">
        <v>104726856.59</v>
      </c>
      <c r="H89" s="71">
        <f>104761298.84+'Pending Retirements'!D3</f>
        <v>104681056</v>
      </c>
      <c r="I89" s="9">
        <v>104862786.79000001</v>
      </c>
      <c r="J89" s="9">
        <v>104795669.13</v>
      </c>
      <c r="K89" s="71">
        <f>104986415.09+'Pending Retirements'!E3</f>
        <v>104906172.25</v>
      </c>
      <c r="L89" s="9">
        <v>104987375.42</v>
      </c>
      <c r="M89" s="9">
        <v>107589717.69</v>
      </c>
      <c r="N89" s="71">
        <f>107331205.64+'Pending Retirements'!F3</f>
        <v>107229265.45999999</v>
      </c>
    </row>
    <row r="90" spans="1:14">
      <c r="A90" t="s">
        <v>182</v>
      </c>
      <c r="B90" s="63">
        <v>8266282.3899999997</v>
      </c>
      <c r="C90" s="63">
        <v>8243520.1799999997</v>
      </c>
      <c r="D90" s="63">
        <v>8243520.1799999997</v>
      </c>
      <c r="E90" s="63">
        <v>8243520.1799999997</v>
      </c>
      <c r="F90" s="63">
        <v>8243520.1799999997</v>
      </c>
      <c r="G90" s="63">
        <v>8416509.629999999</v>
      </c>
      <c r="H90" s="63">
        <v>8429882.2199999988</v>
      </c>
      <c r="I90" s="63">
        <v>8428135.5999999996</v>
      </c>
      <c r="J90" s="63">
        <v>8428135.5999999996</v>
      </c>
      <c r="K90" s="63">
        <v>8243520.1799999997</v>
      </c>
      <c r="L90" s="63">
        <v>8243520.1799999997</v>
      </c>
      <c r="M90" s="9">
        <v>8243520.1799999997</v>
      </c>
      <c r="N90" s="71">
        <f>8471871.85+'Pending Retirements'!F4</f>
        <v>8450006.2999999989</v>
      </c>
    </row>
    <row r="91" spans="1:14">
      <c r="A91" t="s">
        <v>183</v>
      </c>
      <c r="B91" s="9">
        <v>4227063.49</v>
      </c>
      <c r="C91" s="9">
        <v>4227063.49</v>
      </c>
      <c r="D91" s="9">
        <v>4227063.49</v>
      </c>
      <c r="E91" s="9">
        <v>4227063.49</v>
      </c>
      <c r="F91" s="9">
        <v>4227063.49</v>
      </c>
      <c r="G91" s="9">
        <v>4227063.49</v>
      </c>
      <c r="H91" s="9">
        <v>4227063.49</v>
      </c>
      <c r="I91" s="9">
        <v>4227063.49</v>
      </c>
      <c r="J91" s="9">
        <v>4227063.49</v>
      </c>
      <c r="K91" s="9">
        <v>4227063.49</v>
      </c>
      <c r="L91" s="9">
        <v>4227063.49</v>
      </c>
      <c r="M91" s="9">
        <v>4227063.49</v>
      </c>
      <c r="N91" s="9">
        <v>3864601.38</v>
      </c>
    </row>
    <row r="92" spans="1:14">
      <c r="A92" t="s">
        <v>184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</row>
    <row r="93" spans="1:14">
      <c r="A93" t="s">
        <v>185</v>
      </c>
      <c r="B93" s="71">
        <f>56476095.29+'Pending Retirements'!B5</f>
        <v>55997380.93</v>
      </c>
      <c r="C93" s="9">
        <v>55890759.590000004</v>
      </c>
      <c r="D93" s="9">
        <v>55931448.68</v>
      </c>
      <c r="E93" s="9">
        <v>55960801.229999997</v>
      </c>
      <c r="F93" s="9">
        <v>64915159.629999995</v>
      </c>
      <c r="G93" s="9">
        <v>65202842.200000003</v>
      </c>
      <c r="H93" s="71">
        <f>66093889.32+'Pending Retirements'!D5</f>
        <v>65806356.039999999</v>
      </c>
      <c r="I93" s="9">
        <v>66167727.599999994</v>
      </c>
      <c r="J93" s="9">
        <v>66180283.509999998</v>
      </c>
      <c r="K93" s="71">
        <f>66152818.31+'Pending Retirements'!E5</f>
        <v>65865285.030000001</v>
      </c>
      <c r="L93" s="9">
        <v>66155838.280000001</v>
      </c>
      <c r="M93" s="9">
        <v>65766320.460000001</v>
      </c>
      <c r="N93" s="71">
        <f>66425899.35+'Pending Retirements'!F5</f>
        <v>66425827.800000004</v>
      </c>
    </row>
    <row r="94" spans="1:14">
      <c r="A94" t="s">
        <v>186</v>
      </c>
      <c r="B94" s="71">
        <f>54606629.4+'Pending Retirements'!B6</f>
        <v>54590516.990000002</v>
      </c>
      <c r="C94" s="9">
        <v>54641574.780000001</v>
      </c>
      <c r="D94" s="9">
        <v>54643054.32</v>
      </c>
      <c r="E94" s="9">
        <v>54643982.439999998</v>
      </c>
      <c r="F94" s="9">
        <v>59122490.700000003</v>
      </c>
      <c r="G94" s="9">
        <v>59167189.829999998</v>
      </c>
      <c r="H94" s="71">
        <f>59613204.26+'Pending Retirements'!D6</f>
        <v>59466536.960000001</v>
      </c>
      <c r="I94" s="9">
        <v>59650282.689999998</v>
      </c>
      <c r="J94" s="9">
        <v>59721273.100000001</v>
      </c>
      <c r="K94" s="71">
        <f>59707540.5+'Pending Retirements'!E6</f>
        <v>59560873.200000003</v>
      </c>
      <c r="L94" s="9">
        <v>59709760.390000001</v>
      </c>
      <c r="M94" s="9">
        <v>59515001.490000002</v>
      </c>
      <c r="N94" s="71">
        <f>59471288.38+'Pending Retirements'!F6</f>
        <v>59447884.440000005</v>
      </c>
    </row>
    <row r="95" spans="1:14">
      <c r="A95" t="s">
        <v>187</v>
      </c>
      <c r="B95" s="9">
        <v>0</v>
      </c>
      <c r="C95" s="9">
        <v>0</v>
      </c>
      <c r="D95" s="9">
        <v>0</v>
      </c>
      <c r="E95" s="9">
        <v>4563.5</v>
      </c>
      <c r="F95" s="9">
        <v>4561.8900000000003</v>
      </c>
      <c r="G95" s="9">
        <v>4561.8900000000003</v>
      </c>
      <c r="H95" s="9">
        <v>4561.8900000000003</v>
      </c>
      <c r="I95" s="9">
        <v>4561.8900000000003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</row>
    <row r="96" spans="1:14">
      <c r="A96" t="s">
        <v>188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</row>
    <row r="97" spans="1:15">
      <c r="A97" s="19" t="s">
        <v>530</v>
      </c>
      <c r="B97" s="60">
        <f>SUM(B83:B96)</f>
        <v>242287439.33000001</v>
      </c>
      <c r="C97" s="60">
        <f t="shared" ref="C97:N97" si="3">SUM(C83:C96)</f>
        <v>241912678.32000002</v>
      </c>
      <c r="D97" s="60">
        <f t="shared" si="3"/>
        <v>241905056.51999998</v>
      </c>
      <c r="E97" s="60">
        <f t="shared" si="3"/>
        <v>242004040.05000001</v>
      </c>
      <c r="F97" s="60">
        <f t="shared" si="3"/>
        <v>258324912.56999999</v>
      </c>
      <c r="G97" s="60">
        <f t="shared" si="3"/>
        <v>259004835.46999997</v>
      </c>
      <c r="H97" s="60">
        <f t="shared" si="3"/>
        <v>259875268.44</v>
      </c>
      <c r="I97" s="60">
        <f t="shared" si="3"/>
        <v>260600369.89999998</v>
      </c>
      <c r="J97" s="60">
        <f t="shared" si="3"/>
        <v>260612236.66999999</v>
      </c>
      <c r="K97" s="60">
        <f t="shared" si="3"/>
        <v>260062725.99000001</v>
      </c>
      <c r="L97" s="60">
        <f t="shared" si="3"/>
        <v>261665031.68000001</v>
      </c>
      <c r="M97" s="60">
        <f t="shared" si="3"/>
        <v>263713430.58000001</v>
      </c>
      <c r="N97" s="60">
        <f t="shared" si="3"/>
        <v>264303962.91</v>
      </c>
      <c r="O97" s="20">
        <f>AVERAGE(B97:N97)</f>
        <v>255097845.26384613</v>
      </c>
    </row>
    <row r="100" spans="1:15">
      <c r="A100" s="2" t="s">
        <v>533</v>
      </c>
      <c r="B100" s="20">
        <f t="shared" ref="B100:N100" si="4">SUM(B24,B58,B80,B97)</f>
        <v>1089016720.27</v>
      </c>
      <c r="C100" s="20">
        <f t="shared" si="4"/>
        <v>1097481263.5599999</v>
      </c>
      <c r="D100" s="20">
        <f t="shared" si="4"/>
        <v>1100290133.4000001</v>
      </c>
      <c r="E100" s="20">
        <f t="shared" si="4"/>
        <v>1095341989.3099999</v>
      </c>
      <c r="F100" s="20">
        <f t="shared" si="4"/>
        <v>1117607104.75</v>
      </c>
      <c r="G100" s="20">
        <f t="shared" si="4"/>
        <v>1120302608.8800001</v>
      </c>
      <c r="H100" s="20">
        <f t="shared" si="4"/>
        <v>1121593885.5999999</v>
      </c>
      <c r="I100" s="20">
        <f t="shared" si="4"/>
        <v>1126152858.73</v>
      </c>
      <c r="J100" s="20">
        <f t="shared" si="4"/>
        <v>1127407726.5599999</v>
      </c>
      <c r="K100" s="20">
        <f t="shared" si="4"/>
        <v>1127035087.46</v>
      </c>
      <c r="L100" s="20">
        <f t="shared" si="4"/>
        <v>1131428207</v>
      </c>
      <c r="M100" s="20">
        <f t="shared" si="4"/>
        <v>1139194004.5900002</v>
      </c>
      <c r="N100" s="20">
        <f t="shared" si="4"/>
        <v>1144586776.9800003</v>
      </c>
      <c r="O100" s="20">
        <f>AVERAGE(B100:N100)</f>
        <v>1118264489.7761538</v>
      </c>
    </row>
    <row r="103" spans="1:15">
      <c r="A103" t="s">
        <v>252</v>
      </c>
      <c r="B103" s="67">
        <f>+'Balance Sheet - Jan - Dec 2021'!M11</f>
        <v>1035727823</v>
      </c>
      <c r="C103" s="67">
        <f>+'Balance Sheet - Jan - Dec 2022'!B10</f>
        <v>1046032071</v>
      </c>
      <c r="D103" s="67">
        <f>+'Balance Sheet - Jan - Dec 2022'!C10</f>
        <v>1048504745</v>
      </c>
      <c r="E103" s="67">
        <f>+'Balance Sheet - Jan - Dec 2022'!D10</f>
        <v>1045049944</v>
      </c>
      <c r="F103" s="67">
        <f>+'Balance Sheet - Jan - Dec 2022'!E10</f>
        <v>1057190490</v>
      </c>
      <c r="G103" s="67">
        <f>+'Balance Sheet - Jan - Dec 2022'!F10</f>
        <v>1058982612</v>
      </c>
      <c r="H103" s="67">
        <f>+'Balance Sheet - Jan - Dec 2022'!G10</f>
        <v>1059113849</v>
      </c>
      <c r="I103" s="67">
        <f>+'Balance Sheet - Jan - Dec 2022'!H10</f>
        <v>1064775941</v>
      </c>
      <c r="J103" s="67">
        <f>+'Balance Sheet - Jan - Dec 2022'!I10</f>
        <v>1066343907</v>
      </c>
      <c r="K103" s="67">
        <f>+'Balance Sheet - Jan - Dec 2022'!J10</f>
        <v>1066614577</v>
      </c>
      <c r="L103" s="67">
        <f>+'Balance Sheet - Jan - Dec 2022'!K10</f>
        <v>1068874684</v>
      </c>
      <c r="M103" s="67">
        <f>+'Balance Sheet - Jan - Dec 2022'!L10</f>
        <v>1072012943</v>
      </c>
      <c r="N103" s="67">
        <f>+'Balance Sheet - Jan - Dec 2022'!M10</f>
        <v>1101795192</v>
      </c>
    </row>
    <row r="104" spans="1:15">
      <c r="A104" t="s">
        <v>253</v>
      </c>
      <c r="B104" s="67">
        <f>+'Balance Sheet - Jan - Dec 2021'!M12</f>
        <v>529900</v>
      </c>
      <c r="C104" s="67">
        <f>+'Balance Sheet - Jan - Dec 2022'!B11</f>
        <v>529900</v>
      </c>
      <c r="D104" s="67">
        <f>+'Balance Sheet - Jan - Dec 2022'!C11</f>
        <v>529900</v>
      </c>
      <c r="E104" s="67">
        <f>+'Balance Sheet - Jan - Dec 2022'!D11</f>
        <v>529900</v>
      </c>
      <c r="F104" s="67">
        <f>+'Balance Sheet - Jan - Dec 2022'!E11</f>
        <v>529900</v>
      </c>
      <c r="G104" s="67">
        <f>+'Balance Sheet - Jan - Dec 2022'!F11</f>
        <v>529900</v>
      </c>
      <c r="H104" s="67">
        <f>+'Balance Sheet - Jan - Dec 2022'!G11</f>
        <v>529900</v>
      </c>
      <c r="I104" s="67">
        <f>+'Balance Sheet - Jan - Dec 2022'!H11</f>
        <v>529900</v>
      </c>
      <c r="J104" s="67">
        <f>+'Balance Sheet - Jan - Dec 2022'!I11</f>
        <v>529900</v>
      </c>
      <c r="K104" s="67">
        <f>+'Balance Sheet - Jan - Dec 2022'!J11</f>
        <v>529900</v>
      </c>
      <c r="L104" s="67">
        <f>+'Balance Sheet - Jan - Dec 2022'!K11</f>
        <v>529900</v>
      </c>
      <c r="M104" s="67">
        <f>+'Balance Sheet - Jan - Dec 2022'!L11</f>
        <v>529900</v>
      </c>
      <c r="N104" s="67">
        <f>+'Balance Sheet - Jan - Dec 2022'!M11</f>
        <v>529900</v>
      </c>
    </row>
    <row r="105" spans="1:15">
      <c r="A105" s="68" t="s">
        <v>257</v>
      </c>
      <c r="B105" s="69">
        <f>+'Balance Sheet - Jan - Dec 2021'!M16</f>
        <v>52758997</v>
      </c>
      <c r="C105" s="69">
        <f>+'Balance Sheet - Jan - Dec 2022'!B15</f>
        <v>50919292</v>
      </c>
      <c r="D105" s="69">
        <f>+'Balance Sheet - Jan - Dec 2022'!C15</f>
        <v>51255488</v>
      </c>
      <c r="E105" s="69">
        <f>+'Balance Sheet - Jan - Dec 2022'!D15</f>
        <v>49762145</v>
      </c>
      <c r="F105" s="69">
        <f>+'Balance Sheet - Jan - Dec 2022'!E15</f>
        <v>59886715</v>
      </c>
      <c r="G105" s="69">
        <f>+'Balance Sheet - Jan - Dec 2022'!F15</f>
        <v>60790096</v>
      </c>
      <c r="H105" s="69">
        <f>+'Balance Sheet - Jan - Dec 2022'!G15</f>
        <v>61950136</v>
      </c>
      <c r="I105" s="69">
        <f>+'Balance Sheet - Jan - Dec 2022'!H15</f>
        <v>60847017</v>
      </c>
      <c r="J105" s="69">
        <f>+'Balance Sheet - Jan - Dec 2022'!I15</f>
        <v>60534186</v>
      </c>
      <c r="K105" s="69">
        <f>+'Balance Sheet - Jan - Dec 2022'!J15</f>
        <v>59890610</v>
      </c>
      <c r="L105" s="69">
        <f>+'Balance Sheet - Jan - Dec 2022'!K15</f>
        <v>62023622</v>
      </c>
      <c r="M105" s="69">
        <f>+'Balance Sheet - Jan - Dec 2022'!L15</f>
        <v>66651161</v>
      </c>
      <c r="N105" s="69">
        <f>+'Balance Sheet - Jan - Dec 2022'!M15</f>
        <v>42261684</v>
      </c>
    </row>
    <row r="106" spans="1:15">
      <c r="B106" s="100">
        <f>+B103+B104+B105</f>
        <v>1089016720</v>
      </c>
      <c r="C106" s="100">
        <f t="shared" ref="C106:N106" si="5">+C103+C104+C105</f>
        <v>1097481263</v>
      </c>
      <c r="D106" s="100">
        <f t="shared" si="5"/>
        <v>1100290133</v>
      </c>
      <c r="E106" s="100">
        <f t="shared" si="5"/>
        <v>1095341989</v>
      </c>
      <c r="F106" s="100">
        <f t="shared" si="5"/>
        <v>1117607105</v>
      </c>
      <c r="G106" s="100">
        <f t="shared" si="5"/>
        <v>1120302608</v>
      </c>
      <c r="H106" s="100">
        <f t="shared" si="5"/>
        <v>1121593885</v>
      </c>
      <c r="I106" s="100">
        <f t="shared" si="5"/>
        <v>1126152858</v>
      </c>
      <c r="J106" s="100">
        <f t="shared" si="5"/>
        <v>1127407993</v>
      </c>
      <c r="K106" s="100">
        <f t="shared" si="5"/>
        <v>1127035087</v>
      </c>
      <c r="L106" s="100">
        <f t="shared" si="5"/>
        <v>1131428206</v>
      </c>
      <c r="M106" s="100">
        <f t="shared" si="5"/>
        <v>1139194004</v>
      </c>
      <c r="N106" s="100">
        <f t="shared" si="5"/>
        <v>1144586776</v>
      </c>
    </row>
    <row r="108" spans="1:15">
      <c r="A108" s="2" t="s">
        <v>535</v>
      </c>
      <c r="B108" s="70">
        <f>+B100-B106</f>
        <v>0.26999998092651367</v>
      </c>
      <c r="C108" s="70">
        <f t="shared" ref="C108:N108" si="6">+C100-C106</f>
        <v>0.55999994277954102</v>
      </c>
      <c r="D108" s="70">
        <f t="shared" si="6"/>
        <v>0.40000009536743164</v>
      </c>
      <c r="E108" s="70">
        <f t="shared" si="6"/>
        <v>0.30999994277954102</v>
      </c>
      <c r="F108" s="70">
        <f t="shared" si="6"/>
        <v>-0.25</v>
      </c>
      <c r="G108" s="70">
        <f t="shared" si="6"/>
        <v>0.88000011444091797</v>
      </c>
      <c r="H108" s="70">
        <f t="shared" si="6"/>
        <v>0.59999990463256836</v>
      </c>
      <c r="I108" s="70">
        <f t="shared" si="6"/>
        <v>0.73000001907348633</v>
      </c>
      <c r="J108" s="70">
        <f t="shared" si="6"/>
        <v>-266.44000005722046</v>
      </c>
      <c r="K108" s="70">
        <f t="shared" si="6"/>
        <v>0.46000003814697266</v>
      </c>
      <c r="L108" s="70">
        <f t="shared" si="6"/>
        <v>1</v>
      </c>
      <c r="M108" s="70">
        <f t="shared" si="6"/>
        <v>0.59000015258789063</v>
      </c>
      <c r="N108" s="70">
        <f t="shared" si="6"/>
        <v>0.98000025749206543</v>
      </c>
    </row>
    <row r="110" spans="1:15">
      <c r="A110" t="s">
        <v>259</v>
      </c>
      <c r="B110" s="9"/>
      <c r="C110" s="9">
        <f>+'Balance Sheet - Jan - Dec 2022'!B17</f>
        <v>0</v>
      </c>
      <c r="D110" s="9">
        <f>+'Balance Sheet - Jan - Dec 2022'!C17</f>
        <v>0</v>
      </c>
      <c r="E110" s="9">
        <f>+'Balance Sheet - Jan - Dec 2022'!D17</f>
        <v>218054</v>
      </c>
      <c r="F110" s="9">
        <f>+'Balance Sheet - Jan - Dec 2022'!E17</f>
        <v>156348</v>
      </c>
      <c r="G110" s="9">
        <f>+'Balance Sheet - Jan - Dec 2022'!F17</f>
        <v>156348</v>
      </c>
      <c r="H110" s="9">
        <f>+'Balance Sheet - Jan - Dec 2022'!G17</f>
        <v>156198</v>
      </c>
      <c r="I110" s="9">
        <f>+'Balance Sheet - Jan - Dec 2022'!H17</f>
        <v>156198</v>
      </c>
      <c r="J110" s="9">
        <f>+'Balance Sheet - Jan - Dec 2022'!I17</f>
        <v>171555</v>
      </c>
      <c r="K110" s="9">
        <f>+'Balance Sheet - Jan - Dec 2022'!J17</f>
        <v>190241</v>
      </c>
      <c r="L110" s="9">
        <f>+'Balance Sheet - Jan - Dec 2022'!K17</f>
        <v>191492</v>
      </c>
      <c r="M110" s="9">
        <f>+'Balance Sheet - Jan - Dec 2022'!L17</f>
        <v>251069</v>
      </c>
      <c r="N110" s="9">
        <f>+'Balance Sheet - Jan - Dec 2022'!M17</f>
        <v>267217</v>
      </c>
    </row>
    <row r="111" spans="1:15">
      <c r="A111" t="s">
        <v>260</v>
      </c>
      <c r="B111" s="9">
        <f>+'Balance Sheet - Jan - Dec 2021'!M18</f>
        <v>22892222</v>
      </c>
      <c r="C111" s="9">
        <f>+'Balance Sheet - Jan - Dec 2022'!B18</f>
        <v>22911759</v>
      </c>
      <c r="D111" s="9">
        <f>+'Balance Sheet - Jan - Dec 2022'!C18</f>
        <v>22687655</v>
      </c>
      <c r="E111" s="9">
        <f>+'Balance Sheet - Jan - Dec 2022'!D18</f>
        <v>22062653</v>
      </c>
      <c r="F111" s="9">
        <f>+'Balance Sheet - Jan - Dec 2022'!E18</f>
        <v>22041424</v>
      </c>
      <c r="G111" s="9">
        <f>+'Balance Sheet - Jan - Dec 2022'!F18</f>
        <v>22071596</v>
      </c>
      <c r="H111" s="9">
        <f>+'Balance Sheet - Jan - Dec 2022'!G18</f>
        <v>22212955</v>
      </c>
      <c r="I111" s="9">
        <f>+'Balance Sheet - Jan - Dec 2022'!H18</f>
        <v>22859010</v>
      </c>
      <c r="J111" s="9">
        <f>+'Balance Sheet - Jan - Dec 2022'!I18</f>
        <v>23083046</v>
      </c>
      <c r="K111" s="9">
        <f>+'Balance Sheet - Jan - Dec 2022'!J18</f>
        <v>23085671</v>
      </c>
      <c r="L111" s="9">
        <f>+'Balance Sheet - Jan - Dec 2022'!K18</f>
        <v>22812325</v>
      </c>
      <c r="M111" s="9">
        <f>+'Balance Sheet - Jan - Dec 2022'!L18</f>
        <v>22821284</v>
      </c>
      <c r="N111" s="9">
        <f>+'Balance Sheet - Jan - Dec 2022'!M18</f>
        <v>22478058</v>
      </c>
    </row>
    <row r="112" spans="1:15">
      <c r="A112" s="19" t="s">
        <v>572</v>
      </c>
      <c r="B112" s="60">
        <f>SUM(B110:B111)</f>
        <v>22892222</v>
      </c>
      <c r="C112" s="60">
        <f t="shared" ref="C112:N112" si="7">SUM(C110:C111)</f>
        <v>22911759</v>
      </c>
      <c r="D112" s="60">
        <f t="shared" si="7"/>
        <v>22687655</v>
      </c>
      <c r="E112" s="60">
        <f t="shared" si="7"/>
        <v>22280707</v>
      </c>
      <c r="F112" s="60">
        <f t="shared" si="7"/>
        <v>22197772</v>
      </c>
      <c r="G112" s="60">
        <f t="shared" si="7"/>
        <v>22227944</v>
      </c>
      <c r="H112" s="60">
        <f t="shared" si="7"/>
        <v>22369153</v>
      </c>
      <c r="I112" s="60">
        <f t="shared" si="7"/>
        <v>23015208</v>
      </c>
      <c r="J112" s="60">
        <f t="shared" si="7"/>
        <v>23254601</v>
      </c>
      <c r="K112" s="60">
        <f t="shared" si="7"/>
        <v>23275912</v>
      </c>
      <c r="L112" s="60">
        <f t="shared" si="7"/>
        <v>23003817</v>
      </c>
      <c r="M112" s="60">
        <f t="shared" si="7"/>
        <v>23072353</v>
      </c>
      <c r="N112" s="60">
        <f t="shared" si="7"/>
        <v>22745275</v>
      </c>
      <c r="O112" s="20">
        <f>AVERAGE(B112:N112)</f>
        <v>22764182.923076924</v>
      </c>
    </row>
    <row r="113" spans="1:11" ht="13.5" thickBot="1"/>
    <row r="114" spans="1:11" ht="25.5">
      <c r="A114" s="72" t="s">
        <v>538</v>
      </c>
      <c r="B114" s="73" t="s">
        <v>536</v>
      </c>
      <c r="C114" s="73" t="s">
        <v>528</v>
      </c>
      <c r="D114" s="73" t="s">
        <v>525</v>
      </c>
      <c r="E114" s="73" t="s">
        <v>539</v>
      </c>
      <c r="F114" s="74" t="s">
        <v>540</v>
      </c>
      <c r="G114" s="73" t="s">
        <v>541</v>
      </c>
      <c r="H114" s="75" t="s">
        <v>542</v>
      </c>
    </row>
    <row r="115" spans="1:11">
      <c r="A115" s="76" t="s">
        <v>543</v>
      </c>
      <c r="B115" s="77" t="s">
        <v>544</v>
      </c>
      <c r="C115" s="77" t="s">
        <v>545</v>
      </c>
      <c r="D115" s="78" t="s">
        <v>546</v>
      </c>
      <c r="E115" s="78" t="s">
        <v>547</v>
      </c>
      <c r="F115" s="78" t="s">
        <v>548</v>
      </c>
      <c r="G115" s="78" t="s">
        <v>549</v>
      </c>
      <c r="H115" s="79" t="s">
        <v>550</v>
      </c>
    </row>
    <row r="116" spans="1:11" ht="38.25">
      <c r="A116" s="80" t="s">
        <v>551</v>
      </c>
      <c r="B116" s="78" t="s">
        <v>552</v>
      </c>
      <c r="C116" s="78" t="s">
        <v>553</v>
      </c>
      <c r="D116" s="78" t="s">
        <v>554</v>
      </c>
      <c r="E116" s="78" t="s">
        <v>555</v>
      </c>
      <c r="F116" s="78" t="s">
        <v>556</v>
      </c>
      <c r="G116" s="77" t="s">
        <v>557</v>
      </c>
      <c r="H116" s="81" t="s">
        <v>558</v>
      </c>
    </row>
    <row r="117" spans="1:11">
      <c r="A117" s="82" t="s">
        <v>559</v>
      </c>
      <c r="B117" s="83">
        <f>+B80</f>
        <v>424419332.86000007</v>
      </c>
      <c r="C117" s="83">
        <f>+B97</f>
        <v>242287439.33000001</v>
      </c>
      <c r="D117" s="83">
        <f>+B24</f>
        <v>383163465.91999996</v>
      </c>
      <c r="E117" s="83">
        <f>+B58</f>
        <v>39146482.159999996</v>
      </c>
      <c r="F117" s="83">
        <f>+B112</f>
        <v>22892222</v>
      </c>
      <c r="G117" s="83">
        <v>0</v>
      </c>
      <c r="H117" s="84">
        <v>0</v>
      </c>
      <c r="I117" s="9"/>
      <c r="J117" s="9"/>
      <c r="K117" s="9"/>
    </row>
    <row r="118" spans="1:11">
      <c r="A118" s="82" t="s">
        <v>560</v>
      </c>
      <c r="B118" s="83">
        <f>+C80</f>
        <v>429823036.78000009</v>
      </c>
      <c r="C118" s="83">
        <f>+C97</f>
        <v>241912678.32000002</v>
      </c>
      <c r="D118" s="83">
        <f>+C24</f>
        <v>384374412.01999998</v>
      </c>
      <c r="E118" s="83">
        <f>+C58</f>
        <v>41371136.439999998</v>
      </c>
      <c r="F118" s="83">
        <f>+C112</f>
        <v>22911759</v>
      </c>
      <c r="G118" s="83">
        <v>0</v>
      </c>
      <c r="H118" s="84">
        <v>0</v>
      </c>
      <c r="I118" s="9"/>
      <c r="J118" s="9"/>
      <c r="K118" s="9"/>
    </row>
    <row r="119" spans="1:11">
      <c r="A119" s="85" t="s">
        <v>561</v>
      </c>
      <c r="B119" s="83">
        <f>+D80</f>
        <v>429823036.78000009</v>
      </c>
      <c r="C119" s="83">
        <f>+D97</f>
        <v>241905056.51999998</v>
      </c>
      <c r="D119" s="83">
        <f>+D24</f>
        <v>386708122.97000003</v>
      </c>
      <c r="E119" s="83">
        <f>+D58</f>
        <v>41853917.130000003</v>
      </c>
      <c r="F119" s="83">
        <f>+D112</f>
        <v>22687655</v>
      </c>
      <c r="G119" s="83">
        <v>0</v>
      </c>
      <c r="H119" s="84">
        <v>0</v>
      </c>
      <c r="I119" s="9"/>
      <c r="J119" s="9"/>
      <c r="K119" s="9"/>
    </row>
    <row r="120" spans="1:11">
      <c r="A120" s="85" t="s">
        <v>562</v>
      </c>
      <c r="B120" s="83">
        <f>+E80</f>
        <v>424361103</v>
      </c>
      <c r="C120" s="83">
        <f>+E97</f>
        <v>242004040.05000001</v>
      </c>
      <c r="D120" s="83">
        <f>+E24</f>
        <v>387403220.57000005</v>
      </c>
      <c r="E120" s="83">
        <f>+E58</f>
        <v>41573625.689999998</v>
      </c>
      <c r="F120" s="83">
        <f>+E112</f>
        <v>22280707</v>
      </c>
      <c r="G120" s="83">
        <v>0</v>
      </c>
      <c r="H120" s="84">
        <v>0</v>
      </c>
      <c r="I120" s="9"/>
      <c r="J120" s="9"/>
      <c r="K120" s="194"/>
    </row>
    <row r="121" spans="1:11">
      <c r="A121" s="85" t="s">
        <v>563</v>
      </c>
      <c r="B121" s="83">
        <f>+F80</f>
        <v>424138603.00000006</v>
      </c>
      <c r="C121" s="83">
        <f>+F97</f>
        <v>258324912.56999999</v>
      </c>
      <c r="D121" s="83">
        <f>+F24</f>
        <v>393231605.05999988</v>
      </c>
      <c r="E121" s="83">
        <f>+F58</f>
        <v>41911984.119999997</v>
      </c>
      <c r="F121" s="83">
        <f>+F112</f>
        <v>22197772</v>
      </c>
      <c r="G121" s="83">
        <v>0</v>
      </c>
      <c r="H121" s="84">
        <v>0</v>
      </c>
      <c r="I121" s="9"/>
      <c r="J121" s="9"/>
      <c r="K121" s="194"/>
    </row>
    <row r="122" spans="1:11">
      <c r="A122" s="85" t="s">
        <v>142</v>
      </c>
      <c r="B122" s="83">
        <f>+G80</f>
        <v>424140742.00000006</v>
      </c>
      <c r="C122" s="83">
        <f>+G97</f>
        <v>259004835.46999997</v>
      </c>
      <c r="D122" s="83">
        <f>+G24</f>
        <v>395401081.97999996</v>
      </c>
      <c r="E122" s="83">
        <f>+G58</f>
        <v>41755949.43</v>
      </c>
      <c r="F122" s="83">
        <f>+G112</f>
        <v>22227944</v>
      </c>
      <c r="G122" s="83">
        <v>0</v>
      </c>
      <c r="H122" s="84">
        <v>0</v>
      </c>
      <c r="I122" s="9"/>
      <c r="J122" s="9"/>
      <c r="K122" s="9"/>
    </row>
    <row r="123" spans="1:11">
      <c r="A123" s="85" t="s">
        <v>564</v>
      </c>
      <c r="B123" s="83">
        <f>+H80</f>
        <v>424508004.90000004</v>
      </c>
      <c r="C123" s="83">
        <f>+H97</f>
        <v>259875268.44</v>
      </c>
      <c r="D123" s="83">
        <f>+H24</f>
        <v>395238175.33999991</v>
      </c>
      <c r="E123" s="83">
        <f>+H58</f>
        <v>41972436.920000002</v>
      </c>
      <c r="F123" s="83">
        <f>+H112</f>
        <v>22369153</v>
      </c>
      <c r="G123" s="83">
        <v>0</v>
      </c>
      <c r="H123" s="84">
        <v>0</v>
      </c>
      <c r="I123" s="9"/>
      <c r="J123" s="9"/>
      <c r="K123" s="9"/>
    </row>
    <row r="124" spans="1:11">
      <c r="A124" s="85" t="s">
        <v>565</v>
      </c>
      <c r="B124" s="83">
        <f>+I80</f>
        <v>424661951.97999996</v>
      </c>
      <c r="C124" s="83">
        <f>+I97</f>
        <v>260600369.89999998</v>
      </c>
      <c r="D124" s="83">
        <f>+I24</f>
        <v>397865764.21999997</v>
      </c>
      <c r="E124" s="83">
        <f>+I58</f>
        <v>43024772.629999995</v>
      </c>
      <c r="F124" s="83">
        <f>+I112</f>
        <v>23015208</v>
      </c>
      <c r="G124" s="83">
        <v>0</v>
      </c>
      <c r="H124" s="84">
        <v>0</v>
      </c>
      <c r="I124" s="9"/>
      <c r="J124" s="9"/>
      <c r="K124" s="9"/>
    </row>
    <row r="125" spans="1:11">
      <c r="A125" s="85" t="s">
        <v>566</v>
      </c>
      <c r="B125" s="83">
        <f>+J80</f>
        <v>424661951.97999996</v>
      </c>
      <c r="C125" s="83">
        <f>+J97</f>
        <v>260612236.66999999</v>
      </c>
      <c r="D125" s="83">
        <f>+J24</f>
        <v>398933295.36999995</v>
      </c>
      <c r="E125" s="83">
        <f>+J58</f>
        <v>43200242.540000007</v>
      </c>
      <c r="F125" s="83">
        <f>+J112</f>
        <v>23254601</v>
      </c>
      <c r="G125" s="83">
        <v>0</v>
      </c>
      <c r="H125" s="84">
        <v>0</v>
      </c>
      <c r="I125" s="9"/>
      <c r="J125" s="9"/>
      <c r="K125" s="9"/>
    </row>
    <row r="126" spans="1:11">
      <c r="A126" s="85" t="s">
        <v>567</v>
      </c>
      <c r="B126" s="83">
        <f>+K80</f>
        <v>424626951.98000002</v>
      </c>
      <c r="C126" s="83">
        <f>+K97</f>
        <v>260062725.99000001</v>
      </c>
      <c r="D126" s="83">
        <f>+K24</f>
        <v>398976585.50999999</v>
      </c>
      <c r="E126" s="83">
        <f>+K58</f>
        <v>43368823.980000012</v>
      </c>
      <c r="F126" s="83">
        <f>+K112</f>
        <v>23275912</v>
      </c>
      <c r="G126" s="83">
        <v>0</v>
      </c>
      <c r="H126" s="84">
        <v>0</v>
      </c>
      <c r="I126" s="9"/>
      <c r="J126" s="9"/>
      <c r="K126" s="9"/>
    </row>
    <row r="127" spans="1:11">
      <c r="A127" s="85" t="s">
        <v>568</v>
      </c>
      <c r="B127" s="83">
        <f>+L80</f>
        <v>424621951.98000008</v>
      </c>
      <c r="C127" s="83">
        <f>+L97</f>
        <v>261665031.68000001</v>
      </c>
      <c r="D127" s="83">
        <f>+L24</f>
        <v>401477383.65999991</v>
      </c>
      <c r="E127" s="83">
        <f>+L58</f>
        <v>43663839.68</v>
      </c>
      <c r="F127" s="83">
        <f>+L112</f>
        <v>23003817</v>
      </c>
      <c r="G127" s="83">
        <v>0</v>
      </c>
      <c r="H127" s="84">
        <v>0</v>
      </c>
      <c r="I127" s="9"/>
      <c r="J127" s="9"/>
      <c r="K127" s="9"/>
    </row>
    <row r="128" spans="1:11">
      <c r="A128" s="85" t="s">
        <v>569</v>
      </c>
      <c r="B128" s="83">
        <f>+M80</f>
        <v>424621951.98000008</v>
      </c>
      <c r="C128" s="83">
        <f>+M97</f>
        <v>263713430.58000001</v>
      </c>
      <c r="D128" s="83">
        <f>+M24</f>
        <v>407143563.68000007</v>
      </c>
      <c r="E128" s="83">
        <f>+M58</f>
        <v>43715058.350000001</v>
      </c>
      <c r="F128" s="83">
        <f>+M112</f>
        <v>23072353</v>
      </c>
      <c r="G128" s="83">
        <v>0</v>
      </c>
      <c r="H128" s="84">
        <v>0</v>
      </c>
      <c r="I128" s="9"/>
      <c r="J128" s="9"/>
      <c r="K128" s="9"/>
    </row>
    <row r="129" spans="1:11">
      <c r="A129" s="85" t="s">
        <v>570</v>
      </c>
      <c r="B129" s="83">
        <f>+N80</f>
        <v>424917972.89000005</v>
      </c>
      <c r="C129" s="83">
        <f>+N97</f>
        <v>264303962.91</v>
      </c>
      <c r="D129" s="83">
        <f>+N24</f>
        <v>410978289.37000006</v>
      </c>
      <c r="E129" s="83">
        <f>+N58</f>
        <v>44386551.81000001</v>
      </c>
      <c r="F129" s="83">
        <f>+N112</f>
        <v>22745275</v>
      </c>
      <c r="G129" s="83">
        <v>0</v>
      </c>
      <c r="H129" s="84">
        <v>0</v>
      </c>
      <c r="I129" s="9"/>
      <c r="J129" s="9"/>
      <c r="K129" s="9"/>
    </row>
    <row r="130" spans="1:11" ht="13.5" thickBot="1">
      <c r="A130" s="86" t="s">
        <v>571</v>
      </c>
      <c r="B130" s="87">
        <f>SUM(B117:B129)/13</f>
        <v>425332814.77769244</v>
      </c>
      <c r="C130" s="87">
        <f>SUM(C117:C129)/13</f>
        <v>255097845.26384613</v>
      </c>
      <c r="D130" s="87">
        <f t="shared" ref="D130:H130" si="8">SUM(D117:D129)/13</f>
        <v>395453458.89769226</v>
      </c>
      <c r="E130" s="87">
        <f t="shared" si="8"/>
        <v>42380370.836923085</v>
      </c>
      <c r="F130" s="87">
        <f t="shared" si="8"/>
        <v>22764182.923076924</v>
      </c>
      <c r="G130" s="87">
        <f t="shared" si="8"/>
        <v>0</v>
      </c>
      <c r="H130" s="88">
        <f t="shared" si="8"/>
        <v>0</v>
      </c>
      <c r="I130" s="9"/>
      <c r="J130" s="9"/>
      <c r="K130" s="9"/>
    </row>
    <row r="131" spans="1:11" ht="13.5" thickBot="1">
      <c r="I131" s="9"/>
      <c r="J131" s="9"/>
      <c r="K131" s="9"/>
    </row>
    <row r="132" spans="1:11">
      <c r="A132" s="287" t="s">
        <v>529</v>
      </c>
      <c r="B132" s="275">
        <v>44896</v>
      </c>
      <c r="C132" s="276">
        <v>45261</v>
      </c>
      <c r="D132" s="101"/>
      <c r="E132" s="101"/>
      <c r="F132" s="101"/>
      <c r="I132" s="9"/>
      <c r="J132" s="9"/>
      <c r="K132" s="9"/>
    </row>
    <row r="133" spans="1:11">
      <c r="A133" s="277" t="s">
        <v>870</v>
      </c>
      <c r="B133" s="248">
        <v>1437121249</v>
      </c>
      <c r="C133" s="278">
        <v>1381787850</v>
      </c>
      <c r="D133" s="101"/>
      <c r="E133" s="101"/>
      <c r="F133" s="101"/>
      <c r="I133" s="9"/>
      <c r="J133" s="9"/>
      <c r="K133" s="9"/>
    </row>
    <row r="134" spans="1:11">
      <c r="A134" s="279" t="s">
        <v>851</v>
      </c>
      <c r="B134" s="246">
        <f>+-'A4-Rate Base'!E75</f>
        <v>-261441404</v>
      </c>
      <c r="C134" s="280">
        <f>+-'A4-Rate Base'!E63</f>
        <v>-261441404</v>
      </c>
      <c r="D134" s="101"/>
      <c r="E134" s="101"/>
      <c r="F134" s="101"/>
      <c r="I134" s="9"/>
      <c r="J134" s="9"/>
      <c r="K134" s="9"/>
    </row>
    <row r="135" spans="1:11">
      <c r="A135" s="279" t="s">
        <v>852</v>
      </c>
      <c r="B135" s="246">
        <f>-'A4-Rate Base'!G75</f>
        <v>-1151569</v>
      </c>
      <c r="C135" s="280">
        <f>-'A4-Rate Base'!G63</f>
        <v>-1241279</v>
      </c>
      <c r="D135" s="101"/>
      <c r="E135" s="101"/>
      <c r="F135" s="101"/>
      <c r="I135" s="101"/>
      <c r="J135" s="101"/>
      <c r="K135" s="9"/>
    </row>
    <row r="136" spans="1:11">
      <c r="A136" s="289" t="s">
        <v>853</v>
      </c>
      <c r="B136" s="103">
        <f>-'A4-Rate Base'!C75</f>
        <v>-7196224</v>
      </c>
      <c r="C136" s="281">
        <f>-'A4-Rate Base'!C63</f>
        <v>-7196224</v>
      </c>
      <c r="D136" s="101"/>
      <c r="E136" s="101"/>
      <c r="F136" s="101"/>
      <c r="I136" s="101"/>
      <c r="J136" s="101"/>
      <c r="K136" s="9"/>
    </row>
    <row r="137" spans="1:11">
      <c r="A137" s="282" t="s">
        <v>854</v>
      </c>
      <c r="B137" s="101">
        <f>SUM(B133:B136)</f>
        <v>1167332052</v>
      </c>
      <c r="C137" s="283">
        <f>SUM(C133:C136)</f>
        <v>1111908943</v>
      </c>
      <c r="D137" s="101"/>
      <c r="E137" s="101"/>
      <c r="F137" s="101"/>
      <c r="I137" s="101"/>
      <c r="J137" s="101"/>
      <c r="K137" s="9"/>
    </row>
    <row r="138" spans="1:11">
      <c r="A138" s="290" t="s">
        <v>855</v>
      </c>
      <c r="B138" s="103">
        <f>SUM('A4-Rate Base'!C22:G22)</f>
        <v>1167332051.98</v>
      </c>
      <c r="C138" s="281">
        <f>SUM('A4-Rate Base'!C10:G10)</f>
        <v>1111908942.27</v>
      </c>
      <c r="E138" s="246"/>
      <c r="G138" s="247"/>
      <c r="I138" s="245"/>
      <c r="J138" s="101"/>
    </row>
    <row r="139" spans="1:11" ht="13.5" thickBot="1">
      <c r="A139" s="284" t="s">
        <v>535</v>
      </c>
      <c r="B139" s="313">
        <f>+B137-B138</f>
        <v>1.9999980926513672E-2</v>
      </c>
      <c r="C139" s="314">
        <f>+C137-C138</f>
        <v>0.73000001907348633</v>
      </c>
    </row>
    <row r="140" spans="1:11">
      <c r="B140" s="101"/>
      <c r="E140" s="101"/>
    </row>
    <row r="141" spans="1:11">
      <c r="C141" s="251"/>
      <c r="E141" s="254"/>
    </row>
    <row r="142" spans="1:11">
      <c r="B142" s="101"/>
      <c r="E142" s="101"/>
    </row>
    <row r="143" spans="1:11">
      <c r="B143" s="251"/>
    </row>
  </sheetData>
  <pageMargins left="0.5" right="0.25" top="1" bottom="1" header="0.25" footer="0.5"/>
  <pageSetup scale="60" orientation="portrait" verticalDpi="0" r:id="rId1"/>
  <headerFooter alignWithMargins="0">
    <oddHeader>&amp;L&amp;"Times New Roman,Regular"&amp;12ARPA 5-8_Attach A.xlsx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48FB-D3FA-4109-BB14-D85928B25EA2}">
  <sheetPr>
    <tabColor rgb="FF92D050"/>
  </sheetPr>
  <dimension ref="A1:N96"/>
  <sheetViews>
    <sheetView topLeftCell="B84" workbookViewId="0"/>
  </sheetViews>
  <sheetFormatPr defaultRowHeight="12.75"/>
  <cols>
    <col min="1" max="1" width="20.140625" bestFit="1" customWidth="1"/>
    <col min="2" max="2" width="16.85546875" style="9" bestFit="1" customWidth="1"/>
    <col min="3" max="7" width="12.42578125" bestFit="1" customWidth="1"/>
    <col min="8" max="8" width="14.140625" bestFit="1" customWidth="1"/>
    <col min="9" max="15" width="12.42578125" bestFit="1" customWidth="1"/>
    <col min="16" max="16" width="14.140625" bestFit="1" customWidth="1"/>
    <col min="17" max="17" width="15.140625" bestFit="1" customWidth="1"/>
    <col min="18" max="20" width="14.140625" bestFit="1" customWidth="1"/>
    <col min="21" max="22" width="15.140625" bestFit="1" customWidth="1"/>
  </cols>
  <sheetData>
    <row r="1" spans="1:14">
      <c r="A1" s="4" t="s">
        <v>5</v>
      </c>
      <c r="B1" s="7" t="s">
        <v>517</v>
      </c>
    </row>
    <row r="3" spans="1:14">
      <c r="A3" s="4" t="s">
        <v>149</v>
      </c>
      <c r="B3" s="4" t="s">
        <v>134</v>
      </c>
    </row>
    <row r="4" spans="1:14">
      <c r="B4" t="s">
        <v>135</v>
      </c>
      <c r="C4" t="s">
        <v>136</v>
      </c>
    </row>
    <row r="5" spans="1:14">
      <c r="A5" s="4" t="s">
        <v>151</v>
      </c>
      <c r="B5" s="59" t="s">
        <v>137</v>
      </c>
      <c r="C5" s="59" t="s">
        <v>138</v>
      </c>
      <c r="D5" s="59" t="s">
        <v>139</v>
      </c>
      <c r="E5" s="59" t="s">
        <v>140</v>
      </c>
      <c r="F5" s="59" t="s">
        <v>141</v>
      </c>
      <c r="G5" s="59" t="s">
        <v>142</v>
      </c>
      <c r="H5" s="59" t="s">
        <v>143</v>
      </c>
      <c r="I5" s="59" t="s">
        <v>144</v>
      </c>
      <c r="J5" s="59" t="s">
        <v>145</v>
      </c>
      <c r="K5" s="59" t="s">
        <v>146</v>
      </c>
      <c r="L5" s="59" t="s">
        <v>147</v>
      </c>
      <c r="M5" s="59" t="s">
        <v>148</v>
      </c>
      <c r="N5" s="59" t="s">
        <v>137</v>
      </c>
    </row>
    <row r="6" spans="1:14">
      <c r="A6" s="6" t="s">
        <v>525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17" t="s">
        <v>189</v>
      </c>
      <c r="B7" s="7">
        <v>658853.93000000005</v>
      </c>
      <c r="C7" s="7">
        <v>658853.93000000005</v>
      </c>
      <c r="D7" s="7">
        <v>658853.93000000005</v>
      </c>
      <c r="E7" s="7">
        <v>660409.51</v>
      </c>
      <c r="F7" s="7">
        <v>675241.29</v>
      </c>
      <c r="G7" s="7">
        <v>675230.97000000009</v>
      </c>
      <c r="H7" s="7">
        <v>716774.01</v>
      </c>
      <c r="I7" s="7">
        <v>716774.01</v>
      </c>
      <c r="J7" s="7">
        <v>716774.01</v>
      </c>
      <c r="K7" s="7">
        <v>716774.01</v>
      </c>
      <c r="L7" s="7">
        <v>716774.01</v>
      </c>
      <c r="M7" s="7">
        <v>675230.97000000009</v>
      </c>
      <c r="N7" s="7">
        <v>685230.97000000009</v>
      </c>
    </row>
    <row r="8" spans="1:14">
      <c r="A8" s="17" t="s">
        <v>190</v>
      </c>
      <c r="B8" s="7">
        <v>184620.19</v>
      </c>
      <c r="C8" s="7">
        <v>184620.19</v>
      </c>
      <c r="D8" s="7">
        <v>184620.19</v>
      </c>
      <c r="E8" s="7">
        <v>184620.19</v>
      </c>
      <c r="F8" s="7">
        <v>184620.19</v>
      </c>
      <c r="G8" s="7">
        <v>184620.19</v>
      </c>
      <c r="H8" s="7">
        <v>184620.19</v>
      </c>
      <c r="I8" s="7">
        <v>184620.19</v>
      </c>
      <c r="J8" s="7">
        <v>184620.19</v>
      </c>
      <c r="K8" s="7">
        <v>184620.19</v>
      </c>
      <c r="L8" s="7">
        <v>184620.19</v>
      </c>
      <c r="M8" s="7">
        <v>184620.19</v>
      </c>
      <c r="N8" s="7">
        <v>184620.19</v>
      </c>
    </row>
    <row r="9" spans="1:14">
      <c r="A9" s="17" t="s">
        <v>191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19051.650000000001</v>
      </c>
    </row>
    <row r="10" spans="1:14">
      <c r="A10" s="17" t="s">
        <v>192</v>
      </c>
      <c r="B10" s="7">
        <v>625227.14</v>
      </c>
      <c r="C10" s="7">
        <v>640840.06000000006</v>
      </c>
      <c r="D10" s="7">
        <v>643978.15</v>
      </c>
      <c r="E10" s="7">
        <v>643978.15</v>
      </c>
      <c r="F10" s="7">
        <v>643978.15</v>
      </c>
      <c r="G10" s="7">
        <v>643978.15</v>
      </c>
      <c r="H10" s="7">
        <v>643978.15</v>
      </c>
      <c r="I10" s="7">
        <v>643978.15</v>
      </c>
      <c r="J10" s="7">
        <v>643978.15</v>
      </c>
      <c r="K10" s="7">
        <v>643978.15</v>
      </c>
      <c r="L10" s="7">
        <v>643978.15</v>
      </c>
      <c r="M10" s="7">
        <v>643978.15</v>
      </c>
      <c r="N10" s="7">
        <v>643978.15</v>
      </c>
    </row>
    <row r="11" spans="1:14">
      <c r="A11" s="17" t="s">
        <v>193</v>
      </c>
      <c r="B11" s="7">
        <v>1169918.8700000001</v>
      </c>
      <c r="C11" s="7">
        <v>1169918.8700000001</v>
      </c>
      <c r="D11" s="7">
        <v>1169918.8700000001</v>
      </c>
      <c r="E11" s="7">
        <v>1169918.8700000001</v>
      </c>
      <c r="F11" s="7">
        <v>1169918.8700000001</v>
      </c>
      <c r="G11" s="7">
        <v>1169918.8700000001</v>
      </c>
      <c r="H11" s="7">
        <v>1169918.8700000001</v>
      </c>
      <c r="I11" s="7">
        <v>1169918.8700000001</v>
      </c>
      <c r="J11" s="7">
        <v>1169918.8700000001</v>
      </c>
      <c r="K11" s="7">
        <v>1169918.8700000001</v>
      </c>
      <c r="L11" s="7">
        <v>1169918.8700000001</v>
      </c>
      <c r="M11" s="7">
        <v>1169918.8700000001</v>
      </c>
      <c r="N11" s="7">
        <v>2048733.07</v>
      </c>
    </row>
    <row r="12" spans="1:14">
      <c r="A12" s="17" t="s">
        <v>194</v>
      </c>
      <c r="B12" s="7">
        <v>51255493.640000001</v>
      </c>
      <c r="C12" s="7">
        <v>51252104.380000003</v>
      </c>
      <c r="D12" s="7">
        <v>51323250.220000006</v>
      </c>
      <c r="E12" s="7">
        <v>51369322.43</v>
      </c>
      <c r="F12" s="7">
        <v>55758662.900000006</v>
      </c>
      <c r="G12" s="7">
        <v>55765824.810000002</v>
      </c>
      <c r="H12" s="7">
        <v>55766458.009999998</v>
      </c>
      <c r="I12" s="7">
        <v>55767111.890000001</v>
      </c>
      <c r="J12" s="7">
        <v>55723706.099999994</v>
      </c>
      <c r="K12" s="7">
        <v>55775661.109999999</v>
      </c>
      <c r="L12" s="7">
        <v>55790413.769999996</v>
      </c>
      <c r="M12" s="7">
        <v>61076589.199999996</v>
      </c>
      <c r="N12" s="7">
        <v>60691583.030000001</v>
      </c>
    </row>
    <row r="13" spans="1:14">
      <c r="A13" s="17" t="s">
        <v>195</v>
      </c>
      <c r="B13" s="7">
        <v>97907315.189999998</v>
      </c>
      <c r="C13" s="7">
        <v>98002922.460000008</v>
      </c>
      <c r="D13" s="7">
        <v>98593825.189999998</v>
      </c>
      <c r="E13" s="7">
        <v>98838131.689999998</v>
      </c>
      <c r="F13" s="7">
        <v>98874487</v>
      </c>
      <c r="G13" s="7">
        <v>100531441.45999999</v>
      </c>
      <c r="H13" s="7">
        <v>100745372.12</v>
      </c>
      <c r="I13" s="7">
        <v>100791879.38</v>
      </c>
      <c r="J13" s="7">
        <v>100829209.03</v>
      </c>
      <c r="K13" s="7">
        <v>101348755.60000001</v>
      </c>
      <c r="L13" s="7">
        <v>101645142.47</v>
      </c>
      <c r="M13" s="7">
        <v>101866605.91</v>
      </c>
      <c r="N13" s="7">
        <v>103768937.34</v>
      </c>
    </row>
    <row r="14" spans="1:14">
      <c r="A14" s="17" t="s">
        <v>196</v>
      </c>
      <c r="B14" s="7">
        <v>57862262.07</v>
      </c>
      <c r="C14" s="7">
        <v>58040434.810000002</v>
      </c>
      <c r="D14" s="7">
        <v>58227842.159999996</v>
      </c>
      <c r="E14" s="7">
        <v>57915870.530000001</v>
      </c>
      <c r="F14" s="7">
        <v>58065266.670000002</v>
      </c>
      <c r="G14" s="7">
        <v>58309710.280000001</v>
      </c>
      <c r="H14" s="7">
        <v>58160928.420000002</v>
      </c>
      <c r="I14" s="7">
        <v>58411841.300000004</v>
      </c>
      <c r="J14" s="7">
        <v>58328785.719999999</v>
      </c>
      <c r="K14" s="7">
        <v>58612374.43</v>
      </c>
      <c r="L14" s="7">
        <v>58724894.780000001</v>
      </c>
      <c r="M14" s="7">
        <v>58952175.219999999</v>
      </c>
      <c r="N14" s="7">
        <v>59419017.079999998</v>
      </c>
    </row>
    <row r="15" spans="1:14">
      <c r="A15" s="17" t="s">
        <v>197</v>
      </c>
      <c r="B15" s="7">
        <v>15786957.92</v>
      </c>
      <c r="C15" s="7">
        <v>15990043.889999999</v>
      </c>
      <c r="D15" s="7">
        <v>16256510.93</v>
      </c>
      <c r="E15" s="7">
        <v>16177717.390000001</v>
      </c>
      <c r="F15" s="7">
        <v>16441763.460000001</v>
      </c>
      <c r="G15" s="7">
        <v>16474928.83</v>
      </c>
      <c r="H15" s="7">
        <v>16731181.91</v>
      </c>
      <c r="I15" s="7">
        <v>16960685.259999998</v>
      </c>
      <c r="J15" s="7">
        <v>17070238.59</v>
      </c>
      <c r="K15" s="7">
        <v>17174627.960000001</v>
      </c>
      <c r="L15" s="7">
        <v>17256661.219999999</v>
      </c>
      <c r="M15" s="7">
        <v>17371812.960000001</v>
      </c>
      <c r="N15" s="7">
        <v>17480421.120000001</v>
      </c>
    </row>
    <row r="16" spans="1:14">
      <c r="A16" s="17" t="s">
        <v>198</v>
      </c>
      <c r="B16" s="7">
        <v>33588283.039999999</v>
      </c>
      <c r="C16" s="7">
        <v>33495476.989999998</v>
      </c>
      <c r="D16" s="7">
        <v>33996833.630000003</v>
      </c>
      <c r="E16" s="7">
        <v>33788511.829999998</v>
      </c>
      <c r="F16" s="7">
        <v>33555650.049999997</v>
      </c>
      <c r="G16" s="7">
        <v>33669374.489999995</v>
      </c>
      <c r="H16" s="7">
        <v>33642003.460000001</v>
      </c>
      <c r="I16" s="7">
        <v>34246683.579999998</v>
      </c>
      <c r="J16" s="7">
        <v>34467415.75</v>
      </c>
      <c r="K16" s="7">
        <v>34208608.520000003</v>
      </c>
      <c r="L16" s="7">
        <v>34507725.829999998</v>
      </c>
      <c r="M16" s="7">
        <v>34541532.259999998</v>
      </c>
      <c r="N16" s="7">
        <v>35256603.68</v>
      </c>
    </row>
    <row r="17" spans="1:14">
      <c r="A17" s="17" t="s">
        <v>199</v>
      </c>
      <c r="B17" s="7">
        <v>10300964.279999999</v>
      </c>
      <c r="C17" s="7">
        <v>10354400.27</v>
      </c>
      <c r="D17" s="7">
        <v>10406839.85</v>
      </c>
      <c r="E17" s="7">
        <v>10247680.43</v>
      </c>
      <c r="F17" s="7">
        <v>10277946.25</v>
      </c>
      <c r="G17" s="7">
        <v>10345011.889999999</v>
      </c>
      <c r="H17" s="7">
        <v>10424133.27</v>
      </c>
      <c r="I17" s="7">
        <v>10572836.620000001</v>
      </c>
      <c r="J17" s="7">
        <v>10519550.709999999</v>
      </c>
      <c r="K17" s="7">
        <v>10504881.48</v>
      </c>
      <c r="L17" s="7">
        <v>10540281.199999999</v>
      </c>
      <c r="M17" s="7">
        <v>10483826.409999998</v>
      </c>
      <c r="N17" s="7">
        <v>10680493.699999999</v>
      </c>
    </row>
    <row r="18" spans="1:14">
      <c r="A18" s="17" t="s">
        <v>200</v>
      </c>
      <c r="B18" s="7">
        <v>31613143.270000003</v>
      </c>
      <c r="C18" s="7">
        <v>31670599.460000001</v>
      </c>
      <c r="D18" s="7">
        <v>31773646.59</v>
      </c>
      <c r="E18" s="7">
        <v>32108702.34</v>
      </c>
      <c r="F18" s="7">
        <v>32382874.77</v>
      </c>
      <c r="G18" s="7">
        <v>32369304.650000002</v>
      </c>
      <c r="H18" s="7">
        <v>32764963.330000002</v>
      </c>
      <c r="I18" s="7">
        <v>32679805.990000002</v>
      </c>
      <c r="J18" s="7">
        <v>33056259.670000002</v>
      </c>
      <c r="K18" s="7">
        <v>33208398.009999998</v>
      </c>
      <c r="L18" s="7">
        <v>33284991.57</v>
      </c>
      <c r="M18" s="7">
        <v>33340709.859999999</v>
      </c>
      <c r="N18" s="7">
        <v>32967712.140000001</v>
      </c>
    </row>
    <row r="19" spans="1:14">
      <c r="A19" s="17" t="s">
        <v>201</v>
      </c>
      <c r="B19" s="7">
        <v>25529308.650000002</v>
      </c>
      <c r="C19" s="7">
        <v>25658434.440000001</v>
      </c>
      <c r="D19" s="7">
        <v>25750360.800000001</v>
      </c>
      <c r="E19" s="7">
        <v>26832263.199999999</v>
      </c>
      <c r="F19" s="7">
        <v>27154648.509999998</v>
      </c>
      <c r="G19" s="7">
        <v>27239243.949999999</v>
      </c>
      <c r="H19" s="7">
        <v>27581364.600000001</v>
      </c>
      <c r="I19" s="7">
        <v>27382363.559999999</v>
      </c>
      <c r="J19" s="7">
        <v>27633672.960000001</v>
      </c>
      <c r="K19" s="7">
        <v>27923005.640000001</v>
      </c>
      <c r="L19" s="7">
        <v>27985005.290000003</v>
      </c>
      <c r="M19" s="7">
        <v>28048471.18</v>
      </c>
      <c r="N19" s="7">
        <v>28367321.530000001</v>
      </c>
    </row>
    <row r="20" spans="1:14">
      <c r="A20" s="17" t="s">
        <v>202</v>
      </c>
      <c r="B20" s="7">
        <v>10567580.5</v>
      </c>
      <c r="C20" s="7">
        <v>10626074.18</v>
      </c>
      <c r="D20" s="7">
        <v>10683380.09</v>
      </c>
      <c r="E20" s="7">
        <v>10690376.73</v>
      </c>
      <c r="F20" s="7">
        <v>10727192.9</v>
      </c>
      <c r="G20" s="7">
        <v>10712500.17</v>
      </c>
      <c r="H20" s="7">
        <v>10666295.970000001</v>
      </c>
      <c r="I20" s="7">
        <v>11235086.27</v>
      </c>
      <c r="J20" s="7">
        <v>11276281.1</v>
      </c>
      <c r="K20" s="7">
        <v>11298958.66</v>
      </c>
      <c r="L20" s="7">
        <v>11311998.58</v>
      </c>
      <c r="M20" s="7">
        <v>11220393.790000001</v>
      </c>
      <c r="N20" s="7">
        <v>11341583.24</v>
      </c>
    </row>
    <row r="21" spans="1:14">
      <c r="A21" s="17" t="s">
        <v>203</v>
      </c>
      <c r="B21" s="7">
        <v>14104231.860000001</v>
      </c>
      <c r="C21" s="7">
        <v>14158380.08</v>
      </c>
      <c r="D21" s="7">
        <v>14270869.470000001</v>
      </c>
      <c r="E21" s="7">
        <v>14316871.99</v>
      </c>
      <c r="F21" s="7">
        <v>14426818.25</v>
      </c>
      <c r="G21" s="7">
        <v>14480140.720000001</v>
      </c>
      <c r="H21" s="7">
        <v>14573376.569999998</v>
      </c>
      <c r="I21" s="7">
        <v>14519634.210000001</v>
      </c>
      <c r="J21" s="7">
        <v>14624291.790000001</v>
      </c>
      <c r="K21" s="7">
        <v>14702515.450000001</v>
      </c>
      <c r="L21" s="7">
        <v>14740958.41</v>
      </c>
      <c r="M21" s="7">
        <v>14820584.32</v>
      </c>
      <c r="N21" s="7">
        <v>14885361.609999999</v>
      </c>
    </row>
    <row r="22" spans="1:14">
      <c r="A22" s="17" t="s">
        <v>204</v>
      </c>
      <c r="B22" s="7">
        <v>1710193.42</v>
      </c>
      <c r="C22" s="7">
        <v>1712808.36</v>
      </c>
      <c r="D22" s="7">
        <v>1722333.66</v>
      </c>
      <c r="E22" s="7">
        <v>1719762.9000000001</v>
      </c>
      <c r="F22" s="7">
        <v>1731292.8399999999</v>
      </c>
      <c r="G22" s="7">
        <v>1737124.2800000003</v>
      </c>
      <c r="H22" s="7">
        <v>1749633.74</v>
      </c>
      <c r="I22" s="7">
        <v>1751419.78</v>
      </c>
      <c r="J22" s="7">
        <v>1754207.04</v>
      </c>
      <c r="K22" s="7">
        <v>1752045.9</v>
      </c>
      <c r="L22" s="7">
        <v>1752130.4</v>
      </c>
      <c r="M22" s="7">
        <v>1751320.3800000001</v>
      </c>
      <c r="N22" s="7">
        <v>1756926.1199999999</v>
      </c>
    </row>
    <row r="23" spans="1:14">
      <c r="A23" s="17" t="s">
        <v>205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1:14">
      <c r="A24" s="17" t="s">
        <v>206</v>
      </c>
      <c r="B24" s="7">
        <v>17451103.279999997</v>
      </c>
      <c r="C24" s="7">
        <v>17072519.460000001</v>
      </c>
      <c r="D24" s="7">
        <v>17030047.310000002</v>
      </c>
      <c r="E24" s="7">
        <v>17040414.920000002</v>
      </c>
      <c r="F24" s="7">
        <v>17098493.09</v>
      </c>
      <c r="G24" s="7">
        <v>17102554.75</v>
      </c>
      <c r="H24" s="7">
        <v>17108820.710000001</v>
      </c>
      <c r="I24" s="7">
        <v>16855773.609999999</v>
      </c>
      <c r="J24" s="7">
        <v>16884671.219999999</v>
      </c>
      <c r="K24" s="7">
        <v>16966291.75</v>
      </c>
      <c r="L24" s="7">
        <v>16967529.120000001</v>
      </c>
      <c r="M24" s="7">
        <v>16687860.960000001</v>
      </c>
      <c r="N24" s="7">
        <v>16698557.290000001</v>
      </c>
    </row>
    <row r="25" spans="1:14">
      <c r="A25" s="17" t="s">
        <v>207</v>
      </c>
      <c r="B25" s="7">
        <v>2644417.86</v>
      </c>
      <c r="C25" s="7">
        <v>2647800.86</v>
      </c>
      <c r="D25" s="7">
        <v>2650213.29</v>
      </c>
      <c r="E25" s="7">
        <v>2654148.94</v>
      </c>
      <c r="F25" s="7">
        <v>2649024.23</v>
      </c>
      <c r="G25" s="7">
        <v>2621529.19</v>
      </c>
      <c r="H25" s="7">
        <v>2634840.7600000002</v>
      </c>
      <c r="I25" s="7">
        <v>2659671.62</v>
      </c>
      <c r="J25" s="7">
        <v>2691939.45</v>
      </c>
      <c r="K25" s="7">
        <v>2723129.04</v>
      </c>
      <c r="L25" s="7">
        <v>2726959.46</v>
      </c>
      <c r="M25" s="7">
        <v>2744834.07</v>
      </c>
      <c r="N25" s="7">
        <v>2746560.85</v>
      </c>
    </row>
    <row r="26" spans="1:14">
      <c r="A26" s="17" t="s">
        <v>208</v>
      </c>
      <c r="B26" s="7">
        <v>10958470.41</v>
      </c>
      <c r="C26" s="7">
        <v>11038179.33</v>
      </c>
      <c r="D26" s="7">
        <v>11364798.640000001</v>
      </c>
      <c r="E26" s="7">
        <v>11373614.800000001</v>
      </c>
      <c r="F26" s="7">
        <v>11413725.639999999</v>
      </c>
      <c r="G26" s="7">
        <v>11368644.33</v>
      </c>
      <c r="H26" s="7">
        <v>11406727.870000001</v>
      </c>
      <c r="I26" s="7">
        <v>11315679.93</v>
      </c>
      <c r="J26" s="7">
        <v>11357775.02</v>
      </c>
      <c r="K26" s="7">
        <v>11482256.540000001</v>
      </c>
      <c r="L26" s="7">
        <v>11527400.34</v>
      </c>
      <c r="M26" s="7">
        <v>11563098.98</v>
      </c>
      <c r="N26" s="7">
        <v>11606058.540000001</v>
      </c>
    </row>
    <row r="27" spans="1:14">
      <c r="A27" s="6" t="s">
        <v>526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17" t="s">
        <v>152</v>
      </c>
      <c r="B28" s="7">
        <v>200900.31</v>
      </c>
      <c r="C28" s="7">
        <v>200900.31</v>
      </c>
      <c r="D28" s="7">
        <v>200900.31</v>
      </c>
      <c r="E28" s="7">
        <v>200900.31</v>
      </c>
      <c r="F28" s="7">
        <v>200900.31</v>
      </c>
      <c r="G28" s="7">
        <v>200900.31</v>
      </c>
      <c r="H28" s="7">
        <v>200900.31</v>
      </c>
      <c r="I28" s="7">
        <v>200900.31</v>
      </c>
      <c r="J28" s="7">
        <v>200900.31</v>
      </c>
      <c r="K28" s="7">
        <v>200900.31</v>
      </c>
      <c r="L28" s="7">
        <v>200900.31</v>
      </c>
      <c r="M28" s="7">
        <v>200900.31</v>
      </c>
      <c r="N28" s="7">
        <v>200900.31</v>
      </c>
    </row>
    <row r="29" spans="1:14">
      <c r="A29" s="17" t="s">
        <v>153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>
      <c r="A30" s="17" t="s">
        <v>154</v>
      </c>
      <c r="B30" s="7">
        <v>310000</v>
      </c>
      <c r="C30" s="7">
        <v>310000</v>
      </c>
      <c r="D30" s="7">
        <v>310000</v>
      </c>
      <c r="E30" s="7">
        <v>310000</v>
      </c>
      <c r="F30" s="7">
        <v>310000</v>
      </c>
      <c r="G30" s="7">
        <v>310000</v>
      </c>
      <c r="H30" s="7">
        <v>310000</v>
      </c>
      <c r="I30" s="7">
        <v>310000</v>
      </c>
      <c r="J30" s="7">
        <v>310000</v>
      </c>
      <c r="K30" s="7">
        <v>310000</v>
      </c>
      <c r="L30" s="7">
        <v>310000</v>
      </c>
      <c r="M30" s="7">
        <v>310000</v>
      </c>
      <c r="N30" s="7">
        <v>310000</v>
      </c>
    </row>
    <row r="31" spans="1:14">
      <c r="A31" s="17" t="s">
        <v>155</v>
      </c>
      <c r="B31" s="7">
        <v>19000</v>
      </c>
      <c r="C31" s="7">
        <v>19000</v>
      </c>
      <c r="D31" s="7">
        <v>19000</v>
      </c>
      <c r="E31" s="7">
        <v>19000</v>
      </c>
      <c r="F31" s="7">
        <v>19000</v>
      </c>
      <c r="G31" s="7">
        <v>19000</v>
      </c>
      <c r="H31" s="7">
        <v>19000</v>
      </c>
      <c r="I31" s="7">
        <v>19000</v>
      </c>
      <c r="J31" s="7">
        <v>19000</v>
      </c>
      <c r="K31" s="7">
        <v>19000</v>
      </c>
      <c r="L31" s="7">
        <v>19000</v>
      </c>
      <c r="M31" s="7">
        <v>19000</v>
      </c>
      <c r="N31" s="7">
        <v>19000</v>
      </c>
    </row>
    <row r="32" spans="1:14">
      <c r="A32" s="17" t="s">
        <v>156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</row>
    <row r="33" spans="1:14">
      <c r="A33" s="17" t="s">
        <v>209</v>
      </c>
      <c r="B33" s="7">
        <v>261405.41</v>
      </c>
      <c r="C33" s="7">
        <v>261405.41</v>
      </c>
      <c r="D33" s="7">
        <v>261405.41</v>
      </c>
      <c r="E33" s="7">
        <v>261405.41</v>
      </c>
      <c r="F33" s="7">
        <v>261405.41</v>
      </c>
      <c r="G33" s="7">
        <v>261405.41</v>
      </c>
      <c r="H33" s="7">
        <v>261405.4</v>
      </c>
      <c r="I33" s="7">
        <v>261405.4</v>
      </c>
      <c r="J33" s="7">
        <v>261405.4</v>
      </c>
      <c r="K33" s="7">
        <v>261405.4</v>
      </c>
      <c r="L33" s="7">
        <v>261405.4</v>
      </c>
      <c r="M33" s="7">
        <v>261405.4</v>
      </c>
      <c r="N33" s="7">
        <v>261405.4</v>
      </c>
    </row>
    <row r="34" spans="1:14">
      <c r="A34" s="17" t="s">
        <v>210</v>
      </c>
      <c r="B34" s="7">
        <v>22532.78</v>
      </c>
      <c r="C34" s="7">
        <v>22532.78</v>
      </c>
      <c r="D34" s="7">
        <v>22532.78</v>
      </c>
      <c r="E34" s="7">
        <v>22532.78</v>
      </c>
      <c r="F34" s="7">
        <v>22532.78</v>
      </c>
      <c r="G34" s="7">
        <v>22532.78</v>
      </c>
      <c r="H34" s="7">
        <v>22532.78</v>
      </c>
      <c r="I34" s="7">
        <v>22532.78</v>
      </c>
      <c r="J34" s="7">
        <v>22532.78</v>
      </c>
      <c r="K34" s="7">
        <v>22532.78</v>
      </c>
      <c r="L34" s="7">
        <v>22532.78</v>
      </c>
      <c r="M34" s="7">
        <v>22532.78</v>
      </c>
      <c r="N34" s="7">
        <v>22532.78</v>
      </c>
    </row>
    <row r="35" spans="1:14">
      <c r="A35" s="17" t="s">
        <v>211</v>
      </c>
      <c r="B35" s="7">
        <v>7643580.04</v>
      </c>
      <c r="C35" s="7">
        <v>7643580.04</v>
      </c>
      <c r="D35" s="7">
        <v>7643580.04</v>
      </c>
      <c r="E35" s="7">
        <v>7617606.5899999999</v>
      </c>
      <c r="F35" s="7">
        <v>7617606.5899999999</v>
      </c>
      <c r="G35" s="7">
        <v>7617622.8999999994</v>
      </c>
      <c r="H35" s="7">
        <v>7716740.4399999995</v>
      </c>
      <c r="I35" s="7">
        <v>7811808.6500000004</v>
      </c>
      <c r="J35" s="7">
        <v>7811808.6500000004</v>
      </c>
      <c r="K35" s="7">
        <v>7811808.6500000004</v>
      </c>
      <c r="L35" s="7">
        <v>7838433.1299999999</v>
      </c>
      <c r="M35" s="7">
        <v>7838433.1299999999</v>
      </c>
      <c r="N35" s="7">
        <v>7838433.1299999999</v>
      </c>
    </row>
    <row r="36" spans="1:14">
      <c r="A36" s="17" t="s">
        <v>212</v>
      </c>
      <c r="B36" s="7">
        <v>1426861.24</v>
      </c>
      <c r="C36" s="7">
        <v>1426861.24</v>
      </c>
      <c r="D36" s="7">
        <v>1426861.24</v>
      </c>
      <c r="E36" s="7">
        <v>1426861.24</v>
      </c>
      <c r="F36" s="7">
        <v>1426861.24</v>
      </c>
      <c r="G36" s="7">
        <v>1426861.24</v>
      </c>
      <c r="H36" s="7">
        <v>1426861.24</v>
      </c>
      <c r="I36" s="7">
        <v>1426861.24</v>
      </c>
      <c r="J36" s="7">
        <v>1426861.24</v>
      </c>
      <c r="K36" s="7">
        <v>1426861.24</v>
      </c>
      <c r="L36" s="7">
        <v>1426861.24</v>
      </c>
      <c r="M36" s="7">
        <v>1426861.24</v>
      </c>
      <c r="N36" s="7">
        <v>1426861.24</v>
      </c>
    </row>
    <row r="37" spans="1:14">
      <c r="A37" s="17" t="s">
        <v>213</v>
      </c>
      <c r="B37" s="7">
        <v>1760571.72</v>
      </c>
      <c r="C37" s="7">
        <v>1760571.72</v>
      </c>
      <c r="D37" s="7">
        <v>1760571.72</v>
      </c>
      <c r="E37" s="7">
        <v>1786561.02</v>
      </c>
      <c r="F37" s="7">
        <v>1786561.02</v>
      </c>
      <c r="G37" s="7">
        <v>1785386.46</v>
      </c>
      <c r="H37" s="7">
        <v>1785386.47</v>
      </c>
      <c r="I37" s="7">
        <v>1337925.97</v>
      </c>
      <c r="J37" s="7">
        <v>1337925.97</v>
      </c>
      <c r="K37" s="7">
        <v>1337925.97</v>
      </c>
      <c r="L37" s="7">
        <v>1337925.97</v>
      </c>
      <c r="M37" s="7">
        <v>1337925.97</v>
      </c>
      <c r="N37" s="7">
        <v>1337925.97</v>
      </c>
    </row>
    <row r="38" spans="1:14">
      <c r="A38" s="17" t="s">
        <v>214</v>
      </c>
      <c r="B38" s="7">
        <v>940370.14</v>
      </c>
      <c r="C38" s="7">
        <v>974306.48</v>
      </c>
      <c r="D38" s="7">
        <v>974306.48</v>
      </c>
      <c r="E38" s="7">
        <v>974306.48</v>
      </c>
      <c r="F38" s="7">
        <v>956661.88</v>
      </c>
      <c r="G38" s="7">
        <v>856038.80999999994</v>
      </c>
      <c r="H38" s="7">
        <v>856038.80999999994</v>
      </c>
      <c r="I38" s="7">
        <v>856038.81</v>
      </c>
      <c r="J38" s="7">
        <v>856038.81</v>
      </c>
      <c r="K38" s="7">
        <v>856038.81</v>
      </c>
      <c r="L38" s="7">
        <v>900856.97000000009</v>
      </c>
      <c r="M38" s="7">
        <v>900856.97000000009</v>
      </c>
      <c r="N38" s="7">
        <v>1231242.54</v>
      </c>
    </row>
    <row r="39" spans="1:14">
      <c r="A39" s="17" t="s">
        <v>215</v>
      </c>
      <c r="B39" s="7">
        <v>14712</v>
      </c>
      <c r="C39" s="7">
        <v>14712</v>
      </c>
      <c r="D39" s="7">
        <v>14712</v>
      </c>
      <c r="E39" s="7">
        <v>14712</v>
      </c>
      <c r="F39" s="7">
        <v>14712</v>
      </c>
      <c r="G39" s="7">
        <v>14712</v>
      </c>
      <c r="H39" s="7">
        <v>14712</v>
      </c>
      <c r="I39" s="7">
        <v>14712</v>
      </c>
      <c r="J39" s="7">
        <v>14712</v>
      </c>
      <c r="K39" s="7">
        <v>12034</v>
      </c>
      <c r="L39" s="7">
        <v>12034</v>
      </c>
      <c r="M39" s="7">
        <v>12034</v>
      </c>
      <c r="N39" s="7">
        <v>12034</v>
      </c>
    </row>
    <row r="40" spans="1:14">
      <c r="A40" s="17" t="s">
        <v>216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>
      <c r="A41" s="17" t="s">
        <v>217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>
      <c r="A42" s="17" t="s">
        <v>218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>
      <c r="A43" s="17" t="s">
        <v>219</v>
      </c>
      <c r="B43" s="7">
        <v>216925.63</v>
      </c>
      <c r="C43" s="7">
        <v>216925.63</v>
      </c>
      <c r="D43" s="7">
        <v>216925.63</v>
      </c>
      <c r="E43" s="7">
        <v>216925.63</v>
      </c>
      <c r="F43" s="7">
        <v>216925.63</v>
      </c>
      <c r="G43" s="7">
        <v>216925.63</v>
      </c>
      <c r="H43" s="7">
        <v>216925.63</v>
      </c>
      <c r="I43" s="7">
        <v>216925.63</v>
      </c>
      <c r="J43" s="7">
        <v>216925.63</v>
      </c>
      <c r="K43" s="7">
        <v>216925.63</v>
      </c>
      <c r="L43" s="7">
        <v>216925.63</v>
      </c>
      <c r="M43" s="7">
        <v>216925.63</v>
      </c>
      <c r="N43" s="7">
        <v>216925.63</v>
      </c>
    </row>
    <row r="44" spans="1:14">
      <c r="A44" s="17" t="s">
        <v>220</v>
      </c>
      <c r="B44" s="7">
        <v>45525.16</v>
      </c>
      <c r="C44" s="7">
        <v>45525.16</v>
      </c>
      <c r="D44" s="7">
        <v>45525.16</v>
      </c>
      <c r="E44" s="7">
        <v>45525.16</v>
      </c>
      <c r="F44" s="7">
        <v>45525.16</v>
      </c>
      <c r="G44" s="7">
        <v>45525.16</v>
      </c>
      <c r="H44" s="7">
        <v>45525.16</v>
      </c>
      <c r="I44" s="7">
        <v>45525.16</v>
      </c>
      <c r="J44" s="7">
        <v>45525.16</v>
      </c>
      <c r="K44" s="7">
        <v>45525.16</v>
      </c>
      <c r="L44" s="7">
        <v>45525.16</v>
      </c>
      <c r="M44" s="7">
        <v>45525.16</v>
      </c>
      <c r="N44" s="7">
        <v>45525.16</v>
      </c>
    </row>
    <row r="45" spans="1:14">
      <c r="A45" s="17" t="s">
        <v>221</v>
      </c>
      <c r="B45" s="7">
        <v>2820168.1</v>
      </c>
      <c r="C45" s="7">
        <v>2816766.1</v>
      </c>
      <c r="D45" s="7">
        <v>2824030.64</v>
      </c>
      <c r="E45" s="7">
        <v>2807779.48</v>
      </c>
      <c r="F45" s="7">
        <v>2802995.01</v>
      </c>
      <c r="G45" s="7">
        <v>2783512.08</v>
      </c>
      <c r="H45" s="7">
        <v>2783512.08</v>
      </c>
      <c r="I45" s="7">
        <v>2730391.35</v>
      </c>
      <c r="J45" s="7">
        <v>2789199.2800000003</v>
      </c>
      <c r="K45" s="7">
        <v>2902748.06</v>
      </c>
      <c r="L45" s="7">
        <v>2905172.33</v>
      </c>
      <c r="M45" s="7">
        <v>2988218.67</v>
      </c>
      <c r="N45" s="7">
        <v>2882807.18</v>
      </c>
    </row>
    <row r="46" spans="1:14">
      <c r="A46" s="17" t="s">
        <v>222</v>
      </c>
      <c r="B46" s="7">
        <v>2088032.2800000003</v>
      </c>
      <c r="C46" s="7">
        <v>2092449.2200000002</v>
      </c>
      <c r="D46" s="7">
        <v>2093717.0100000002</v>
      </c>
      <c r="E46" s="7">
        <v>2113749.66</v>
      </c>
      <c r="F46" s="7">
        <v>2120013.7200000002</v>
      </c>
      <c r="G46" s="7">
        <v>2037221.82</v>
      </c>
      <c r="H46" s="7">
        <v>2037221.82</v>
      </c>
      <c r="I46" s="7">
        <v>2020522.3299999998</v>
      </c>
      <c r="J46" s="7">
        <v>2020522.3299999998</v>
      </c>
      <c r="K46" s="7">
        <v>2020522.3299999998</v>
      </c>
      <c r="L46" s="7">
        <v>2020538.0799999998</v>
      </c>
      <c r="M46" s="7">
        <v>2020538.0799999998</v>
      </c>
      <c r="N46" s="7">
        <v>2156963.11</v>
      </c>
    </row>
    <row r="47" spans="1:14">
      <c r="A47" s="17" t="s">
        <v>223</v>
      </c>
      <c r="B47" s="7">
        <v>9592186.620000001</v>
      </c>
      <c r="C47" s="7">
        <v>11575612.77</v>
      </c>
      <c r="D47" s="7">
        <v>12108870.530000001</v>
      </c>
      <c r="E47" s="7">
        <v>12162652.880000001</v>
      </c>
      <c r="F47" s="7">
        <v>12410342.5</v>
      </c>
      <c r="G47" s="7">
        <v>12422803.52</v>
      </c>
      <c r="H47" s="7">
        <v>12553049.09</v>
      </c>
      <c r="I47" s="7">
        <v>13966057.119999999</v>
      </c>
      <c r="J47" s="7">
        <v>14072389.02</v>
      </c>
      <c r="K47" s="7">
        <v>14123921.550000001</v>
      </c>
      <c r="L47" s="7">
        <v>14140073.079999998</v>
      </c>
      <c r="M47" s="7">
        <v>14140073.079999998</v>
      </c>
      <c r="N47" s="7">
        <v>14238468.610000001</v>
      </c>
    </row>
    <row r="48" spans="1:14">
      <c r="A48" s="17" t="s">
        <v>224</v>
      </c>
      <c r="B48" s="7">
        <v>2343846.42</v>
      </c>
      <c r="C48" s="7">
        <v>2343846.42</v>
      </c>
      <c r="D48" s="7">
        <v>2343846.42</v>
      </c>
      <c r="E48" s="7">
        <v>2336672.7399999998</v>
      </c>
      <c r="F48" s="7">
        <v>2337177.63</v>
      </c>
      <c r="G48" s="7">
        <v>2337177.63</v>
      </c>
      <c r="H48" s="7">
        <v>2339605.0499999998</v>
      </c>
      <c r="I48" s="7">
        <v>2339605.0500000003</v>
      </c>
      <c r="J48" s="7">
        <v>2339605.0500000003</v>
      </c>
      <c r="K48" s="7">
        <v>2339605.0500000003</v>
      </c>
      <c r="L48" s="7">
        <v>2537704.3000000003</v>
      </c>
      <c r="M48" s="7">
        <v>2564168.56</v>
      </c>
      <c r="N48" s="7">
        <v>2581935.92</v>
      </c>
    </row>
    <row r="49" spans="1:14">
      <c r="A49" s="17" t="s">
        <v>225</v>
      </c>
      <c r="B49" s="7">
        <v>24905.31</v>
      </c>
      <c r="C49" s="7">
        <v>24905.31</v>
      </c>
      <c r="D49" s="7">
        <v>24905.31</v>
      </c>
      <c r="E49" s="7">
        <v>24905.31</v>
      </c>
      <c r="F49" s="7">
        <v>24905.31</v>
      </c>
      <c r="G49" s="7">
        <v>24905.31</v>
      </c>
      <c r="H49" s="7">
        <v>24905.31</v>
      </c>
      <c r="I49" s="7">
        <v>24905.31</v>
      </c>
      <c r="J49" s="7">
        <v>24905.31</v>
      </c>
      <c r="K49" s="7">
        <v>24905.31</v>
      </c>
      <c r="L49" s="7">
        <v>24905.31</v>
      </c>
      <c r="M49" s="7">
        <v>24905.31</v>
      </c>
      <c r="N49" s="7">
        <v>24905.31</v>
      </c>
    </row>
    <row r="50" spans="1:14">
      <c r="A50" s="17" t="s">
        <v>226</v>
      </c>
      <c r="B50" s="7">
        <v>2998940.21</v>
      </c>
      <c r="C50" s="7">
        <v>3107300.7399999998</v>
      </c>
      <c r="D50" s="7">
        <v>3048811.5100000002</v>
      </c>
      <c r="E50" s="7">
        <v>3006673.82</v>
      </c>
      <c r="F50" s="7">
        <v>3024590.64</v>
      </c>
      <c r="G50" s="7">
        <v>3060151.08</v>
      </c>
      <c r="H50" s="7">
        <v>3152976.99</v>
      </c>
      <c r="I50" s="7">
        <v>3151255.3</v>
      </c>
      <c r="J50" s="7">
        <v>3153838.63</v>
      </c>
      <c r="K50" s="7">
        <v>3162773.63</v>
      </c>
      <c r="L50" s="7">
        <v>3169655.89</v>
      </c>
      <c r="M50" s="7">
        <v>3242751.76</v>
      </c>
      <c r="N50" s="7">
        <v>3289569.2800000003</v>
      </c>
    </row>
    <row r="51" spans="1:14">
      <c r="A51" s="17" t="s">
        <v>227</v>
      </c>
      <c r="B51" s="7">
        <v>14177.720000000001</v>
      </c>
      <c r="C51" s="7">
        <v>14177.720000000001</v>
      </c>
      <c r="D51" s="7">
        <v>14177.720000000001</v>
      </c>
      <c r="E51" s="7">
        <v>14177.720000000001</v>
      </c>
      <c r="F51" s="7">
        <v>14177.720000000001</v>
      </c>
      <c r="G51" s="7">
        <v>14177.720000000001</v>
      </c>
      <c r="H51" s="7">
        <v>14177.720000000001</v>
      </c>
      <c r="I51" s="7">
        <v>14177.720000000001</v>
      </c>
      <c r="J51" s="7">
        <v>14177.720000000001</v>
      </c>
      <c r="K51" s="7">
        <v>14177.720000000001</v>
      </c>
      <c r="L51" s="7">
        <v>14177.720000000001</v>
      </c>
      <c r="M51" s="7">
        <v>14177.720000000001</v>
      </c>
      <c r="N51" s="7">
        <v>14177.720000000001</v>
      </c>
    </row>
    <row r="52" spans="1:14">
      <c r="A52" s="17" t="s">
        <v>228</v>
      </c>
      <c r="B52" s="7">
        <v>410969.39</v>
      </c>
      <c r="C52" s="7">
        <v>413056.86000000004</v>
      </c>
      <c r="D52" s="7">
        <v>412536.69</v>
      </c>
      <c r="E52" s="7">
        <v>412536.69</v>
      </c>
      <c r="F52" s="7">
        <v>405119.95</v>
      </c>
      <c r="G52" s="7">
        <v>405119.95</v>
      </c>
      <c r="H52" s="7">
        <v>392819.85000000003</v>
      </c>
      <c r="I52" s="7">
        <v>360252.88</v>
      </c>
      <c r="J52" s="7">
        <v>360252.88</v>
      </c>
      <c r="K52" s="7">
        <v>355298.29</v>
      </c>
      <c r="L52" s="7">
        <v>355298.29</v>
      </c>
      <c r="M52" s="7">
        <v>355298.29</v>
      </c>
      <c r="N52" s="7">
        <v>355298.29</v>
      </c>
    </row>
    <row r="53" spans="1:14">
      <c r="A53" s="17" t="s">
        <v>229</v>
      </c>
      <c r="B53" s="7">
        <v>219977.59</v>
      </c>
      <c r="C53" s="7">
        <v>219977.59</v>
      </c>
      <c r="D53" s="7">
        <v>219977.59</v>
      </c>
      <c r="E53" s="7">
        <v>219977.59</v>
      </c>
      <c r="F53" s="7">
        <v>219977.59</v>
      </c>
      <c r="G53" s="7">
        <v>219977.59</v>
      </c>
      <c r="H53" s="7">
        <v>219977.59</v>
      </c>
      <c r="I53" s="7">
        <v>219977.59</v>
      </c>
      <c r="J53" s="7">
        <v>219977.59</v>
      </c>
      <c r="K53" s="7">
        <v>219977.59</v>
      </c>
      <c r="L53" s="7">
        <v>219977.59</v>
      </c>
      <c r="M53" s="7">
        <v>219977.59</v>
      </c>
      <c r="N53" s="7">
        <v>219977.59</v>
      </c>
    </row>
    <row r="54" spans="1:14">
      <c r="A54" s="17" t="s">
        <v>230</v>
      </c>
      <c r="B54" s="7">
        <v>3255870.0999999996</v>
      </c>
      <c r="C54" s="7">
        <v>3255870.0999999996</v>
      </c>
      <c r="D54" s="7">
        <v>3255870.0999999996</v>
      </c>
      <c r="E54" s="7">
        <v>3342480.1999999997</v>
      </c>
      <c r="F54" s="7">
        <v>3342480.1999999997</v>
      </c>
      <c r="G54" s="7">
        <v>3342480.1999999997</v>
      </c>
      <c r="H54" s="7">
        <v>3342480.1999999997</v>
      </c>
      <c r="I54" s="7">
        <v>3342480.2</v>
      </c>
      <c r="J54" s="7">
        <v>3350226.95</v>
      </c>
      <c r="K54" s="7">
        <v>3350226.95</v>
      </c>
      <c r="L54" s="7">
        <v>3350226.95</v>
      </c>
      <c r="M54" s="7">
        <v>3350226.95</v>
      </c>
      <c r="N54" s="7">
        <v>3350226.95</v>
      </c>
    </row>
    <row r="55" spans="1:14">
      <c r="A55" s="17" t="s">
        <v>231</v>
      </c>
      <c r="B55" s="7">
        <v>1276206.3700000001</v>
      </c>
      <c r="C55" s="7">
        <v>1276206.3700000001</v>
      </c>
      <c r="D55" s="7">
        <v>1276206.3700000001</v>
      </c>
      <c r="E55" s="7">
        <v>977085.37</v>
      </c>
      <c r="F55" s="7">
        <v>977085.37</v>
      </c>
      <c r="G55" s="7">
        <v>977085.37</v>
      </c>
      <c r="H55" s="7">
        <v>977085.37</v>
      </c>
      <c r="I55" s="7">
        <v>977085.37</v>
      </c>
      <c r="J55" s="7">
        <v>977085.37</v>
      </c>
      <c r="K55" s="7">
        <v>977085.37</v>
      </c>
      <c r="L55" s="7">
        <v>977085.37</v>
      </c>
      <c r="M55" s="7">
        <v>845697.57000000007</v>
      </c>
      <c r="N55" s="7">
        <v>911579.00000000012</v>
      </c>
    </row>
    <row r="56" spans="1:14">
      <c r="A56" s="17" t="s">
        <v>232</v>
      </c>
      <c r="B56" s="7">
        <v>1204952.6599999999</v>
      </c>
      <c r="C56" s="7">
        <v>1204952.6599999999</v>
      </c>
      <c r="D56" s="7">
        <v>1204952.6599999999</v>
      </c>
      <c r="E56" s="7">
        <v>1204952.6599999999</v>
      </c>
      <c r="F56" s="7">
        <v>1204952.6599999999</v>
      </c>
      <c r="G56" s="7">
        <v>1204952.6599999999</v>
      </c>
      <c r="H56" s="7">
        <v>1204952.6599999999</v>
      </c>
      <c r="I56" s="7">
        <v>1204952.6599999999</v>
      </c>
      <c r="J56" s="7">
        <v>1204952.6599999999</v>
      </c>
      <c r="K56" s="7">
        <v>1207150.3799999999</v>
      </c>
      <c r="L56" s="7">
        <v>1207150.3799999999</v>
      </c>
      <c r="M56" s="7">
        <v>1207150.3799999999</v>
      </c>
      <c r="N56" s="7">
        <v>1237895.0099999998</v>
      </c>
    </row>
    <row r="57" spans="1:14">
      <c r="A57" s="17" t="s">
        <v>233</v>
      </c>
      <c r="B57" s="7">
        <v>129693.81</v>
      </c>
      <c r="C57" s="7">
        <v>129693.81</v>
      </c>
      <c r="D57" s="7">
        <v>129693.81</v>
      </c>
      <c r="E57" s="7">
        <v>149473.80000000002</v>
      </c>
      <c r="F57" s="7">
        <v>149473.80000000002</v>
      </c>
      <c r="G57" s="7">
        <v>149473.80000000002</v>
      </c>
      <c r="H57" s="7">
        <v>149473.80000000002</v>
      </c>
      <c r="I57" s="7">
        <v>149473.80000000002</v>
      </c>
      <c r="J57" s="7">
        <v>149473.80000000002</v>
      </c>
      <c r="K57" s="7">
        <v>149473.80000000002</v>
      </c>
      <c r="L57" s="7">
        <v>149473.80000000002</v>
      </c>
      <c r="M57" s="7">
        <v>149473.80000000002</v>
      </c>
      <c r="N57" s="7">
        <v>188673.68000000002</v>
      </c>
    </row>
    <row r="58" spans="1:14">
      <c r="A58" s="6" t="s">
        <v>527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>
      <c r="A59" s="17" t="s">
        <v>157</v>
      </c>
      <c r="B59" s="7">
        <v>168504.26</v>
      </c>
      <c r="C59" s="7">
        <v>168504.26</v>
      </c>
      <c r="D59" s="7">
        <v>168504.26</v>
      </c>
      <c r="E59" s="7">
        <v>168504.26</v>
      </c>
      <c r="F59" s="7">
        <v>168504.26</v>
      </c>
      <c r="G59" s="7">
        <v>168504.26</v>
      </c>
      <c r="H59" s="7">
        <v>168504.26</v>
      </c>
      <c r="I59" s="7">
        <v>168504.26</v>
      </c>
      <c r="J59" s="7">
        <v>168504.26</v>
      </c>
      <c r="K59" s="7">
        <v>168504.26</v>
      </c>
      <c r="L59" s="7">
        <v>168504.26</v>
      </c>
      <c r="M59" s="7">
        <v>168504.26</v>
      </c>
      <c r="N59" s="7">
        <v>168504.26</v>
      </c>
    </row>
    <row r="60" spans="1:14">
      <c r="A60" s="17" t="s">
        <v>158</v>
      </c>
      <c r="B60" s="7">
        <v>85743.6</v>
      </c>
      <c r="C60" s="7">
        <v>85743.6</v>
      </c>
      <c r="D60" s="7">
        <v>85743.6</v>
      </c>
      <c r="E60" s="7">
        <v>85743.6</v>
      </c>
      <c r="F60" s="7">
        <v>85743.6</v>
      </c>
      <c r="G60" s="7">
        <v>85743.6</v>
      </c>
      <c r="H60" s="7">
        <v>85743.6</v>
      </c>
      <c r="I60" s="7">
        <v>85743.6</v>
      </c>
      <c r="J60" s="7">
        <v>85743.6</v>
      </c>
      <c r="K60" s="7">
        <v>85743.6</v>
      </c>
      <c r="L60" s="7">
        <v>85743.6</v>
      </c>
      <c r="M60" s="7">
        <v>85743.6</v>
      </c>
      <c r="N60" s="7">
        <v>85743.6</v>
      </c>
    </row>
    <row r="61" spans="1:14">
      <c r="A61" s="17" t="s">
        <v>159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>
      <c r="A62" s="17" t="s">
        <v>160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>
      <c r="A63" s="17" t="s">
        <v>161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</row>
    <row r="64" spans="1:14">
      <c r="A64" s="17" t="s">
        <v>162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</row>
    <row r="65" spans="1:14">
      <c r="A65" s="17" t="s">
        <v>163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</row>
    <row r="66" spans="1:14">
      <c r="A66" s="17" t="s">
        <v>164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</row>
    <row r="67" spans="1:14">
      <c r="A67" s="17" t="s">
        <v>165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>
      <c r="A68" s="17" t="s">
        <v>166</v>
      </c>
      <c r="B68" s="7">
        <v>207692.38</v>
      </c>
      <c r="C68" s="7">
        <v>207692.38</v>
      </c>
      <c r="D68" s="7">
        <v>207692.38</v>
      </c>
      <c r="E68" s="7">
        <v>207692.38</v>
      </c>
      <c r="F68" s="7">
        <v>207692.38</v>
      </c>
      <c r="G68" s="7">
        <v>207692.38</v>
      </c>
      <c r="H68" s="7">
        <v>207692.38</v>
      </c>
      <c r="I68" s="7">
        <v>207692.38</v>
      </c>
      <c r="J68" s="7">
        <v>207692.38</v>
      </c>
      <c r="K68" s="7">
        <v>207692.38</v>
      </c>
      <c r="L68" s="7">
        <v>207692.38</v>
      </c>
      <c r="M68" s="7">
        <v>207692.38</v>
      </c>
      <c r="N68" s="7">
        <v>207692.38</v>
      </c>
    </row>
    <row r="69" spans="1:14">
      <c r="A69" s="17" t="s">
        <v>167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>
      <c r="A70" s="17" t="s">
        <v>168</v>
      </c>
      <c r="B70" s="7">
        <v>6229050.5499999998</v>
      </c>
      <c r="C70" s="7">
        <v>6229050.5499999998</v>
      </c>
      <c r="D70" s="7">
        <v>6229050.5499999998</v>
      </c>
      <c r="E70" s="7">
        <v>6229050.5499999998</v>
      </c>
      <c r="F70" s="7">
        <v>6229050.5499999998</v>
      </c>
      <c r="G70" s="7">
        <v>6229050.5499999998</v>
      </c>
      <c r="H70" s="7">
        <v>6229050.5499999998</v>
      </c>
      <c r="I70" s="7">
        <v>6229050.5499999998</v>
      </c>
      <c r="J70" s="7">
        <v>6229050.5499999998</v>
      </c>
      <c r="K70" s="7">
        <v>6229050.5499999998</v>
      </c>
      <c r="L70" s="7">
        <v>6229050.5499999998</v>
      </c>
      <c r="M70" s="7">
        <v>6229050.5499999998</v>
      </c>
      <c r="N70" s="7">
        <v>6229050.5499999998</v>
      </c>
    </row>
    <row r="71" spans="1:14">
      <c r="A71" s="17" t="s">
        <v>169</v>
      </c>
      <c r="B71" s="7">
        <v>14983808.84</v>
      </c>
      <c r="C71" s="7">
        <v>14983808.84</v>
      </c>
      <c r="D71" s="7">
        <v>14983808.84</v>
      </c>
      <c r="E71" s="7">
        <v>14967037.939999999</v>
      </c>
      <c r="F71" s="7">
        <v>14967037.939999999</v>
      </c>
      <c r="G71" s="7">
        <v>14967037.939999999</v>
      </c>
      <c r="H71" s="7">
        <v>14759041.57</v>
      </c>
      <c r="I71" s="7">
        <v>14759041.57</v>
      </c>
      <c r="J71" s="7">
        <v>14759041.57</v>
      </c>
      <c r="K71" s="7">
        <v>14759041.57</v>
      </c>
      <c r="L71" s="7">
        <v>14778950.35</v>
      </c>
      <c r="M71" s="7">
        <v>14778950.35</v>
      </c>
      <c r="N71" s="7">
        <v>14778950.35</v>
      </c>
    </row>
    <row r="72" spans="1:14">
      <c r="A72" s="17" t="s">
        <v>170</v>
      </c>
      <c r="B72" s="7">
        <v>9115499.1500000004</v>
      </c>
      <c r="C72" s="7">
        <v>9115499.1500000004</v>
      </c>
      <c r="D72" s="7">
        <v>9115499.1500000004</v>
      </c>
      <c r="E72" s="7">
        <v>9115499.1500000004</v>
      </c>
      <c r="F72" s="7">
        <v>9115499.1500000004</v>
      </c>
      <c r="G72" s="7">
        <v>9115499.1500000004</v>
      </c>
      <c r="H72" s="7">
        <v>9115499.1500000004</v>
      </c>
      <c r="I72" s="7">
        <v>9115499.1500000004</v>
      </c>
      <c r="J72" s="7">
        <v>9115499.1500000004</v>
      </c>
      <c r="K72" s="7">
        <v>9115499.1500000004</v>
      </c>
      <c r="L72" s="7">
        <v>9115499.1500000004</v>
      </c>
      <c r="M72" s="7">
        <v>9115499.1500000004</v>
      </c>
      <c r="N72" s="7">
        <v>9115499.1500000004</v>
      </c>
    </row>
    <row r="73" spans="1:14">
      <c r="A73" s="17" t="s">
        <v>171</v>
      </c>
      <c r="B73" s="7">
        <v>2273004.89</v>
      </c>
      <c r="C73" s="7">
        <v>2273004.89</v>
      </c>
      <c r="D73" s="7">
        <v>2273004.89</v>
      </c>
      <c r="E73" s="7">
        <v>2273004.89</v>
      </c>
      <c r="F73" s="7">
        <v>2273004.89</v>
      </c>
      <c r="G73" s="7">
        <v>2273004.89</v>
      </c>
      <c r="H73" s="7">
        <v>2273004.89</v>
      </c>
      <c r="I73" s="7">
        <v>2273004.89</v>
      </c>
      <c r="J73" s="7">
        <v>2273004.89</v>
      </c>
      <c r="K73" s="7">
        <v>2273004.89</v>
      </c>
      <c r="L73" s="7">
        <v>2273004.89</v>
      </c>
      <c r="M73" s="7">
        <v>2273004.89</v>
      </c>
      <c r="N73" s="7">
        <v>2273004.89</v>
      </c>
    </row>
    <row r="74" spans="1:14">
      <c r="A74" s="17" t="s">
        <v>172</v>
      </c>
      <c r="B74" s="7">
        <v>375561551.41000003</v>
      </c>
      <c r="C74" s="7">
        <v>375367111.27000004</v>
      </c>
      <c r="D74" s="7">
        <v>375367111.27000004</v>
      </c>
      <c r="E74" s="7">
        <v>375347111.26999998</v>
      </c>
      <c r="F74" s="7">
        <v>369699448.39000005</v>
      </c>
      <c r="G74" s="7">
        <v>369701587.39000005</v>
      </c>
      <c r="H74" s="7">
        <v>370290346.65999997</v>
      </c>
      <c r="I74" s="7">
        <v>370290346.65999997</v>
      </c>
      <c r="J74" s="7">
        <v>370290346.65999997</v>
      </c>
      <c r="K74" s="7">
        <v>370280346.65999997</v>
      </c>
      <c r="L74" s="7">
        <v>370270346.66000003</v>
      </c>
      <c r="M74" s="7">
        <v>370270346.66000003</v>
      </c>
      <c r="N74" s="7">
        <v>370727711.30000001</v>
      </c>
    </row>
    <row r="75" spans="1:14">
      <c r="A75" s="17" t="s">
        <v>173</v>
      </c>
      <c r="B75" s="7">
        <v>18861693.900000002</v>
      </c>
      <c r="C75" s="7">
        <v>18688151.120000001</v>
      </c>
      <c r="D75" s="7">
        <v>18688151.120000001</v>
      </c>
      <c r="E75" s="7">
        <v>18688151.120000001</v>
      </c>
      <c r="F75" s="7">
        <v>18688151.120000001</v>
      </c>
      <c r="G75" s="7">
        <v>18688151.120000001</v>
      </c>
      <c r="H75" s="7">
        <v>18688151.120000001</v>
      </c>
      <c r="I75" s="7">
        <v>18808689.420000002</v>
      </c>
      <c r="J75" s="7">
        <v>18808689.420000002</v>
      </c>
      <c r="K75" s="7">
        <v>18788689.420000002</v>
      </c>
      <c r="L75" s="7">
        <v>18788689.420000002</v>
      </c>
      <c r="M75" s="7">
        <v>18788689.420000002</v>
      </c>
      <c r="N75" s="7">
        <v>18788689.420000002</v>
      </c>
    </row>
    <row r="76" spans="1:14">
      <c r="A76" s="17" t="s">
        <v>174</v>
      </c>
      <c r="B76" s="7">
        <v>2704470.7199999997</v>
      </c>
      <c r="C76" s="7">
        <v>2704470.7199999997</v>
      </c>
      <c r="D76" s="7">
        <v>2704470.7199999997</v>
      </c>
      <c r="E76" s="7">
        <v>2704470.7199999997</v>
      </c>
      <c r="F76" s="7">
        <v>2704470.7199999997</v>
      </c>
      <c r="G76" s="7">
        <v>2704470.7199999997</v>
      </c>
      <c r="H76" s="7">
        <v>2704470.7199999997</v>
      </c>
      <c r="I76" s="7">
        <v>2724379.4999999995</v>
      </c>
      <c r="J76" s="7">
        <v>2724379.4999999995</v>
      </c>
      <c r="K76" s="7">
        <v>2724379.4999999995</v>
      </c>
      <c r="L76" s="7">
        <v>2704470.7199999997</v>
      </c>
      <c r="M76" s="7">
        <v>2704470.7199999997</v>
      </c>
      <c r="N76" s="7">
        <v>2704470.7199999997</v>
      </c>
    </row>
    <row r="77" spans="1:14">
      <c r="A77" s="6" t="s">
        <v>528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>
      <c r="A78" s="17" t="s">
        <v>175</v>
      </c>
      <c r="B78" s="7">
        <v>1988509.0899999999</v>
      </c>
      <c r="C78" s="7">
        <v>1988509.0899999999</v>
      </c>
      <c r="D78" s="7">
        <v>1988509.0899999999</v>
      </c>
      <c r="E78" s="7">
        <v>1988509.0899999999</v>
      </c>
      <c r="F78" s="7">
        <v>1988509.0899999999</v>
      </c>
      <c r="G78" s="7">
        <v>1988509.0899999999</v>
      </c>
      <c r="H78" s="7">
        <v>1988509.0899999999</v>
      </c>
      <c r="I78" s="7">
        <v>1988509.0899999999</v>
      </c>
      <c r="J78" s="7">
        <v>1988509.0899999999</v>
      </c>
      <c r="K78" s="7">
        <v>1988509.0899999999</v>
      </c>
      <c r="L78" s="7">
        <v>3070171.17</v>
      </c>
      <c r="M78" s="7">
        <v>3077804.15</v>
      </c>
      <c r="N78" s="7">
        <v>3141866.65</v>
      </c>
    </row>
    <row r="79" spans="1:14">
      <c r="A79" s="17" t="s">
        <v>176</v>
      </c>
      <c r="B79" s="7">
        <v>4313014.6500000004</v>
      </c>
      <c r="C79" s="7">
        <v>4313014.6500000004</v>
      </c>
      <c r="D79" s="7">
        <v>4313014.6500000004</v>
      </c>
      <c r="E79" s="7">
        <v>4313014.6500000004</v>
      </c>
      <c r="F79" s="7">
        <v>4313014.6500000004</v>
      </c>
      <c r="G79" s="7">
        <v>4313014.6500000004</v>
      </c>
      <c r="H79" s="7">
        <v>4313014.6500000004</v>
      </c>
      <c r="I79" s="7">
        <v>4313014.6500000004</v>
      </c>
      <c r="J79" s="7">
        <v>4313014.6500000004</v>
      </c>
      <c r="K79" s="7">
        <v>4313014.6500000004</v>
      </c>
      <c r="L79" s="7">
        <v>4313014.6500000004</v>
      </c>
      <c r="M79" s="7">
        <v>4313014.6500000004</v>
      </c>
      <c r="N79" s="7">
        <v>4313014.6500000004</v>
      </c>
    </row>
    <row r="80" spans="1:14">
      <c r="A80" s="17" t="s">
        <v>177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94034.55</v>
      </c>
    </row>
    <row r="81" spans="1:14">
      <c r="A81" s="17" t="s">
        <v>178</v>
      </c>
      <c r="B81" s="7">
        <v>10463520.74</v>
      </c>
      <c r="C81" s="7">
        <v>10463520.74</v>
      </c>
      <c r="D81" s="7">
        <v>10463520.74</v>
      </c>
      <c r="E81" s="7">
        <v>10463520.74</v>
      </c>
      <c r="F81" s="7">
        <v>10463520.74</v>
      </c>
      <c r="G81" s="7">
        <v>10463520.74</v>
      </c>
      <c r="H81" s="7">
        <v>10463520.74</v>
      </c>
      <c r="I81" s="7">
        <v>10463520.74</v>
      </c>
      <c r="J81" s="7">
        <v>10463520.74</v>
      </c>
      <c r="K81" s="7">
        <v>10463520.74</v>
      </c>
      <c r="L81" s="7">
        <v>10463520.74</v>
      </c>
      <c r="M81" s="7">
        <v>10463520.74</v>
      </c>
      <c r="N81" s="7">
        <v>10463520.74</v>
      </c>
    </row>
    <row r="82" spans="1:14">
      <c r="A82" s="17" t="s">
        <v>179</v>
      </c>
      <c r="B82" s="7">
        <v>274154.33</v>
      </c>
      <c r="C82" s="7">
        <v>274154.33</v>
      </c>
      <c r="D82" s="7">
        <v>274154.33</v>
      </c>
      <c r="E82" s="7">
        <v>274154.33</v>
      </c>
      <c r="F82" s="7">
        <v>274154.33</v>
      </c>
      <c r="G82" s="7">
        <v>274154.33</v>
      </c>
      <c r="H82" s="7">
        <v>274154.33</v>
      </c>
      <c r="I82" s="7">
        <v>274154.33</v>
      </c>
      <c r="J82" s="7">
        <v>274154.33</v>
      </c>
      <c r="K82" s="7">
        <v>274154.33</v>
      </c>
      <c r="L82" s="7">
        <v>274154.33</v>
      </c>
      <c r="M82" s="7">
        <v>296854.7</v>
      </c>
      <c r="N82" s="7">
        <v>653327.91</v>
      </c>
    </row>
    <row r="83" spans="1:14">
      <c r="A83" s="17" t="s">
        <v>180</v>
      </c>
      <c r="B83" s="7">
        <v>220613.03</v>
      </c>
      <c r="C83" s="7">
        <v>220613.03</v>
      </c>
      <c r="D83" s="7">
        <v>220613.03</v>
      </c>
      <c r="E83" s="7">
        <v>220613.03</v>
      </c>
      <c r="F83" s="7">
        <v>220613.03</v>
      </c>
      <c r="G83" s="7">
        <v>220613.03</v>
      </c>
      <c r="H83" s="7">
        <v>220613.03</v>
      </c>
      <c r="I83" s="7">
        <v>220613.03</v>
      </c>
      <c r="J83" s="7">
        <v>220613.03</v>
      </c>
      <c r="K83" s="7">
        <v>220613.03</v>
      </c>
      <c r="L83" s="7">
        <v>220613.03</v>
      </c>
      <c r="M83" s="7">
        <v>220613.03</v>
      </c>
      <c r="N83" s="7">
        <v>220613.03</v>
      </c>
    </row>
    <row r="84" spans="1:14">
      <c r="A84" s="17" t="s">
        <v>181</v>
      </c>
      <c r="B84" s="7">
        <v>102011362.09999999</v>
      </c>
      <c r="C84" s="7">
        <v>101649948.44</v>
      </c>
      <c r="D84" s="7">
        <v>101600158.00999999</v>
      </c>
      <c r="E84" s="7">
        <v>101664297.37</v>
      </c>
      <c r="F84" s="7">
        <v>104552304.84</v>
      </c>
      <c r="G84" s="7">
        <v>104726856.59</v>
      </c>
      <c r="H84" s="7">
        <v>104761298.84</v>
      </c>
      <c r="I84" s="7">
        <v>104862786.79000001</v>
      </c>
      <c r="J84" s="7">
        <v>104795669.13</v>
      </c>
      <c r="K84" s="7">
        <v>104986415.09</v>
      </c>
      <c r="L84" s="7">
        <v>104987375.42</v>
      </c>
      <c r="M84" s="7">
        <v>107589717.69</v>
      </c>
      <c r="N84" s="7">
        <v>107331205.64</v>
      </c>
    </row>
    <row r="85" spans="1:14">
      <c r="A85" s="17" t="s">
        <v>182</v>
      </c>
      <c r="B85" s="7">
        <v>8266282.3899999997</v>
      </c>
      <c r="C85" s="7">
        <v>8243520.1799999997</v>
      </c>
      <c r="D85" s="7">
        <v>8243520.1799999997</v>
      </c>
      <c r="E85" s="7">
        <v>8243520.1799999997</v>
      </c>
      <c r="F85" s="7">
        <v>8243520.1799999997</v>
      </c>
      <c r="G85" s="7">
        <v>8416509.629999999</v>
      </c>
      <c r="H85" s="7">
        <v>8429882.2199999988</v>
      </c>
      <c r="I85" s="7">
        <v>8428135.5999999996</v>
      </c>
      <c r="J85" s="7">
        <v>8428135.5999999996</v>
      </c>
      <c r="K85" s="7">
        <v>8243520.1799999997</v>
      </c>
      <c r="L85" s="7">
        <v>8243520.1799999997</v>
      </c>
      <c r="M85" s="7">
        <v>8243520.1799999997</v>
      </c>
      <c r="N85" s="7">
        <v>8471871.8499999996</v>
      </c>
    </row>
    <row r="86" spans="1:14">
      <c r="A86" s="17" t="s">
        <v>183</v>
      </c>
      <c r="B86" s="7">
        <v>4227063.49</v>
      </c>
      <c r="C86" s="7">
        <v>4227063.49</v>
      </c>
      <c r="D86" s="7">
        <v>4227063.49</v>
      </c>
      <c r="E86" s="7">
        <v>4227063.49</v>
      </c>
      <c r="F86" s="7">
        <v>4227063.49</v>
      </c>
      <c r="G86" s="7">
        <v>4227063.49</v>
      </c>
      <c r="H86" s="7">
        <v>4227063.49</v>
      </c>
      <c r="I86" s="7">
        <v>4227063.49</v>
      </c>
      <c r="J86" s="7">
        <v>4227063.49</v>
      </c>
      <c r="K86" s="7">
        <v>4227063.49</v>
      </c>
      <c r="L86" s="7">
        <v>4227063.49</v>
      </c>
      <c r="M86" s="7">
        <v>4227063.49</v>
      </c>
      <c r="N86" s="7">
        <v>3864601.38</v>
      </c>
    </row>
    <row r="87" spans="1:14">
      <c r="A87" s="17" t="s">
        <v>184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>
      <c r="A88" s="17" t="s">
        <v>185</v>
      </c>
      <c r="B88" s="7">
        <v>56476095.290000007</v>
      </c>
      <c r="C88" s="7">
        <v>55890759.590000004</v>
      </c>
      <c r="D88" s="7">
        <v>55931448.68</v>
      </c>
      <c r="E88" s="7">
        <v>55960801.229999997</v>
      </c>
      <c r="F88" s="7">
        <v>64915159.629999995</v>
      </c>
      <c r="G88" s="7">
        <v>65202842.200000003</v>
      </c>
      <c r="H88" s="7">
        <v>66093889.319999993</v>
      </c>
      <c r="I88" s="7">
        <v>66167727.599999994</v>
      </c>
      <c r="J88" s="7">
        <v>66180283.509999998</v>
      </c>
      <c r="K88" s="7">
        <v>66152818.309999995</v>
      </c>
      <c r="L88" s="7">
        <v>66155838.280000001</v>
      </c>
      <c r="M88" s="7">
        <v>65766320.460000001</v>
      </c>
      <c r="N88" s="7">
        <v>66425899.349999994</v>
      </c>
    </row>
    <row r="89" spans="1:14">
      <c r="A89" s="17" t="s">
        <v>186</v>
      </c>
      <c r="B89" s="7">
        <v>54606629.399999999</v>
      </c>
      <c r="C89" s="7">
        <v>54641574.780000001</v>
      </c>
      <c r="D89" s="7">
        <v>54643054.32</v>
      </c>
      <c r="E89" s="7">
        <v>54643982.439999998</v>
      </c>
      <c r="F89" s="7">
        <v>59122490.700000003</v>
      </c>
      <c r="G89" s="7">
        <v>59167189.829999998</v>
      </c>
      <c r="H89" s="7">
        <v>59613204.260000005</v>
      </c>
      <c r="I89" s="7">
        <v>59650282.689999998</v>
      </c>
      <c r="J89" s="7">
        <v>59721273.100000001</v>
      </c>
      <c r="K89" s="7">
        <v>59707540.5</v>
      </c>
      <c r="L89" s="7">
        <v>59709760.390000001</v>
      </c>
      <c r="M89" s="7">
        <v>59515001.490000002</v>
      </c>
      <c r="N89" s="7">
        <v>59471288.380000003</v>
      </c>
    </row>
    <row r="90" spans="1:14">
      <c r="A90" s="17" t="s">
        <v>187</v>
      </c>
      <c r="B90" s="7">
        <v>0</v>
      </c>
      <c r="C90" s="7">
        <v>0</v>
      </c>
      <c r="D90" s="7">
        <v>0</v>
      </c>
      <c r="E90" s="7">
        <v>4563.5</v>
      </c>
      <c r="F90" s="7">
        <v>4561.8900000000003</v>
      </c>
      <c r="G90" s="7">
        <v>4561.8900000000003</v>
      </c>
      <c r="H90" s="7">
        <v>4561.8900000000003</v>
      </c>
      <c r="I90" s="7">
        <v>4561.8900000000003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</row>
    <row r="91" spans="1:14">
      <c r="A91" s="17" t="s">
        <v>188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</row>
    <row r="92" spans="1:14">
      <c r="B92"/>
    </row>
    <row r="93" spans="1:14">
      <c r="B93"/>
      <c r="H93" s="7"/>
    </row>
    <row r="94" spans="1:14">
      <c r="B94"/>
    </row>
    <row r="95" spans="1:14">
      <c r="B95"/>
      <c r="H95" s="7"/>
    </row>
    <row r="96" spans="1:14">
      <c r="B96"/>
    </row>
  </sheetData>
  <pageMargins left="0.5" right="0.25" top="1" bottom="1" header="0.25" footer="0.5"/>
  <pageSetup scale="60" orientation="portrait" verticalDpi="0" r:id="rId2"/>
  <headerFooter alignWithMargins="0">
    <oddHeader>&amp;L&amp;"Times New Roman,Regular"&amp;12ARPA 5-8_Attach A.xlsx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AC59F-CC4D-4139-837A-788FE50C1969}">
  <sheetPr>
    <tabColor rgb="FF92D050"/>
  </sheetPr>
  <dimension ref="A1:P2083"/>
  <sheetViews>
    <sheetView workbookViewId="0"/>
  </sheetViews>
  <sheetFormatPr defaultRowHeight="12.75"/>
  <cols>
    <col min="1" max="1" width="11.7109375" bestFit="1" customWidth="1"/>
    <col min="2" max="2" width="10.7109375" bestFit="1" customWidth="1"/>
    <col min="3" max="3" width="12.7109375" bestFit="1" customWidth="1"/>
    <col min="4" max="5" width="25.85546875" bestFit="1" customWidth="1"/>
    <col min="6" max="6" width="32.140625" bestFit="1" customWidth="1"/>
    <col min="7" max="7" width="24.5703125" bestFit="1" customWidth="1"/>
    <col min="8" max="8" width="24.5703125" customWidth="1"/>
    <col min="9" max="9" width="8.7109375" bestFit="1" customWidth="1"/>
    <col min="10" max="10" width="33.42578125" bestFit="1" customWidth="1"/>
    <col min="11" max="11" width="6" bestFit="1" customWidth="1"/>
    <col min="12" max="12" width="12" bestFit="1" customWidth="1"/>
    <col min="13" max="14" width="11.7109375" bestFit="1" customWidth="1"/>
    <col min="15" max="15" width="10.7109375" bestFit="1" customWidth="1"/>
    <col min="16" max="16" width="15.140625" bestFit="1" customWidth="1"/>
  </cols>
  <sheetData>
    <row r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524</v>
      </c>
      <c r="I1" s="3" t="s">
        <v>7</v>
      </c>
      <c r="J1" s="3" t="s">
        <v>5</v>
      </c>
      <c r="K1" s="5" t="s">
        <v>150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</row>
    <row r="2" spans="1:16">
      <c r="A2" s="1">
        <v>44562</v>
      </c>
      <c r="B2" t="s">
        <v>133</v>
      </c>
      <c r="C2" t="s">
        <v>14</v>
      </c>
      <c r="D2" t="s">
        <v>15</v>
      </c>
      <c r="E2" t="s">
        <v>33</v>
      </c>
      <c r="F2" t="s">
        <v>24</v>
      </c>
      <c r="G2" t="s">
        <v>73</v>
      </c>
      <c r="H2" t="s">
        <v>525</v>
      </c>
      <c r="I2">
        <v>7</v>
      </c>
      <c r="J2" t="s">
        <v>74</v>
      </c>
      <c r="K2" t="str">
        <f t="shared" ref="K2:K65" si="0">MID(J2,2,5)</f>
        <v>36001</v>
      </c>
      <c r="L2">
        <v>658853.93000000005</v>
      </c>
      <c r="M2">
        <v>0</v>
      </c>
      <c r="N2">
        <v>0</v>
      </c>
      <c r="O2">
        <v>0</v>
      </c>
      <c r="P2" s="8">
        <v>658853.93000000005</v>
      </c>
    </row>
    <row r="3" spans="1:16">
      <c r="A3" s="1">
        <v>44562</v>
      </c>
      <c r="B3" t="s">
        <v>133</v>
      </c>
      <c r="C3" t="s">
        <v>14</v>
      </c>
      <c r="D3" t="s">
        <v>15</v>
      </c>
      <c r="E3" t="s">
        <v>33</v>
      </c>
      <c r="F3" t="s">
        <v>24</v>
      </c>
      <c r="G3" t="s">
        <v>73</v>
      </c>
      <c r="H3" t="s">
        <v>525</v>
      </c>
      <c r="I3">
        <v>7</v>
      </c>
      <c r="J3" t="s">
        <v>75</v>
      </c>
      <c r="K3" t="str">
        <f t="shared" si="0"/>
        <v>36002</v>
      </c>
      <c r="L3">
        <v>184620.19</v>
      </c>
      <c r="M3">
        <v>0</v>
      </c>
      <c r="N3">
        <v>0</v>
      </c>
      <c r="O3">
        <v>0</v>
      </c>
      <c r="P3" s="8">
        <v>184620.19</v>
      </c>
    </row>
    <row r="4" spans="1:16">
      <c r="A4" s="1">
        <v>44562</v>
      </c>
      <c r="B4" t="s">
        <v>133</v>
      </c>
      <c r="C4" t="s">
        <v>14</v>
      </c>
      <c r="D4" t="s">
        <v>15</v>
      </c>
      <c r="E4" t="s">
        <v>33</v>
      </c>
      <c r="F4" t="s">
        <v>24</v>
      </c>
      <c r="G4" t="s">
        <v>73</v>
      </c>
      <c r="H4" t="s">
        <v>525</v>
      </c>
      <c r="I4">
        <v>7</v>
      </c>
      <c r="J4" t="s">
        <v>76</v>
      </c>
      <c r="K4" t="str">
        <f t="shared" si="0"/>
        <v>36003</v>
      </c>
      <c r="L4">
        <v>0</v>
      </c>
      <c r="M4">
        <v>0</v>
      </c>
      <c r="N4">
        <v>0</v>
      </c>
      <c r="O4">
        <v>0</v>
      </c>
      <c r="P4" s="8">
        <v>0</v>
      </c>
    </row>
    <row r="5" spans="1:16">
      <c r="A5" s="1">
        <v>44562</v>
      </c>
      <c r="B5" t="s">
        <v>133</v>
      </c>
      <c r="C5" t="s">
        <v>14</v>
      </c>
      <c r="D5" t="s">
        <v>15</v>
      </c>
      <c r="E5" t="s">
        <v>33</v>
      </c>
      <c r="F5" t="s">
        <v>24</v>
      </c>
      <c r="G5" t="s">
        <v>73</v>
      </c>
      <c r="H5" t="s">
        <v>525</v>
      </c>
      <c r="I5">
        <v>7</v>
      </c>
      <c r="J5" t="s">
        <v>77</v>
      </c>
      <c r="K5" t="str">
        <f t="shared" si="0"/>
        <v>36100</v>
      </c>
      <c r="L5">
        <v>625227.14</v>
      </c>
      <c r="M5">
        <v>15612.92</v>
      </c>
      <c r="N5">
        <v>0</v>
      </c>
      <c r="O5">
        <v>0</v>
      </c>
      <c r="P5" s="8">
        <v>640840.06000000006</v>
      </c>
    </row>
    <row r="6" spans="1:16">
      <c r="A6" s="1">
        <v>44562</v>
      </c>
      <c r="B6" t="s">
        <v>133</v>
      </c>
      <c r="C6" t="s">
        <v>14</v>
      </c>
      <c r="D6" t="s">
        <v>15</v>
      </c>
      <c r="E6" t="s">
        <v>33</v>
      </c>
      <c r="F6" t="s">
        <v>24</v>
      </c>
      <c r="G6" t="s">
        <v>73</v>
      </c>
      <c r="H6" t="s">
        <v>525</v>
      </c>
      <c r="I6">
        <v>7</v>
      </c>
      <c r="J6" t="s">
        <v>78</v>
      </c>
      <c r="K6" t="str">
        <f t="shared" si="0"/>
        <v>36105</v>
      </c>
      <c r="L6">
        <v>1169918.8700000001</v>
      </c>
      <c r="M6">
        <v>0</v>
      </c>
      <c r="N6">
        <v>0</v>
      </c>
      <c r="O6">
        <v>0</v>
      </c>
      <c r="P6" s="8">
        <v>1169918.8700000001</v>
      </c>
    </row>
    <row r="7" spans="1:16">
      <c r="A7" s="1">
        <v>44562</v>
      </c>
      <c r="B7" t="s">
        <v>133</v>
      </c>
      <c r="C7" t="s">
        <v>14</v>
      </c>
      <c r="D7" t="s">
        <v>15</v>
      </c>
      <c r="E7" t="s">
        <v>33</v>
      </c>
      <c r="F7" t="s">
        <v>24</v>
      </c>
      <c r="G7" t="s">
        <v>73</v>
      </c>
      <c r="H7" t="s">
        <v>525</v>
      </c>
      <c r="I7">
        <v>7</v>
      </c>
      <c r="J7" t="s">
        <v>79</v>
      </c>
      <c r="K7" t="str">
        <f t="shared" si="0"/>
        <v>36200</v>
      </c>
      <c r="L7">
        <v>51184216.350000001</v>
      </c>
      <c r="M7">
        <v>132207.51</v>
      </c>
      <c r="N7">
        <v>-72559.59</v>
      </c>
      <c r="O7">
        <v>0</v>
      </c>
      <c r="P7" s="8">
        <v>51243864.270000003</v>
      </c>
    </row>
    <row r="8" spans="1:16">
      <c r="A8" s="1">
        <v>44562</v>
      </c>
      <c r="B8" t="s">
        <v>133</v>
      </c>
      <c r="C8" t="s">
        <v>14</v>
      </c>
      <c r="D8" t="s">
        <v>15</v>
      </c>
      <c r="E8" t="s">
        <v>33</v>
      </c>
      <c r="F8" t="s">
        <v>24</v>
      </c>
      <c r="G8" t="s">
        <v>73</v>
      </c>
      <c r="H8" t="s">
        <v>525</v>
      </c>
      <c r="I8">
        <v>7</v>
      </c>
      <c r="J8" t="s">
        <v>80</v>
      </c>
      <c r="K8" t="str">
        <f t="shared" si="0"/>
        <v>36400</v>
      </c>
      <c r="L8">
        <v>80007379.019999996</v>
      </c>
      <c r="M8">
        <v>538000.02</v>
      </c>
      <c r="N8">
        <v>-172259.95</v>
      </c>
      <c r="O8">
        <v>0</v>
      </c>
      <c r="P8" s="8">
        <v>80373119.090000004</v>
      </c>
    </row>
    <row r="9" spans="1:16">
      <c r="A9" s="1">
        <v>44562</v>
      </c>
      <c r="B9" t="s">
        <v>133</v>
      </c>
      <c r="C9" t="s">
        <v>14</v>
      </c>
      <c r="D9" t="s">
        <v>15</v>
      </c>
      <c r="E9" t="s">
        <v>33</v>
      </c>
      <c r="F9" t="s">
        <v>24</v>
      </c>
      <c r="G9" t="s">
        <v>73</v>
      </c>
      <c r="H9" t="s">
        <v>525</v>
      </c>
      <c r="I9">
        <v>7</v>
      </c>
      <c r="J9" t="s">
        <v>81</v>
      </c>
      <c r="K9" t="str">
        <f t="shared" si="0"/>
        <v>36500</v>
      </c>
      <c r="L9">
        <v>53728448.700000003</v>
      </c>
      <c r="M9">
        <v>60722.91</v>
      </c>
      <c r="N9">
        <v>-26253.21</v>
      </c>
      <c r="O9">
        <v>0</v>
      </c>
      <c r="P9" s="8">
        <v>53762918.399999999</v>
      </c>
    </row>
    <row r="10" spans="1:16">
      <c r="A10" s="1">
        <v>44562</v>
      </c>
      <c r="B10" t="s">
        <v>133</v>
      </c>
      <c r="C10" t="s">
        <v>14</v>
      </c>
      <c r="D10" t="s">
        <v>15</v>
      </c>
      <c r="E10" t="s">
        <v>33</v>
      </c>
      <c r="F10" t="s">
        <v>24</v>
      </c>
      <c r="G10" t="s">
        <v>73</v>
      </c>
      <c r="H10" t="s">
        <v>525</v>
      </c>
      <c r="I10">
        <v>7</v>
      </c>
      <c r="J10" t="s">
        <v>82</v>
      </c>
      <c r="K10" t="str">
        <f t="shared" si="0"/>
        <v>36600</v>
      </c>
      <c r="L10">
        <v>14181879.23</v>
      </c>
      <c r="M10">
        <v>93566.47</v>
      </c>
      <c r="N10">
        <v>0</v>
      </c>
      <c r="O10">
        <v>0</v>
      </c>
      <c r="P10" s="8">
        <v>14275445.699999999</v>
      </c>
    </row>
    <row r="11" spans="1:16">
      <c r="A11" s="1">
        <v>44562</v>
      </c>
      <c r="B11" t="s">
        <v>133</v>
      </c>
      <c r="C11" t="s">
        <v>14</v>
      </c>
      <c r="D11" t="s">
        <v>15</v>
      </c>
      <c r="E11" t="s">
        <v>33</v>
      </c>
      <c r="F11" t="s">
        <v>24</v>
      </c>
      <c r="G11" t="s">
        <v>73</v>
      </c>
      <c r="H11" t="s">
        <v>525</v>
      </c>
      <c r="I11">
        <v>7</v>
      </c>
      <c r="J11" t="s">
        <v>83</v>
      </c>
      <c r="K11" t="str">
        <f t="shared" si="0"/>
        <v>36700</v>
      </c>
      <c r="L11">
        <v>27661992.420000002</v>
      </c>
      <c r="M11">
        <v>246840.76</v>
      </c>
      <c r="N11">
        <v>-24241.48</v>
      </c>
      <c r="O11">
        <v>0</v>
      </c>
      <c r="P11" s="8">
        <v>27884591.699999999</v>
      </c>
    </row>
    <row r="12" spans="1:16">
      <c r="A12" s="1">
        <v>44562</v>
      </c>
      <c r="B12" t="s">
        <v>133</v>
      </c>
      <c r="C12" t="s">
        <v>14</v>
      </c>
      <c r="D12" t="s">
        <v>15</v>
      </c>
      <c r="E12" t="s">
        <v>33</v>
      </c>
      <c r="F12" t="s">
        <v>24</v>
      </c>
      <c r="G12" t="s">
        <v>73</v>
      </c>
      <c r="H12" t="s">
        <v>525</v>
      </c>
      <c r="I12">
        <v>7</v>
      </c>
      <c r="J12" t="s">
        <v>84</v>
      </c>
      <c r="K12" t="str">
        <f t="shared" si="0"/>
        <v>36801</v>
      </c>
      <c r="L12">
        <v>9646307.5</v>
      </c>
      <c r="M12">
        <v>34217.1</v>
      </c>
      <c r="N12">
        <v>-1353.23</v>
      </c>
      <c r="O12">
        <v>0</v>
      </c>
      <c r="P12" s="8">
        <v>9679171.3699999992</v>
      </c>
    </row>
    <row r="13" spans="1:16">
      <c r="A13" s="1">
        <v>44562</v>
      </c>
      <c r="B13" t="s">
        <v>133</v>
      </c>
      <c r="C13" t="s">
        <v>14</v>
      </c>
      <c r="D13" t="s">
        <v>15</v>
      </c>
      <c r="E13" t="s">
        <v>33</v>
      </c>
      <c r="F13" t="s">
        <v>24</v>
      </c>
      <c r="G13" t="s">
        <v>73</v>
      </c>
      <c r="H13" t="s">
        <v>525</v>
      </c>
      <c r="I13">
        <v>7</v>
      </c>
      <c r="J13" t="s">
        <v>85</v>
      </c>
      <c r="K13" t="str">
        <f t="shared" si="0"/>
        <v>36802</v>
      </c>
      <c r="L13">
        <v>30573043.670000002</v>
      </c>
      <c r="M13">
        <v>17191.32</v>
      </c>
      <c r="N13">
        <v>-6022.7300000000005</v>
      </c>
      <c r="O13">
        <v>0</v>
      </c>
      <c r="P13" s="8">
        <v>30584212.260000002</v>
      </c>
    </row>
    <row r="14" spans="1:16">
      <c r="A14" s="1">
        <v>44562</v>
      </c>
      <c r="B14" t="s">
        <v>133</v>
      </c>
      <c r="C14" t="s">
        <v>14</v>
      </c>
      <c r="D14" t="s">
        <v>15</v>
      </c>
      <c r="E14" t="s">
        <v>33</v>
      </c>
      <c r="F14" t="s">
        <v>24</v>
      </c>
      <c r="G14" t="s">
        <v>73</v>
      </c>
      <c r="H14" t="s">
        <v>525</v>
      </c>
      <c r="I14">
        <v>7</v>
      </c>
      <c r="J14" t="s">
        <v>86</v>
      </c>
      <c r="K14" t="str">
        <f t="shared" si="0"/>
        <v>36803</v>
      </c>
      <c r="L14">
        <v>24842274.73</v>
      </c>
      <c r="M14">
        <v>52057.57</v>
      </c>
      <c r="N14">
        <v>0</v>
      </c>
      <c r="O14">
        <v>0</v>
      </c>
      <c r="P14" s="8">
        <v>24894332.300000001</v>
      </c>
    </row>
    <row r="15" spans="1:16">
      <c r="A15" s="1">
        <v>44562</v>
      </c>
      <c r="B15" t="s">
        <v>133</v>
      </c>
      <c r="C15" t="s">
        <v>14</v>
      </c>
      <c r="D15" t="s">
        <v>15</v>
      </c>
      <c r="E15" t="s">
        <v>33</v>
      </c>
      <c r="F15" t="s">
        <v>24</v>
      </c>
      <c r="G15" t="s">
        <v>73</v>
      </c>
      <c r="H15" t="s">
        <v>525</v>
      </c>
      <c r="I15">
        <v>7</v>
      </c>
      <c r="J15" t="s">
        <v>87</v>
      </c>
      <c r="K15" t="str">
        <f t="shared" si="0"/>
        <v>36901</v>
      </c>
      <c r="L15">
        <v>9997671.5299999993</v>
      </c>
      <c r="M15">
        <v>2669.4</v>
      </c>
      <c r="N15">
        <v>0</v>
      </c>
      <c r="O15">
        <v>0</v>
      </c>
      <c r="P15" s="8">
        <v>10000340.93</v>
      </c>
    </row>
    <row r="16" spans="1:16">
      <c r="A16" s="1">
        <v>44562</v>
      </c>
      <c r="B16" t="s">
        <v>133</v>
      </c>
      <c r="C16" t="s">
        <v>14</v>
      </c>
      <c r="D16" t="s">
        <v>15</v>
      </c>
      <c r="E16" t="s">
        <v>33</v>
      </c>
      <c r="F16" t="s">
        <v>24</v>
      </c>
      <c r="G16" t="s">
        <v>73</v>
      </c>
      <c r="H16" t="s">
        <v>525</v>
      </c>
      <c r="I16">
        <v>7</v>
      </c>
      <c r="J16" t="s">
        <v>88</v>
      </c>
      <c r="K16" t="str">
        <f t="shared" si="0"/>
        <v>36902</v>
      </c>
      <c r="L16">
        <v>13286053.220000001</v>
      </c>
      <c r="M16">
        <v>15921.77</v>
      </c>
      <c r="N16">
        <v>0</v>
      </c>
      <c r="O16">
        <v>0</v>
      </c>
      <c r="P16" s="8">
        <v>13301974.99</v>
      </c>
    </row>
    <row r="17" spans="1:16">
      <c r="A17" s="1">
        <v>44562</v>
      </c>
      <c r="B17" t="s">
        <v>133</v>
      </c>
      <c r="C17" t="s">
        <v>14</v>
      </c>
      <c r="D17" t="s">
        <v>15</v>
      </c>
      <c r="E17" t="s">
        <v>33</v>
      </c>
      <c r="F17" t="s">
        <v>24</v>
      </c>
      <c r="G17" t="s">
        <v>73</v>
      </c>
      <c r="H17" t="s">
        <v>525</v>
      </c>
      <c r="I17">
        <v>7</v>
      </c>
      <c r="J17" t="s">
        <v>89</v>
      </c>
      <c r="K17" t="str">
        <f t="shared" si="0"/>
        <v>37001</v>
      </c>
      <c r="L17">
        <v>1708201.54</v>
      </c>
      <c r="M17">
        <v>0</v>
      </c>
      <c r="N17">
        <v>0</v>
      </c>
      <c r="O17">
        <v>0</v>
      </c>
      <c r="P17" s="8">
        <v>1708201.54</v>
      </c>
    </row>
    <row r="18" spans="1:16">
      <c r="A18" s="1">
        <v>44562</v>
      </c>
      <c r="B18" t="s">
        <v>133</v>
      </c>
      <c r="C18" t="s">
        <v>14</v>
      </c>
      <c r="D18" t="s">
        <v>15</v>
      </c>
      <c r="E18" t="s">
        <v>33</v>
      </c>
      <c r="F18" t="s">
        <v>24</v>
      </c>
      <c r="G18" t="s">
        <v>73</v>
      </c>
      <c r="H18" t="s">
        <v>525</v>
      </c>
      <c r="I18">
        <v>7</v>
      </c>
      <c r="J18" t="s">
        <v>90</v>
      </c>
      <c r="K18" t="str">
        <f t="shared" si="0"/>
        <v>37002</v>
      </c>
      <c r="L18">
        <v>0</v>
      </c>
      <c r="M18">
        <v>0</v>
      </c>
      <c r="N18">
        <v>0</v>
      </c>
      <c r="O18">
        <v>0</v>
      </c>
      <c r="P18" s="8">
        <v>0</v>
      </c>
    </row>
    <row r="19" spans="1:16">
      <c r="A19" s="1">
        <v>44562</v>
      </c>
      <c r="B19" t="s">
        <v>133</v>
      </c>
      <c r="C19" t="s">
        <v>14</v>
      </c>
      <c r="D19" t="s">
        <v>15</v>
      </c>
      <c r="E19" t="s">
        <v>33</v>
      </c>
      <c r="F19" t="s">
        <v>24</v>
      </c>
      <c r="G19" t="s">
        <v>73</v>
      </c>
      <c r="H19" t="s">
        <v>525</v>
      </c>
      <c r="I19">
        <v>7</v>
      </c>
      <c r="J19" t="s">
        <v>91</v>
      </c>
      <c r="K19" t="str">
        <f t="shared" si="0"/>
        <v>37004</v>
      </c>
      <c r="L19">
        <v>17449111.399999999</v>
      </c>
      <c r="M19">
        <v>0</v>
      </c>
      <c r="N19">
        <v>-381198.79</v>
      </c>
      <c r="O19">
        <v>0</v>
      </c>
      <c r="P19" s="8">
        <v>17067912.609999999</v>
      </c>
    </row>
    <row r="20" spans="1:16">
      <c r="A20" s="1">
        <v>44562</v>
      </c>
      <c r="B20" t="s">
        <v>133</v>
      </c>
      <c r="C20" t="s">
        <v>14</v>
      </c>
      <c r="D20" t="s">
        <v>15</v>
      </c>
      <c r="E20" t="s">
        <v>33</v>
      </c>
      <c r="F20" t="s">
        <v>24</v>
      </c>
      <c r="G20" t="s">
        <v>73</v>
      </c>
      <c r="H20" t="s">
        <v>525</v>
      </c>
      <c r="I20">
        <v>7</v>
      </c>
      <c r="J20" t="s">
        <v>92</v>
      </c>
      <c r="K20" t="str">
        <f t="shared" si="0"/>
        <v>37100</v>
      </c>
      <c r="L20">
        <v>2499128.34</v>
      </c>
      <c r="M20">
        <v>362.06</v>
      </c>
      <c r="N20">
        <v>0</v>
      </c>
      <c r="O20">
        <v>0</v>
      </c>
      <c r="P20" s="8">
        <v>2499490.4</v>
      </c>
    </row>
    <row r="21" spans="1:16">
      <c r="A21" s="1">
        <v>44562</v>
      </c>
      <c r="B21" t="s">
        <v>133</v>
      </c>
      <c r="C21" t="s">
        <v>14</v>
      </c>
      <c r="D21" t="s">
        <v>15</v>
      </c>
      <c r="E21" t="s">
        <v>33</v>
      </c>
      <c r="F21" t="s">
        <v>24</v>
      </c>
      <c r="G21" t="s">
        <v>73</v>
      </c>
      <c r="H21" t="s">
        <v>525</v>
      </c>
      <c r="I21">
        <v>7</v>
      </c>
      <c r="J21" t="s">
        <v>93</v>
      </c>
      <c r="K21" t="str">
        <f t="shared" si="0"/>
        <v>37300</v>
      </c>
      <c r="L21">
        <v>10120509.859999999</v>
      </c>
      <c r="M21">
        <v>98741.440000000002</v>
      </c>
      <c r="N21">
        <v>0</v>
      </c>
      <c r="O21">
        <v>0</v>
      </c>
      <c r="P21" s="8">
        <v>10219251.300000001</v>
      </c>
    </row>
    <row r="22" spans="1:16">
      <c r="A22" s="1">
        <v>44562</v>
      </c>
      <c r="B22" t="s">
        <v>133</v>
      </c>
      <c r="C22" t="s">
        <v>14</v>
      </c>
      <c r="D22" t="s">
        <v>15</v>
      </c>
      <c r="E22" t="s">
        <v>33</v>
      </c>
      <c r="F22" t="s">
        <v>119</v>
      </c>
      <c r="G22" t="s">
        <v>73</v>
      </c>
      <c r="H22" t="s">
        <v>525</v>
      </c>
      <c r="I22">
        <v>7</v>
      </c>
      <c r="J22" t="s">
        <v>74</v>
      </c>
      <c r="K22" t="str">
        <f t="shared" si="0"/>
        <v>36001</v>
      </c>
      <c r="L22">
        <v>0</v>
      </c>
      <c r="M22">
        <v>0</v>
      </c>
      <c r="N22">
        <v>0</v>
      </c>
      <c r="O22">
        <v>0</v>
      </c>
      <c r="P22" s="9">
        <v>0</v>
      </c>
    </row>
    <row r="23" spans="1:16">
      <c r="A23" s="1">
        <v>44562</v>
      </c>
      <c r="B23" t="s">
        <v>133</v>
      </c>
      <c r="C23" t="s">
        <v>14</v>
      </c>
      <c r="D23" t="s">
        <v>15</v>
      </c>
      <c r="E23" t="s">
        <v>33</v>
      </c>
      <c r="F23" t="s">
        <v>119</v>
      </c>
      <c r="G23" t="s">
        <v>73</v>
      </c>
      <c r="H23" t="s">
        <v>525</v>
      </c>
      <c r="I23">
        <v>7</v>
      </c>
      <c r="J23" t="s">
        <v>79</v>
      </c>
      <c r="K23" t="str">
        <f t="shared" si="0"/>
        <v>36200</v>
      </c>
      <c r="L23">
        <v>2753405.5</v>
      </c>
      <c r="M23">
        <v>0</v>
      </c>
      <c r="N23">
        <v>0</v>
      </c>
      <c r="O23">
        <v>0</v>
      </c>
      <c r="P23" s="9">
        <v>2753405.5</v>
      </c>
    </row>
    <row r="24" spans="1:16">
      <c r="A24" s="1">
        <v>44562</v>
      </c>
      <c r="B24" t="s">
        <v>133</v>
      </c>
      <c r="C24" t="s">
        <v>14</v>
      </c>
      <c r="D24" t="s">
        <v>15</v>
      </c>
      <c r="E24" t="s">
        <v>33</v>
      </c>
      <c r="F24" t="s">
        <v>17</v>
      </c>
      <c r="G24" t="s">
        <v>73</v>
      </c>
      <c r="H24" t="s">
        <v>525</v>
      </c>
      <c r="I24">
        <v>7</v>
      </c>
      <c r="J24" t="s">
        <v>74</v>
      </c>
      <c r="K24" t="str">
        <f t="shared" si="0"/>
        <v>36001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 s="1">
        <v>44562</v>
      </c>
      <c r="B25" t="s">
        <v>133</v>
      </c>
      <c r="C25" t="s">
        <v>14</v>
      </c>
      <c r="D25" t="s">
        <v>15</v>
      </c>
      <c r="E25" t="s">
        <v>33</v>
      </c>
      <c r="F25" t="s">
        <v>17</v>
      </c>
      <c r="G25" t="s">
        <v>73</v>
      </c>
      <c r="H25" t="s">
        <v>525</v>
      </c>
      <c r="I25">
        <v>7</v>
      </c>
      <c r="J25" t="s">
        <v>77</v>
      </c>
      <c r="K25" t="str">
        <f t="shared" si="0"/>
        <v>36100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 s="1">
        <v>44562</v>
      </c>
      <c r="B26" t="s">
        <v>133</v>
      </c>
      <c r="C26" t="s">
        <v>14</v>
      </c>
      <c r="D26" t="s">
        <v>15</v>
      </c>
      <c r="E26" t="s">
        <v>33</v>
      </c>
      <c r="F26" t="s">
        <v>17</v>
      </c>
      <c r="G26" t="s">
        <v>73</v>
      </c>
      <c r="H26" t="s">
        <v>525</v>
      </c>
      <c r="I26">
        <v>7</v>
      </c>
      <c r="J26" t="s">
        <v>79</v>
      </c>
      <c r="K26" t="str">
        <f t="shared" si="0"/>
        <v>36200</v>
      </c>
      <c r="L26">
        <v>71277.290000000008</v>
      </c>
      <c r="M26">
        <v>-63037.18</v>
      </c>
      <c r="N26">
        <v>0</v>
      </c>
      <c r="O26">
        <v>0</v>
      </c>
      <c r="P26">
        <v>8240.11</v>
      </c>
    </row>
    <row r="27" spans="1:16">
      <c r="A27" s="1">
        <v>44562</v>
      </c>
      <c r="B27" t="s">
        <v>133</v>
      </c>
      <c r="C27" t="s">
        <v>14</v>
      </c>
      <c r="D27" t="s">
        <v>15</v>
      </c>
      <c r="E27" t="s">
        <v>33</v>
      </c>
      <c r="F27" t="s">
        <v>17</v>
      </c>
      <c r="G27" t="s">
        <v>73</v>
      </c>
      <c r="H27" t="s">
        <v>525</v>
      </c>
      <c r="I27">
        <v>7</v>
      </c>
      <c r="J27" t="s">
        <v>80</v>
      </c>
      <c r="K27" t="str">
        <f t="shared" si="0"/>
        <v>36400</v>
      </c>
      <c r="L27">
        <v>17899936.170000002</v>
      </c>
      <c r="M27">
        <v>-270132.8</v>
      </c>
      <c r="N27">
        <v>0</v>
      </c>
      <c r="O27">
        <v>0</v>
      </c>
      <c r="P27">
        <v>17629803.370000001</v>
      </c>
    </row>
    <row r="28" spans="1:16">
      <c r="A28" s="1">
        <v>44562</v>
      </c>
      <c r="B28" t="s">
        <v>133</v>
      </c>
      <c r="C28" t="s">
        <v>14</v>
      </c>
      <c r="D28" t="s">
        <v>15</v>
      </c>
      <c r="E28" t="s">
        <v>33</v>
      </c>
      <c r="F28" t="s">
        <v>17</v>
      </c>
      <c r="G28" t="s">
        <v>73</v>
      </c>
      <c r="H28" t="s">
        <v>525</v>
      </c>
      <c r="I28">
        <v>7</v>
      </c>
      <c r="J28" t="s">
        <v>81</v>
      </c>
      <c r="K28" t="str">
        <f t="shared" si="0"/>
        <v>36500</v>
      </c>
      <c r="L28">
        <v>4133813.37</v>
      </c>
      <c r="M28">
        <v>143703.04000000001</v>
      </c>
      <c r="N28">
        <v>0</v>
      </c>
      <c r="O28">
        <v>0</v>
      </c>
      <c r="P28">
        <v>4277516.41</v>
      </c>
    </row>
    <row r="29" spans="1:16">
      <c r="A29" s="1">
        <v>44562</v>
      </c>
      <c r="B29" t="s">
        <v>133</v>
      </c>
      <c r="C29" t="s">
        <v>14</v>
      </c>
      <c r="D29" t="s">
        <v>15</v>
      </c>
      <c r="E29" t="s">
        <v>33</v>
      </c>
      <c r="F29" t="s">
        <v>17</v>
      </c>
      <c r="G29" t="s">
        <v>73</v>
      </c>
      <c r="H29" t="s">
        <v>525</v>
      </c>
      <c r="I29">
        <v>7</v>
      </c>
      <c r="J29" t="s">
        <v>82</v>
      </c>
      <c r="K29" t="str">
        <f t="shared" si="0"/>
        <v>36600</v>
      </c>
      <c r="L29">
        <v>1605078.69</v>
      </c>
      <c r="M29">
        <v>109519.5</v>
      </c>
      <c r="N29">
        <v>0</v>
      </c>
      <c r="O29">
        <v>0</v>
      </c>
      <c r="P29">
        <v>1714598.19</v>
      </c>
    </row>
    <row r="30" spans="1:16">
      <c r="A30" s="1">
        <v>44562</v>
      </c>
      <c r="B30" t="s">
        <v>133</v>
      </c>
      <c r="C30" t="s">
        <v>14</v>
      </c>
      <c r="D30" t="s">
        <v>15</v>
      </c>
      <c r="E30" t="s">
        <v>33</v>
      </c>
      <c r="F30" t="s">
        <v>17</v>
      </c>
      <c r="G30" t="s">
        <v>73</v>
      </c>
      <c r="H30" t="s">
        <v>525</v>
      </c>
      <c r="I30">
        <v>7</v>
      </c>
      <c r="J30" t="s">
        <v>83</v>
      </c>
      <c r="K30" t="str">
        <f t="shared" si="0"/>
        <v>36700</v>
      </c>
      <c r="L30">
        <v>5926290.6200000001</v>
      </c>
      <c r="M30">
        <v>-315405.33</v>
      </c>
      <c r="N30">
        <v>0</v>
      </c>
      <c r="O30">
        <v>0</v>
      </c>
      <c r="P30">
        <v>5610885.29</v>
      </c>
    </row>
    <row r="31" spans="1:16">
      <c r="A31" s="1">
        <v>44562</v>
      </c>
      <c r="B31" t="s">
        <v>133</v>
      </c>
      <c r="C31" t="s">
        <v>14</v>
      </c>
      <c r="D31" t="s">
        <v>15</v>
      </c>
      <c r="E31" t="s">
        <v>33</v>
      </c>
      <c r="F31" t="s">
        <v>17</v>
      </c>
      <c r="G31" t="s">
        <v>73</v>
      </c>
      <c r="H31" t="s">
        <v>525</v>
      </c>
      <c r="I31">
        <v>7</v>
      </c>
      <c r="J31" t="s">
        <v>84</v>
      </c>
      <c r="K31" t="str">
        <f t="shared" si="0"/>
        <v>36801</v>
      </c>
      <c r="L31">
        <v>654656.78</v>
      </c>
      <c r="M31">
        <v>20572.12</v>
      </c>
      <c r="N31">
        <v>0</v>
      </c>
      <c r="O31">
        <v>0</v>
      </c>
      <c r="P31">
        <v>675228.9</v>
      </c>
    </row>
    <row r="32" spans="1:16">
      <c r="A32" s="1">
        <v>44562</v>
      </c>
      <c r="B32" t="s">
        <v>133</v>
      </c>
      <c r="C32" t="s">
        <v>14</v>
      </c>
      <c r="D32" t="s">
        <v>15</v>
      </c>
      <c r="E32" t="s">
        <v>33</v>
      </c>
      <c r="F32" t="s">
        <v>17</v>
      </c>
      <c r="G32" t="s">
        <v>73</v>
      </c>
      <c r="H32" t="s">
        <v>525</v>
      </c>
      <c r="I32">
        <v>7</v>
      </c>
      <c r="J32" t="s">
        <v>85</v>
      </c>
      <c r="K32" t="str">
        <f t="shared" si="0"/>
        <v>36802</v>
      </c>
      <c r="L32">
        <v>1040099.6</v>
      </c>
      <c r="M32">
        <v>46287.6</v>
      </c>
      <c r="N32">
        <v>0</v>
      </c>
      <c r="O32">
        <v>0</v>
      </c>
      <c r="P32">
        <v>1086387.2</v>
      </c>
    </row>
    <row r="33" spans="1:16">
      <c r="A33" s="1">
        <v>44562</v>
      </c>
      <c r="B33" t="s">
        <v>133</v>
      </c>
      <c r="C33" t="s">
        <v>14</v>
      </c>
      <c r="D33" t="s">
        <v>15</v>
      </c>
      <c r="E33" t="s">
        <v>33</v>
      </c>
      <c r="F33" t="s">
        <v>17</v>
      </c>
      <c r="G33" t="s">
        <v>73</v>
      </c>
      <c r="H33" t="s">
        <v>525</v>
      </c>
      <c r="I33">
        <v>7</v>
      </c>
      <c r="J33" t="s">
        <v>86</v>
      </c>
      <c r="K33" t="str">
        <f t="shared" si="0"/>
        <v>36803</v>
      </c>
      <c r="L33">
        <v>687033.92</v>
      </c>
      <c r="M33">
        <v>77068.22</v>
      </c>
      <c r="N33">
        <v>0</v>
      </c>
      <c r="O33">
        <v>0</v>
      </c>
      <c r="P33">
        <v>764102.14</v>
      </c>
    </row>
    <row r="34" spans="1:16">
      <c r="A34" s="1">
        <v>44562</v>
      </c>
      <c r="B34" t="s">
        <v>133</v>
      </c>
      <c r="C34" t="s">
        <v>14</v>
      </c>
      <c r="D34" t="s">
        <v>15</v>
      </c>
      <c r="E34" t="s">
        <v>33</v>
      </c>
      <c r="F34" t="s">
        <v>17</v>
      </c>
      <c r="G34" t="s">
        <v>73</v>
      </c>
      <c r="H34" t="s">
        <v>525</v>
      </c>
      <c r="I34">
        <v>7</v>
      </c>
      <c r="J34" t="s">
        <v>87</v>
      </c>
      <c r="K34" t="str">
        <f t="shared" si="0"/>
        <v>36901</v>
      </c>
      <c r="L34">
        <v>569908.97</v>
      </c>
      <c r="M34">
        <v>55824.28</v>
      </c>
      <c r="N34">
        <v>0</v>
      </c>
      <c r="O34">
        <v>0</v>
      </c>
      <c r="P34">
        <v>625733.25</v>
      </c>
    </row>
    <row r="35" spans="1:16">
      <c r="A35" s="1">
        <v>44562</v>
      </c>
      <c r="B35" t="s">
        <v>133</v>
      </c>
      <c r="C35" t="s">
        <v>14</v>
      </c>
      <c r="D35" t="s">
        <v>15</v>
      </c>
      <c r="E35" t="s">
        <v>33</v>
      </c>
      <c r="F35" t="s">
        <v>17</v>
      </c>
      <c r="G35" t="s">
        <v>73</v>
      </c>
      <c r="H35" t="s">
        <v>525</v>
      </c>
      <c r="I35">
        <v>7</v>
      </c>
      <c r="J35" t="s">
        <v>88</v>
      </c>
      <c r="K35" t="str">
        <f t="shared" si="0"/>
        <v>36902</v>
      </c>
      <c r="L35">
        <v>818178.64</v>
      </c>
      <c r="M35">
        <v>38226.450000000004</v>
      </c>
      <c r="N35">
        <v>0</v>
      </c>
      <c r="O35">
        <v>0</v>
      </c>
      <c r="P35">
        <v>856405.09</v>
      </c>
    </row>
    <row r="36" spans="1:16">
      <c r="A36" s="1">
        <v>44562</v>
      </c>
      <c r="B36" t="s">
        <v>133</v>
      </c>
      <c r="C36" t="s">
        <v>14</v>
      </c>
      <c r="D36" t="s">
        <v>15</v>
      </c>
      <c r="E36" t="s">
        <v>33</v>
      </c>
      <c r="F36" t="s">
        <v>17</v>
      </c>
      <c r="G36" t="s">
        <v>73</v>
      </c>
      <c r="H36" t="s">
        <v>525</v>
      </c>
      <c r="I36">
        <v>7</v>
      </c>
      <c r="J36" t="s">
        <v>89</v>
      </c>
      <c r="K36" t="str">
        <f t="shared" si="0"/>
        <v>37001</v>
      </c>
      <c r="L36">
        <v>1991.88</v>
      </c>
      <c r="M36">
        <v>2614.94</v>
      </c>
      <c r="N36">
        <v>0</v>
      </c>
      <c r="O36">
        <v>0</v>
      </c>
      <c r="P36">
        <v>4606.82</v>
      </c>
    </row>
    <row r="37" spans="1:16">
      <c r="A37" s="1">
        <v>44562</v>
      </c>
      <c r="B37" t="s">
        <v>133</v>
      </c>
      <c r="C37" t="s">
        <v>14</v>
      </c>
      <c r="D37" t="s">
        <v>15</v>
      </c>
      <c r="E37" t="s">
        <v>33</v>
      </c>
      <c r="F37" t="s">
        <v>17</v>
      </c>
      <c r="G37" t="s">
        <v>73</v>
      </c>
      <c r="H37" t="s">
        <v>525</v>
      </c>
      <c r="I37">
        <v>7</v>
      </c>
      <c r="J37" t="s">
        <v>91</v>
      </c>
      <c r="K37" t="str">
        <f t="shared" si="0"/>
        <v>37004</v>
      </c>
      <c r="L37">
        <v>1991.88</v>
      </c>
      <c r="M37">
        <v>2614.9700000000003</v>
      </c>
      <c r="N37">
        <v>0</v>
      </c>
      <c r="O37">
        <v>0</v>
      </c>
      <c r="P37">
        <v>4606.8500000000004</v>
      </c>
    </row>
    <row r="38" spans="1:16">
      <c r="A38" s="1">
        <v>44562</v>
      </c>
      <c r="B38" t="s">
        <v>133</v>
      </c>
      <c r="C38" t="s">
        <v>14</v>
      </c>
      <c r="D38" t="s">
        <v>15</v>
      </c>
      <c r="E38" t="s">
        <v>33</v>
      </c>
      <c r="F38" t="s">
        <v>17</v>
      </c>
      <c r="G38" t="s">
        <v>73</v>
      </c>
      <c r="H38" t="s">
        <v>525</v>
      </c>
      <c r="I38">
        <v>7</v>
      </c>
      <c r="J38" t="s">
        <v>92</v>
      </c>
      <c r="K38" t="str">
        <f t="shared" si="0"/>
        <v>37100</v>
      </c>
      <c r="L38">
        <v>145289.51999999999</v>
      </c>
      <c r="M38">
        <v>3020.94</v>
      </c>
      <c r="N38">
        <v>0</v>
      </c>
      <c r="O38">
        <v>0</v>
      </c>
      <c r="P38">
        <v>148310.46</v>
      </c>
    </row>
    <row r="39" spans="1:16">
      <c r="A39" s="1">
        <v>44562</v>
      </c>
      <c r="B39" t="s">
        <v>133</v>
      </c>
      <c r="C39" t="s">
        <v>14</v>
      </c>
      <c r="D39" t="s">
        <v>15</v>
      </c>
      <c r="E39" t="s">
        <v>33</v>
      </c>
      <c r="F39" t="s">
        <v>17</v>
      </c>
      <c r="G39" t="s">
        <v>73</v>
      </c>
      <c r="H39" t="s">
        <v>525</v>
      </c>
      <c r="I39">
        <v>7</v>
      </c>
      <c r="J39" t="s">
        <v>93</v>
      </c>
      <c r="K39" t="str">
        <f t="shared" si="0"/>
        <v>37300</v>
      </c>
      <c r="L39">
        <v>837960.55</v>
      </c>
      <c r="M39">
        <v>-19032.52</v>
      </c>
      <c r="N39">
        <v>0</v>
      </c>
      <c r="O39">
        <v>0</v>
      </c>
      <c r="P39">
        <v>818928.03</v>
      </c>
    </row>
    <row r="40" spans="1:16">
      <c r="A40" s="1">
        <v>44593</v>
      </c>
      <c r="B40" t="s">
        <v>132</v>
      </c>
      <c r="C40" t="s">
        <v>14</v>
      </c>
      <c r="D40" t="s">
        <v>15</v>
      </c>
      <c r="E40" t="s">
        <v>33</v>
      </c>
      <c r="F40" t="s">
        <v>24</v>
      </c>
      <c r="G40" t="s">
        <v>73</v>
      </c>
      <c r="H40" t="s">
        <v>525</v>
      </c>
      <c r="I40">
        <v>7</v>
      </c>
      <c r="J40" t="s">
        <v>74</v>
      </c>
      <c r="K40" t="str">
        <f t="shared" si="0"/>
        <v>36001</v>
      </c>
      <c r="L40">
        <v>658853.93000000005</v>
      </c>
      <c r="M40">
        <v>0</v>
      </c>
      <c r="N40">
        <v>0</v>
      </c>
      <c r="O40">
        <v>0</v>
      </c>
      <c r="P40" s="8">
        <v>658853.93000000005</v>
      </c>
    </row>
    <row r="41" spans="1:16">
      <c r="A41" s="1">
        <v>44593</v>
      </c>
      <c r="B41" t="s">
        <v>132</v>
      </c>
      <c r="C41" t="s">
        <v>14</v>
      </c>
      <c r="D41" t="s">
        <v>15</v>
      </c>
      <c r="E41" t="s">
        <v>33</v>
      </c>
      <c r="F41" t="s">
        <v>24</v>
      </c>
      <c r="G41" t="s">
        <v>73</v>
      </c>
      <c r="H41" t="s">
        <v>525</v>
      </c>
      <c r="I41">
        <v>7</v>
      </c>
      <c r="J41" t="s">
        <v>75</v>
      </c>
      <c r="K41" t="str">
        <f t="shared" si="0"/>
        <v>36002</v>
      </c>
      <c r="L41">
        <v>184620.19</v>
      </c>
      <c r="M41">
        <v>0</v>
      </c>
      <c r="N41">
        <v>0</v>
      </c>
      <c r="O41">
        <v>0</v>
      </c>
      <c r="P41" s="8">
        <v>184620.19</v>
      </c>
    </row>
    <row r="42" spans="1:16">
      <c r="A42" s="1">
        <v>44593</v>
      </c>
      <c r="B42" t="s">
        <v>132</v>
      </c>
      <c r="C42" t="s">
        <v>14</v>
      </c>
      <c r="D42" t="s">
        <v>15</v>
      </c>
      <c r="E42" t="s">
        <v>33</v>
      </c>
      <c r="F42" t="s">
        <v>24</v>
      </c>
      <c r="G42" t="s">
        <v>73</v>
      </c>
      <c r="H42" t="s">
        <v>525</v>
      </c>
      <c r="I42">
        <v>7</v>
      </c>
      <c r="J42" t="s">
        <v>76</v>
      </c>
      <c r="K42" t="str">
        <f t="shared" si="0"/>
        <v>36003</v>
      </c>
      <c r="L42">
        <v>0</v>
      </c>
      <c r="M42">
        <v>0</v>
      </c>
      <c r="N42">
        <v>0</v>
      </c>
      <c r="O42">
        <v>0</v>
      </c>
      <c r="P42" s="8">
        <v>0</v>
      </c>
    </row>
    <row r="43" spans="1:16">
      <c r="A43" s="1">
        <v>44593</v>
      </c>
      <c r="B43" t="s">
        <v>132</v>
      </c>
      <c r="C43" t="s">
        <v>14</v>
      </c>
      <c r="D43" t="s">
        <v>15</v>
      </c>
      <c r="E43" t="s">
        <v>33</v>
      </c>
      <c r="F43" t="s">
        <v>24</v>
      </c>
      <c r="G43" t="s">
        <v>73</v>
      </c>
      <c r="H43" t="s">
        <v>525</v>
      </c>
      <c r="I43">
        <v>7</v>
      </c>
      <c r="J43" t="s">
        <v>77</v>
      </c>
      <c r="K43" t="str">
        <f t="shared" si="0"/>
        <v>36100</v>
      </c>
      <c r="L43">
        <v>640840.06000000006</v>
      </c>
      <c r="M43">
        <v>6460.27</v>
      </c>
      <c r="N43">
        <v>-3322.1800000000003</v>
      </c>
      <c r="O43">
        <v>0</v>
      </c>
      <c r="P43" s="8">
        <v>643978.15</v>
      </c>
    </row>
    <row r="44" spans="1:16">
      <c r="A44" s="1">
        <v>44593</v>
      </c>
      <c r="B44" t="s">
        <v>132</v>
      </c>
      <c r="C44" t="s">
        <v>14</v>
      </c>
      <c r="D44" t="s">
        <v>15</v>
      </c>
      <c r="E44" t="s">
        <v>33</v>
      </c>
      <c r="F44" t="s">
        <v>24</v>
      </c>
      <c r="G44" t="s">
        <v>73</v>
      </c>
      <c r="H44" t="s">
        <v>525</v>
      </c>
      <c r="I44">
        <v>7</v>
      </c>
      <c r="J44" t="s">
        <v>78</v>
      </c>
      <c r="K44" t="str">
        <f t="shared" si="0"/>
        <v>36105</v>
      </c>
      <c r="L44">
        <v>1169918.8700000001</v>
      </c>
      <c r="M44">
        <v>0</v>
      </c>
      <c r="N44">
        <v>0</v>
      </c>
      <c r="O44">
        <v>0</v>
      </c>
      <c r="P44" s="8">
        <v>1169918.8700000001</v>
      </c>
    </row>
    <row r="45" spans="1:16">
      <c r="A45" s="1">
        <v>44593</v>
      </c>
      <c r="B45" t="s">
        <v>132</v>
      </c>
      <c r="C45" t="s">
        <v>14</v>
      </c>
      <c r="D45" t="s">
        <v>15</v>
      </c>
      <c r="E45" t="s">
        <v>33</v>
      </c>
      <c r="F45" t="s">
        <v>24</v>
      </c>
      <c r="G45" t="s">
        <v>73</v>
      </c>
      <c r="H45" t="s">
        <v>525</v>
      </c>
      <c r="I45">
        <v>7</v>
      </c>
      <c r="J45" t="s">
        <v>79</v>
      </c>
      <c r="K45" t="str">
        <f t="shared" si="0"/>
        <v>36200</v>
      </c>
      <c r="L45">
        <v>51243864.270000003</v>
      </c>
      <c r="M45">
        <v>0</v>
      </c>
      <c r="N45">
        <v>0</v>
      </c>
      <c r="O45">
        <v>0</v>
      </c>
      <c r="P45" s="8">
        <v>51243864.270000003</v>
      </c>
    </row>
    <row r="46" spans="1:16">
      <c r="A46" s="1">
        <v>44593</v>
      </c>
      <c r="B46" t="s">
        <v>132</v>
      </c>
      <c r="C46" t="s">
        <v>14</v>
      </c>
      <c r="D46" t="s">
        <v>15</v>
      </c>
      <c r="E46" t="s">
        <v>33</v>
      </c>
      <c r="F46" t="s">
        <v>24</v>
      </c>
      <c r="G46" t="s">
        <v>73</v>
      </c>
      <c r="H46" t="s">
        <v>525</v>
      </c>
      <c r="I46">
        <v>7</v>
      </c>
      <c r="J46" t="s">
        <v>80</v>
      </c>
      <c r="K46" t="str">
        <f t="shared" si="0"/>
        <v>36400</v>
      </c>
      <c r="L46">
        <v>80373119.090000004</v>
      </c>
      <c r="M46">
        <v>311038.91000000003</v>
      </c>
      <c r="N46">
        <v>-34663.699999999997</v>
      </c>
      <c r="O46">
        <v>0</v>
      </c>
      <c r="P46" s="8">
        <v>80649494.299999997</v>
      </c>
    </row>
    <row r="47" spans="1:16">
      <c r="A47" s="1">
        <v>44593</v>
      </c>
      <c r="B47" t="s">
        <v>132</v>
      </c>
      <c r="C47" t="s">
        <v>14</v>
      </c>
      <c r="D47" t="s">
        <v>15</v>
      </c>
      <c r="E47" t="s">
        <v>33</v>
      </c>
      <c r="F47" t="s">
        <v>24</v>
      </c>
      <c r="G47" t="s">
        <v>73</v>
      </c>
      <c r="H47" t="s">
        <v>525</v>
      </c>
      <c r="I47">
        <v>7</v>
      </c>
      <c r="J47" t="s">
        <v>81</v>
      </c>
      <c r="K47" t="str">
        <f t="shared" si="0"/>
        <v>36500</v>
      </c>
      <c r="L47">
        <v>53762918.399999999</v>
      </c>
      <c r="M47">
        <v>45550.25</v>
      </c>
      <c r="N47">
        <v>-4299.82</v>
      </c>
      <c r="O47">
        <v>0</v>
      </c>
      <c r="P47" s="8">
        <v>53804168.829999998</v>
      </c>
    </row>
    <row r="48" spans="1:16">
      <c r="A48" s="1">
        <v>44593</v>
      </c>
      <c r="B48" t="s">
        <v>132</v>
      </c>
      <c r="C48" t="s">
        <v>14</v>
      </c>
      <c r="D48" t="s">
        <v>15</v>
      </c>
      <c r="E48" t="s">
        <v>33</v>
      </c>
      <c r="F48" t="s">
        <v>24</v>
      </c>
      <c r="G48" t="s">
        <v>73</v>
      </c>
      <c r="H48" t="s">
        <v>525</v>
      </c>
      <c r="I48">
        <v>7</v>
      </c>
      <c r="J48" t="s">
        <v>82</v>
      </c>
      <c r="K48" t="str">
        <f t="shared" si="0"/>
        <v>36600</v>
      </c>
      <c r="L48">
        <v>14275445.699999999</v>
      </c>
      <c r="M48">
        <v>21676.3</v>
      </c>
      <c r="N48">
        <v>-57.2</v>
      </c>
      <c r="O48">
        <v>0</v>
      </c>
      <c r="P48" s="8">
        <v>14297064.800000001</v>
      </c>
    </row>
    <row r="49" spans="1:16">
      <c r="A49" s="1">
        <v>44593</v>
      </c>
      <c r="B49" t="s">
        <v>132</v>
      </c>
      <c r="C49" t="s">
        <v>14</v>
      </c>
      <c r="D49" t="s">
        <v>15</v>
      </c>
      <c r="E49" t="s">
        <v>33</v>
      </c>
      <c r="F49" t="s">
        <v>24</v>
      </c>
      <c r="G49" t="s">
        <v>73</v>
      </c>
      <c r="H49" t="s">
        <v>525</v>
      </c>
      <c r="I49">
        <v>7</v>
      </c>
      <c r="J49" t="s">
        <v>83</v>
      </c>
      <c r="K49" t="str">
        <f t="shared" si="0"/>
        <v>36700</v>
      </c>
      <c r="L49">
        <v>27884591.699999999</v>
      </c>
      <c r="M49">
        <v>121261.98</v>
      </c>
      <c r="N49">
        <v>-728.36</v>
      </c>
      <c r="O49">
        <v>0</v>
      </c>
      <c r="P49" s="8">
        <v>28005125.32</v>
      </c>
    </row>
    <row r="50" spans="1:16">
      <c r="A50" s="1">
        <v>44593</v>
      </c>
      <c r="B50" t="s">
        <v>132</v>
      </c>
      <c r="C50" t="s">
        <v>14</v>
      </c>
      <c r="D50" t="s">
        <v>15</v>
      </c>
      <c r="E50" t="s">
        <v>33</v>
      </c>
      <c r="F50" t="s">
        <v>24</v>
      </c>
      <c r="G50" t="s">
        <v>73</v>
      </c>
      <c r="H50" t="s">
        <v>525</v>
      </c>
      <c r="I50">
        <v>7</v>
      </c>
      <c r="J50" t="s">
        <v>84</v>
      </c>
      <c r="K50" t="str">
        <f t="shared" si="0"/>
        <v>36801</v>
      </c>
      <c r="L50">
        <v>9679171.3699999992</v>
      </c>
      <c r="M50">
        <v>26694.95</v>
      </c>
      <c r="N50">
        <v>-1508.89</v>
      </c>
      <c r="O50">
        <v>0</v>
      </c>
      <c r="P50" s="8">
        <v>9704357.4299999997</v>
      </c>
    </row>
    <row r="51" spans="1:16">
      <c r="A51" s="1">
        <v>44593</v>
      </c>
      <c r="B51" t="s">
        <v>132</v>
      </c>
      <c r="C51" t="s">
        <v>14</v>
      </c>
      <c r="D51" t="s">
        <v>15</v>
      </c>
      <c r="E51" t="s">
        <v>33</v>
      </c>
      <c r="F51" t="s">
        <v>24</v>
      </c>
      <c r="G51" t="s">
        <v>73</v>
      </c>
      <c r="H51" t="s">
        <v>525</v>
      </c>
      <c r="I51">
        <v>7</v>
      </c>
      <c r="J51" t="s">
        <v>85</v>
      </c>
      <c r="K51" t="str">
        <f t="shared" si="0"/>
        <v>36802</v>
      </c>
      <c r="L51">
        <v>30584212.260000002</v>
      </c>
      <c r="M51">
        <v>-1818.23</v>
      </c>
      <c r="N51">
        <v>-444.18</v>
      </c>
      <c r="O51">
        <v>0</v>
      </c>
      <c r="P51" s="8">
        <v>30581949.850000001</v>
      </c>
    </row>
    <row r="52" spans="1:16">
      <c r="A52" s="1">
        <v>44593</v>
      </c>
      <c r="B52" t="s">
        <v>132</v>
      </c>
      <c r="C52" t="s">
        <v>14</v>
      </c>
      <c r="D52" t="s">
        <v>15</v>
      </c>
      <c r="E52" t="s">
        <v>33</v>
      </c>
      <c r="F52" t="s">
        <v>24</v>
      </c>
      <c r="G52" t="s">
        <v>73</v>
      </c>
      <c r="H52" t="s">
        <v>525</v>
      </c>
      <c r="I52">
        <v>7</v>
      </c>
      <c r="J52" t="s">
        <v>86</v>
      </c>
      <c r="K52" t="str">
        <f t="shared" si="0"/>
        <v>36803</v>
      </c>
      <c r="L52">
        <v>24894332.300000001</v>
      </c>
      <c r="M52">
        <v>26442.28</v>
      </c>
      <c r="N52">
        <v>179.94</v>
      </c>
      <c r="O52">
        <v>0</v>
      </c>
      <c r="P52" s="8">
        <v>24920954.52</v>
      </c>
    </row>
    <row r="53" spans="1:16">
      <c r="A53" s="1">
        <v>44593</v>
      </c>
      <c r="B53" t="s">
        <v>132</v>
      </c>
      <c r="C53" t="s">
        <v>14</v>
      </c>
      <c r="D53" t="s">
        <v>15</v>
      </c>
      <c r="E53" t="s">
        <v>33</v>
      </c>
      <c r="F53" t="s">
        <v>24</v>
      </c>
      <c r="G53" t="s">
        <v>73</v>
      </c>
      <c r="H53" t="s">
        <v>525</v>
      </c>
      <c r="I53">
        <v>7</v>
      </c>
      <c r="J53" t="s">
        <v>87</v>
      </c>
      <c r="K53" t="str">
        <f t="shared" si="0"/>
        <v>36901</v>
      </c>
      <c r="L53">
        <v>10000340.93</v>
      </c>
      <c r="M53">
        <v>-200.58</v>
      </c>
      <c r="N53">
        <v>0</v>
      </c>
      <c r="O53">
        <v>0</v>
      </c>
      <c r="P53" s="8">
        <v>10000140.35</v>
      </c>
    </row>
    <row r="54" spans="1:16">
      <c r="A54" s="1">
        <v>44593</v>
      </c>
      <c r="B54" t="s">
        <v>132</v>
      </c>
      <c r="C54" t="s">
        <v>14</v>
      </c>
      <c r="D54" t="s">
        <v>15</v>
      </c>
      <c r="E54" t="s">
        <v>33</v>
      </c>
      <c r="F54" t="s">
        <v>24</v>
      </c>
      <c r="G54" t="s">
        <v>73</v>
      </c>
      <c r="H54" t="s">
        <v>525</v>
      </c>
      <c r="I54">
        <v>7</v>
      </c>
      <c r="J54" t="s">
        <v>88</v>
      </c>
      <c r="K54" t="str">
        <f t="shared" si="0"/>
        <v>36902</v>
      </c>
      <c r="L54">
        <v>13301974.99</v>
      </c>
      <c r="M54">
        <v>8114.74</v>
      </c>
      <c r="N54">
        <v>-265.58</v>
      </c>
      <c r="O54">
        <v>0</v>
      </c>
      <c r="P54" s="8">
        <v>13309824.15</v>
      </c>
    </row>
    <row r="55" spans="1:16">
      <c r="A55" s="1">
        <v>44593</v>
      </c>
      <c r="B55" t="s">
        <v>132</v>
      </c>
      <c r="C55" t="s">
        <v>14</v>
      </c>
      <c r="D55" t="s">
        <v>15</v>
      </c>
      <c r="E55" t="s">
        <v>33</v>
      </c>
      <c r="F55" t="s">
        <v>24</v>
      </c>
      <c r="G55" t="s">
        <v>73</v>
      </c>
      <c r="H55" t="s">
        <v>525</v>
      </c>
      <c r="I55">
        <v>7</v>
      </c>
      <c r="J55" t="s">
        <v>89</v>
      </c>
      <c r="K55" t="str">
        <f t="shared" si="0"/>
        <v>37001</v>
      </c>
      <c r="L55">
        <v>1708201.54</v>
      </c>
      <c r="M55">
        <v>0</v>
      </c>
      <c r="N55">
        <v>0</v>
      </c>
      <c r="O55">
        <v>5349.46</v>
      </c>
      <c r="P55" s="8">
        <v>1713551</v>
      </c>
    </row>
    <row r="56" spans="1:16">
      <c r="A56" s="1">
        <v>44593</v>
      </c>
      <c r="B56" t="s">
        <v>132</v>
      </c>
      <c r="C56" t="s">
        <v>14</v>
      </c>
      <c r="D56" t="s">
        <v>15</v>
      </c>
      <c r="E56" t="s">
        <v>33</v>
      </c>
      <c r="F56" t="s">
        <v>24</v>
      </c>
      <c r="G56" t="s">
        <v>73</v>
      </c>
      <c r="H56" t="s">
        <v>525</v>
      </c>
      <c r="I56">
        <v>7</v>
      </c>
      <c r="J56" t="s">
        <v>90</v>
      </c>
      <c r="K56" t="str">
        <f t="shared" si="0"/>
        <v>37002</v>
      </c>
      <c r="L56">
        <v>0</v>
      </c>
      <c r="M56">
        <v>0</v>
      </c>
      <c r="N56">
        <v>0</v>
      </c>
      <c r="O56">
        <v>0</v>
      </c>
      <c r="P56" s="8">
        <v>0</v>
      </c>
    </row>
    <row r="57" spans="1:16">
      <c r="A57" s="1">
        <v>44593</v>
      </c>
      <c r="B57" t="s">
        <v>132</v>
      </c>
      <c r="C57" t="s">
        <v>14</v>
      </c>
      <c r="D57" t="s">
        <v>15</v>
      </c>
      <c r="E57" t="s">
        <v>33</v>
      </c>
      <c r="F57" t="s">
        <v>24</v>
      </c>
      <c r="G57" t="s">
        <v>73</v>
      </c>
      <c r="H57" t="s">
        <v>525</v>
      </c>
      <c r="I57">
        <v>7</v>
      </c>
      <c r="J57" t="s">
        <v>91</v>
      </c>
      <c r="K57" t="str">
        <f t="shared" si="0"/>
        <v>37004</v>
      </c>
      <c r="L57">
        <v>17067912.609999999</v>
      </c>
      <c r="M57">
        <v>0</v>
      </c>
      <c r="N57">
        <v>-52255.98</v>
      </c>
      <c r="O57">
        <v>5607.97</v>
      </c>
      <c r="P57" s="8">
        <v>17021264.600000001</v>
      </c>
    </row>
    <row r="58" spans="1:16">
      <c r="A58" s="1">
        <v>44593</v>
      </c>
      <c r="B58" t="s">
        <v>132</v>
      </c>
      <c r="C58" t="s">
        <v>14</v>
      </c>
      <c r="D58" t="s">
        <v>15</v>
      </c>
      <c r="E58" t="s">
        <v>33</v>
      </c>
      <c r="F58" t="s">
        <v>24</v>
      </c>
      <c r="G58" t="s">
        <v>73</v>
      </c>
      <c r="H58" t="s">
        <v>525</v>
      </c>
      <c r="I58">
        <v>7</v>
      </c>
      <c r="J58" t="s">
        <v>92</v>
      </c>
      <c r="K58" t="str">
        <f t="shared" si="0"/>
        <v>37100</v>
      </c>
      <c r="L58">
        <v>2499490.4</v>
      </c>
      <c r="M58">
        <v>817.55000000000007</v>
      </c>
      <c r="N58">
        <v>0</v>
      </c>
      <c r="O58">
        <v>0</v>
      </c>
      <c r="P58" s="8">
        <v>2500307.9500000002</v>
      </c>
    </row>
    <row r="59" spans="1:16">
      <c r="A59" s="1">
        <v>44593</v>
      </c>
      <c r="B59" t="s">
        <v>132</v>
      </c>
      <c r="C59" t="s">
        <v>14</v>
      </c>
      <c r="D59" t="s">
        <v>15</v>
      </c>
      <c r="E59" t="s">
        <v>33</v>
      </c>
      <c r="F59" t="s">
        <v>24</v>
      </c>
      <c r="G59" t="s">
        <v>73</v>
      </c>
      <c r="H59" t="s">
        <v>525</v>
      </c>
      <c r="I59">
        <v>7</v>
      </c>
      <c r="J59" t="s">
        <v>93</v>
      </c>
      <c r="K59" t="str">
        <f t="shared" si="0"/>
        <v>37300</v>
      </c>
      <c r="L59">
        <v>10219251.300000001</v>
      </c>
      <c r="M59">
        <v>0.38</v>
      </c>
      <c r="N59">
        <v>0</v>
      </c>
      <c r="O59">
        <v>0</v>
      </c>
      <c r="P59" s="8">
        <v>10219251.68</v>
      </c>
    </row>
    <row r="60" spans="1:16">
      <c r="A60" s="1">
        <v>44593</v>
      </c>
      <c r="B60" t="s">
        <v>132</v>
      </c>
      <c r="C60" t="s">
        <v>14</v>
      </c>
      <c r="D60" t="s">
        <v>15</v>
      </c>
      <c r="E60" t="s">
        <v>33</v>
      </c>
      <c r="F60" t="s">
        <v>119</v>
      </c>
      <c r="G60" t="s">
        <v>73</v>
      </c>
      <c r="H60" t="s">
        <v>525</v>
      </c>
      <c r="I60">
        <v>7</v>
      </c>
      <c r="J60" t="s">
        <v>74</v>
      </c>
      <c r="K60" t="str">
        <f t="shared" si="0"/>
        <v>36001</v>
      </c>
      <c r="L60">
        <v>0</v>
      </c>
      <c r="M60">
        <v>0</v>
      </c>
      <c r="N60">
        <v>0</v>
      </c>
      <c r="O60">
        <v>0</v>
      </c>
      <c r="P60" s="9">
        <v>0</v>
      </c>
    </row>
    <row r="61" spans="1:16">
      <c r="A61" s="1">
        <v>44593</v>
      </c>
      <c r="B61" t="s">
        <v>132</v>
      </c>
      <c r="C61" t="s">
        <v>14</v>
      </c>
      <c r="D61" t="s">
        <v>15</v>
      </c>
      <c r="E61" t="s">
        <v>33</v>
      </c>
      <c r="F61" t="s">
        <v>119</v>
      </c>
      <c r="G61" t="s">
        <v>73</v>
      </c>
      <c r="H61" t="s">
        <v>525</v>
      </c>
      <c r="I61">
        <v>7</v>
      </c>
      <c r="J61" t="s">
        <v>79</v>
      </c>
      <c r="K61" t="str">
        <f t="shared" si="0"/>
        <v>36200</v>
      </c>
      <c r="L61">
        <v>2753405.5</v>
      </c>
      <c r="M61">
        <v>0</v>
      </c>
      <c r="N61">
        <v>0</v>
      </c>
      <c r="O61">
        <v>0</v>
      </c>
      <c r="P61" s="9">
        <v>2753405.5</v>
      </c>
    </row>
    <row r="62" spans="1:16">
      <c r="A62" s="1">
        <v>44593</v>
      </c>
      <c r="B62" t="s">
        <v>132</v>
      </c>
      <c r="C62" t="s">
        <v>14</v>
      </c>
      <c r="D62" t="s">
        <v>15</v>
      </c>
      <c r="E62" t="s">
        <v>33</v>
      </c>
      <c r="F62" t="s">
        <v>17</v>
      </c>
      <c r="G62" t="s">
        <v>73</v>
      </c>
      <c r="H62" t="s">
        <v>525</v>
      </c>
      <c r="I62">
        <v>7</v>
      </c>
      <c r="J62" t="s">
        <v>74</v>
      </c>
      <c r="K62" t="str">
        <f t="shared" si="0"/>
        <v>36001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 s="1">
        <v>44593</v>
      </c>
      <c r="B63" t="s">
        <v>132</v>
      </c>
      <c r="C63" t="s">
        <v>14</v>
      </c>
      <c r="D63" t="s">
        <v>15</v>
      </c>
      <c r="E63" t="s">
        <v>33</v>
      </c>
      <c r="F63" t="s">
        <v>17</v>
      </c>
      <c r="G63" t="s">
        <v>73</v>
      </c>
      <c r="H63" t="s">
        <v>525</v>
      </c>
      <c r="I63">
        <v>7</v>
      </c>
      <c r="J63" t="s">
        <v>77</v>
      </c>
      <c r="K63" t="str">
        <f t="shared" si="0"/>
        <v>36100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 s="1">
        <v>44593</v>
      </c>
      <c r="B64" t="s">
        <v>132</v>
      </c>
      <c r="C64" t="s">
        <v>14</v>
      </c>
      <c r="D64" t="s">
        <v>15</v>
      </c>
      <c r="E64" t="s">
        <v>33</v>
      </c>
      <c r="F64" t="s">
        <v>17</v>
      </c>
      <c r="G64" t="s">
        <v>73</v>
      </c>
      <c r="H64" t="s">
        <v>525</v>
      </c>
      <c r="I64">
        <v>7</v>
      </c>
      <c r="J64" t="s">
        <v>79</v>
      </c>
      <c r="K64" t="str">
        <f t="shared" si="0"/>
        <v>36200</v>
      </c>
      <c r="L64">
        <v>8240.11</v>
      </c>
      <c r="M64">
        <v>71145.84</v>
      </c>
      <c r="N64">
        <v>0</v>
      </c>
      <c r="O64">
        <v>0</v>
      </c>
      <c r="P64">
        <v>79385.95</v>
      </c>
    </row>
    <row r="65" spans="1:16">
      <c r="A65" s="1">
        <v>44593</v>
      </c>
      <c r="B65" t="s">
        <v>132</v>
      </c>
      <c r="C65" t="s">
        <v>14</v>
      </c>
      <c r="D65" t="s">
        <v>15</v>
      </c>
      <c r="E65" t="s">
        <v>33</v>
      </c>
      <c r="F65" t="s">
        <v>17</v>
      </c>
      <c r="G65" t="s">
        <v>73</v>
      </c>
      <c r="H65" t="s">
        <v>525</v>
      </c>
      <c r="I65">
        <v>7</v>
      </c>
      <c r="J65" t="s">
        <v>80</v>
      </c>
      <c r="K65" t="str">
        <f t="shared" si="0"/>
        <v>36400</v>
      </c>
      <c r="L65">
        <v>17629803.370000001</v>
      </c>
      <c r="M65">
        <v>314527.52</v>
      </c>
      <c r="N65">
        <v>0</v>
      </c>
      <c r="O65">
        <v>0</v>
      </c>
      <c r="P65">
        <v>17944330.890000001</v>
      </c>
    </row>
    <row r="66" spans="1:16">
      <c r="A66" s="1">
        <v>44593</v>
      </c>
      <c r="B66" t="s">
        <v>132</v>
      </c>
      <c r="C66" t="s">
        <v>14</v>
      </c>
      <c r="D66" t="s">
        <v>15</v>
      </c>
      <c r="E66" t="s">
        <v>33</v>
      </c>
      <c r="F66" t="s">
        <v>17</v>
      </c>
      <c r="G66" t="s">
        <v>73</v>
      </c>
      <c r="H66" t="s">
        <v>525</v>
      </c>
      <c r="I66">
        <v>7</v>
      </c>
      <c r="J66" t="s">
        <v>81</v>
      </c>
      <c r="K66" t="str">
        <f t="shared" ref="K66:K129" si="1">MID(J66,2,5)</f>
        <v>36500</v>
      </c>
      <c r="L66">
        <v>4277516.41</v>
      </c>
      <c r="M66">
        <v>146156.92000000001</v>
      </c>
      <c r="N66">
        <v>0</v>
      </c>
      <c r="O66">
        <v>0</v>
      </c>
      <c r="P66">
        <v>4423673.33</v>
      </c>
    </row>
    <row r="67" spans="1:16">
      <c r="A67" s="1">
        <v>44593</v>
      </c>
      <c r="B67" t="s">
        <v>132</v>
      </c>
      <c r="C67" t="s">
        <v>14</v>
      </c>
      <c r="D67" t="s">
        <v>15</v>
      </c>
      <c r="E67" t="s">
        <v>33</v>
      </c>
      <c r="F67" t="s">
        <v>17</v>
      </c>
      <c r="G67" t="s">
        <v>73</v>
      </c>
      <c r="H67" t="s">
        <v>525</v>
      </c>
      <c r="I67">
        <v>7</v>
      </c>
      <c r="J67" t="s">
        <v>82</v>
      </c>
      <c r="K67" t="str">
        <f t="shared" si="1"/>
        <v>36600</v>
      </c>
      <c r="L67">
        <v>1714598.19</v>
      </c>
      <c r="M67">
        <v>244847.94</v>
      </c>
      <c r="N67">
        <v>0</v>
      </c>
      <c r="O67">
        <v>0</v>
      </c>
      <c r="P67">
        <v>1959446.13</v>
      </c>
    </row>
    <row r="68" spans="1:16">
      <c r="A68" s="1">
        <v>44593</v>
      </c>
      <c r="B68" t="s">
        <v>132</v>
      </c>
      <c r="C68" t="s">
        <v>14</v>
      </c>
      <c r="D68" t="s">
        <v>15</v>
      </c>
      <c r="E68" t="s">
        <v>33</v>
      </c>
      <c r="F68" t="s">
        <v>17</v>
      </c>
      <c r="G68" t="s">
        <v>73</v>
      </c>
      <c r="H68" t="s">
        <v>525</v>
      </c>
      <c r="I68">
        <v>7</v>
      </c>
      <c r="J68" t="s">
        <v>83</v>
      </c>
      <c r="K68" t="str">
        <f t="shared" si="1"/>
        <v>36700</v>
      </c>
      <c r="L68">
        <v>5610885.29</v>
      </c>
      <c r="M68">
        <v>380823.02</v>
      </c>
      <c r="N68">
        <v>0</v>
      </c>
      <c r="O68">
        <v>0</v>
      </c>
      <c r="P68">
        <v>5991708.3100000005</v>
      </c>
    </row>
    <row r="69" spans="1:16">
      <c r="A69" s="1">
        <v>44593</v>
      </c>
      <c r="B69" t="s">
        <v>132</v>
      </c>
      <c r="C69" t="s">
        <v>14</v>
      </c>
      <c r="D69" t="s">
        <v>15</v>
      </c>
      <c r="E69" t="s">
        <v>33</v>
      </c>
      <c r="F69" t="s">
        <v>17</v>
      </c>
      <c r="G69" t="s">
        <v>73</v>
      </c>
      <c r="H69" t="s">
        <v>525</v>
      </c>
      <c r="I69">
        <v>7</v>
      </c>
      <c r="J69" t="s">
        <v>84</v>
      </c>
      <c r="K69" t="str">
        <f t="shared" si="1"/>
        <v>36801</v>
      </c>
      <c r="L69">
        <v>675228.9</v>
      </c>
      <c r="M69">
        <v>27253.52</v>
      </c>
      <c r="N69">
        <v>0</v>
      </c>
      <c r="O69">
        <v>0</v>
      </c>
      <c r="P69">
        <v>702482.42</v>
      </c>
    </row>
    <row r="70" spans="1:16">
      <c r="A70" s="1">
        <v>44593</v>
      </c>
      <c r="B70" t="s">
        <v>132</v>
      </c>
      <c r="C70" t="s">
        <v>14</v>
      </c>
      <c r="D70" t="s">
        <v>15</v>
      </c>
      <c r="E70" t="s">
        <v>33</v>
      </c>
      <c r="F70" t="s">
        <v>17</v>
      </c>
      <c r="G70" t="s">
        <v>73</v>
      </c>
      <c r="H70" t="s">
        <v>525</v>
      </c>
      <c r="I70">
        <v>7</v>
      </c>
      <c r="J70" t="s">
        <v>85</v>
      </c>
      <c r="K70" t="str">
        <f t="shared" si="1"/>
        <v>36802</v>
      </c>
      <c r="L70">
        <v>1086387.2</v>
      </c>
      <c r="M70">
        <v>105309.54000000001</v>
      </c>
      <c r="N70">
        <v>0</v>
      </c>
      <c r="O70">
        <v>0</v>
      </c>
      <c r="P70">
        <v>1191696.74</v>
      </c>
    </row>
    <row r="71" spans="1:16">
      <c r="A71" s="1">
        <v>44593</v>
      </c>
      <c r="B71" t="s">
        <v>132</v>
      </c>
      <c r="C71" t="s">
        <v>14</v>
      </c>
      <c r="D71" t="s">
        <v>15</v>
      </c>
      <c r="E71" t="s">
        <v>33</v>
      </c>
      <c r="F71" t="s">
        <v>17</v>
      </c>
      <c r="G71" t="s">
        <v>73</v>
      </c>
      <c r="H71" t="s">
        <v>525</v>
      </c>
      <c r="I71">
        <v>7</v>
      </c>
      <c r="J71" t="s">
        <v>86</v>
      </c>
      <c r="K71" t="str">
        <f t="shared" si="1"/>
        <v>36803</v>
      </c>
      <c r="L71">
        <v>764102.14</v>
      </c>
      <c r="M71">
        <v>65304.14</v>
      </c>
      <c r="N71">
        <v>0</v>
      </c>
      <c r="O71">
        <v>0</v>
      </c>
      <c r="P71">
        <v>829406.28</v>
      </c>
    </row>
    <row r="72" spans="1:16">
      <c r="A72" s="1">
        <v>44593</v>
      </c>
      <c r="B72" t="s">
        <v>132</v>
      </c>
      <c r="C72" t="s">
        <v>14</v>
      </c>
      <c r="D72" t="s">
        <v>15</v>
      </c>
      <c r="E72" t="s">
        <v>33</v>
      </c>
      <c r="F72" t="s">
        <v>17</v>
      </c>
      <c r="G72" t="s">
        <v>73</v>
      </c>
      <c r="H72" t="s">
        <v>525</v>
      </c>
      <c r="I72">
        <v>7</v>
      </c>
      <c r="J72" t="s">
        <v>87</v>
      </c>
      <c r="K72" t="str">
        <f t="shared" si="1"/>
        <v>36901</v>
      </c>
      <c r="L72">
        <v>625733.25</v>
      </c>
      <c r="M72">
        <v>57506.49</v>
      </c>
      <c r="N72">
        <v>0</v>
      </c>
      <c r="O72">
        <v>0</v>
      </c>
      <c r="P72">
        <v>683239.74</v>
      </c>
    </row>
    <row r="73" spans="1:16">
      <c r="A73" s="1">
        <v>44593</v>
      </c>
      <c r="B73" t="s">
        <v>132</v>
      </c>
      <c r="C73" t="s">
        <v>14</v>
      </c>
      <c r="D73" t="s">
        <v>15</v>
      </c>
      <c r="E73" t="s">
        <v>33</v>
      </c>
      <c r="F73" t="s">
        <v>17</v>
      </c>
      <c r="G73" t="s">
        <v>73</v>
      </c>
      <c r="H73" t="s">
        <v>525</v>
      </c>
      <c r="I73">
        <v>7</v>
      </c>
      <c r="J73" t="s">
        <v>88</v>
      </c>
      <c r="K73" t="str">
        <f t="shared" si="1"/>
        <v>36902</v>
      </c>
      <c r="L73">
        <v>856405.09</v>
      </c>
      <c r="M73">
        <v>104640.23</v>
      </c>
      <c r="N73">
        <v>0</v>
      </c>
      <c r="O73">
        <v>0</v>
      </c>
      <c r="P73">
        <v>961045.32000000007</v>
      </c>
    </row>
    <row r="74" spans="1:16">
      <c r="A74" s="1">
        <v>44593</v>
      </c>
      <c r="B74" t="s">
        <v>132</v>
      </c>
      <c r="C74" t="s">
        <v>14</v>
      </c>
      <c r="D74" t="s">
        <v>15</v>
      </c>
      <c r="E74" t="s">
        <v>33</v>
      </c>
      <c r="F74" t="s">
        <v>17</v>
      </c>
      <c r="G74" t="s">
        <v>73</v>
      </c>
      <c r="H74" t="s">
        <v>525</v>
      </c>
      <c r="I74">
        <v>7</v>
      </c>
      <c r="J74" t="s">
        <v>89</v>
      </c>
      <c r="K74" t="str">
        <f t="shared" si="1"/>
        <v>37001</v>
      </c>
      <c r="L74">
        <v>4606.82</v>
      </c>
      <c r="M74">
        <v>4175.84</v>
      </c>
      <c r="N74">
        <v>0</v>
      </c>
      <c r="O74">
        <v>0</v>
      </c>
      <c r="P74">
        <v>8782.66</v>
      </c>
    </row>
    <row r="75" spans="1:16">
      <c r="A75" s="1">
        <v>44593</v>
      </c>
      <c r="B75" t="s">
        <v>132</v>
      </c>
      <c r="C75" t="s">
        <v>14</v>
      </c>
      <c r="D75" t="s">
        <v>15</v>
      </c>
      <c r="E75" t="s">
        <v>33</v>
      </c>
      <c r="F75" t="s">
        <v>17</v>
      </c>
      <c r="G75" t="s">
        <v>73</v>
      </c>
      <c r="H75" t="s">
        <v>525</v>
      </c>
      <c r="I75">
        <v>7</v>
      </c>
      <c r="J75" t="s">
        <v>91</v>
      </c>
      <c r="K75" t="str">
        <f t="shared" si="1"/>
        <v>37004</v>
      </c>
      <c r="L75">
        <v>4606.8500000000004</v>
      </c>
      <c r="M75">
        <v>4175.8599999999997</v>
      </c>
      <c r="N75">
        <v>0</v>
      </c>
      <c r="O75">
        <v>0</v>
      </c>
      <c r="P75">
        <v>8782.7100000000009</v>
      </c>
    </row>
    <row r="76" spans="1:16">
      <c r="A76" s="1">
        <v>44593</v>
      </c>
      <c r="B76" t="s">
        <v>132</v>
      </c>
      <c r="C76" t="s">
        <v>14</v>
      </c>
      <c r="D76" t="s">
        <v>15</v>
      </c>
      <c r="E76" t="s">
        <v>33</v>
      </c>
      <c r="F76" t="s">
        <v>17</v>
      </c>
      <c r="G76" t="s">
        <v>73</v>
      </c>
      <c r="H76" t="s">
        <v>525</v>
      </c>
      <c r="I76">
        <v>7</v>
      </c>
      <c r="J76" t="s">
        <v>92</v>
      </c>
      <c r="K76" t="str">
        <f t="shared" si="1"/>
        <v>37100</v>
      </c>
      <c r="L76">
        <v>148310.46</v>
      </c>
      <c r="M76">
        <v>1594.88</v>
      </c>
      <c r="N76">
        <v>0</v>
      </c>
      <c r="O76">
        <v>0</v>
      </c>
      <c r="P76">
        <v>149905.34</v>
      </c>
    </row>
    <row r="77" spans="1:16">
      <c r="A77" s="1">
        <v>44593</v>
      </c>
      <c r="B77" t="s">
        <v>132</v>
      </c>
      <c r="C77" t="s">
        <v>14</v>
      </c>
      <c r="D77" t="s">
        <v>15</v>
      </c>
      <c r="E77" t="s">
        <v>33</v>
      </c>
      <c r="F77" t="s">
        <v>17</v>
      </c>
      <c r="G77" t="s">
        <v>73</v>
      </c>
      <c r="H77" t="s">
        <v>525</v>
      </c>
      <c r="I77">
        <v>7</v>
      </c>
      <c r="J77" t="s">
        <v>93</v>
      </c>
      <c r="K77" t="str">
        <f t="shared" si="1"/>
        <v>37300</v>
      </c>
      <c r="L77">
        <v>818928.03</v>
      </c>
      <c r="M77">
        <v>326618.93</v>
      </c>
      <c r="N77">
        <v>0</v>
      </c>
      <c r="O77">
        <v>0</v>
      </c>
      <c r="P77">
        <v>1145546.96</v>
      </c>
    </row>
    <row r="78" spans="1:16">
      <c r="A78" s="1">
        <v>44621</v>
      </c>
      <c r="B78" t="s">
        <v>131</v>
      </c>
      <c r="C78" t="s">
        <v>14</v>
      </c>
      <c r="D78" t="s">
        <v>15</v>
      </c>
      <c r="E78" t="s">
        <v>33</v>
      </c>
      <c r="F78" t="s">
        <v>24</v>
      </c>
      <c r="G78" t="s">
        <v>73</v>
      </c>
      <c r="H78" t="s">
        <v>525</v>
      </c>
      <c r="I78">
        <v>7</v>
      </c>
      <c r="J78" t="s">
        <v>74</v>
      </c>
      <c r="K78" t="str">
        <f t="shared" si="1"/>
        <v>36001</v>
      </c>
      <c r="L78">
        <v>658853.93000000005</v>
      </c>
      <c r="M78">
        <v>0</v>
      </c>
      <c r="N78">
        <v>0</v>
      </c>
      <c r="O78">
        <v>0</v>
      </c>
      <c r="P78" s="8">
        <v>658853.93000000005</v>
      </c>
    </row>
    <row r="79" spans="1:16">
      <c r="A79" s="1">
        <v>44621</v>
      </c>
      <c r="B79" t="s">
        <v>131</v>
      </c>
      <c r="C79" t="s">
        <v>14</v>
      </c>
      <c r="D79" t="s">
        <v>15</v>
      </c>
      <c r="E79" t="s">
        <v>33</v>
      </c>
      <c r="F79" t="s">
        <v>24</v>
      </c>
      <c r="G79" t="s">
        <v>73</v>
      </c>
      <c r="H79" t="s">
        <v>525</v>
      </c>
      <c r="I79">
        <v>7</v>
      </c>
      <c r="J79" t="s">
        <v>75</v>
      </c>
      <c r="K79" t="str">
        <f t="shared" si="1"/>
        <v>36002</v>
      </c>
      <c r="L79">
        <v>184620.19</v>
      </c>
      <c r="M79">
        <v>0</v>
      </c>
      <c r="N79">
        <v>0</v>
      </c>
      <c r="O79">
        <v>0</v>
      </c>
      <c r="P79" s="8">
        <v>184620.19</v>
      </c>
    </row>
    <row r="80" spans="1:16">
      <c r="A80" s="1">
        <v>44621</v>
      </c>
      <c r="B80" t="s">
        <v>131</v>
      </c>
      <c r="C80" t="s">
        <v>14</v>
      </c>
      <c r="D80" t="s">
        <v>15</v>
      </c>
      <c r="E80" t="s">
        <v>33</v>
      </c>
      <c r="F80" t="s">
        <v>24</v>
      </c>
      <c r="G80" t="s">
        <v>73</v>
      </c>
      <c r="H80" t="s">
        <v>525</v>
      </c>
      <c r="I80">
        <v>7</v>
      </c>
      <c r="J80" t="s">
        <v>76</v>
      </c>
      <c r="K80" t="str">
        <f t="shared" si="1"/>
        <v>36003</v>
      </c>
      <c r="L80">
        <v>0</v>
      </c>
      <c r="M80">
        <v>0</v>
      </c>
      <c r="N80">
        <v>0</v>
      </c>
      <c r="O80">
        <v>0</v>
      </c>
      <c r="P80" s="8">
        <v>0</v>
      </c>
    </row>
    <row r="81" spans="1:16">
      <c r="A81" s="1">
        <v>44621</v>
      </c>
      <c r="B81" t="s">
        <v>131</v>
      </c>
      <c r="C81" t="s">
        <v>14</v>
      </c>
      <c r="D81" t="s">
        <v>15</v>
      </c>
      <c r="E81" t="s">
        <v>33</v>
      </c>
      <c r="F81" t="s">
        <v>24</v>
      </c>
      <c r="G81" t="s">
        <v>73</v>
      </c>
      <c r="H81" t="s">
        <v>525</v>
      </c>
      <c r="I81">
        <v>7</v>
      </c>
      <c r="J81" t="s">
        <v>77</v>
      </c>
      <c r="K81" t="str">
        <f t="shared" si="1"/>
        <v>36100</v>
      </c>
      <c r="L81">
        <v>643978.15</v>
      </c>
      <c r="M81">
        <v>0</v>
      </c>
      <c r="N81">
        <v>0</v>
      </c>
      <c r="O81">
        <v>0</v>
      </c>
      <c r="P81" s="8">
        <v>643978.15</v>
      </c>
    </row>
    <row r="82" spans="1:16">
      <c r="A82" s="1">
        <v>44621</v>
      </c>
      <c r="B82" t="s">
        <v>131</v>
      </c>
      <c r="C82" t="s">
        <v>14</v>
      </c>
      <c r="D82" t="s">
        <v>15</v>
      </c>
      <c r="E82" t="s">
        <v>33</v>
      </c>
      <c r="F82" t="s">
        <v>24</v>
      </c>
      <c r="G82" t="s">
        <v>73</v>
      </c>
      <c r="H82" t="s">
        <v>525</v>
      </c>
      <c r="I82">
        <v>7</v>
      </c>
      <c r="J82" t="s">
        <v>78</v>
      </c>
      <c r="K82" t="str">
        <f t="shared" si="1"/>
        <v>36105</v>
      </c>
      <c r="L82">
        <v>1169918.8700000001</v>
      </c>
      <c r="M82">
        <v>0</v>
      </c>
      <c r="N82">
        <v>0</v>
      </c>
      <c r="O82">
        <v>0</v>
      </c>
      <c r="P82" s="8">
        <v>1169918.8700000001</v>
      </c>
    </row>
    <row r="83" spans="1:16">
      <c r="A83" s="1">
        <v>44621</v>
      </c>
      <c r="B83" t="s">
        <v>131</v>
      </c>
      <c r="C83" t="s">
        <v>14</v>
      </c>
      <c r="D83" t="s">
        <v>15</v>
      </c>
      <c r="E83" t="s">
        <v>33</v>
      </c>
      <c r="F83" t="s">
        <v>24</v>
      </c>
      <c r="G83" t="s">
        <v>73</v>
      </c>
      <c r="H83" t="s">
        <v>525</v>
      </c>
      <c r="I83">
        <v>7</v>
      </c>
      <c r="J83" t="s">
        <v>79</v>
      </c>
      <c r="K83" t="str">
        <f t="shared" si="1"/>
        <v>36200</v>
      </c>
      <c r="L83">
        <v>51243864.270000003</v>
      </c>
      <c r="M83">
        <v>0</v>
      </c>
      <c r="N83">
        <v>0</v>
      </c>
      <c r="O83">
        <v>0</v>
      </c>
      <c r="P83" s="8">
        <v>51243864.270000003</v>
      </c>
    </row>
    <row r="84" spans="1:16">
      <c r="A84" s="1">
        <v>44621</v>
      </c>
      <c r="B84" t="s">
        <v>131</v>
      </c>
      <c r="C84" t="s">
        <v>14</v>
      </c>
      <c r="D84" t="s">
        <v>15</v>
      </c>
      <c r="E84" t="s">
        <v>33</v>
      </c>
      <c r="F84" t="s">
        <v>24</v>
      </c>
      <c r="G84" t="s">
        <v>73</v>
      </c>
      <c r="H84" t="s">
        <v>525</v>
      </c>
      <c r="I84">
        <v>7</v>
      </c>
      <c r="J84" t="s">
        <v>80</v>
      </c>
      <c r="K84" t="str">
        <f t="shared" si="1"/>
        <v>36400</v>
      </c>
      <c r="L84">
        <v>80649494.299999997</v>
      </c>
      <c r="M84">
        <v>160386.34</v>
      </c>
      <c r="N84">
        <v>-5569.38</v>
      </c>
      <c r="O84">
        <v>0</v>
      </c>
      <c r="P84" s="8">
        <v>80804311.260000005</v>
      </c>
    </row>
    <row r="85" spans="1:16">
      <c r="A85" s="1">
        <v>44621</v>
      </c>
      <c r="B85" t="s">
        <v>131</v>
      </c>
      <c r="C85" t="s">
        <v>14</v>
      </c>
      <c r="D85" t="s">
        <v>15</v>
      </c>
      <c r="E85" t="s">
        <v>33</v>
      </c>
      <c r="F85" t="s">
        <v>24</v>
      </c>
      <c r="G85" t="s">
        <v>73</v>
      </c>
      <c r="H85" t="s">
        <v>525</v>
      </c>
      <c r="I85">
        <v>7</v>
      </c>
      <c r="J85" t="s">
        <v>81</v>
      </c>
      <c r="K85" t="str">
        <f t="shared" si="1"/>
        <v>36500</v>
      </c>
      <c r="L85">
        <v>53804168.829999998</v>
      </c>
      <c r="M85">
        <v>110597.69</v>
      </c>
      <c r="N85">
        <v>-1030.1300000000001</v>
      </c>
      <c r="O85">
        <v>-2063.8200000000002</v>
      </c>
      <c r="P85" s="8">
        <v>53911672.57</v>
      </c>
    </row>
    <row r="86" spans="1:16">
      <c r="A86" s="1">
        <v>44621</v>
      </c>
      <c r="B86" t="s">
        <v>131</v>
      </c>
      <c r="C86" t="s">
        <v>14</v>
      </c>
      <c r="D86" t="s">
        <v>15</v>
      </c>
      <c r="E86" t="s">
        <v>33</v>
      </c>
      <c r="F86" t="s">
        <v>24</v>
      </c>
      <c r="G86" t="s">
        <v>73</v>
      </c>
      <c r="H86" t="s">
        <v>525</v>
      </c>
      <c r="I86">
        <v>7</v>
      </c>
      <c r="J86" t="s">
        <v>82</v>
      </c>
      <c r="K86" t="str">
        <f t="shared" si="1"/>
        <v>36600</v>
      </c>
      <c r="L86">
        <v>14297064.800000001</v>
      </c>
      <c r="M86">
        <v>149133.76000000001</v>
      </c>
      <c r="N86">
        <v>-2333.67</v>
      </c>
      <c r="O86">
        <v>0</v>
      </c>
      <c r="P86" s="8">
        <v>14443864.890000001</v>
      </c>
    </row>
    <row r="87" spans="1:16">
      <c r="A87" s="1">
        <v>44621</v>
      </c>
      <c r="B87" t="s">
        <v>131</v>
      </c>
      <c r="C87" t="s">
        <v>14</v>
      </c>
      <c r="D87" t="s">
        <v>15</v>
      </c>
      <c r="E87" t="s">
        <v>33</v>
      </c>
      <c r="F87" t="s">
        <v>24</v>
      </c>
      <c r="G87" t="s">
        <v>73</v>
      </c>
      <c r="H87" t="s">
        <v>525</v>
      </c>
      <c r="I87">
        <v>7</v>
      </c>
      <c r="J87" t="s">
        <v>83</v>
      </c>
      <c r="K87" t="str">
        <f t="shared" si="1"/>
        <v>36700</v>
      </c>
      <c r="L87">
        <v>28005125.32</v>
      </c>
      <c r="M87">
        <v>268546.45</v>
      </c>
      <c r="N87">
        <v>-35314.61</v>
      </c>
      <c r="O87">
        <v>0</v>
      </c>
      <c r="P87" s="8">
        <v>28238357.16</v>
      </c>
    </row>
    <row r="88" spans="1:16">
      <c r="A88" s="1">
        <v>44621</v>
      </c>
      <c r="B88" t="s">
        <v>131</v>
      </c>
      <c r="C88" t="s">
        <v>14</v>
      </c>
      <c r="D88" t="s">
        <v>15</v>
      </c>
      <c r="E88" t="s">
        <v>33</v>
      </c>
      <c r="F88" t="s">
        <v>24</v>
      </c>
      <c r="G88" t="s">
        <v>73</v>
      </c>
      <c r="H88" t="s">
        <v>525</v>
      </c>
      <c r="I88">
        <v>7</v>
      </c>
      <c r="J88" t="s">
        <v>84</v>
      </c>
      <c r="K88" t="str">
        <f t="shared" si="1"/>
        <v>36801</v>
      </c>
      <c r="L88">
        <v>9704357.4299999997</v>
      </c>
      <c r="M88">
        <v>36110.47</v>
      </c>
      <c r="N88">
        <v>-2043.06</v>
      </c>
      <c r="O88">
        <v>0</v>
      </c>
      <c r="P88" s="8">
        <v>9738424.8399999999</v>
      </c>
    </row>
    <row r="89" spans="1:16">
      <c r="A89" s="1">
        <v>44621</v>
      </c>
      <c r="B89" t="s">
        <v>131</v>
      </c>
      <c r="C89" t="s">
        <v>14</v>
      </c>
      <c r="D89" t="s">
        <v>15</v>
      </c>
      <c r="E89" t="s">
        <v>33</v>
      </c>
      <c r="F89" t="s">
        <v>24</v>
      </c>
      <c r="G89" t="s">
        <v>73</v>
      </c>
      <c r="H89" t="s">
        <v>525</v>
      </c>
      <c r="I89">
        <v>7</v>
      </c>
      <c r="J89" t="s">
        <v>85</v>
      </c>
      <c r="K89" t="str">
        <f t="shared" si="1"/>
        <v>36802</v>
      </c>
      <c r="L89">
        <v>30581949.850000001</v>
      </c>
      <c r="M89">
        <v>515576.9</v>
      </c>
      <c r="N89">
        <v>-540.48</v>
      </c>
      <c r="O89">
        <v>-11316.300000000001</v>
      </c>
      <c r="P89" s="8">
        <v>31085669.969999999</v>
      </c>
    </row>
    <row r="90" spans="1:16">
      <c r="A90" s="1">
        <v>44621</v>
      </c>
      <c r="B90" t="s">
        <v>131</v>
      </c>
      <c r="C90" t="s">
        <v>14</v>
      </c>
      <c r="D90" t="s">
        <v>15</v>
      </c>
      <c r="E90" t="s">
        <v>33</v>
      </c>
      <c r="F90" t="s">
        <v>24</v>
      </c>
      <c r="G90" t="s">
        <v>73</v>
      </c>
      <c r="H90" t="s">
        <v>525</v>
      </c>
      <c r="I90">
        <v>7</v>
      </c>
      <c r="J90" t="s">
        <v>86</v>
      </c>
      <c r="K90" t="str">
        <f t="shared" si="1"/>
        <v>36803</v>
      </c>
      <c r="L90">
        <v>24920954.52</v>
      </c>
      <c r="M90">
        <v>1276185.3900000001</v>
      </c>
      <c r="N90">
        <v>-101.17</v>
      </c>
      <c r="O90">
        <v>0</v>
      </c>
      <c r="P90" s="8">
        <v>26197038.739999998</v>
      </c>
    </row>
    <row r="91" spans="1:16">
      <c r="A91" s="1">
        <v>44621</v>
      </c>
      <c r="B91" t="s">
        <v>131</v>
      </c>
      <c r="C91" t="s">
        <v>14</v>
      </c>
      <c r="D91" t="s">
        <v>15</v>
      </c>
      <c r="E91" t="s">
        <v>33</v>
      </c>
      <c r="F91" t="s">
        <v>24</v>
      </c>
      <c r="G91" t="s">
        <v>73</v>
      </c>
      <c r="H91" t="s">
        <v>525</v>
      </c>
      <c r="I91">
        <v>7</v>
      </c>
      <c r="J91" t="s">
        <v>87</v>
      </c>
      <c r="K91" t="str">
        <f t="shared" si="1"/>
        <v>36901</v>
      </c>
      <c r="L91">
        <v>10000140.35</v>
      </c>
      <c r="M91">
        <v>4689.72</v>
      </c>
      <c r="N91">
        <v>-2718.13</v>
      </c>
      <c r="O91">
        <v>0</v>
      </c>
      <c r="P91" s="8">
        <v>10002111.939999999</v>
      </c>
    </row>
    <row r="92" spans="1:16">
      <c r="A92" s="1">
        <v>44621</v>
      </c>
      <c r="B92" t="s">
        <v>131</v>
      </c>
      <c r="C92" t="s">
        <v>14</v>
      </c>
      <c r="D92" t="s">
        <v>15</v>
      </c>
      <c r="E92" t="s">
        <v>33</v>
      </c>
      <c r="F92" t="s">
        <v>24</v>
      </c>
      <c r="G92" t="s">
        <v>73</v>
      </c>
      <c r="H92" t="s">
        <v>525</v>
      </c>
      <c r="I92">
        <v>7</v>
      </c>
      <c r="J92" t="s">
        <v>88</v>
      </c>
      <c r="K92" t="str">
        <f t="shared" si="1"/>
        <v>36902</v>
      </c>
      <c r="L92">
        <v>13309824.15</v>
      </c>
      <c r="M92">
        <v>17412.21</v>
      </c>
      <c r="N92">
        <v>-318.54000000000002</v>
      </c>
      <c r="O92">
        <v>0</v>
      </c>
      <c r="P92" s="8">
        <v>13326917.82</v>
      </c>
    </row>
    <row r="93" spans="1:16">
      <c r="A93" s="1">
        <v>44621</v>
      </c>
      <c r="B93" t="s">
        <v>131</v>
      </c>
      <c r="C93" t="s">
        <v>14</v>
      </c>
      <c r="D93" t="s">
        <v>15</v>
      </c>
      <c r="E93" t="s">
        <v>33</v>
      </c>
      <c r="F93" t="s">
        <v>24</v>
      </c>
      <c r="G93" t="s">
        <v>73</v>
      </c>
      <c r="H93" t="s">
        <v>525</v>
      </c>
      <c r="I93">
        <v>7</v>
      </c>
      <c r="J93" t="s">
        <v>89</v>
      </c>
      <c r="K93" t="str">
        <f t="shared" si="1"/>
        <v>37001</v>
      </c>
      <c r="L93">
        <v>1713551</v>
      </c>
      <c r="M93">
        <v>3987.54</v>
      </c>
      <c r="N93">
        <v>0</v>
      </c>
      <c r="O93">
        <v>0</v>
      </c>
      <c r="P93" s="8">
        <v>1717538.54</v>
      </c>
    </row>
    <row r="94" spans="1:16">
      <c r="A94" s="1">
        <v>44621</v>
      </c>
      <c r="B94" t="s">
        <v>131</v>
      </c>
      <c r="C94" t="s">
        <v>14</v>
      </c>
      <c r="D94" t="s">
        <v>15</v>
      </c>
      <c r="E94" t="s">
        <v>33</v>
      </c>
      <c r="F94" t="s">
        <v>24</v>
      </c>
      <c r="G94" t="s">
        <v>73</v>
      </c>
      <c r="H94" t="s">
        <v>525</v>
      </c>
      <c r="I94">
        <v>7</v>
      </c>
      <c r="J94" t="s">
        <v>90</v>
      </c>
      <c r="K94" t="str">
        <f t="shared" si="1"/>
        <v>37002</v>
      </c>
      <c r="L94">
        <v>0</v>
      </c>
      <c r="M94">
        <v>0</v>
      </c>
      <c r="N94">
        <v>0</v>
      </c>
      <c r="O94">
        <v>0</v>
      </c>
      <c r="P94" s="8">
        <v>0</v>
      </c>
    </row>
    <row r="95" spans="1:16">
      <c r="A95" s="1">
        <v>44621</v>
      </c>
      <c r="B95" t="s">
        <v>131</v>
      </c>
      <c r="C95" t="s">
        <v>14</v>
      </c>
      <c r="D95" t="s">
        <v>15</v>
      </c>
      <c r="E95" t="s">
        <v>33</v>
      </c>
      <c r="F95" t="s">
        <v>24</v>
      </c>
      <c r="G95" t="s">
        <v>73</v>
      </c>
      <c r="H95" t="s">
        <v>525</v>
      </c>
      <c r="I95">
        <v>7</v>
      </c>
      <c r="J95" t="s">
        <v>91</v>
      </c>
      <c r="K95" t="str">
        <f t="shared" si="1"/>
        <v>37004</v>
      </c>
      <c r="L95">
        <v>17021264.600000001</v>
      </c>
      <c r="M95">
        <v>16926</v>
      </c>
      <c r="N95">
        <v>0</v>
      </c>
      <c r="O95">
        <v>0</v>
      </c>
      <c r="P95" s="8">
        <v>17038190.600000001</v>
      </c>
    </row>
    <row r="96" spans="1:16">
      <c r="A96" s="1">
        <v>44621</v>
      </c>
      <c r="B96" t="s">
        <v>131</v>
      </c>
      <c r="C96" t="s">
        <v>14</v>
      </c>
      <c r="D96" t="s">
        <v>15</v>
      </c>
      <c r="E96" t="s">
        <v>33</v>
      </c>
      <c r="F96" t="s">
        <v>24</v>
      </c>
      <c r="G96" t="s">
        <v>73</v>
      </c>
      <c r="H96" t="s">
        <v>525</v>
      </c>
      <c r="I96">
        <v>7</v>
      </c>
      <c r="J96" t="s">
        <v>92</v>
      </c>
      <c r="K96" t="str">
        <f t="shared" si="1"/>
        <v>37100</v>
      </c>
      <c r="L96">
        <v>2500307.9500000002</v>
      </c>
      <c r="M96">
        <v>0</v>
      </c>
      <c r="N96">
        <v>-125.82000000000001</v>
      </c>
      <c r="O96">
        <v>0</v>
      </c>
      <c r="P96" s="8">
        <v>2500182.13</v>
      </c>
    </row>
    <row r="97" spans="1:16">
      <c r="A97" s="1">
        <v>44621</v>
      </c>
      <c r="B97" t="s">
        <v>131</v>
      </c>
      <c r="C97" t="s">
        <v>14</v>
      </c>
      <c r="D97" t="s">
        <v>15</v>
      </c>
      <c r="E97" t="s">
        <v>33</v>
      </c>
      <c r="F97" t="s">
        <v>24</v>
      </c>
      <c r="G97" t="s">
        <v>73</v>
      </c>
      <c r="H97" t="s">
        <v>525</v>
      </c>
      <c r="I97">
        <v>7</v>
      </c>
      <c r="J97" t="s">
        <v>93</v>
      </c>
      <c r="K97" t="str">
        <f t="shared" si="1"/>
        <v>37300</v>
      </c>
      <c r="L97">
        <v>10219251.68</v>
      </c>
      <c r="M97">
        <v>7330.31</v>
      </c>
      <c r="N97">
        <v>-557.98</v>
      </c>
      <c r="O97">
        <v>0</v>
      </c>
      <c r="P97" s="8">
        <v>10226024.01</v>
      </c>
    </row>
    <row r="98" spans="1:16">
      <c r="A98" s="1">
        <v>44621</v>
      </c>
      <c r="B98" t="s">
        <v>131</v>
      </c>
      <c r="C98" t="s">
        <v>14</v>
      </c>
      <c r="D98" t="s">
        <v>15</v>
      </c>
      <c r="E98" t="s">
        <v>33</v>
      </c>
      <c r="F98" t="s">
        <v>119</v>
      </c>
      <c r="G98" t="s">
        <v>73</v>
      </c>
      <c r="H98" t="s">
        <v>525</v>
      </c>
      <c r="I98">
        <v>7</v>
      </c>
      <c r="J98" t="s">
        <v>74</v>
      </c>
      <c r="K98" t="str">
        <f t="shared" si="1"/>
        <v>36001</v>
      </c>
      <c r="L98">
        <v>0</v>
      </c>
      <c r="M98">
        <v>0</v>
      </c>
      <c r="N98">
        <v>0</v>
      </c>
      <c r="O98">
        <v>0</v>
      </c>
      <c r="P98" s="9">
        <v>0</v>
      </c>
    </row>
    <row r="99" spans="1:16">
      <c r="A99" s="1">
        <v>44621</v>
      </c>
      <c r="B99" t="s">
        <v>131</v>
      </c>
      <c r="C99" t="s">
        <v>14</v>
      </c>
      <c r="D99" t="s">
        <v>15</v>
      </c>
      <c r="E99" t="s">
        <v>33</v>
      </c>
      <c r="F99" t="s">
        <v>119</v>
      </c>
      <c r="G99" t="s">
        <v>73</v>
      </c>
      <c r="H99" t="s">
        <v>525</v>
      </c>
      <c r="I99">
        <v>7</v>
      </c>
      <c r="J99" t="s">
        <v>79</v>
      </c>
      <c r="K99" t="str">
        <f t="shared" si="1"/>
        <v>36200</v>
      </c>
      <c r="L99">
        <v>2753405.5</v>
      </c>
      <c r="M99">
        <v>0</v>
      </c>
      <c r="N99">
        <v>0</v>
      </c>
      <c r="O99">
        <v>0</v>
      </c>
      <c r="P99" s="9">
        <v>2753405.5</v>
      </c>
    </row>
    <row r="100" spans="1:16">
      <c r="A100" s="1">
        <v>44621</v>
      </c>
      <c r="B100" t="s">
        <v>131</v>
      </c>
      <c r="C100" t="s">
        <v>14</v>
      </c>
      <c r="D100" t="s">
        <v>15</v>
      </c>
      <c r="E100" t="s">
        <v>33</v>
      </c>
      <c r="F100" t="s">
        <v>17</v>
      </c>
      <c r="G100" t="s">
        <v>73</v>
      </c>
      <c r="H100" t="s">
        <v>525</v>
      </c>
      <c r="I100">
        <v>7</v>
      </c>
      <c r="J100" t="s">
        <v>74</v>
      </c>
      <c r="K100" t="str">
        <f t="shared" si="1"/>
        <v>36001</v>
      </c>
      <c r="L100">
        <v>0</v>
      </c>
      <c r="M100">
        <v>1555.58</v>
      </c>
      <c r="N100">
        <v>0</v>
      </c>
      <c r="O100">
        <v>0</v>
      </c>
      <c r="P100">
        <v>1555.58</v>
      </c>
    </row>
    <row r="101" spans="1:16">
      <c r="A101" s="1">
        <v>44621</v>
      </c>
      <c r="B101" t="s">
        <v>131</v>
      </c>
      <c r="C101" t="s">
        <v>14</v>
      </c>
      <c r="D101" t="s">
        <v>15</v>
      </c>
      <c r="E101" t="s">
        <v>33</v>
      </c>
      <c r="F101" t="s">
        <v>17</v>
      </c>
      <c r="G101" t="s">
        <v>73</v>
      </c>
      <c r="H101" t="s">
        <v>525</v>
      </c>
      <c r="I101">
        <v>7</v>
      </c>
      <c r="J101" t="s">
        <v>77</v>
      </c>
      <c r="K101" t="str">
        <f t="shared" si="1"/>
        <v>36100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>
      <c r="A102" s="1">
        <v>44621</v>
      </c>
      <c r="B102" t="s">
        <v>131</v>
      </c>
      <c r="C102" t="s">
        <v>14</v>
      </c>
      <c r="D102" t="s">
        <v>15</v>
      </c>
      <c r="E102" t="s">
        <v>33</v>
      </c>
      <c r="F102" t="s">
        <v>17</v>
      </c>
      <c r="G102" t="s">
        <v>73</v>
      </c>
      <c r="H102" t="s">
        <v>525</v>
      </c>
      <c r="I102">
        <v>7</v>
      </c>
      <c r="J102" t="s">
        <v>79</v>
      </c>
      <c r="K102" t="str">
        <f t="shared" si="1"/>
        <v>36200</v>
      </c>
      <c r="L102">
        <v>79385.95</v>
      </c>
      <c r="M102">
        <v>46072.21</v>
      </c>
      <c r="N102">
        <v>0</v>
      </c>
      <c r="O102">
        <v>0</v>
      </c>
      <c r="P102">
        <v>125458.16</v>
      </c>
    </row>
    <row r="103" spans="1:16">
      <c r="A103" s="1">
        <v>44621</v>
      </c>
      <c r="B103" t="s">
        <v>131</v>
      </c>
      <c r="C103" t="s">
        <v>14</v>
      </c>
      <c r="D103" t="s">
        <v>15</v>
      </c>
      <c r="E103" t="s">
        <v>33</v>
      </c>
      <c r="F103" t="s">
        <v>17</v>
      </c>
      <c r="G103" t="s">
        <v>73</v>
      </c>
      <c r="H103" t="s">
        <v>525</v>
      </c>
      <c r="I103">
        <v>7</v>
      </c>
      <c r="J103" t="s">
        <v>80</v>
      </c>
      <c r="K103" t="str">
        <f t="shared" si="1"/>
        <v>36400</v>
      </c>
      <c r="L103">
        <v>17944330.890000001</v>
      </c>
      <c r="M103">
        <v>89489.540000000008</v>
      </c>
      <c r="N103">
        <v>0</v>
      </c>
      <c r="O103">
        <v>0</v>
      </c>
      <c r="P103">
        <v>18033820.43</v>
      </c>
    </row>
    <row r="104" spans="1:16">
      <c r="A104" s="1">
        <v>44621</v>
      </c>
      <c r="B104" t="s">
        <v>131</v>
      </c>
      <c r="C104" t="s">
        <v>14</v>
      </c>
      <c r="D104" t="s">
        <v>15</v>
      </c>
      <c r="E104" t="s">
        <v>33</v>
      </c>
      <c r="F104" t="s">
        <v>17</v>
      </c>
      <c r="G104" t="s">
        <v>73</v>
      </c>
      <c r="H104" t="s">
        <v>525</v>
      </c>
      <c r="I104">
        <v>7</v>
      </c>
      <c r="J104" t="s">
        <v>81</v>
      </c>
      <c r="K104" t="str">
        <f t="shared" si="1"/>
        <v>36500</v>
      </c>
      <c r="L104">
        <v>4423673.33</v>
      </c>
      <c r="M104">
        <v>-419475.37</v>
      </c>
      <c r="N104">
        <v>0</v>
      </c>
      <c r="O104">
        <v>0</v>
      </c>
      <c r="P104">
        <v>4004197.96</v>
      </c>
    </row>
    <row r="105" spans="1:16">
      <c r="A105" s="1">
        <v>44621</v>
      </c>
      <c r="B105" t="s">
        <v>131</v>
      </c>
      <c r="C105" t="s">
        <v>14</v>
      </c>
      <c r="D105" t="s">
        <v>15</v>
      </c>
      <c r="E105" t="s">
        <v>33</v>
      </c>
      <c r="F105" t="s">
        <v>17</v>
      </c>
      <c r="G105" t="s">
        <v>73</v>
      </c>
      <c r="H105" t="s">
        <v>525</v>
      </c>
      <c r="I105">
        <v>7</v>
      </c>
      <c r="J105" t="s">
        <v>82</v>
      </c>
      <c r="K105" t="str">
        <f t="shared" si="1"/>
        <v>36600</v>
      </c>
      <c r="L105">
        <v>1959446.13</v>
      </c>
      <c r="M105">
        <v>-225593.63</v>
      </c>
      <c r="N105">
        <v>0</v>
      </c>
      <c r="O105">
        <v>0</v>
      </c>
      <c r="P105">
        <v>1733852.5</v>
      </c>
    </row>
    <row r="106" spans="1:16">
      <c r="A106" s="1">
        <v>44621</v>
      </c>
      <c r="B106" t="s">
        <v>131</v>
      </c>
      <c r="C106" t="s">
        <v>14</v>
      </c>
      <c r="D106" t="s">
        <v>15</v>
      </c>
      <c r="E106" t="s">
        <v>33</v>
      </c>
      <c r="F106" t="s">
        <v>17</v>
      </c>
      <c r="G106" t="s">
        <v>73</v>
      </c>
      <c r="H106" t="s">
        <v>525</v>
      </c>
      <c r="I106">
        <v>7</v>
      </c>
      <c r="J106" t="s">
        <v>83</v>
      </c>
      <c r="K106" t="str">
        <f t="shared" si="1"/>
        <v>36700</v>
      </c>
      <c r="L106">
        <v>5991708.3100000005</v>
      </c>
      <c r="M106">
        <v>-441553.64</v>
      </c>
      <c r="N106">
        <v>0</v>
      </c>
      <c r="O106">
        <v>0</v>
      </c>
      <c r="P106">
        <v>5550154.6699999999</v>
      </c>
    </row>
    <row r="107" spans="1:16">
      <c r="A107" s="1">
        <v>44621</v>
      </c>
      <c r="B107" t="s">
        <v>131</v>
      </c>
      <c r="C107" t="s">
        <v>14</v>
      </c>
      <c r="D107" t="s">
        <v>15</v>
      </c>
      <c r="E107" t="s">
        <v>33</v>
      </c>
      <c r="F107" t="s">
        <v>17</v>
      </c>
      <c r="G107" t="s">
        <v>73</v>
      </c>
      <c r="H107" t="s">
        <v>525</v>
      </c>
      <c r="I107">
        <v>7</v>
      </c>
      <c r="J107" t="s">
        <v>84</v>
      </c>
      <c r="K107" t="str">
        <f t="shared" si="1"/>
        <v>36801</v>
      </c>
      <c r="L107">
        <v>702482.42</v>
      </c>
      <c r="M107">
        <v>-193226.83000000002</v>
      </c>
      <c r="N107">
        <v>0</v>
      </c>
      <c r="O107">
        <v>0</v>
      </c>
      <c r="P107">
        <v>509255.59</v>
      </c>
    </row>
    <row r="108" spans="1:16">
      <c r="A108" s="1">
        <v>44621</v>
      </c>
      <c r="B108" t="s">
        <v>131</v>
      </c>
      <c r="C108" t="s">
        <v>14</v>
      </c>
      <c r="D108" t="s">
        <v>15</v>
      </c>
      <c r="E108" t="s">
        <v>33</v>
      </c>
      <c r="F108" t="s">
        <v>17</v>
      </c>
      <c r="G108" t="s">
        <v>73</v>
      </c>
      <c r="H108" t="s">
        <v>525</v>
      </c>
      <c r="I108">
        <v>7</v>
      </c>
      <c r="J108" t="s">
        <v>85</v>
      </c>
      <c r="K108" t="str">
        <f t="shared" si="1"/>
        <v>36802</v>
      </c>
      <c r="L108">
        <v>1191696.74</v>
      </c>
      <c r="M108">
        <v>-168664.37</v>
      </c>
      <c r="N108">
        <v>0</v>
      </c>
      <c r="O108">
        <v>0</v>
      </c>
      <c r="P108">
        <v>1023032.37</v>
      </c>
    </row>
    <row r="109" spans="1:16">
      <c r="A109" s="1">
        <v>44621</v>
      </c>
      <c r="B109" t="s">
        <v>131</v>
      </c>
      <c r="C109" t="s">
        <v>14</v>
      </c>
      <c r="D109" t="s">
        <v>15</v>
      </c>
      <c r="E109" t="s">
        <v>33</v>
      </c>
      <c r="F109" t="s">
        <v>17</v>
      </c>
      <c r="G109" t="s">
        <v>73</v>
      </c>
      <c r="H109" t="s">
        <v>525</v>
      </c>
      <c r="I109">
        <v>7</v>
      </c>
      <c r="J109" t="s">
        <v>86</v>
      </c>
      <c r="K109" t="str">
        <f t="shared" si="1"/>
        <v>36803</v>
      </c>
      <c r="L109">
        <v>829406.28</v>
      </c>
      <c r="M109">
        <v>-194181.82</v>
      </c>
      <c r="N109">
        <v>0</v>
      </c>
      <c r="O109">
        <v>0</v>
      </c>
      <c r="P109">
        <v>635224.46</v>
      </c>
    </row>
    <row r="110" spans="1:16">
      <c r="A110" s="1">
        <v>44621</v>
      </c>
      <c r="B110" t="s">
        <v>131</v>
      </c>
      <c r="C110" t="s">
        <v>14</v>
      </c>
      <c r="D110" t="s">
        <v>15</v>
      </c>
      <c r="E110" t="s">
        <v>33</v>
      </c>
      <c r="F110" t="s">
        <v>17</v>
      </c>
      <c r="G110" t="s">
        <v>73</v>
      </c>
      <c r="H110" t="s">
        <v>525</v>
      </c>
      <c r="I110">
        <v>7</v>
      </c>
      <c r="J110" t="s">
        <v>87</v>
      </c>
      <c r="K110" t="str">
        <f t="shared" si="1"/>
        <v>36901</v>
      </c>
      <c r="L110">
        <v>683239.74</v>
      </c>
      <c r="M110">
        <v>5025.05</v>
      </c>
      <c r="N110">
        <v>0</v>
      </c>
      <c r="O110">
        <v>0</v>
      </c>
      <c r="P110">
        <v>688264.79</v>
      </c>
    </row>
    <row r="111" spans="1:16">
      <c r="A111" s="1">
        <v>44621</v>
      </c>
      <c r="B111" t="s">
        <v>131</v>
      </c>
      <c r="C111" t="s">
        <v>14</v>
      </c>
      <c r="D111" t="s">
        <v>15</v>
      </c>
      <c r="E111" t="s">
        <v>33</v>
      </c>
      <c r="F111" t="s">
        <v>17</v>
      </c>
      <c r="G111" t="s">
        <v>73</v>
      </c>
      <c r="H111" t="s">
        <v>525</v>
      </c>
      <c r="I111">
        <v>7</v>
      </c>
      <c r="J111" t="s">
        <v>88</v>
      </c>
      <c r="K111" t="str">
        <f t="shared" si="1"/>
        <v>36902</v>
      </c>
      <c r="L111">
        <v>961045.32000000007</v>
      </c>
      <c r="M111">
        <v>28908.850000000002</v>
      </c>
      <c r="N111">
        <v>0</v>
      </c>
      <c r="O111">
        <v>0</v>
      </c>
      <c r="P111">
        <v>989954.17</v>
      </c>
    </row>
    <row r="112" spans="1:16">
      <c r="A112" s="1">
        <v>44621</v>
      </c>
      <c r="B112" t="s">
        <v>131</v>
      </c>
      <c r="C112" t="s">
        <v>14</v>
      </c>
      <c r="D112" t="s">
        <v>15</v>
      </c>
      <c r="E112" t="s">
        <v>33</v>
      </c>
      <c r="F112" t="s">
        <v>17</v>
      </c>
      <c r="G112" t="s">
        <v>73</v>
      </c>
      <c r="H112" t="s">
        <v>525</v>
      </c>
      <c r="I112">
        <v>7</v>
      </c>
      <c r="J112" t="s">
        <v>89</v>
      </c>
      <c r="K112" t="str">
        <f t="shared" si="1"/>
        <v>37001</v>
      </c>
      <c r="L112">
        <v>8782.66</v>
      </c>
      <c r="M112">
        <v>-6558.3</v>
      </c>
      <c r="N112">
        <v>0</v>
      </c>
      <c r="O112">
        <v>0</v>
      </c>
      <c r="P112">
        <v>2224.36</v>
      </c>
    </row>
    <row r="113" spans="1:16">
      <c r="A113" s="1">
        <v>44621</v>
      </c>
      <c r="B113" t="s">
        <v>131</v>
      </c>
      <c r="C113" t="s">
        <v>14</v>
      </c>
      <c r="D113" t="s">
        <v>15</v>
      </c>
      <c r="E113" t="s">
        <v>33</v>
      </c>
      <c r="F113" t="s">
        <v>17</v>
      </c>
      <c r="G113" t="s">
        <v>73</v>
      </c>
      <c r="H113" t="s">
        <v>525</v>
      </c>
      <c r="I113">
        <v>7</v>
      </c>
      <c r="J113" t="s">
        <v>91</v>
      </c>
      <c r="K113" t="str">
        <f t="shared" si="1"/>
        <v>37004</v>
      </c>
      <c r="L113">
        <v>8782.7100000000009</v>
      </c>
      <c r="M113">
        <v>-6558.39</v>
      </c>
      <c r="N113">
        <v>0</v>
      </c>
      <c r="O113">
        <v>0</v>
      </c>
      <c r="P113">
        <v>2224.3200000000002</v>
      </c>
    </row>
    <row r="114" spans="1:16">
      <c r="A114" s="1">
        <v>44621</v>
      </c>
      <c r="B114" t="s">
        <v>131</v>
      </c>
      <c r="C114" t="s">
        <v>14</v>
      </c>
      <c r="D114" t="s">
        <v>15</v>
      </c>
      <c r="E114" t="s">
        <v>33</v>
      </c>
      <c r="F114" t="s">
        <v>17</v>
      </c>
      <c r="G114" t="s">
        <v>73</v>
      </c>
      <c r="H114" t="s">
        <v>525</v>
      </c>
      <c r="I114">
        <v>7</v>
      </c>
      <c r="J114" t="s">
        <v>92</v>
      </c>
      <c r="K114" t="str">
        <f t="shared" si="1"/>
        <v>37100</v>
      </c>
      <c r="L114">
        <v>149905.34</v>
      </c>
      <c r="M114">
        <v>4061.4700000000003</v>
      </c>
      <c r="N114">
        <v>0</v>
      </c>
      <c r="O114">
        <v>0</v>
      </c>
      <c r="P114">
        <v>153966.81</v>
      </c>
    </row>
    <row r="115" spans="1:16">
      <c r="A115" s="1">
        <v>44621</v>
      </c>
      <c r="B115" t="s">
        <v>131</v>
      </c>
      <c r="C115" t="s">
        <v>14</v>
      </c>
      <c r="D115" t="s">
        <v>15</v>
      </c>
      <c r="E115" t="s">
        <v>33</v>
      </c>
      <c r="F115" t="s">
        <v>17</v>
      </c>
      <c r="G115" t="s">
        <v>73</v>
      </c>
      <c r="H115" t="s">
        <v>525</v>
      </c>
      <c r="I115">
        <v>7</v>
      </c>
      <c r="J115" t="s">
        <v>93</v>
      </c>
      <c r="K115" t="str">
        <f t="shared" si="1"/>
        <v>37300</v>
      </c>
      <c r="L115">
        <v>1145546.96</v>
      </c>
      <c r="M115">
        <v>2043.8300000000002</v>
      </c>
      <c r="N115">
        <v>0</v>
      </c>
      <c r="O115">
        <v>0</v>
      </c>
      <c r="P115">
        <v>1147590.79</v>
      </c>
    </row>
    <row r="116" spans="1:16">
      <c r="A116" s="1">
        <v>44652</v>
      </c>
      <c r="B116" t="s">
        <v>130</v>
      </c>
      <c r="C116" t="s">
        <v>14</v>
      </c>
      <c r="D116" t="s">
        <v>15</v>
      </c>
      <c r="E116" t="s">
        <v>33</v>
      </c>
      <c r="F116" t="s">
        <v>24</v>
      </c>
      <c r="G116" t="s">
        <v>73</v>
      </c>
      <c r="H116" t="s">
        <v>525</v>
      </c>
      <c r="I116">
        <v>7</v>
      </c>
      <c r="J116" t="s">
        <v>74</v>
      </c>
      <c r="K116" t="str">
        <f t="shared" si="1"/>
        <v>36001</v>
      </c>
      <c r="L116">
        <v>658853.93000000005</v>
      </c>
      <c r="M116">
        <v>0</v>
      </c>
      <c r="N116">
        <v>0</v>
      </c>
      <c r="O116">
        <v>0</v>
      </c>
      <c r="P116" s="8">
        <v>658853.93000000005</v>
      </c>
    </row>
    <row r="117" spans="1:16">
      <c r="A117" s="1">
        <v>44652</v>
      </c>
      <c r="B117" t="s">
        <v>130</v>
      </c>
      <c r="C117" t="s">
        <v>14</v>
      </c>
      <c r="D117" t="s">
        <v>15</v>
      </c>
      <c r="E117" t="s">
        <v>33</v>
      </c>
      <c r="F117" t="s">
        <v>24</v>
      </c>
      <c r="G117" t="s">
        <v>73</v>
      </c>
      <c r="H117" t="s">
        <v>525</v>
      </c>
      <c r="I117">
        <v>7</v>
      </c>
      <c r="J117" t="s">
        <v>75</v>
      </c>
      <c r="K117" t="str">
        <f t="shared" si="1"/>
        <v>36002</v>
      </c>
      <c r="L117">
        <v>184620.19</v>
      </c>
      <c r="M117">
        <v>0</v>
      </c>
      <c r="N117">
        <v>0</v>
      </c>
      <c r="O117">
        <v>0</v>
      </c>
      <c r="P117" s="8">
        <v>184620.19</v>
      </c>
    </row>
    <row r="118" spans="1:16">
      <c r="A118" s="1">
        <v>44652</v>
      </c>
      <c r="B118" t="s">
        <v>130</v>
      </c>
      <c r="C118" t="s">
        <v>14</v>
      </c>
      <c r="D118" t="s">
        <v>15</v>
      </c>
      <c r="E118" t="s">
        <v>33</v>
      </c>
      <c r="F118" t="s">
        <v>24</v>
      </c>
      <c r="G118" t="s">
        <v>73</v>
      </c>
      <c r="H118" t="s">
        <v>525</v>
      </c>
      <c r="I118">
        <v>7</v>
      </c>
      <c r="J118" t="s">
        <v>76</v>
      </c>
      <c r="K118" t="str">
        <f t="shared" si="1"/>
        <v>36003</v>
      </c>
      <c r="L118">
        <v>0</v>
      </c>
      <c r="M118">
        <v>0</v>
      </c>
      <c r="N118">
        <v>0</v>
      </c>
      <c r="O118">
        <v>0</v>
      </c>
      <c r="P118" s="8">
        <v>0</v>
      </c>
    </row>
    <row r="119" spans="1:16">
      <c r="A119" s="1">
        <v>44652</v>
      </c>
      <c r="B119" t="s">
        <v>130</v>
      </c>
      <c r="C119" t="s">
        <v>14</v>
      </c>
      <c r="D119" t="s">
        <v>15</v>
      </c>
      <c r="E119" t="s">
        <v>33</v>
      </c>
      <c r="F119" t="s">
        <v>24</v>
      </c>
      <c r="G119" t="s">
        <v>73</v>
      </c>
      <c r="H119" t="s">
        <v>525</v>
      </c>
      <c r="I119">
        <v>7</v>
      </c>
      <c r="J119" t="s">
        <v>77</v>
      </c>
      <c r="K119" t="str">
        <f t="shared" si="1"/>
        <v>36100</v>
      </c>
      <c r="L119">
        <v>643978.15</v>
      </c>
      <c r="M119">
        <v>0</v>
      </c>
      <c r="N119">
        <v>0</v>
      </c>
      <c r="O119">
        <v>0</v>
      </c>
      <c r="P119" s="8">
        <v>643978.15</v>
      </c>
    </row>
    <row r="120" spans="1:16">
      <c r="A120" s="1">
        <v>44652</v>
      </c>
      <c r="B120" t="s">
        <v>130</v>
      </c>
      <c r="C120" t="s">
        <v>14</v>
      </c>
      <c r="D120" t="s">
        <v>15</v>
      </c>
      <c r="E120" t="s">
        <v>33</v>
      </c>
      <c r="F120" t="s">
        <v>24</v>
      </c>
      <c r="G120" t="s">
        <v>73</v>
      </c>
      <c r="H120" t="s">
        <v>525</v>
      </c>
      <c r="I120">
        <v>7</v>
      </c>
      <c r="J120" t="s">
        <v>78</v>
      </c>
      <c r="K120" t="str">
        <f t="shared" si="1"/>
        <v>36105</v>
      </c>
      <c r="L120">
        <v>1169918.8700000001</v>
      </c>
      <c r="M120">
        <v>0</v>
      </c>
      <c r="N120">
        <v>0</v>
      </c>
      <c r="O120">
        <v>0</v>
      </c>
      <c r="P120" s="8">
        <v>1169918.8700000001</v>
      </c>
    </row>
    <row r="121" spans="1:16">
      <c r="A121" s="1">
        <v>44652</v>
      </c>
      <c r="B121" t="s">
        <v>130</v>
      </c>
      <c r="C121" t="s">
        <v>14</v>
      </c>
      <c r="D121" t="s">
        <v>15</v>
      </c>
      <c r="E121" t="s">
        <v>33</v>
      </c>
      <c r="F121" t="s">
        <v>24</v>
      </c>
      <c r="G121" t="s">
        <v>73</v>
      </c>
      <c r="H121" t="s">
        <v>525</v>
      </c>
      <c r="I121">
        <v>7</v>
      </c>
      <c r="J121" t="s">
        <v>79</v>
      </c>
      <c r="K121" t="str">
        <f t="shared" si="1"/>
        <v>36200</v>
      </c>
      <c r="L121">
        <v>51243864.270000003</v>
      </c>
      <c r="M121">
        <v>0</v>
      </c>
      <c r="N121">
        <v>0</v>
      </c>
      <c r="O121">
        <v>0</v>
      </c>
      <c r="P121" s="8">
        <v>51243864.270000003</v>
      </c>
    </row>
    <row r="122" spans="1:16">
      <c r="A122" s="1">
        <v>44652</v>
      </c>
      <c r="B122" t="s">
        <v>130</v>
      </c>
      <c r="C122" t="s">
        <v>14</v>
      </c>
      <c r="D122" t="s">
        <v>15</v>
      </c>
      <c r="E122" t="s">
        <v>33</v>
      </c>
      <c r="F122" t="s">
        <v>24</v>
      </c>
      <c r="G122" t="s">
        <v>73</v>
      </c>
      <c r="H122" t="s">
        <v>525</v>
      </c>
      <c r="I122">
        <v>7</v>
      </c>
      <c r="J122" t="s">
        <v>80</v>
      </c>
      <c r="K122" t="str">
        <f t="shared" si="1"/>
        <v>36400</v>
      </c>
      <c r="L122">
        <v>80804311.260000005</v>
      </c>
      <c r="M122">
        <v>661145.27</v>
      </c>
      <c r="N122">
        <v>-18859.55</v>
      </c>
      <c r="O122">
        <v>0</v>
      </c>
      <c r="P122" s="8">
        <v>81446596.980000004</v>
      </c>
    </row>
    <row r="123" spans="1:16">
      <c r="A123" s="1">
        <v>44652</v>
      </c>
      <c r="B123" t="s">
        <v>130</v>
      </c>
      <c r="C123" t="s">
        <v>14</v>
      </c>
      <c r="D123" t="s">
        <v>15</v>
      </c>
      <c r="E123" t="s">
        <v>33</v>
      </c>
      <c r="F123" t="s">
        <v>24</v>
      </c>
      <c r="G123" t="s">
        <v>73</v>
      </c>
      <c r="H123" t="s">
        <v>525</v>
      </c>
      <c r="I123">
        <v>7</v>
      </c>
      <c r="J123" t="s">
        <v>81</v>
      </c>
      <c r="K123" t="str">
        <f t="shared" si="1"/>
        <v>36500</v>
      </c>
      <c r="L123">
        <v>53911672.57</v>
      </c>
      <c r="M123">
        <v>191440.17</v>
      </c>
      <c r="N123">
        <v>-7753.41</v>
      </c>
      <c r="O123">
        <v>0</v>
      </c>
      <c r="P123" s="8">
        <v>54095359.329999998</v>
      </c>
    </row>
    <row r="124" spans="1:16">
      <c r="A124" s="1">
        <v>44652</v>
      </c>
      <c r="B124" t="s">
        <v>130</v>
      </c>
      <c r="C124" t="s">
        <v>14</v>
      </c>
      <c r="D124" t="s">
        <v>15</v>
      </c>
      <c r="E124" t="s">
        <v>33</v>
      </c>
      <c r="F124" t="s">
        <v>24</v>
      </c>
      <c r="G124" t="s">
        <v>73</v>
      </c>
      <c r="H124" t="s">
        <v>525</v>
      </c>
      <c r="I124">
        <v>7</v>
      </c>
      <c r="J124" t="s">
        <v>82</v>
      </c>
      <c r="K124" t="str">
        <f t="shared" si="1"/>
        <v>36600</v>
      </c>
      <c r="L124">
        <v>14443864.890000001</v>
      </c>
      <c r="M124">
        <v>679373.69000000006</v>
      </c>
      <c r="N124">
        <v>-526.99</v>
      </c>
      <c r="O124">
        <v>0</v>
      </c>
      <c r="P124" s="8">
        <v>15122711.59</v>
      </c>
    </row>
    <row r="125" spans="1:16">
      <c r="A125" s="1">
        <v>44652</v>
      </c>
      <c r="B125" t="s">
        <v>130</v>
      </c>
      <c r="C125" t="s">
        <v>14</v>
      </c>
      <c r="D125" t="s">
        <v>15</v>
      </c>
      <c r="E125" t="s">
        <v>33</v>
      </c>
      <c r="F125" t="s">
        <v>24</v>
      </c>
      <c r="G125" t="s">
        <v>73</v>
      </c>
      <c r="H125" t="s">
        <v>525</v>
      </c>
      <c r="I125">
        <v>7</v>
      </c>
      <c r="J125" t="s">
        <v>83</v>
      </c>
      <c r="K125" t="str">
        <f t="shared" si="1"/>
        <v>36700</v>
      </c>
      <c r="L125">
        <v>28238357.16</v>
      </c>
      <c r="M125">
        <v>374771.77</v>
      </c>
      <c r="N125">
        <v>-6557.9000000000005</v>
      </c>
      <c r="O125">
        <v>0</v>
      </c>
      <c r="P125" s="8">
        <v>28606571.030000001</v>
      </c>
    </row>
    <row r="126" spans="1:16">
      <c r="A126" s="1">
        <v>44652</v>
      </c>
      <c r="B126" t="s">
        <v>130</v>
      </c>
      <c r="C126" t="s">
        <v>14</v>
      </c>
      <c r="D126" t="s">
        <v>15</v>
      </c>
      <c r="E126" t="s">
        <v>33</v>
      </c>
      <c r="F126" t="s">
        <v>24</v>
      </c>
      <c r="G126" t="s">
        <v>73</v>
      </c>
      <c r="H126" t="s">
        <v>525</v>
      </c>
      <c r="I126">
        <v>7</v>
      </c>
      <c r="J126" t="s">
        <v>84</v>
      </c>
      <c r="K126" t="str">
        <f t="shared" si="1"/>
        <v>36801</v>
      </c>
      <c r="L126">
        <v>9738424.8399999999</v>
      </c>
      <c r="M126">
        <v>77271.45</v>
      </c>
      <c r="N126">
        <v>-5423.26</v>
      </c>
      <c r="O126">
        <v>0</v>
      </c>
      <c r="P126" s="8">
        <v>9810273.0299999993</v>
      </c>
    </row>
    <row r="127" spans="1:16">
      <c r="A127" s="1">
        <v>44652</v>
      </c>
      <c r="B127" t="s">
        <v>130</v>
      </c>
      <c r="C127" t="s">
        <v>14</v>
      </c>
      <c r="D127" t="s">
        <v>15</v>
      </c>
      <c r="E127" t="s">
        <v>33</v>
      </c>
      <c r="F127" t="s">
        <v>24</v>
      </c>
      <c r="G127" t="s">
        <v>73</v>
      </c>
      <c r="H127" t="s">
        <v>525</v>
      </c>
      <c r="I127">
        <v>7</v>
      </c>
      <c r="J127" t="s">
        <v>85</v>
      </c>
      <c r="K127" t="str">
        <f t="shared" si="1"/>
        <v>36802</v>
      </c>
      <c r="L127">
        <v>31085669.969999999</v>
      </c>
      <c r="M127">
        <v>252327.74000000002</v>
      </c>
      <c r="N127">
        <v>24042.11</v>
      </c>
      <c r="O127">
        <v>0</v>
      </c>
      <c r="P127" s="8">
        <v>31362039.82</v>
      </c>
    </row>
    <row r="128" spans="1:16">
      <c r="A128" s="1">
        <v>44652</v>
      </c>
      <c r="B128" t="s">
        <v>130</v>
      </c>
      <c r="C128" t="s">
        <v>14</v>
      </c>
      <c r="D128" t="s">
        <v>15</v>
      </c>
      <c r="E128" t="s">
        <v>33</v>
      </c>
      <c r="F128" t="s">
        <v>24</v>
      </c>
      <c r="G128" t="s">
        <v>73</v>
      </c>
      <c r="H128" t="s">
        <v>525</v>
      </c>
      <c r="I128">
        <v>7</v>
      </c>
      <c r="J128" t="s">
        <v>86</v>
      </c>
      <c r="K128" t="str">
        <f t="shared" si="1"/>
        <v>36803</v>
      </c>
      <c r="L128">
        <v>26197038.739999998</v>
      </c>
      <c r="M128">
        <v>387213</v>
      </c>
      <c r="N128">
        <v>-0.59</v>
      </c>
      <c r="O128">
        <v>0</v>
      </c>
      <c r="P128" s="8">
        <v>26584251.149999999</v>
      </c>
    </row>
    <row r="129" spans="1:16">
      <c r="A129" s="1">
        <v>44652</v>
      </c>
      <c r="B129" t="s">
        <v>130</v>
      </c>
      <c r="C129" t="s">
        <v>14</v>
      </c>
      <c r="D129" t="s">
        <v>15</v>
      </c>
      <c r="E129" t="s">
        <v>33</v>
      </c>
      <c r="F129" t="s">
        <v>24</v>
      </c>
      <c r="G129" t="s">
        <v>73</v>
      </c>
      <c r="H129" t="s">
        <v>525</v>
      </c>
      <c r="I129">
        <v>7</v>
      </c>
      <c r="J129" t="s">
        <v>87</v>
      </c>
      <c r="K129" t="str">
        <f t="shared" si="1"/>
        <v>36901</v>
      </c>
      <c r="L129">
        <v>10002111.939999999</v>
      </c>
      <c r="M129">
        <v>27018.690000000002</v>
      </c>
      <c r="N129">
        <v>-544.70000000000005</v>
      </c>
      <c r="O129">
        <v>0</v>
      </c>
      <c r="P129" s="8">
        <v>10028585.93</v>
      </c>
    </row>
    <row r="130" spans="1:16">
      <c r="A130" s="1">
        <v>44652</v>
      </c>
      <c r="B130" t="s">
        <v>130</v>
      </c>
      <c r="C130" t="s">
        <v>14</v>
      </c>
      <c r="D130" t="s">
        <v>15</v>
      </c>
      <c r="E130" t="s">
        <v>33</v>
      </c>
      <c r="F130" t="s">
        <v>24</v>
      </c>
      <c r="G130" t="s">
        <v>73</v>
      </c>
      <c r="H130" t="s">
        <v>525</v>
      </c>
      <c r="I130">
        <v>7</v>
      </c>
      <c r="J130" t="s">
        <v>88</v>
      </c>
      <c r="K130" t="str">
        <f t="shared" ref="K130:K193" si="2">MID(J130,2,5)</f>
        <v>36902</v>
      </c>
      <c r="L130">
        <v>13326917.82</v>
      </c>
      <c r="M130">
        <v>571038.34</v>
      </c>
      <c r="N130">
        <v>-682.29</v>
      </c>
      <c r="O130">
        <v>0</v>
      </c>
      <c r="P130" s="8">
        <v>13897273.869999999</v>
      </c>
    </row>
    <row r="131" spans="1:16">
      <c r="A131" s="1">
        <v>44652</v>
      </c>
      <c r="B131" t="s">
        <v>130</v>
      </c>
      <c r="C131" t="s">
        <v>14</v>
      </c>
      <c r="D131" t="s">
        <v>15</v>
      </c>
      <c r="E131" t="s">
        <v>33</v>
      </c>
      <c r="F131" t="s">
        <v>24</v>
      </c>
      <c r="G131" t="s">
        <v>73</v>
      </c>
      <c r="H131" t="s">
        <v>525</v>
      </c>
      <c r="I131">
        <v>7</v>
      </c>
      <c r="J131" t="s">
        <v>89</v>
      </c>
      <c r="K131" t="str">
        <f t="shared" si="2"/>
        <v>37001</v>
      </c>
      <c r="L131">
        <v>1717538.54</v>
      </c>
      <c r="M131">
        <v>0</v>
      </c>
      <c r="N131">
        <v>0</v>
      </c>
      <c r="O131">
        <v>6635.8600000000006</v>
      </c>
      <c r="P131" s="8">
        <v>1724174.4</v>
      </c>
    </row>
    <row r="132" spans="1:16">
      <c r="A132" s="1">
        <v>44652</v>
      </c>
      <c r="B132" t="s">
        <v>130</v>
      </c>
      <c r="C132" t="s">
        <v>14</v>
      </c>
      <c r="D132" t="s">
        <v>15</v>
      </c>
      <c r="E132" t="s">
        <v>33</v>
      </c>
      <c r="F132" t="s">
        <v>24</v>
      </c>
      <c r="G132" t="s">
        <v>73</v>
      </c>
      <c r="H132" t="s">
        <v>525</v>
      </c>
      <c r="I132">
        <v>7</v>
      </c>
      <c r="J132" t="s">
        <v>90</v>
      </c>
      <c r="K132" t="str">
        <f t="shared" si="2"/>
        <v>37002</v>
      </c>
      <c r="L132">
        <v>0</v>
      </c>
      <c r="M132">
        <v>0</v>
      </c>
      <c r="N132">
        <v>0</v>
      </c>
      <c r="O132">
        <v>0</v>
      </c>
      <c r="P132" s="8">
        <v>0</v>
      </c>
    </row>
    <row r="133" spans="1:16">
      <c r="A133" s="1">
        <v>44652</v>
      </c>
      <c r="B133" t="s">
        <v>130</v>
      </c>
      <c r="C133" t="s">
        <v>14</v>
      </c>
      <c r="D133" t="s">
        <v>15</v>
      </c>
      <c r="E133" t="s">
        <v>33</v>
      </c>
      <c r="F133" t="s">
        <v>24</v>
      </c>
      <c r="G133" t="s">
        <v>73</v>
      </c>
      <c r="H133" t="s">
        <v>525</v>
      </c>
      <c r="I133">
        <v>7</v>
      </c>
      <c r="J133" t="s">
        <v>91</v>
      </c>
      <c r="K133" t="str">
        <f t="shared" si="2"/>
        <v>37004</v>
      </c>
      <c r="L133">
        <v>17038190.600000001</v>
      </c>
      <c r="M133">
        <v>0</v>
      </c>
      <c r="N133">
        <v>504.43</v>
      </c>
      <c r="O133">
        <v>52679.75</v>
      </c>
      <c r="P133" s="8">
        <v>17091374.780000001</v>
      </c>
    </row>
    <row r="134" spans="1:16">
      <c r="A134" s="1">
        <v>44652</v>
      </c>
      <c r="B134" t="s">
        <v>130</v>
      </c>
      <c r="C134" t="s">
        <v>14</v>
      </c>
      <c r="D134" t="s">
        <v>15</v>
      </c>
      <c r="E134" t="s">
        <v>33</v>
      </c>
      <c r="F134" t="s">
        <v>24</v>
      </c>
      <c r="G134" t="s">
        <v>73</v>
      </c>
      <c r="H134" t="s">
        <v>525</v>
      </c>
      <c r="I134">
        <v>7</v>
      </c>
      <c r="J134" t="s">
        <v>92</v>
      </c>
      <c r="K134" t="str">
        <f t="shared" si="2"/>
        <v>37100</v>
      </c>
      <c r="L134">
        <v>2500182.13</v>
      </c>
      <c r="M134">
        <v>0</v>
      </c>
      <c r="N134">
        <v>-2595.65</v>
      </c>
      <c r="O134">
        <v>0</v>
      </c>
      <c r="P134" s="8">
        <v>2497586.48</v>
      </c>
    </row>
    <row r="135" spans="1:16">
      <c r="A135" s="1">
        <v>44652</v>
      </c>
      <c r="B135" t="s">
        <v>130</v>
      </c>
      <c r="C135" t="s">
        <v>14</v>
      </c>
      <c r="D135" t="s">
        <v>15</v>
      </c>
      <c r="E135" t="s">
        <v>33</v>
      </c>
      <c r="F135" t="s">
        <v>24</v>
      </c>
      <c r="G135" t="s">
        <v>73</v>
      </c>
      <c r="H135" t="s">
        <v>525</v>
      </c>
      <c r="I135">
        <v>7</v>
      </c>
      <c r="J135" t="s">
        <v>93</v>
      </c>
      <c r="K135" t="str">
        <f t="shared" si="2"/>
        <v>37300</v>
      </c>
      <c r="L135">
        <v>10226024.01</v>
      </c>
      <c r="M135">
        <v>35273.89</v>
      </c>
      <c r="N135">
        <v>-670.62</v>
      </c>
      <c r="O135">
        <v>0</v>
      </c>
      <c r="P135" s="8">
        <v>10260627.279999999</v>
      </c>
    </row>
    <row r="136" spans="1:16">
      <c r="A136" s="1">
        <v>44652</v>
      </c>
      <c r="B136" t="s">
        <v>130</v>
      </c>
      <c r="C136" t="s">
        <v>14</v>
      </c>
      <c r="D136" t="s">
        <v>15</v>
      </c>
      <c r="E136" t="s">
        <v>33</v>
      </c>
      <c r="F136" t="s">
        <v>119</v>
      </c>
      <c r="G136" t="s">
        <v>73</v>
      </c>
      <c r="H136" t="s">
        <v>525</v>
      </c>
      <c r="I136">
        <v>7</v>
      </c>
      <c r="J136" t="s">
        <v>74</v>
      </c>
      <c r="K136" t="str">
        <f t="shared" si="2"/>
        <v>36001</v>
      </c>
      <c r="L136">
        <v>0</v>
      </c>
      <c r="M136">
        <v>0</v>
      </c>
      <c r="N136">
        <v>0</v>
      </c>
      <c r="O136">
        <v>0</v>
      </c>
      <c r="P136" s="9">
        <v>0</v>
      </c>
    </row>
    <row r="137" spans="1:16">
      <c r="A137" s="1">
        <v>44652</v>
      </c>
      <c r="B137" t="s">
        <v>130</v>
      </c>
      <c r="C137" t="s">
        <v>14</v>
      </c>
      <c r="D137" t="s">
        <v>15</v>
      </c>
      <c r="E137" t="s">
        <v>33</v>
      </c>
      <c r="F137" t="s">
        <v>119</v>
      </c>
      <c r="G137" t="s">
        <v>73</v>
      </c>
      <c r="H137" t="s">
        <v>525</v>
      </c>
      <c r="I137">
        <v>7</v>
      </c>
      <c r="J137" t="s">
        <v>79</v>
      </c>
      <c r="K137" t="str">
        <f t="shared" si="2"/>
        <v>36200</v>
      </c>
      <c r="L137">
        <v>2753405.5</v>
      </c>
      <c r="M137">
        <v>0</v>
      </c>
      <c r="N137">
        <v>0</v>
      </c>
      <c r="O137">
        <v>0</v>
      </c>
      <c r="P137" s="9">
        <v>2753405.5</v>
      </c>
    </row>
    <row r="138" spans="1:16">
      <c r="A138" s="1">
        <v>44652</v>
      </c>
      <c r="B138" t="s">
        <v>130</v>
      </c>
      <c r="C138" t="s">
        <v>14</v>
      </c>
      <c r="D138" t="s">
        <v>15</v>
      </c>
      <c r="E138" t="s">
        <v>33</v>
      </c>
      <c r="F138" t="s">
        <v>17</v>
      </c>
      <c r="G138" t="s">
        <v>73</v>
      </c>
      <c r="H138" t="s">
        <v>525</v>
      </c>
      <c r="I138">
        <v>7</v>
      </c>
      <c r="J138" t="s">
        <v>74</v>
      </c>
      <c r="K138" t="str">
        <f t="shared" si="2"/>
        <v>36001</v>
      </c>
      <c r="L138">
        <v>1555.58</v>
      </c>
      <c r="M138">
        <v>14831.78</v>
      </c>
      <c r="N138">
        <v>0</v>
      </c>
      <c r="O138">
        <v>0</v>
      </c>
      <c r="P138">
        <v>16387.36</v>
      </c>
    </row>
    <row r="139" spans="1:16">
      <c r="A139" s="1">
        <v>44652</v>
      </c>
      <c r="B139" t="s">
        <v>130</v>
      </c>
      <c r="C139" t="s">
        <v>14</v>
      </c>
      <c r="D139" t="s">
        <v>15</v>
      </c>
      <c r="E139" t="s">
        <v>33</v>
      </c>
      <c r="F139" t="s">
        <v>17</v>
      </c>
      <c r="G139" t="s">
        <v>73</v>
      </c>
      <c r="H139" t="s">
        <v>525</v>
      </c>
      <c r="I139">
        <v>7</v>
      </c>
      <c r="J139" t="s">
        <v>77</v>
      </c>
      <c r="K139" t="str">
        <f t="shared" si="2"/>
        <v>36100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>
      <c r="A140" s="1">
        <v>44652</v>
      </c>
      <c r="B140" t="s">
        <v>130</v>
      </c>
      <c r="C140" t="s">
        <v>14</v>
      </c>
      <c r="D140" t="s">
        <v>15</v>
      </c>
      <c r="E140" t="s">
        <v>33</v>
      </c>
      <c r="F140" t="s">
        <v>17</v>
      </c>
      <c r="G140" t="s">
        <v>73</v>
      </c>
      <c r="H140" t="s">
        <v>525</v>
      </c>
      <c r="I140">
        <v>7</v>
      </c>
      <c r="J140" t="s">
        <v>79</v>
      </c>
      <c r="K140" t="str">
        <f t="shared" si="2"/>
        <v>36200</v>
      </c>
      <c r="L140">
        <v>125458.16</v>
      </c>
      <c r="M140">
        <v>4389340.47</v>
      </c>
      <c r="N140">
        <v>0</v>
      </c>
      <c r="O140">
        <v>0</v>
      </c>
      <c r="P140">
        <v>4514798.63</v>
      </c>
    </row>
    <row r="141" spans="1:16">
      <c r="A141" s="1">
        <v>44652</v>
      </c>
      <c r="B141" t="s">
        <v>130</v>
      </c>
      <c r="C141" t="s">
        <v>14</v>
      </c>
      <c r="D141" t="s">
        <v>15</v>
      </c>
      <c r="E141" t="s">
        <v>33</v>
      </c>
      <c r="F141" t="s">
        <v>17</v>
      </c>
      <c r="G141" t="s">
        <v>73</v>
      </c>
      <c r="H141" t="s">
        <v>525</v>
      </c>
      <c r="I141">
        <v>7</v>
      </c>
      <c r="J141" t="s">
        <v>80</v>
      </c>
      <c r="K141" t="str">
        <f t="shared" si="2"/>
        <v>36400</v>
      </c>
      <c r="L141">
        <v>18033820.43</v>
      </c>
      <c r="M141">
        <v>-605930.41</v>
      </c>
      <c r="N141">
        <v>0</v>
      </c>
      <c r="O141">
        <v>0</v>
      </c>
      <c r="P141">
        <v>17427890.02</v>
      </c>
    </row>
    <row r="142" spans="1:16">
      <c r="A142" s="1">
        <v>44652</v>
      </c>
      <c r="B142" t="s">
        <v>130</v>
      </c>
      <c r="C142" t="s">
        <v>14</v>
      </c>
      <c r="D142" t="s">
        <v>15</v>
      </c>
      <c r="E142" t="s">
        <v>33</v>
      </c>
      <c r="F142" t="s">
        <v>17</v>
      </c>
      <c r="G142" t="s">
        <v>73</v>
      </c>
      <c r="H142" t="s">
        <v>525</v>
      </c>
      <c r="I142">
        <v>7</v>
      </c>
      <c r="J142" t="s">
        <v>81</v>
      </c>
      <c r="K142" t="str">
        <f t="shared" si="2"/>
        <v>36500</v>
      </c>
      <c r="L142">
        <v>4004197.96</v>
      </c>
      <c r="M142">
        <v>-34290.620000000003</v>
      </c>
      <c r="N142">
        <v>0</v>
      </c>
      <c r="O142">
        <v>0</v>
      </c>
      <c r="P142">
        <v>3969907.34</v>
      </c>
    </row>
    <row r="143" spans="1:16">
      <c r="A143" s="1">
        <v>44652</v>
      </c>
      <c r="B143" t="s">
        <v>130</v>
      </c>
      <c r="C143" t="s">
        <v>14</v>
      </c>
      <c r="D143" t="s">
        <v>15</v>
      </c>
      <c r="E143" t="s">
        <v>33</v>
      </c>
      <c r="F143" t="s">
        <v>17</v>
      </c>
      <c r="G143" t="s">
        <v>73</v>
      </c>
      <c r="H143" t="s">
        <v>525</v>
      </c>
      <c r="I143">
        <v>7</v>
      </c>
      <c r="J143" t="s">
        <v>82</v>
      </c>
      <c r="K143" t="str">
        <f t="shared" si="2"/>
        <v>36600</v>
      </c>
      <c r="L143">
        <v>1733852.5</v>
      </c>
      <c r="M143">
        <v>-414800.63</v>
      </c>
      <c r="N143">
        <v>0</v>
      </c>
      <c r="O143">
        <v>0</v>
      </c>
      <c r="P143">
        <v>1319051.8700000001</v>
      </c>
    </row>
    <row r="144" spans="1:16">
      <c r="A144" s="1">
        <v>44652</v>
      </c>
      <c r="B144" t="s">
        <v>130</v>
      </c>
      <c r="C144" t="s">
        <v>14</v>
      </c>
      <c r="D144" t="s">
        <v>15</v>
      </c>
      <c r="E144" t="s">
        <v>33</v>
      </c>
      <c r="F144" t="s">
        <v>17</v>
      </c>
      <c r="G144" t="s">
        <v>73</v>
      </c>
      <c r="H144" t="s">
        <v>525</v>
      </c>
      <c r="I144">
        <v>7</v>
      </c>
      <c r="J144" t="s">
        <v>83</v>
      </c>
      <c r="K144" t="str">
        <f t="shared" si="2"/>
        <v>36700</v>
      </c>
      <c r="L144">
        <v>5550154.6699999999</v>
      </c>
      <c r="M144">
        <v>-601075.65</v>
      </c>
      <c r="N144">
        <v>0</v>
      </c>
      <c r="O144">
        <v>0</v>
      </c>
      <c r="P144">
        <v>4949079.0199999996</v>
      </c>
    </row>
    <row r="145" spans="1:16">
      <c r="A145" s="1">
        <v>44652</v>
      </c>
      <c r="B145" t="s">
        <v>130</v>
      </c>
      <c r="C145" t="s">
        <v>14</v>
      </c>
      <c r="D145" t="s">
        <v>15</v>
      </c>
      <c r="E145" t="s">
        <v>33</v>
      </c>
      <c r="F145" t="s">
        <v>17</v>
      </c>
      <c r="G145" t="s">
        <v>73</v>
      </c>
      <c r="H145" t="s">
        <v>525</v>
      </c>
      <c r="I145">
        <v>7</v>
      </c>
      <c r="J145" t="s">
        <v>84</v>
      </c>
      <c r="K145" t="str">
        <f t="shared" si="2"/>
        <v>36801</v>
      </c>
      <c r="L145">
        <v>509255.59</v>
      </c>
      <c r="M145">
        <v>-41582.370000000003</v>
      </c>
      <c r="N145">
        <v>0</v>
      </c>
      <c r="O145">
        <v>0</v>
      </c>
      <c r="P145">
        <v>467673.22000000003</v>
      </c>
    </row>
    <row r="146" spans="1:16">
      <c r="A146" s="1">
        <v>44652</v>
      </c>
      <c r="B146" t="s">
        <v>130</v>
      </c>
      <c r="C146" t="s">
        <v>14</v>
      </c>
      <c r="D146" t="s">
        <v>15</v>
      </c>
      <c r="E146" t="s">
        <v>33</v>
      </c>
      <c r="F146" t="s">
        <v>17</v>
      </c>
      <c r="G146" t="s">
        <v>73</v>
      </c>
      <c r="H146" t="s">
        <v>525</v>
      </c>
      <c r="I146">
        <v>7</v>
      </c>
      <c r="J146" t="s">
        <v>85</v>
      </c>
      <c r="K146" t="str">
        <f t="shared" si="2"/>
        <v>36802</v>
      </c>
      <c r="L146">
        <v>1023032.37</v>
      </c>
      <c r="M146">
        <v>-2197.42</v>
      </c>
      <c r="N146">
        <v>0</v>
      </c>
      <c r="O146">
        <v>0</v>
      </c>
      <c r="P146">
        <v>1020834.95</v>
      </c>
    </row>
    <row r="147" spans="1:16">
      <c r="A147" s="1">
        <v>44652</v>
      </c>
      <c r="B147" t="s">
        <v>130</v>
      </c>
      <c r="C147" t="s">
        <v>14</v>
      </c>
      <c r="D147" t="s">
        <v>15</v>
      </c>
      <c r="E147" t="s">
        <v>33</v>
      </c>
      <c r="F147" t="s">
        <v>17</v>
      </c>
      <c r="G147" t="s">
        <v>73</v>
      </c>
      <c r="H147" t="s">
        <v>525</v>
      </c>
      <c r="I147">
        <v>7</v>
      </c>
      <c r="J147" t="s">
        <v>86</v>
      </c>
      <c r="K147" t="str">
        <f t="shared" si="2"/>
        <v>36803</v>
      </c>
      <c r="L147">
        <v>635224.46</v>
      </c>
      <c r="M147">
        <v>-64827.1</v>
      </c>
      <c r="N147">
        <v>0</v>
      </c>
      <c r="O147">
        <v>0</v>
      </c>
      <c r="P147">
        <v>570397.36</v>
      </c>
    </row>
    <row r="148" spans="1:16">
      <c r="A148" s="1">
        <v>44652</v>
      </c>
      <c r="B148" t="s">
        <v>130</v>
      </c>
      <c r="C148" t="s">
        <v>14</v>
      </c>
      <c r="D148" t="s">
        <v>15</v>
      </c>
      <c r="E148" t="s">
        <v>33</v>
      </c>
      <c r="F148" t="s">
        <v>17</v>
      </c>
      <c r="G148" t="s">
        <v>73</v>
      </c>
      <c r="H148" t="s">
        <v>525</v>
      </c>
      <c r="I148">
        <v>7</v>
      </c>
      <c r="J148" t="s">
        <v>87</v>
      </c>
      <c r="K148" t="str">
        <f t="shared" si="2"/>
        <v>36901</v>
      </c>
      <c r="L148">
        <v>688264.79</v>
      </c>
      <c r="M148">
        <v>10342.18</v>
      </c>
      <c r="N148">
        <v>0</v>
      </c>
      <c r="O148">
        <v>0</v>
      </c>
      <c r="P148">
        <v>698606.97</v>
      </c>
    </row>
    <row r="149" spans="1:16">
      <c r="A149" s="1">
        <v>44652</v>
      </c>
      <c r="B149" t="s">
        <v>130</v>
      </c>
      <c r="C149" t="s">
        <v>14</v>
      </c>
      <c r="D149" t="s">
        <v>15</v>
      </c>
      <c r="E149" t="s">
        <v>33</v>
      </c>
      <c r="F149" t="s">
        <v>17</v>
      </c>
      <c r="G149" t="s">
        <v>73</v>
      </c>
      <c r="H149" t="s">
        <v>525</v>
      </c>
      <c r="I149">
        <v>7</v>
      </c>
      <c r="J149" t="s">
        <v>88</v>
      </c>
      <c r="K149" t="str">
        <f t="shared" si="2"/>
        <v>36902</v>
      </c>
      <c r="L149">
        <v>989954.17</v>
      </c>
      <c r="M149">
        <v>-460409.79000000004</v>
      </c>
      <c r="N149">
        <v>0</v>
      </c>
      <c r="O149">
        <v>0</v>
      </c>
      <c r="P149">
        <v>529544.38</v>
      </c>
    </row>
    <row r="150" spans="1:16">
      <c r="A150" s="1">
        <v>44652</v>
      </c>
      <c r="B150" t="s">
        <v>130</v>
      </c>
      <c r="C150" t="s">
        <v>14</v>
      </c>
      <c r="D150" t="s">
        <v>15</v>
      </c>
      <c r="E150" t="s">
        <v>33</v>
      </c>
      <c r="F150" t="s">
        <v>17</v>
      </c>
      <c r="G150" t="s">
        <v>73</v>
      </c>
      <c r="H150" t="s">
        <v>525</v>
      </c>
      <c r="I150">
        <v>7</v>
      </c>
      <c r="J150" t="s">
        <v>89</v>
      </c>
      <c r="K150" t="str">
        <f t="shared" si="2"/>
        <v>37001</v>
      </c>
      <c r="L150">
        <v>2224.36</v>
      </c>
      <c r="M150">
        <v>4894.08</v>
      </c>
      <c r="N150">
        <v>0</v>
      </c>
      <c r="O150">
        <v>0</v>
      </c>
      <c r="P150">
        <v>7118.4400000000005</v>
      </c>
    </row>
    <row r="151" spans="1:16">
      <c r="A151" s="1">
        <v>44652</v>
      </c>
      <c r="B151" t="s">
        <v>130</v>
      </c>
      <c r="C151" t="s">
        <v>14</v>
      </c>
      <c r="D151" t="s">
        <v>15</v>
      </c>
      <c r="E151" t="s">
        <v>33</v>
      </c>
      <c r="F151" t="s">
        <v>17</v>
      </c>
      <c r="G151" t="s">
        <v>73</v>
      </c>
      <c r="H151" t="s">
        <v>525</v>
      </c>
      <c r="I151">
        <v>7</v>
      </c>
      <c r="J151" t="s">
        <v>91</v>
      </c>
      <c r="K151" t="str">
        <f t="shared" si="2"/>
        <v>37004</v>
      </c>
      <c r="L151">
        <v>2224.3200000000002</v>
      </c>
      <c r="M151">
        <v>4893.99</v>
      </c>
      <c r="N151">
        <v>0</v>
      </c>
      <c r="O151">
        <v>0</v>
      </c>
      <c r="P151">
        <v>7118.31</v>
      </c>
    </row>
    <row r="152" spans="1:16">
      <c r="A152" s="1">
        <v>44652</v>
      </c>
      <c r="B152" t="s">
        <v>130</v>
      </c>
      <c r="C152" t="s">
        <v>14</v>
      </c>
      <c r="D152" t="s">
        <v>15</v>
      </c>
      <c r="E152" t="s">
        <v>33</v>
      </c>
      <c r="F152" t="s">
        <v>17</v>
      </c>
      <c r="G152" t="s">
        <v>73</v>
      </c>
      <c r="H152" t="s">
        <v>525</v>
      </c>
      <c r="I152">
        <v>7</v>
      </c>
      <c r="J152" t="s">
        <v>92</v>
      </c>
      <c r="K152" t="str">
        <f t="shared" si="2"/>
        <v>37100</v>
      </c>
      <c r="L152">
        <v>153966.81</v>
      </c>
      <c r="M152">
        <v>-2529.06</v>
      </c>
      <c r="N152">
        <v>0</v>
      </c>
      <c r="O152">
        <v>0</v>
      </c>
      <c r="P152">
        <v>151437.75</v>
      </c>
    </row>
    <row r="153" spans="1:16">
      <c r="A153" s="1">
        <v>44652</v>
      </c>
      <c r="B153" t="s">
        <v>130</v>
      </c>
      <c r="C153" t="s">
        <v>14</v>
      </c>
      <c r="D153" t="s">
        <v>15</v>
      </c>
      <c r="E153" t="s">
        <v>33</v>
      </c>
      <c r="F153" t="s">
        <v>17</v>
      </c>
      <c r="G153" t="s">
        <v>73</v>
      </c>
      <c r="H153" t="s">
        <v>525</v>
      </c>
      <c r="I153">
        <v>7</v>
      </c>
      <c r="J153" t="s">
        <v>93</v>
      </c>
      <c r="K153" t="str">
        <f t="shared" si="2"/>
        <v>37300</v>
      </c>
      <c r="L153">
        <v>1147590.79</v>
      </c>
      <c r="M153">
        <v>5507.57</v>
      </c>
      <c r="N153">
        <v>0</v>
      </c>
      <c r="O153">
        <v>0</v>
      </c>
      <c r="P153">
        <v>1153098.3600000001</v>
      </c>
    </row>
    <row r="154" spans="1:16">
      <c r="A154" s="1">
        <v>44682</v>
      </c>
      <c r="B154" t="s">
        <v>129</v>
      </c>
      <c r="C154" t="s">
        <v>14</v>
      </c>
      <c r="D154" t="s">
        <v>15</v>
      </c>
      <c r="E154" t="s">
        <v>33</v>
      </c>
      <c r="F154" t="s">
        <v>24</v>
      </c>
      <c r="G154" t="s">
        <v>73</v>
      </c>
      <c r="H154" t="s">
        <v>525</v>
      </c>
      <c r="I154">
        <v>7</v>
      </c>
      <c r="J154" t="s">
        <v>74</v>
      </c>
      <c r="K154" t="str">
        <f t="shared" si="2"/>
        <v>36001</v>
      </c>
      <c r="L154">
        <v>658853.93000000005</v>
      </c>
      <c r="M154">
        <v>0</v>
      </c>
      <c r="N154">
        <v>0</v>
      </c>
      <c r="O154">
        <v>0</v>
      </c>
      <c r="P154" s="8">
        <v>658853.93000000005</v>
      </c>
    </row>
    <row r="155" spans="1:16">
      <c r="A155" s="1">
        <v>44682</v>
      </c>
      <c r="B155" t="s">
        <v>129</v>
      </c>
      <c r="C155" t="s">
        <v>14</v>
      </c>
      <c r="D155" t="s">
        <v>15</v>
      </c>
      <c r="E155" t="s">
        <v>33</v>
      </c>
      <c r="F155" t="s">
        <v>24</v>
      </c>
      <c r="G155" t="s">
        <v>73</v>
      </c>
      <c r="H155" t="s">
        <v>525</v>
      </c>
      <c r="I155">
        <v>7</v>
      </c>
      <c r="J155" t="s">
        <v>75</v>
      </c>
      <c r="K155" t="str">
        <f t="shared" si="2"/>
        <v>36002</v>
      </c>
      <c r="L155">
        <v>184620.19</v>
      </c>
      <c r="M155">
        <v>0</v>
      </c>
      <c r="N155">
        <v>0</v>
      </c>
      <c r="O155">
        <v>0</v>
      </c>
      <c r="P155" s="8">
        <v>184620.19</v>
      </c>
    </row>
    <row r="156" spans="1:16">
      <c r="A156" s="1">
        <v>44682</v>
      </c>
      <c r="B156" t="s">
        <v>129</v>
      </c>
      <c r="C156" t="s">
        <v>14</v>
      </c>
      <c r="D156" t="s">
        <v>15</v>
      </c>
      <c r="E156" t="s">
        <v>33</v>
      </c>
      <c r="F156" t="s">
        <v>24</v>
      </c>
      <c r="G156" t="s">
        <v>73</v>
      </c>
      <c r="H156" t="s">
        <v>525</v>
      </c>
      <c r="I156">
        <v>7</v>
      </c>
      <c r="J156" t="s">
        <v>76</v>
      </c>
      <c r="K156" t="str">
        <f t="shared" si="2"/>
        <v>36003</v>
      </c>
      <c r="L156">
        <v>0</v>
      </c>
      <c r="M156">
        <v>0</v>
      </c>
      <c r="N156">
        <v>0</v>
      </c>
      <c r="O156">
        <v>0</v>
      </c>
      <c r="P156" s="8">
        <v>0</v>
      </c>
    </row>
    <row r="157" spans="1:16">
      <c r="A157" s="1">
        <v>44682</v>
      </c>
      <c r="B157" t="s">
        <v>129</v>
      </c>
      <c r="C157" t="s">
        <v>14</v>
      </c>
      <c r="D157" t="s">
        <v>15</v>
      </c>
      <c r="E157" t="s">
        <v>33</v>
      </c>
      <c r="F157" t="s">
        <v>24</v>
      </c>
      <c r="G157" t="s">
        <v>73</v>
      </c>
      <c r="H157" t="s">
        <v>525</v>
      </c>
      <c r="I157">
        <v>7</v>
      </c>
      <c r="J157" t="s">
        <v>77</v>
      </c>
      <c r="K157" t="str">
        <f t="shared" si="2"/>
        <v>36100</v>
      </c>
      <c r="L157">
        <v>643978.15</v>
      </c>
      <c r="M157">
        <v>0</v>
      </c>
      <c r="N157">
        <v>0</v>
      </c>
      <c r="O157">
        <v>0</v>
      </c>
      <c r="P157" s="8">
        <v>643978.15</v>
      </c>
    </row>
    <row r="158" spans="1:16">
      <c r="A158" s="1">
        <v>44682</v>
      </c>
      <c r="B158" t="s">
        <v>129</v>
      </c>
      <c r="C158" t="s">
        <v>14</v>
      </c>
      <c r="D158" t="s">
        <v>15</v>
      </c>
      <c r="E158" t="s">
        <v>33</v>
      </c>
      <c r="F158" t="s">
        <v>24</v>
      </c>
      <c r="G158" t="s">
        <v>73</v>
      </c>
      <c r="H158" t="s">
        <v>525</v>
      </c>
      <c r="I158">
        <v>7</v>
      </c>
      <c r="J158" t="s">
        <v>78</v>
      </c>
      <c r="K158" t="str">
        <f t="shared" si="2"/>
        <v>36105</v>
      </c>
      <c r="L158">
        <v>1169918.8700000001</v>
      </c>
      <c r="M158">
        <v>0</v>
      </c>
      <c r="N158">
        <v>0</v>
      </c>
      <c r="O158">
        <v>0</v>
      </c>
      <c r="P158" s="8">
        <v>1169918.8700000001</v>
      </c>
    </row>
    <row r="159" spans="1:16">
      <c r="A159" s="1">
        <v>44682</v>
      </c>
      <c r="B159" t="s">
        <v>129</v>
      </c>
      <c r="C159" t="s">
        <v>14</v>
      </c>
      <c r="D159" t="s">
        <v>15</v>
      </c>
      <c r="E159" t="s">
        <v>33</v>
      </c>
      <c r="F159" t="s">
        <v>24</v>
      </c>
      <c r="G159" t="s">
        <v>73</v>
      </c>
      <c r="H159" t="s">
        <v>525</v>
      </c>
      <c r="I159">
        <v>7</v>
      </c>
      <c r="J159" t="s">
        <v>79</v>
      </c>
      <c r="K159" t="str">
        <f t="shared" si="2"/>
        <v>36200</v>
      </c>
      <c r="L159">
        <v>51243864.270000003</v>
      </c>
      <c r="M159">
        <v>0</v>
      </c>
      <c r="N159">
        <v>-2766.44</v>
      </c>
      <c r="O159">
        <v>-11131.77</v>
      </c>
      <c r="P159" s="8">
        <v>51229966.060000002</v>
      </c>
    </row>
    <row r="160" spans="1:16">
      <c r="A160" s="1">
        <v>44682</v>
      </c>
      <c r="B160" t="s">
        <v>129</v>
      </c>
      <c r="C160" t="s">
        <v>14</v>
      </c>
      <c r="D160" t="s">
        <v>15</v>
      </c>
      <c r="E160" t="s">
        <v>33</v>
      </c>
      <c r="F160" t="s">
        <v>24</v>
      </c>
      <c r="G160" t="s">
        <v>73</v>
      </c>
      <c r="H160" t="s">
        <v>525</v>
      </c>
      <c r="I160">
        <v>7</v>
      </c>
      <c r="J160" t="s">
        <v>80</v>
      </c>
      <c r="K160" t="str">
        <f t="shared" si="2"/>
        <v>36400</v>
      </c>
      <c r="L160">
        <v>81446596.980000004</v>
      </c>
      <c r="M160">
        <v>1158297.45</v>
      </c>
      <c r="N160">
        <v>-45898.239999999998</v>
      </c>
      <c r="O160">
        <v>0</v>
      </c>
      <c r="P160" s="8">
        <v>82558996.189999998</v>
      </c>
    </row>
    <row r="161" spans="1:16">
      <c r="A161" s="1">
        <v>44682</v>
      </c>
      <c r="B161" t="s">
        <v>129</v>
      </c>
      <c r="C161" t="s">
        <v>14</v>
      </c>
      <c r="D161" t="s">
        <v>15</v>
      </c>
      <c r="E161" t="s">
        <v>33</v>
      </c>
      <c r="F161" t="s">
        <v>24</v>
      </c>
      <c r="G161" t="s">
        <v>73</v>
      </c>
      <c r="H161" t="s">
        <v>525</v>
      </c>
      <c r="I161">
        <v>7</v>
      </c>
      <c r="J161" t="s">
        <v>81</v>
      </c>
      <c r="K161" t="str">
        <f t="shared" si="2"/>
        <v>36500</v>
      </c>
      <c r="L161">
        <v>54095359.329999998</v>
      </c>
      <c r="M161">
        <v>241196.2</v>
      </c>
      <c r="N161">
        <v>-4636.5600000000004</v>
      </c>
      <c r="O161">
        <v>-4365.6499999999996</v>
      </c>
      <c r="P161" s="8">
        <v>54327553.32</v>
      </c>
    </row>
    <row r="162" spans="1:16">
      <c r="A162" s="1">
        <v>44682</v>
      </c>
      <c r="B162" t="s">
        <v>129</v>
      </c>
      <c r="C162" t="s">
        <v>14</v>
      </c>
      <c r="D162" t="s">
        <v>15</v>
      </c>
      <c r="E162" t="s">
        <v>33</v>
      </c>
      <c r="F162" t="s">
        <v>24</v>
      </c>
      <c r="G162" t="s">
        <v>73</v>
      </c>
      <c r="H162" t="s">
        <v>525</v>
      </c>
      <c r="I162">
        <v>7</v>
      </c>
      <c r="J162" t="s">
        <v>82</v>
      </c>
      <c r="K162" t="str">
        <f t="shared" si="2"/>
        <v>36600</v>
      </c>
      <c r="L162">
        <v>15122711.59</v>
      </c>
      <c r="M162">
        <v>76953.919999999998</v>
      </c>
      <c r="N162">
        <v>0</v>
      </c>
      <c r="O162">
        <v>0</v>
      </c>
      <c r="P162" s="8">
        <v>15199665.51</v>
      </c>
    </row>
    <row r="163" spans="1:16">
      <c r="A163" s="1">
        <v>44682</v>
      </c>
      <c r="B163" t="s">
        <v>129</v>
      </c>
      <c r="C163" t="s">
        <v>14</v>
      </c>
      <c r="D163" t="s">
        <v>15</v>
      </c>
      <c r="E163" t="s">
        <v>33</v>
      </c>
      <c r="F163" t="s">
        <v>24</v>
      </c>
      <c r="G163" t="s">
        <v>73</v>
      </c>
      <c r="H163" t="s">
        <v>525</v>
      </c>
      <c r="I163">
        <v>7</v>
      </c>
      <c r="J163" t="s">
        <v>83</v>
      </c>
      <c r="K163" t="str">
        <f t="shared" si="2"/>
        <v>36700</v>
      </c>
      <c r="L163">
        <v>28606571.030000001</v>
      </c>
      <c r="M163">
        <v>219740.14</v>
      </c>
      <c r="N163">
        <v>-8094.93</v>
      </c>
      <c r="O163">
        <v>0</v>
      </c>
      <c r="P163" s="8">
        <v>28818216.239999998</v>
      </c>
    </row>
    <row r="164" spans="1:16">
      <c r="A164" s="1">
        <v>44682</v>
      </c>
      <c r="B164" t="s">
        <v>129</v>
      </c>
      <c r="C164" t="s">
        <v>14</v>
      </c>
      <c r="D164" t="s">
        <v>15</v>
      </c>
      <c r="E164" t="s">
        <v>33</v>
      </c>
      <c r="F164" t="s">
        <v>24</v>
      </c>
      <c r="G164" t="s">
        <v>73</v>
      </c>
      <c r="H164" t="s">
        <v>525</v>
      </c>
      <c r="I164">
        <v>7</v>
      </c>
      <c r="J164" t="s">
        <v>84</v>
      </c>
      <c r="K164" t="str">
        <f t="shared" si="2"/>
        <v>36801</v>
      </c>
      <c r="L164">
        <v>9810273.0299999993</v>
      </c>
      <c r="M164">
        <v>149400.49</v>
      </c>
      <c r="N164">
        <v>-6779.91</v>
      </c>
      <c r="O164">
        <v>0</v>
      </c>
      <c r="P164" s="8">
        <v>9952893.6099999994</v>
      </c>
    </row>
    <row r="165" spans="1:16">
      <c r="A165" s="1">
        <v>44682</v>
      </c>
      <c r="B165" t="s">
        <v>129</v>
      </c>
      <c r="C165" t="s">
        <v>14</v>
      </c>
      <c r="D165" t="s">
        <v>15</v>
      </c>
      <c r="E165" t="s">
        <v>33</v>
      </c>
      <c r="F165" t="s">
        <v>24</v>
      </c>
      <c r="G165" t="s">
        <v>73</v>
      </c>
      <c r="H165" t="s">
        <v>525</v>
      </c>
      <c r="I165">
        <v>7</v>
      </c>
      <c r="J165" t="s">
        <v>85</v>
      </c>
      <c r="K165" t="str">
        <f t="shared" si="2"/>
        <v>36802</v>
      </c>
      <c r="L165">
        <v>31362039.82</v>
      </c>
      <c r="M165">
        <v>32767.81</v>
      </c>
      <c r="N165">
        <v>-532.44000000000005</v>
      </c>
      <c r="O165">
        <v>0</v>
      </c>
      <c r="P165" s="8">
        <v>31394275.190000001</v>
      </c>
    </row>
    <row r="166" spans="1:16">
      <c r="A166" s="1">
        <v>44682</v>
      </c>
      <c r="B166" t="s">
        <v>129</v>
      </c>
      <c r="C166" t="s">
        <v>14</v>
      </c>
      <c r="D166" t="s">
        <v>15</v>
      </c>
      <c r="E166" t="s">
        <v>33</v>
      </c>
      <c r="F166" t="s">
        <v>24</v>
      </c>
      <c r="G166" t="s">
        <v>73</v>
      </c>
      <c r="H166" t="s">
        <v>525</v>
      </c>
      <c r="I166">
        <v>7</v>
      </c>
      <c r="J166" t="s">
        <v>86</v>
      </c>
      <c r="K166" t="str">
        <f t="shared" si="2"/>
        <v>36803</v>
      </c>
      <c r="L166">
        <v>26584251.149999999</v>
      </c>
      <c r="M166">
        <v>43399.87</v>
      </c>
      <c r="N166">
        <v>-28.900000000000002</v>
      </c>
      <c r="O166">
        <v>0</v>
      </c>
      <c r="P166" s="8">
        <v>26627622.120000001</v>
      </c>
    </row>
    <row r="167" spans="1:16">
      <c r="A167" s="1">
        <v>44682</v>
      </c>
      <c r="B167" t="s">
        <v>129</v>
      </c>
      <c r="C167" t="s">
        <v>14</v>
      </c>
      <c r="D167" t="s">
        <v>15</v>
      </c>
      <c r="E167" t="s">
        <v>33</v>
      </c>
      <c r="F167" t="s">
        <v>24</v>
      </c>
      <c r="G167" t="s">
        <v>73</v>
      </c>
      <c r="H167" t="s">
        <v>525</v>
      </c>
      <c r="I167">
        <v>7</v>
      </c>
      <c r="J167" t="s">
        <v>87</v>
      </c>
      <c r="K167" t="str">
        <f t="shared" si="2"/>
        <v>36901</v>
      </c>
      <c r="L167">
        <v>10028585.93</v>
      </c>
      <c r="M167">
        <v>3782.91</v>
      </c>
      <c r="N167">
        <v>-145.95000000000002</v>
      </c>
      <c r="O167">
        <v>0</v>
      </c>
      <c r="P167" s="8">
        <v>10032222.890000001</v>
      </c>
    </row>
    <row r="168" spans="1:16">
      <c r="A168" s="1">
        <v>44682</v>
      </c>
      <c r="B168" t="s">
        <v>129</v>
      </c>
      <c r="C168" t="s">
        <v>14</v>
      </c>
      <c r="D168" t="s">
        <v>15</v>
      </c>
      <c r="E168" t="s">
        <v>33</v>
      </c>
      <c r="F168" t="s">
        <v>24</v>
      </c>
      <c r="G168" t="s">
        <v>73</v>
      </c>
      <c r="H168" t="s">
        <v>525</v>
      </c>
      <c r="I168">
        <v>7</v>
      </c>
      <c r="J168" t="s">
        <v>88</v>
      </c>
      <c r="K168" t="str">
        <f t="shared" si="2"/>
        <v>36902</v>
      </c>
      <c r="L168">
        <v>13897273.869999999</v>
      </c>
      <c r="M168">
        <v>18883.11</v>
      </c>
      <c r="N168">
        <v>-205.34</v>
      </c>
      <c r="O168">
        <v>0</v>
      </c>
      <c r="P168" s="8">
        <v>13915951.640000001</v>
      </c>
    </row>
    <row r="169" spans="1:16">
      <c r="A169" s="1">
        <v>44682</v>
      </c>
      <c r="B169" t="s">
        <v>129</v>
      </c>
      <c r="C169" t="s">
        <v>14</v>
      </c>
      <c r="D169" t="s">
        <v>15</v>
      </c>
      <c r="E169" t="s">
        <v>33</v>
      </c>
      <c r="F169" t="s">
        <v>24</v>
      </c>
      <c r="G169" t="s">
        <v>73</v>
      </c>
      <c r="H169" t="s">
        <v>525</v>
      </c>
      <c r="I169">
        <v>7</v>
      </c>
      <c r="J169" t="s">
        <v>89</v>
      </c>
      <c r="K169" t="str">
        <f t="shared" si="2"/>
        <v>37001</v>
      </c>
      <c r="L169">
        <v>1724174.4</v>
      </c>
      <c r="M169">
        <v>0</v>
      </c>
      <c r="N169">
        <v>0</v>
      </c>
      <c r="O169">
        <v>3414.26</v>
      </c>
      <c r="P169" s="8">
        <v>1727588.6600000001</v>
      </c>
    </row>
    <row r="170" spans="1:16">
      <c r="A170" s="1">
        <v>44682</v>
      </c>
      <c r="B170" t="s">
        <v>129</v>
      </c>
      <c r="C170" t="s">
        <v>14</v>
      </c>
      <c r="D170" t="s">
        <v>15</v>
      </c>
      <c r="E170" t="s">
        <v>33</v>
      </c>
      <c r="F170" t="s">
        <v>24</v>
      </c>
      <c r="G170" t="s">
        <v>73</v>
      </c>
      <c r="H170" t="s">
        <v>525</v>
      </c>
      <c r="I170">
        <v>7</v>
      </c>
      <c r="J170" t="s">
        <v>90</v>
      </c>
      <c r="K170" t="str">
        <f t="shared" si="2"/>
        <v>37002</v>
      </c>
      <c r="L170">
        <v>0</v>
      </c>
      <c r="M170">
        <v>0</v>
      </c>
      <c r="N170">
        <v>0</v>
      </c>
      <c r="O170">
        <v>0</v>
      </c>
      <c r="P170" s="8">
        <v>0</v>
      </c>
    </row>
    <row r="171" spans="1:16">
      <c r="A171" s="1">
        <v>44682</v>
      </c>
      <c r="B171" t="s">
        <v>129</v>
      </c>
      <c r="C171" t="s">
        <v>14</v>
      </c>
      <c r="D171" t="s">
        <v>15</v>
      </c>
      <c r="E171" t="s">
        <v>33</v>
      </c>
      <c r="F171" t="s">
        <v>24</v>
      </c>
      <c r="G171" t="s">
        <v>73</v>
      </c>
      <c r="H171" t="s">
        <v>525</v>
      </c>
      <c r="I171">
        <v>7</v>
      </c>
      <c r="J171" t="s">
        <v>91</v>
      </c>
      <c r="K171" t="str">
        <f t="shared" si="2"/>
        <v>37004</v>
      </c>
      <c r="L171">
        <v>17091374.780000001</v>
      </c>
      <c r="M171">
        <v>0</v>
      </c>
      <c r="N171">
        <v>0</v>
      </c>
      <c r="O171">
        <v>1644.52</v>
      </c>
      <c r="P171" s="8">
        <v>17093019.300000001</v>
      </c>
    </row>
    <row r="172" spans="1:16">
      <c r="A172" s="1">
        <v>44682</v>
      </c>
      <c r="B172" t="s">
        <v>129</v>
      </c>
      <c r="C172" t="s">
        <v>14</v>
      </c>
      <c r="D172" t="s">
        <v>15</v>
      </c>
      <c r="E172" t="s">
        <v>33</v>
      </c>
      <c r="F172" t="s">
        <v>24</v>
      </c>
      <c r="G172" t="s">
        <v>73</v>
      </c>
      <c r="H172" t="s">
        <v>525</v>
      </c>
      <c r="I172">
        <v>7</v>
      </c>
      <c r="J172" t="s">
        <v>92</v>
      </c>
      <c r="K172" t="str">
        <f t="shared" si="2"/>
        <v>37100</v>
      </c>
      <c r="L172">
        <v>2497586.48</v>
      </c>
      <c r="M172">
        <v>0</v>
      </c>
      <c r="N172">
        <v>-2013.18</v>
      </c>
      <c r="O172">
        <v>0</v>
      </c>
      <c r="P172" s="8">
        <v>2495573.2999999998</v>
      </c>
    </row>
    <row r="173" spans="1:16">
      <c r="A173" s="1">
        <v>44682</v>
      </c>
      <c r="B173" t="s">
        <v>129</v>
      </c>
      <c r="C173" t="s">
        <v>14</v>
      </c>
      <c r="D173" t="s">
        <v>15</v>
      </c>
      <c r="E173" t="s">
        <v>33</v>
      </c>
      <c r="F173" t="s">
        <v>24</v>
      </c>
      <c r="G173" t="s">
        <v>73</v>
      </c>
      <c r="H173" t="s">
        <v>525</v>
      </c>
      <c r="I173">
        <v>7</v>
      </c>
      <c r="J173" t="s">
        <v>93</v>
      </c>
      <c r="K173" t="str">
        <f t="shared" si="2"/>
        <v>37300</v>
      </c>
      <c r="L173">
        <v>10260627.279999999</v>
      </c>
      <c r="M173">
        <v>86744.94</v>
      </c>
      <c r="N173">
        <v>-2765.38</v>
      </c>
      <c r="O173">
        <v>0</v>
      </c>
      <c r="P173" s="8">
        <v>10344606.84</v>
      </c>
    </row>
    <row r="174" spans="1:16">
      <c r="A174" s="1">
        <v>44682</v>
      </c>
      <c r="B174" t="s">
        <v>129</v>
      </c>
      <c r="C174" t="s">
        <v>14</v>
      </c>
      <c r="D174" t="s">
        <v>15</v>
      </c>
      <c r="E174" t="s">
        <v>33</v>
      </c>
      <c r="F174" t="s">
        <v>119</v>
      </c>
      <c r="G174" t="s">
        <v>73</v>
      </c>
      <c r="H174" t="s">
        <v>525</v>
      </c>
      <c r="I174">
        <v>7</v>
      </c>
      <c r="J174" t="s">
        <v>74</v>
      </c>
      <c r="K174" t="str">
        <f t="shared" si="2"/>
        <v>36001</v>
      </c>
      <c r="L174">
        <v>0</v>
      </c>
      <c r="M174">
        <v>0</v>
      </c>
      <c r="N174">
        <v>0</v>
      </c>
      <c r="O174">
        <v>0</v>
      </c>
      <c r="P174" s="9">
        <v>0</v>
      </c>
    </row>
    <row r="175" spans="1:16">
      <c r="A175" s="1">
        <v>44682</v>
      </c>
      <c r="B175" t="s">
        <v>129</v>
      </c>
      <c r="C175" t="s">
        <v>14</v>
      </c>
      <c r="D175" t="s">
        <v>15</v>
      </c>
      <c r="E175" t="s">
        <v>33</v>
      </c>
      <c r="F175" t="s">
        <v>119</v>
      </c>
      <c r="G175" t="s">
        <v>73</v>
      </c>
      <c r="H175" t="s">
        <v>525</v>
      </c>
      <c r="I175">
        <v>7</v>
      </c>
      <c r="J175" t="s">
        <v>79</v>
      </c>
      <c r="K175" t="str">
        <f t="shared" si="2"/>
        <v>36200</v>
      </c>
      <c r="L175">
        <v>2753405.5</v>
      </c>
      <c r="M175">
        <v>0</v>
      </c>
      <c r="N175">
        <v>0</v>
      </c>
      <c r="O175">
        <v>0</v>
      </c>
      <c r="P175" s="9">
        <v>2753405.5</v>
      </c>
    </row>
    <row r="176" spans="1:16">
      <c r="A176" s="1">
        <v>44682</v>
      </c>
      <c r="B176" t="s">
        <v>129</v>
      </c>
      <c r="C176" t="s">
        <v>14</v>
      </c>
      <c r="D176" t="s">
        <v>15</v>
      </c>
      <c r="E176" t="s">
        <v>33</v>
      </c>
      <c r="F176" t="s">
        <v>17</v>
      </c>
      <c r="G176" t="s">
        <v>73</v>
      </c>
      <c r="H176" t="s">
        <v>525</v>
      </c>
      <c r="I176">
        <v>7</v>
      </c>
      <c r="J176" t="s">
        <v>74</v>
      </c>
      <c r="K176" t="str">
        <f t="shared" si="2"/>
        <v>36001</v>
      </c>
      <c r="L176">
        <v>16387.36</v>
      </c>
      <c r="M176">
        <v>-10.32</v>
      </c>
      <c r="N176">
        <v>0</v>
      </c>
      <c r="O176">
        <v>0</v>
      </c>
      <c r="P176">
        <v>16377.04</v>
      </c>
    </row>
    <row r="177" spans="1:16">
      <c r="A177" s="1">
        <v>44682</v>
      </c>
      <c r="B177" t="s">
        <v>129</v>
      </c>
      <c r="C177" t="s">
        <v>14</v>
      </c>
      <c r="D177" t="s">
        <v>15</v>
      </c>
      <c r="E177" t="s">
        <v>33</v>
      </c>
      <c r="F177" t="s">
        <v>17</v>
      </c>
      <c r="G177" t="s">
        <v>73</v>
      </c>
      <c r="H177" t="s">
        <v>525</v>
      </c>
      <c r="I177">
        <v>7</v>
      </c>
      <c r="J177" t="s">
        <v>77</v>
      </c>
      <c r="K177" t="str">
        <f t="shared" si="2"/>
        <v>36100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>
      <c r="A178" s="1">
        <v>44682</v>
      </c>
      <c r="B178" t="s">
        <v>129</v>
      </c>
      <c r="C178" t="s">
        <v>14</v>
      </c>
      <c r="D178" t="s">
        <v>15</v>
      </c>
      <c r="E178" t="s">
        <v>33</v>
      </c>
      <c r="F178" t="s">
        <v>17</v>
      </c>
      <c r="G178" t="s">
        <v>73</v>
      </c>
      <c r="H178" t="s">
        <v>525</v>
      </c>
      <c r="I178">
        <v>7</v>
      </c>
      <c r="J178" t="s">
        <v>79</v>
      </c>
      <c r="K178" t="str">
        <f t="shared" si="2"/>
        <v>36200</v>
      </c>
      <c r="L178">
        <v>4514798.63</v>
      </c>
      <c r="M178">
        <v>21060.12</v>
      </c>
      <c r="N178">
        <v>0</v>
      </c>
      <c r="O178">
        <v>0</v>
      </c>
      <c r="P178">
        <v>4535858.75</v>
      </c>
    </row>
    <row r="179" spans="1:16">
      <c r="A179" s="1">
        <v>44682</v>
      </c>
      <c r="B179" t="s">
        <v>129</v>
      </c>
      <c r="C179" t="s">
        <v>14</v>
      </c>
      <c r="D179" t="s">
        <v>15</v>
      </c>
      <c r="E179" t="s">
        <v>33</v>
      </c>
      <c r="F179" t="s">
        <v>17</v>
      </c>
      <c r="G179" t="s">
        <v>73</v>
      </c>
      <c r="H179" t="s">
        <v>525</v>
      </c>
      <c r="I179">
        <v>7</v>
      </c>
      <c r="J179" t="s">
        <v>80</v>
      </c>
      <c r="K179" t="str">
        <f t="shared" si="2"/>
        <v>36400</v>
      </c>
      <c r="L179">
        <v>17427890.02</v>
      </c>
      <c r="M179">
        <v>544555.25</v>
      </c>
      <c r="N179">
        <v>0</v>
      </c>
      <c r="O179">
        <v>0</v>
      </c>
      <c r="P179">
        <v>17972445.27</v>
      </c>
    </row>
    <row r="180" spans="1:16">
      <c r="A180" s="1">
        <v>44682</v>
      </c>
      <c r="B180" t="s">
        <v>129</v>
      </c>
      <c r="C180" t="s">
        <v>14</v>
      </c>
      <c r="D180" t="s">
        <v>15</v>
      </c>
      <c r="E180" t="s">
        <v>33</v>
      </c>
      <c r="F180" t="s">
        <v>17</v>
      </c>
      <c r="G180" t="s">
        <v>73</v>
      </c>
      <c r="H180" t="s">
        <v>525</v>
      </c>
      <c r="I180">
        <v>7</v>
      </c>
      <c r="J180" t="s">
        <v>81</v>
      </c>
      <c r="K180" t="str">
        <f t="shared" si="2"/>
        <v>36500</v>
      </c>
      <c r="L180">
        <v>3969907.34</v>
      </c>
      <c r="M180">
        <v>12249.62</v>
      </c>
      <c r="N180">
        <v>0</v>
      </c>
      <c r="O180">
        <v>0</v>
      </c>
      <c r="P180">
        <v>3982156.96</v>
      </c>
    </row>
    <row r="181" spans="1:16">
      <c r="A181" s="1">
        <v>44682</v>
      </c>
      <c r="B181" t="s">
        <v>129</v>
      </c>
      <c r="C181" t="s">
        <v>14</v>
      </c>
      <c r="D181" t="s">
        <v>15</v>
      </c>
      <c r="E181" t="s">
        <v>33</v>
      </c>
      <c r="F181" t="s">
        <v>17</v>
      </c>
      <c r="G181" t="s">
        <v>73</v>
      </c>
      <c r="H181" t="s">
        <v>525</v>
      </c>
      <c r="I181">
        <v>7</v>
      </c>
      <c r="J181" t="s">
        <v>82</v>
      </c>
      <c r="K181" t="str">
        <f t="shared" si="2"/>
        <v>36600</v>
      </c>
      <c r="L181">
        <v>1319051.8700000001</v>
      </c>
      <c r="M181">
        <v>-43788.55</v>
      </c>
      <c r="N181">
        <v>0</v>
      </c>
      <c r="O181">
        <v>0</v>
      </c>
      <c r="P181">
        <v>1275263.32</v>
      </c>
    </row>
    <row r="182" spans="1:16">
      <c r="A182" s="1">
        <v>44682</v>
      </c>
      <c r="B182" t="s">
        <v>129</v>
      </c>
      <c r="C182" t="s">
        <v>14</v>
      </c>
      <c r="D182" t="s">
        <v>15</v>
      </c>
      <c r="E182" t="s">
        <v>33</v>
      </c>
      <c r="F182" t="s">
        <v>17</v>
      </c>
      <c r="G182" t="s">
        <v>73</v>
      </c>
      <c r="H182" t="s">
        <v>525</v>
      </c>
      <c r="I182">
        <v>7</v>
      </c>
      <c r="J182" t="s">
        <v>83</v>
      </c>
      <c r="K182" t="str">
        <f t="shared" si="2"/>
        <v>36700</v>
      </c>
      <c r="L182">
        <v>4949079.0199999996</v>
      </c>
      <c r="M182">
        <v>-97920.77</v>
      </c>
      <c r="N182">
        <v>0</v>
      </c>
      <c r="O182">
        <v>0</v>
      </c>
      <c r="P182">
        <v>4851158.25</v>
      </c>
    </row>
    <row r="183" spans="1:16">
      <c r="A183" s="1">
        <v>44682</v>
      </c>
      <c r="B183" t="s">
        <v>129</v>
      </c>
      <c r="C183" t="s">
        <v>14</v>
      </c>
      <c r="D183" t="s">
        <v>15</v>
      </c>
      <c r="E183" t="s">
        <v>33</v>
      </c>
      <c r="F183" t="s">
        <v>17</v>
      </c>
      <c r="G183" t="s">
        <v>73</v>
      </c>
      <c r="H183" t="s">
        <v>525</v>
      </c>
      <c r="I183">
        <v>7</v>
      </c>
      <c r="J183" t="s">
        <v>84</v>
      </c>
      <c r="K183" t="str">
        <f t="shared" si="2"/>
        <v>36801</v>
      </c>
      <c r="L183">
        <v>467673.22000000003</v>
      </c>
      <c r="M183">
        <v>-75554.94</v>
      </c>
      <c r="N183">
        <v>0</v>
      </c>
      <c r="O183">
        <v>0</v>
      </c>
      <c r="P183">
        <v>392118.28</v>
      </c>
    </row>
    <row r="184" spans="1:16">
      <c r="A184" s="1">
        <v>44682</v>
      </c>
      <c r="B184" t="s">
        <v>129</v>
      </c>
      <c r="C184" t="s">
        <v>14</v>
      </c>
      <c r="D184" t="s">
        <v>15</v>
      </c>
      <c r="E184" t="s">
        <v>33</v>
      </c>
      <c r="F184" t="s">
        <v>17</v>
      </c>
      <c r="G184" t="s">
        <v>73</v>
      </c>
      <c r="H184" t="s">
        <v>525</v>
      </c>
      <c r="I184">
        <v>7</v>
      </c>
      <c r="J184" t="s">
        <v>85</v>
      </c>
      <c r="K184" t="str">
        <f t="shared" si="2"/>
        <v>36802</v>
      </c>
      <c r="L184">
        <v>1020834.95</v>
      </c>
      <c r="M184">
        <v>-45805.49</v>
      </c>
      <c r="N184">
        <v>0</v>
      </c>
      <c r="O184">
        <v>0</v>
      </c>
      <c r="P184">
        <v>975029.46</v>
      </c>
    </row>
    <row r="185" spans="1:16">
      <c r="A185" s="1">
        <v>44682</v>
      </c>
      <c r="B185" t="s">
        <v>129</v>
      </c>
      <c r="C185" t="s">
        <v>14</v>
      </c>
      <c r="D185" t="s">
        <v>15</v>
      </c>
      <c r="E185" t="s">
        <v>33</v>
      </c>
      <c r="F185" t="s">
        <v>17</v>
      </c>
      <c r="G185" t="s">
        <v>73</v>
      </c>
      <c r="H185" t="s">
        <v>525</v>
      </c>
      <c r="I185">
        <v>7</v>
      </c>
      <c r="J185" t="s">
        <v>86</v>
      </c>
      <c r="K185" t="str">
        <f t="shared" si="2"/>
        <v>36803</v>
      </c>
      <c r="L185">
        <v>570397.36</v>
      </c>
      <c r="M185">
        <v>41224.47</v>
      </c>
      <c r="N185">
        <v>0</v>
      </c>
      <c r="O185">
        <v>0</v>
      </c>
      <c r="P185">
        <v>611621.82999999996</v>
      </c>
    </row>
    <row r="186" spans="1:16">
      <c r="A186" s="1">
        <v>44682</v>
      </c>
      <c r="B186" t="s">
        <v>129</v>
      </c>
      <c r="C186" t="s">
        <v>14</v>
      </c>
      <c r="D186" t="s">
        <v>15</v>
      </c>
      <c r="E186" t="s">
        <v>33</v>
      </c>
      <c r="F186" t="s">
        <v>17</v>
      </c>
      <c r="G186" t="s">
        <v>73</v>
      </c>
      <c r="H186" t="s">
        <v>525</v>
      </c>
      <c r="I186">
        <v>7</v>
      </c>
      <c r="J186" t="s">
        <v>87</v>
      </c>
      <c r="K186" t="str">
        <f t="shared" si="2"/>
        <v>36901</v>
      </c>
      <c r="L186">
        <v>698606.97</v>
      </c>
      <c r="M186">
        <v>-18329.689999999999</v>
      </c>
      <c r="N186">
        <v>0</v>
      </c>
      <c r="O186">
        <v>0</v>
      </c>
      <c r="P186">
        <v>680277.28</v>
      </c>
    </row>
    <row r="187" spans="1:16">
      <c r="A187" s="1">
        <v>44682</v>
      </c>
      <c r="B187" t="s">
        <v>129</v>
      </c>
      <c r="C187" t="s">
        <v>14</v>
      </c>
      <c r="D187" t="s">
        <v>15</v>
      </c>
      <c r="E187" t="s">
        <v>33</v>
      </c>
      <c r="F187" t="s">
        <v>17</v>
      </c>
      <c r="G187" t="s">
        <v>73</v>
      </c>
      <c r="H187" t="s">
        <v>525</v>
      </c>
      <c r="I187">
        <v>7</v>
      </c>
      <c r="J187" t="s">
        <v>88</v>
      </c>
      <c r="K187" t="str">
        <f t="shared" si="2"/>
        <v>36902</v>
      </c>
      <c r="L187">
        <v>529544.38</v>
      </c>
      <c r="M187">
        <v>34644.699999999997</v>
      </c>
      <c r="N187">
        <v>0</v>
      </c>
      <c r="O187">
        <v>0</v>
      </c>
      <c r="P187">
        <v>564189.07999999996</v>
      </c>
    </row>
    <row r="188" spans="1:16">
      <c r="A188" s="1">
        <v>44682</v>
      </c>
      <c r="B188" t="s">
        <v>129</v>
      </c>
      <c r="C188" t="s">
        <v>14</v>
      </c>
      <c r="D188" t="s">
        <v>15</v>
      </c>
      <c r="E188" t="s">
        <v>33</v>
      </c>
      <c r="F188" t="s">
        <v>17</v>
      </c>
      <c r="G188" t="s">
        <v>73</v>
      </c>
      <c r="H188" t="s">
        <v>525</v>
      </c>
      <c r="I188">
        <v>7</v>
      </c>
      <c r="J188" t="s">
        <v>89</v>
      </c>
      <c r="K188" t="str">
        <f t="shared" si="2"/>
        <v>37001</v>
      </c>
      <c r="L188">
        <v>7118.4400000000005</v>
      </c>
      <c r="M188">
        <v>2417.1799999999998</v>
      </c>
      <c r="N188">
        <v>0</v>
      </c>
      <c r="O188">
        <v>0</v>
      </c>
      <c r="P188">
        <v>9535.6200000000008</v>
      </c>
    </row>
    <row r="189" spans="1:16">
      <c r="A189" s="1">
        <v>44682</v>
      </c>
      <c r="B189" t="s">
        <v>129</v>
      </c>
      <c r="C189" t="s">
        <v>14</v>
      </c>
      <c r="D189" t="s">
        <v>15</v>
      </c>
      <c r="E189" t="s">
        <v>33</v>
      </c>
      <c r="F189" t="s">
        <v>17</v>
      </c>
      <c r="G189" t="s">
        <v>73</v>
      </c>
      <c r="H189" t="s">
        <v>525</v>
      </c>
      <c r="I189">
        <v>7</v>
      </c>
      <c r="J189" t="s">
        <v>91</v>
      </c>
      <c r="K189" t="str">
        <f t="shared" si="2"/>
        <v>37004</v>
      </c>
      <c r="L189">
        <v>7118.31</v>
      </c>
      <c r="M189">
        <v>2417.14</v>
      </c>
      <c r="N189">
        <v>0</v>
      </c>
      <c r="O189">
        <v>0</v>
      </c>
      <c r="P189">
        <v>9535.4500000000007</v>
      </c>
    </row>
    <row r="190" spans="1:16">
      <c r="A190" s="1">
        <v>44682</v>
      </c>
      <c r="B190" t="s">
        <v>129</v>
      </c>
      <c r="C190" t="s">
        <v>14</v>
      </c>
      <c r="D190" t="s">
        <v>15</v>
      </c>
      <c r="E190" t="s">
        <v>33</v>
      </c>
      <c r="F190" t="s">
        <v>17</v>
      </c>
      <c r="G190" t="s">
        <v>73</v>
      </c>
      <c r="H190" t="s">
        <v>525</v>
      </c>
      <c r="I190">
        <v>7</v>
      </c>
      <c r="J190" t="s">
        <v>92</v>
      </c>
      <c r="K190" t="str">
        <f t="shared" si="2"/>
        <v>37100</v>
      </c>
      <c r="L190">
        <v>151437.75</v>
      </c>
      <c r="M190">
        <v>-25481.86</v>
      </c>
      <c r="N190">
        <v>0</v>
      </c>
      <c r="O190">
        <v>0</v>
      </c>
      <c r="P190">
        <v>125955.89</v>
      </c>
    </row>
    <row r="191" spans="1:16">
      <c r="A191" s="1">
        <v>44682</v>
      </c>
      <c r="B191" t="s">
        <v>129</v>
      </c>
      <c r="C191" t="s">
        <v>14</v>
      </c>
      <c r="D191" t="s">
        <v>15</v>
      </c>
      <c r="E191" t="s">
        <v>33</v>
      </c>
      <c r="F191" t="s">
        <v>17</v>
      </c>
      <c r="G191" t="s">
        <v>73</v>
      </c>
      <c r="H191" t="s">
        <v>525</v>
      </c>
      <c r="I191">
        <v>7</v>
      </c>
      <c r="J191" t="s">
        <v>93</v>
      </c>
      <c r="K191" t="str">
        <f t="shared" si="2"/>
        <v>37300</v>
      </c>
      <c r="L191">
        <v>1153098.3600000001</v>
      </c>
      <c r="M191">
        <v>-129060.87000000001</v>
      </c>
      <c r="N191">
        <v>0</v>
      </c>
      <c r="O191">
        <v>0</v>
      </c>
      <c r="P191">
        <v>1024037.49</v>
      </c>
    </row>
    <row r="192" spans="1:16">
      <c r="A192" s="1">
        <v>44713</v>
      </c>
      <c r="B192" t="s">
        <v>128</v>
      </c>
      <c r="C192" t="s">
        <v>14</v>
      </c>
      <c r="D192" t="s">
        <v>15</v>
      </c>
      <c r="E192" t="s">
        <v>33</v>
      </c>
      <c r="F192" t="s">
        <v>24</v>
      </c>
      <c r="G192" t="s">
        <v>73</v>
      </c>
      <c r="H192" t="s">
        <v>525</v>
      </c>
      <c r="I192">
        <v>7</v>
      </c>
      <c r="J192" t="s">
        <v>74</v>
      </c>
      <c r="K192" t="str">
        <f t="shared" si="2"/>
        <v>36001</v>
      </c>
      <c r="L192">
        <v>658853.93000000005</v>
      </c>
      <c r="M192">
        <v>0</v>
      </c>
      <c r="N192">
        <v>0</v>
      </c>
      <c r="O192">
        <v>0</v>
      </c>
      <c r="P192" s="8">
        <v>658853.93000000005</v>
      </c>
    </row>
    <row r="193" spans="1:16">
      <c r="A193" s="1">
        <v>44713</v>
      </c>
      <c r="B193" t="s">
        <v>128</v>
      </c>
      <c r="C193" t="s">
        <v>14</v>
      </c>
      <c r="D193" t="s">
        <v>15</v>
      </c>
      <c r="E193" t="s">
        <v>33</v>
      </c>
      <c r="F193" t="s">
        <v>24</v>
      </c>
      <c r="G193" t="s">
        <v>73</v>
      </c>
      <c r="H193" t="s">
        <v>525</v>
      </c>
      <c r="I193">
        <v>7</v>
      </c>
      <c r="J193" t="s">
        <v>75</v>
      </c>
      <c r="K193" t="str">
        <f t="shared" si="2"/>
        <v>36002</v>
      </c>
      <c r="L193">
        <v>184620.19</v>
      </c>
      <c r="M193">
        <v>0</v>
      </c>
      <c r="N193">
        <v>0</v>
      </c>
      <c r="O193">
        <v>0</v>
      </c>
      <c r="P193" s="8">
        <v>184620.19</v>
      </c>
    </row>
    <row r="194" spans="1:16">
      <c r="A194" s="1">
        <v>44713</v>
      </c>
      <c r="B194" t="s">
        <v>128</v>
      </c>
      <c r="C194" t="s">
        <v>14</v>
      </c>
      <c r="D194" t="s">
        <v>15</v>
      </c>
      <c r="E194" t="s">
        <v>33</v>
      </c>
      <c r="F194" t="s">
        <v>24</v>
      </c>
      <c r="G194" t="s">
        <v>73</v>
      </c>
      <c r="H194" t="s">
        <v>525</v>
      </c>
      <c r="I194">
        <v>7</v>
      </c>
      <c r="J194" t="s">
        <v>76</v>
      </c>
      <c r="K194" t="str">
        <f t="shared" ref="K194:K257" si="3">MID(J194,2,5)</f>
        <v>36003</v>
      </c>
      <c r="L194">
        <v>0</v>
      </c>
      <c r="M194">
        <v>0</v>
      </c>
      <c r="N194">
        <v>0</v>
      </c>
      <c r="O194">
        <v>0</v>
      </c>
      <c r="P194" s="8">
        <v>0</v>
      </c>
    </row>
    <row r="195" spans="1:16">
      <c r="A195" s="1">
        <v>44713</v>
      </c>
      <c r="B195" t="s">
        <v>128</v>
      </c>
      <c r="C195" t="s">
        <v>14</v>
      </c>
      <c r="D195" t="s">
        <v>15</v>
      </c>
      <c r="E195" t="s">
        <v>33</v>
      </c>
      <c r="F195" t="s">
        <v>24</v>
      </c>
      <c r="G195" t="s">
        <v>73</v>
      </c>
      <c r="H195" t="s">
        <v>525</v>
      </c>
      <c r="I195">
        <v>7</v>
      </c>
      <c r="J195" t="s">
        <v>77</v>
      </c>
      <c r="K195" t="str">
        <f t="shared" si="3"/>
        <v>36100</v>
      </c>
      <c r="L195">
        <v>643978.15</v>
      </c>
      <c r="M195">
        <v>0</v>
      </c>
      <c r="N195">
        <v>0</v>
      </c>
      <c r="O195">
        <v>0</v>
      </c>
      <c r="P195" s="8">
        <v>643978.15</v>
      </c>
    </row>
    <row r="196" spans="1:16">
      <c r="A196" s="1">
        <v>44713</v>
      </c>
      <c r="B196" t="s">
        <v>128</v>
      </c>
      <c r="C196" t="s">
        <v>14</v>
      </c>
      <c r="D196" t="s">
        <v>15</v>
      </c>
      <c r="E196" t="s">
        <v>33</v>
      </c>
      <c r="F196" t="s">
        <v>24</v>
      </c>
      <c r="G196" t="s">
        <v>73</v>
      </c>
      <c r="H196" t="s">
        <v>525</v>
      </c>
      <c r="I196">
        <v>7</v>
      </c>
      <c r="J196" t="s">
        <v>78</v>
      </c>
      <c r="K196" t="str">
        <f t="shared" si="3"/>
        <v>36105</v>
      </c>
      <c r="L196">
        <v>1169918.8700000001</v>
      </c>
      <c r="M196">
        <v>0</v>
      </c>
      <c r="N196">
        <v>0</v>
      </c>
      <c r="O196">
        <v>0</v>
      </c>
      <c r="P196" s="8">
        <v>1169918.8700000001</v>
      </c>
    </row>
    <row r="197" spans="1:16">
      <c r="A197" s="1">
        <v>44713</v>
      </c>
      <c r="B197" t="s">
        <v>128</v>
      </c>
      <c r="C197" t="s">
        <v>14</v>
      </c>
      <c r="D197" t="s">
        <v>15</v>
      </c>
      <c r="E197" t="s">
        <v>33</v>
      </c>
      <c r="F197" t="s">
        <v>24</v>
      </c>
      <c r="G197" t="s">
        <v>73</v>
      </c>
      <c r="H197" t="s">
        <v>525</v>
      </c>
      <c r="I197">
        <v>7</v>
      </c>
      <c r="J197" t="s">
        <v>79</v>
      </c>
      <c r="K197" t="str">
        <f t="shared" si="3"/>
        <v>36200</v>
      </c>
      <c r="L197">
        <v>51229966.060000002</v>
      </c>
      <c r="M197">
        <v>0</v>
      </c>
      <c r="N197">
        <v>-748.81000000000006</v>
      </c>
      <c r="O197">
        <v>0</v>
      </c>
      <c r="P197" s="8">
        <v>51229217.25</v>
      </c>
    </row>
    <row r="198" spans="1:16">
      <c r="A198" s="1">
        <v>44713</v>
      </c>
      <c r="B198" t="s">
        <v>128</v>
      </c>
      <c r="C198" t="s">
        <v>14</v>
      </c>
      <c r="D198" t="s">
        <v>15</v>
      </c>
      <c r="E198" t="s">
        <v>33</v>
      </c>
      <c r="F198" t="s">
        <v>24</v>
      </c>
      <c r="G198" t="s">
        <v>73</v>
      </c>
      <c r="H198" t="s">
        <v>525</v>
      </c>
      <c r="I198">
        <v>7</v>
      </c>
      <c r="J198" t="s">
        <v>80</v>
      </c>
      <c r="K198" t="str">
        <f t="shared" si="3"/>
        <v>36400</v>
      </c>
      <c r="L198">
        <v>82558996.189999998</v>
      </c>
      <c r="M198">
        <v>689117.68</v>
      </c>
      <c r="N198">
        <v>-46728.82</v>
      </c>
      <c r="O198">
        <v>0</v>
      </c>
      <c r="P198" s="8">
        <v>83201385.049999997</v>
      </c>
    </row>
    <row r="199" spans="1:16">
      <c r="A199" s="1">
        <v>44713</v>
      </c>
      <c r="B199" t="s">
        <v>128</v>
      </c>
      <c r="C199" t="s">
        <v>14</v>
      </c>
      <c r="D199" t="s">
        <v>15</v>
      </c>
      <c r="E199" t="s">
        <v>33</v>
      </c>
      <c r="F199" t="s">
        <v>24</v>
      </c>
      <c r="G199" t="s">
        <v>73</v>
      </c>
      <c r="H199" t="s">
        <v>525</v>
      </c>
      <c r="I199">
        <v>7</v>
      </c>
      <c r="J199" t="s">
        <v>81</v>
      </c>
      <c r="K199" t="str">
        <f t="shared" si="3"/>
        <v>36500</v>
      </c>
      <c r="L199">
        <v>54327553.32</v>
      </c>
      <c r="M199">
        <v>96970.12</v>
      </c>
      <c r="N199">
        <v>-3057.34</v>
      </c>
      <c r="O199">
        <v>0</v>
      </c>
      <c r="P199" s="8">
        <v>54421466.100000001</v>
      </c>
    </row>
    <row r="200" spans="1:16">
      <c r="A200" s="1">
        <v>44713</v>
      </c>
      <c r="B200" t="s">
        <v>128</v>
      </c>
      <c r="C200" t="s">
        <v>14</v>
      </c>
      <c r="D200" t="s">
        <v>15</v>
      </c>
      <c r="E200" t="s">
        <v>33</v>
      </c>
      <c r="F200" t="s">
        <v>24</v>
      </c>
      <c r="G200" t="s">
        <v>73</v>
      </c>
      <c r="H200" t="s">
        <v>525</v>
      </c>
      <c r="I200">
        <v>7</v>
      </c>
      <c r="J200" t="s">
        <v>82</v>
      </c>
      <c r="K200" t="str">
        <f t="shared" si="3"/>
        <v>36600</v>
      </c>
      <c r="L200">
        <v>15199665.51</v>
      </c>
      <c r="M200">
        <v>140713.46</v>
      </c>
      <c r="N200">
        <v>-1023.89</v>
      </c>
      <c r="O200">
        <v>0</v>
      </c>
      <c r="P200" s="8">
        <v>15339355.08</v>
      </c>
    </row>
    <row r="201" spans="1:16">
      <c r="A201" s="1">
        <v>44713</v>
      </c>
      <c r="B201" t="s">
        <v>128</v>
      </c>
      <c r="C201" t="s">
        <v>14</v>
      </c>
      <c r="D201" t="s">
        <v>15</v>
      </c>
      <c r="E201" t="s">
        <v>33</v>
      </c>
      <c r="F201" t="s">
        <v>24</v>
      </c>
      <c r="G201" t="s">
        <v>73</v>
      </c>
      <c r="H201" t="s">
        <v>525</v>
      </c>
      <c r="I201">
        <v>7</v>
      </c>
      <c r="J201" t="s">
        <v>83</v>
      </c>
      <c r="K201" t="str">
        <f t="shared" si="3"/>
        <v>36700</v>
      </c>
      <c r="L201">
        <v>28818216.239999998</v>
      </c>
      <c r="M201">
        <v>175058.66</v>
      </c>
      <c r="N201">
        <v>-5874.46</v>
      </c>
      <c r="O201">
        <v>0</v>
      </c>
      <c r="P201" s="8">
        <v>28987400.440000001</v>
      </c>
    </row>
    <row r="202" spans="1:16">
      <c r="A202" s="1">
        <v>44713</v>
      </c>
      <c r="B202" t="s">
        <v>128</v>
      </c>
      <c r="C202" t="s">
        <v>14</v>
      </c>
      <c r="D202" t="s">
        <v>15</v>
      </c>
      <c r="E202" t="s">
        <v>33</v>
      </c>
      <c r="F202" t="s">
        <v>24</v>
      </c>
      <c r="G202" t="s">
        <v>73</v>
      </c>
      <c r="H202" t="s">
        <v>525</v>
      </c>
      <c r="I202">
        <v>7</v>
      </c>
      <c r="J202" t="s">
        <v>84</v>
      </c>
      <c r="K202" t="str">
        <f t="shared" si="3"/>
        <v>36801</v>
      </c>
      <c r="L202">
        <v>9952893.6099999994</v>
      </c>
      <c r="M202">
        <v>70735.28</v>
      </c>
      <c r="N202">
        <v>-6914.56</v>
      </c>
      <c r="O202">
        <v>0</v>
      </c>
      <c r="P202" s="8">
        <v>10016714.33</v>
      </c>
    </row>
    <row r="203" spans="1:16">
      <c r="A203" s="1">
        <v>44713</v>
      </c>
      <c r="B203" t="s">
        <v>128</v>
      </c>
      <c r="C203" t="s">
        <v>14</v>
      </c>
      <c r="D203" t="s">
        <v>15</v>
      </c>
      <c r="E203" t="s">
        <v>33</v>
      </c>
      <c r="F203" t="s">
        <v>24</v>
      </c>
      <c r="G203" t="s">
        <v>73</v>
      </c>
      <c r="H203" t="s">
        <v>525</v>
      </c>
      <c r="I203">
        <v>7</v>
      </c>
      <c r="J203" t="s">
        <v>85</v>
      </c>
      <c r="K203" t="str">
        <f t="shared" si="3"/>
        <v>36802</v>
      </c>
      <c r="L203">
        <v>31394275.190000001</v>
      </c>
      <c r="M203">
        <v>329783.61</v>
      </c>
      <c r="N203">
        <v>3322.39</v>
      </c>
      <c r="O203">
        <v>0</v>
      </c>
      <c r="P203" s="8">
        <v>31727381.190000001</v>
      </c>
    </row>
    <row r="204" spans="1:16">
      <c r="A204" s="1">
        <v>44713</v>
      </c>
      <c r="B204" t="s">
        <v>128</v>
      </c>
      <c r="C204" t="s">
        <v>14</v>
      </c>
      <c r="D204" t="s">
        <v>15</v>
      </c>
      <c r="E204" t="s">
        <v>33</v>
      </c>
      <c r="F204" t="s">
        <v>24</v>
      </c>
      <c r="G204" t="s">
        <v>73</v>
      </c>
      <c r="H204" t="s">
        <v>525</v>
      </c>
      <c r="I204">
        <v>7</v>
      </c>
      <c r="J204" t="s">
        <v>86</v>
      </c>
      <c r="K204" t="str">
        <f t="shared" si="3"/>
        <v>36803</v>
      </c>
      <c r="L204">
        <v>26627622.120000001</v>
      </c>
      <c r="M204">
        <v>332865.98</v>
      </c>
      <c r="N204">
        <v>-57.85</v>
      </c>
      <c r="O204">
        <v>0</v>
      </c>
      <c r="P204" s="8">
        <v>26960430.25</v>
      </c>
    </row>
    <row r="205" spans="1:16">
      <c r="A205" s="1">
        <v>44713</v>
      </c>
      <c r="B205" t="s">
        <v>128</v>
      </c>
      <c r="C205" t="s">
        <v>14</v>
      </c>
      <c r="D205" t="s">
        <v>15</v>
      </c>
      <c r="E205" t="s">
        <v>33</v>
      </c>
      <c r="F205" t="s">
        <v>24</v>
      </c>
      <c r="G205" t="s">
        <v>73</v>
      </c>
      <c r="H205" t="s">
        <v>525</v>
      </c>
      <c r="I205">
        <v>7</v>
      </c>
      <c r="J205" t="s">
        <v>87</v>
      </c>
      <c r="K205" t="str">
        <f t="shared" si="3"/>
        <v>36901</v>
      </c>
      <c r="L205">
        <v>10032222.890000001</v>
      </c>
      <c r="M205">
        <v>31273.200000000001</v>
      </c>
      <c r="N205">
        <v>-977.37</v>
      </c>
      <c r="O205">
        <v>0</v>
      </c>
      <c r="P205" s="8">
        <v>10062518.720000001</v>
      </c>
    </row>
    <row r="206" spans="1:16">
      <c r="A206" s="1">
        <v>44713</v>
      </c>
      <c r="B206" t="s">
        <v>128</v>
      </c>
      <c r="C206" t="s">
        <v>14</v>
      </c>
      <c r="D206" t="s">
        <v>15</v>
      </c>
      <c r="E206" t="s">
        <v>33</v>
      </c>
      <c r="F206" t="s">
        <v>24</v>
      </c>
      <c r="G206" t="s">
        <v>73</v>
      </c>
      <c r="H206" t="s">
        <v>525</v>
      </c>
      <c r="I206">
        <v>7</v>
      </c>
      <c r="J206" t="s">
        <v>88</v>
      </c>
      <c r="K206" t="str">
        <f t="shared" si="3"/>
        <v>36902</v>
      </c>
      <c r="L206">
        <v>13915951.640000001</v>
      </c>
      <c r="M206">
        <v>35416.93</v>
      </c>
      <c r="N206">
        <v>-2842.37</v>
      </c>
      <c r="O206">
        <v>0</v>
      </c>
      <c r="P206" s="8">
        <v>13948526.199999999</v>
      </c>
    </row>
    <row r="207" spans="1:16">
      <c r="A207" s="1">
        <v>44713</v>
      </c>
      <c r="B207" t="s">
        <v>128</v>
      </c>
      <c r="C207" t="s">
        <v>14</v>
      </c>
      <c r="D207" t="s">
        <v>15</v>
      </c>
      <c r="E207" t="s">
        <v>33</v>
      </c>
      <c r="F207" t="s">
        <v>24</v>
      </c>
      <c r="G207" t="s">
        <v>73</v>
      </c>
      <c r="H207" t="s">
        <v>525</v>
      </c>
      <c r="I207">
        <v>7</v>
      </c>
      <c r="J207" t="s">
        <v>89</v>
      </c>
      <c r="K207" t="str">
        <f t="shared" si="3"/>
        <v>37001</v>
      </c>
      <c r="L207">
        <v>1727588.6600000001</v>
      </c>
      <c r="M207">
        <v>5603.49</v>
      </c>
      <c r="N207">
        <v>0</v>
      </c>
      <c r="O207">
        <v>10242.790000000001</v>
      </c>
      <c r="P207" s="8">
        <v>1743434.94</v>
      </c>
    </row>
    <row r="208" spans="1:16">
      <c r="A208" s="1">
        <v>44713</v>
      </c>
      <c r="B208" t="s">
        <v>128</v>
      </c>
      <c r="C208" t="s">
        <v>14</v>
      </c>
      <c r="D208" t="s">
        <v>15</v>
      </c>
      <c r="E208" t="s">
        <v>33</v>
      </c>
      <c r="F208" t="s">
        <v>24</v>
      </c>
      <c r="G208" t="s">
        <v>73</v>
      </c>
      <c r="H208" t="s">
        <v>525</v>
      </c>
      <c r="I208">
        <v>7</v>
      </c>
      <c r="J208" t="s">
        <v>90</v>
      </c>
      <c r="K208" t="str">
        <f t="shared" si="3"/>
        <v>37002</v>
      </c>
      <c r="L208">
        <v>0</v>
      </c>
      <c r="M208">
        <v>0</v>
      </c>
      <c r="N208">
        <v>0</v>
      </c>
      <c r="O208">
        <v>0</v>
      </c>
      <c r="P208" s="8">
        <v>0</v>
      </c>
    </row>
    <row r="209" spans="1:16">
      <c r="A209" s="1">
        <v>44713</v>
      </c>
      <c r="B209" t="s">
        <v>128</v>
      </c>
      <c r="C209" t="s">
        <v>14</v>
      </c>
      <c r="D209" t="s">
        <v>15</v>
      </c>
      <c r="E209" t="s">
        <v>33</v>
      </c>
      <c r="F209" t="s">
        <v>24</v>
      </c>
      <c r="G209" t="s">
        <v>73</v>
      </c>
      <c r="H209" t="s">
        <v>525</v>
      </c>
      <c r="I209">
        <v>7</v>
      </c>
      <c r="J209" t="s">
        <v>91</v>
      </c>
      <c r="K209" t="str">
        <f t="shared" si="3"/>
        <v>37004</v>
      </c>
      <c r="L209">
        <v>17093019.300000001</v>
      </c>
      <c r="M209">
        <v>15000.59</v>
      </c>
      <c r="N209">
        <v>0</v>
      </c>
      <c r="O209">
        <v>0</v>
      </c>
      <c r="P209" s="8">
        <v>17108019.890000001</v>
      </c>
    </row>
    <row r="210" spans="1:16">
      <c r="A210" s="1">
        <v>44713</v>
      </c>
      <c r="B210" t="s">
        <v>128</v>
      </c>
      <c r="C210" t="s">
        <v>14</v>
      </c>
      <c r="D210" t="s">
        <v>15</v>
      </c>
      <c r="E210" t="s">
        <v>33</v>
      </c>
      <c r="F210" t="s">
        <v>24</v>
      </c>
      <c r="G210" t="s">
        <v>73</v>
      </c>
      <c r="H210" t="s">
        <v>525</v>
      </c>
      <c r="I210">
        <v>7</v>
      </c>
      <c r="J210" t="s">
        <v>92</v>
      </c>
      <c r="K210" t="str">
        <f t="shared" si="3"/>
        <v>37100</v>
      </c>
      <c r="L210">
        <v>2495573.2999999998</v>
      </c>
      <c r="M210">
        <v>901.21</v>
      </c>
      <c r="N210">
        <v>400.67</v>
      </c>
      <c r="O210">
        <v>0</v>
      </c>
      <c r="P210" s="8">
        <v>2496875.1800000002</v>
      </c>
    </row>
    <row r="211" spans="1:16">
      <c r="A211" s="1">
        <v>44713</v>
      </c>
      <c r="B211" t="s">
        <v>128</v>
      </c>
      <c r="C211" t="s">
        <v>14</v>
      </c>
      <c r="D211" t="s">
        <v>15</v>
      </c>
      <c r="E211" t="s">
        <v>33</v>
      </c>
      <c r="F211" t="s">
        <v>24</v>
      </c>
      <c r="G211" t="s">
        <v>73</v>
      </c>
      <c r="H211" t="s">
        <v>525</v>
      </c>
      <c r="I211">
        <v>7</v>
      </c>
      <c r="J211" t="s">
        <v>93</v>
      </c>
      <c r="K211" t="str">
        <f t="shared" si="3"/>
        <v>37300</v>
      </c>
      <c r="L211">
        <v>10344606.84</v>
      </c>
      <c r="M211">
        <v>30316.39</v>
      </c>
      <c r="N211">
        <v>-2498.41</v>
      </c>
      <c r="O211">
        <v>0</v>
      </c>
      <c r="P211" s="8">
        <v>10372424.82</v>
      </c>
    </row>
    <row r="212" spans="1:16">
      <c r="A212" s="1">
        <v>44713</v>
      </c>
      <c r="B212" t="s">
        <v>128</v>
      </c>
      <c r="C212" t="s">
        <v>14</v>
      </c>
      <c r="D212" t="s">
        <v>15</v>
      </c>
      <c r="E212" t="s">
        <v>33</v>
      </c>
      <c r="F212" t="s">
        <v>119</v>
      </c>
      <c r="G212" t="s">
        <v>73</v>
      </c>
      <c r="H212" t="s">
        <v>525</v>
      </c>
      <c r="I212">
        <v>7</v>
      </c>
      <c r="J212" t="s">
        <v>74</v>
      </c>
      <c r="K212" t="str">
        <f t="shared" si="3"/>
        <v>36001</v>
      </c>
      <c r="L212">
        <v>0</v>
      </c>
      <c r="M212">
        <v>0</v>
      </c>
      <c r="N212">
        <v>0</v>
      </c>
      <c r="O212">
        <v>0</v>
      </c>
      <c r="P212" s="9">
        <v>0</v>
      </c>
    </row>
    <row r="213" spans="1:16">
      <c r="A213" s="1">
        <v>44713</v>
      </c>
      <c r="B213" t="s">
        <v>128</v>
      </c>
      <c r="C213" t="s">
        <v>14</v>
      </c>
      <c r="D213" t="s">
        <v>15</v>
      </c>
      <c r="E213" t="s">
        <v>33</v>
      </c>
      <c r="F213" t="s">
        <v>119</v>
      </c>
      <c r="G213" t="s">
        <v>73</v>
      </c>
      <c r="H213" t="s">
        <v>525</v>
      </c>
      <c r="I213">
        <v>7</v>
      </c>
      <c r="J213" t="s">
        <v>79</v>
      </c>
      <c r="K213" t="str">
        <f t="shared" si="3"/>
        <v>36200</v>
      </c>
      <c r="L213">
        <v>2753405.5</v>
      </c>
      <c r="M213">
        <v>0</v>
      </c>
      <c r="N213">
        <v>0</v>
      </c>
      <c r="O213">
        <v>0</v>
      </c>
      <c r="P213" s="9">
        <v>2753405.5</v>
      </c>
    </row>
    <row r="214" spans="1:16">
      <c r="A214" s="1">
        <v>44713</v>
      </c>
      <c r="B214" t="s">
        <v>128</v>
      </c>
      <c r="C214" t="s">
        <v>14</v>
      </c>
      <c r="D214" t="s">
        <v>15</v>
      </c>
      <c r="E214" t="s">
        <v>33</v>
      </c>
      <c r="F214" t="s">
        <v>17</v>
      </c>
      <c r="G214" t="s">
        <v>73</v>
      </c>
      <c r="H214" t="s">
        <v>525</v>
      </c>
      <c r="I214">
        <v>7</v>
      </c>
      <c r="J214" t="s">
        <v>74</v>
      </c>
      <c r="K214" t="str">
        <f t="shared" si="3"/>
        <v>36001</v>
      </c>
      <c r="L214">
        <v>16377.04</v>
      </c>
      <c r="M214">
        <v>41543.040000000001</v>
      </c>
      <c r="N214">
        <v>0</v>
      </c>
      <c r="O214">
        <v>0</v>
      </c>
      <c r="P214">
        <v>57920.08</v>
      </c>
    </row>
    <row r="215" spans="1:16">
      <c r="A215" s="1">
        <v>44713</v>
      </c>
      <c r="B215" t="s">
        <v>128</v>
      </c>
      <c r="C215" t="s">
        <v>14</v>
      </c>
      <c r="D215" t="s">
        <v>15</v>
      </c>
      <c r="E215" t="s">
        <v>33</v>
      </c>
      <c r="F215" t="s">
        <v>17</v>
      </c>
      <c r="G215" t="s">
        <v>73</v>
      </c>
      <c r="H215" t="s">
        <v>525</v>
      </c>
      <c r="I215">
        <v>7</v>
      </c>
      <c r="J215" t="s">
        <v>77</v>
      </c>
      <c r="K215" t="str">
        <f t="shared" si="3"/>
        <v>36100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>
      <c r="A216" s="1">
        <v>44713</v>
      </c>
      <c r="B216" t="s">
        <v>128</v>
      </c>
      <c r="C216" t="s">
        <v>14</v>
      </c>
      <c r="D216" t="s">
        <v>15</v>
      </c>
      <c r="E216" t="s">
        <v>33</v>
      </c>
      <c r="F216" t="s">
        <v>17</v>
      </c>
      <c r="G216" t="s">
        <v>73</v>
      </c>
      <c r="H216" t="s">
        <v>525</v>
      </c>
      <c r="I216">
        <v>7</v>
      </c>
      <c r="J216" t="s">
        <v>79</v>
      </c>
      <c r="K216" t="str">
        <f t="shared" si="3"/>
        <v>36200</v>
      </c>
      <c r="L216">
        <v>4535858.75</v>
      </c>
      <c r="M216">
        <v>1382.01</v>
      </c>
      <c r="N216">
        <v>0</v>
      </c>
      <c r="O216">
        <v>0</v>
      </c>
      <c r="P216">
        <v>4537240.76</v>
      </c>
    </row>
    <row r="217" spans="1:16">
      <c r="A217" s="1">
        <v>44713</v>
      </c>
      <c r="B217" t="s">
        <v>128</v>
      </c>
      <c r="C217" t="s">
        <v>14</v>
      </c>
      <c r="D217" t="s">
        <v>15</v>
      </c>
      <c r="E217" t="s">
        <v>33</v>
      </c>
      <c r="F217" t="s">
        <v>17</v>
      </c>
      <c r="G217" t="s">
        <v>73</v>
      </c>
      <c r="H217" t="s">
        <v>525</v>
      </c>
      <c r="I217">
        <v>7</v>
      </c>
      <c r="J217" t="s">
        <v>80</v>
      </c>
      <c r="K217" t="str">
        <f t="shared" si="3"/>
        <v>36400</v>
      </c>
      <c r="L217">
        <v>17972445.27</v>
      </c>
      <c r="M217">
        <v>-428458.2</v>
      </c>
      <c r="N217">
        <v>0</v>
      </c>
      <c r="O217">
        <v>0</v>
      </c>
      <c r="P217">
        <v>17543987.07</v>
      </c>
    </row>
    <row r="218" spans="1:16">
      <c r="A218" s="1">
        <v>44713</v>
      </c>
      <c r="B218" t="s">
        <v>128</v>
      </c>
      <c r="C218" t="s">
        <v>14</v>
      </c>
      <c r="D218" t="s">
        <v>15</v>
      </c>
      <c r="E218" t="s">
        <v>33</v>
      </c>
      <c r="F218" t="s">
        <v>17</v>
      </c>
      <c r="G218" t="s">
        <v>73</v>
      </c>
      <c r="H218" t="s">
        <v>525</v>
      </c>
      <c r="I218">
        <v>7</v>
      </c>
      <c r="J218" t="s">
        <v>81</v>
      </c>
      <c r="K218" t="str">
        <f t="shared" si="3"/>
        <v>36500</v>
      </c>
      <c r="L218">
        <v>3982156.96</v>
      </c>
      <c r="M218">
        <v>-242694.64</v>
      </c>
      <c r="N218">
        <v>0</v>
      </c>
      <c r="O218">
        <v>0</v>
      </c>
      <c r="P218">
        <v>3739462.3200000003</v>
      </c>
    </row>
    <row r="219" spans="1:16">
      <c r="A219" s="1">
        <v>44713</v>
      </c>
      <c r="B219" t="s">
        <v>128</v>
      </c>
      <c r="C219" t="s">
        <v>14</v>
      </c>
      <c r="D219" t="s">
        <v>15</v>
      </c>
      <c r="E219" t="s">
        <v>33</v>
      </c>
      <c r="F219" t="s">
        <v>17</v>
      </c>
      <c r="G219" t="s">
        <v>73</v>
      </c>
      <c r="H219" t="s">
        <v>525</v>
      </c>
      <c r="I219">
        <v>7</v>
      </c>
      <c r="J219" t="s">
        <v>82</v>
      </c>
      <c r="K219" t="str">
        <f t="shared" si="3"/>
        <v>36600</v>
      </c>
      <c r="L219">
        <v>1275263.32</v>
      </c>
      <c r="M219">
        <v>116563.51000000001</v>
      </c>
      <c r="N219">
        <v>0</v>
      </c>
      <c r="O219">
        <v>0</v>
      </c>
      <c r="P219">
        <v>1391826.83</v>
      </c>
    </row>
    <row r="220" spans="1:16">
      <c r="A220" s="1">
        <v>44713</v>
      </c>
      <c r="B220" t="s">
        <v>128</v>
      </c>
      <c r="C220" t="s">
        <v>14</v>
      </c>
      <c r="D220" t="s">
        <v>15</v>
      </c>
      <c r="E220" t="s">
        <v>33</v>
      </c>
      <c r="F220" t="s">
        <v>17</v>
      </c>
      <c r="G220" t="s">
        <v>73</v>
      </c>
      <c r="H220" t="s">
        <v>525</v>
      </c>
      <c r="I220">
        <v>7</v>
      </c>
      <c r="J220" t="s">
        <v>83</v>
      </c>
      <c r="K220" t="str">
        <f t="shared" si="3"/>
        <v>36700</v>
      </c>
      <c r="L220">
        <v>4851158.25</v>
      </c>
      <c r="M220">
        <v>-196555.23</v>
      </c>
      <c r="N220">
        <v>0</v>
      </c>
      <c r="O220">
        <v>0</v>
      </c>
      <c r="P220">
        <v>4654603.0199999996</v>
      </c>
    </row>
    <row r="221" spans="1:16">
      <c r="A221" s="1">
        <v>44713</v>
      </c>
      <c r="B221" t="s">
        <v>128</v>
      </c>
      <c r="C221" t="s">
        <v>14</v>
      </c>
      <c r="D221" t="s">
        <v>15</v>
      </c>
      <c r="E221" t="s">
        <v>33</v>
      </c>
      <c r="F221" t="s">
        <v>17</v>
      </c>
      <c r="G221" t="s">
        <v>73</v>
      </c>
      <c r="H221" t="s">
        <v>525</v>
      </c>
      <c r="I221">
        <v>7</v>
      </c>
      <c r="J221" t="s">
        <v>84</v>
      </c>
      <c r="K221" t="str">
        <f t="shared" si="3"/>
        <v>36801</v>
      </c>
      <c r="L221">
        <v>392118.28</v>
      </c>
      <c r="M221">
        <v>15300.66</v>
      </c>
      <c r="N221">
        <v>0</v>
      </c>
      <c r="O221">
        <v>0</v>
      </c>
      <c r="P221">
        <v>407418.94</v>
      </c>
    </row>
    <row r="222" spans="1:16">
      <c r="A222" s="1">
        <v>44713</v>
      </c>
      <c r="B222" t="s">
        <v>128</v>
      </c>
      <c r="C222" t="s">
        <v>14</v>
      </c>
      <c r="D222" t="s">
        <v>15</v>
      </c>
      <c r="E222" t="s">
        <v>33</v>
      </c>
      <c r="F222" t="s">
        <v>17</v>
      </c>
      <c r="G222" t="s">
        <v>73</v>
      </c>
      <c r="H222" t="s">
        <v>525</v>
      </c>
      <c r="I222">
        <v>7</v>
      </c>
      <c r="J222" t="s">
        <v>85</v>
      </c>
      <c r="K222" t="str">
        <f t="shared" si="3"/>
        <v>36802</v>
      </c>
      <c r="L222">
        <v>975029.46</v>
      </c>
      <c r="M222">
        <v>62552.68</v>
      </c>
      <c r="N222">
        <v>0</v>
      </c>
      <c r="O222">
        <v>0</v>
      </c>
      <c r="P222">
        <v>1037582.14</v>
      </c>
    </row>
    <row r="223" spans="1:16">
      <c r="A223" s="1">
        <v>44713</v>
      </c>
      <c r="B223" t="s">
        <v>128</v>
      </c>
      <c r="C223" t="s">
        <v>14</v>
      </c>
      <c r="D223" t="s">
        <v>15</v>
      </c>
      <c r="E223" t="s">
        <v>33</v>
      </c>
      <c r="F223" t="s">
        <v>17</v>
      </c>
      <c r="G223" t="s">
        <v>73</v>
      </c>
      <c r="H223" t="s">
        <v>525</v>
      </c>
      <c r="I223">
        <v>7</v>
      </c>
      <c r="J223" t="s">
        <v>86</v>
      </c>
      <c r="K223" t="str">
        <f t="shared" si="3"/>
        <v>36803</v>
      </c>
      <c r="L223">
        <v>611621.82999999996</v>
      </c>
      <c r="M223">
        <v>9312.52</v>
      </c>
      <c r="N223">
        <v>0</v>
      </c>
      <c r="O223">
        <v>0</v>
      </c>
      <c r="P223">
        <v>620934.35</v>
      </c>
    </row>
    <row r="224" spans="1:16">
      <c r="A224" s="1">
        <v>44713</v>
      </c>
      <c r="B224" t="s">
        <v>128</v>
      </c>
      <c r="C224" t="s">
        <v>14</v>
      </c>
      <c r="D224" t="s">
        <v>15</v>
      </c>
      <c r="E224" t="s">
        <v>33</v>
      </c>
      <c r="F224" t="s">
        <v>17</v>
      </c>
      <c r="G224" t="s">
        <v>73</v>
      </c>
      <c r="H224" t="s">
        <v>525</v>
      </c>
      <c r="I224">
        <v>7</v>
      </c>
      <c r="J224" t="s">
        <v>87</v>
      </c>
      <c r="K224" t="str">
        <f t="shared" si="3"/>
        <v>36901</v>
      </c>
      <c r="L224">
        <v>680277.28</v>
      </c>
      <c r="M224">
        <v>-76500.03</v>
      </c>
      <c r="N224">
        <v>0</v>
      </c>
      <c r="O224">
        <v>0</v>
      </c>
      <c r="P224">
        <v>603777.25</v>
      </c>
    </row>
    <row r="225" spans="1:16">
      <c r="A225" s="1">
        <v>44713</v>
      </c>
      <c r="B225" t="s">
        <v>128</v>
      </c>
      <c r="C225" t="s">
        <v>14</v>
      </c>
      <c r="D225" t="s">
        <v>15</v>
      </c>
      <c r="E225" t="s">
        <v>33</v>
      </c>
      <c r="F225" t="s">
        <v>17</v>
      </c>
      <c r="G225" t="s">
        <v>73</v>
      </c>
      <c r="H225" t="s">
        <v>525</v>
      </c>
      <c r="I225">
        <v>7</v>
      </c>
      <c r="J225" t="s">
        <v>88</v>
      </c>
      <c r="K225" t="str">
        <f t="shared" si="3"/>
        <v>36902</v>
      </c>
      <c r="L225">
        <v>564189.07999999996</v>
      </c>
      <c r="M225">
        <v>60661.29</v>
      </c>
      <c r="N225">
        <v>0</v>
      </c>
      <c r="O225">
        <v>0</v>
      </c>
      <c r="P225">
        <v>624850.37</v>
      </c>
    </row>
    <row r="226" spans="1:16">
      <c r="A226" s="1">
        <v>44713</v>
      </c>
      <c r="B226" t="s">
        <v>128</v>
      </c>
      <c r="C226" t="s">
        <v>14</v>
      </c>
      <c r="D226" t="s">
        <v>15</v>
      </c>
      <c r="E226" t="s">
        <v>33</v>
      </c>
      <c r="F226" t="s">
        <v>17</v>
      </c>
      <c r="G226" t="s">
        <v>73</v>
      </c>
      <c r="H226" t="s">
        <v>525</v>
      </c>
      <c r="I226">
        <v>7</v>
      </c>
      <c r="J226" t="s">
        <v>89</v>
      </c>
      <c r="K226" t="str">
        <f t="shared" si="3"/>
        <v>37001</v>
      </c>
      <c r="L226">
        <v>9535.6200000000008</v>
      </c>
      <c r="M226">
        <v>-3336.82</v>
      </c>
      <c r="N226">
        <v>0</v>
      </c>
      <c r="O226">
        <v>0</v>
      </c>
      <c r="P226">
        <v>6198.8</v>
      </c>
    </row>
    <row r="227" spans="1:16">
      <c r="A227" s="1">
        <v>44713</v>
      </c>
      <c r="B227" t="s">
        <v>128</v>
      </c>
      <c r="C227" t="s">
        <v>14</v>
      </c>
      <c r="D227" t="s">
        <v>15</v>
      </c>
      <c r="E227" t="s">
        <v>33</v>
      </c>
      <c r="F227" t="s">
        <v>17</v>
      </c>
      <c r="G227" t="s">
        <v>73</v>
      </c>
      <c r="H227" t="s">
        <v>525</v>
      </c>
      <c r="I227">
        <v>7</v>
      </c>
      <c r="J227" t="s">
        <v>91</v>
      </c>
      <c r="K227" t="str">
        <f t="shared" si="3"/>
        <v>37004</v>
      </c>
      <c r="L227">
        <v>9535.4500000000007</v>
      </c>
      <c r="M227">
        <v>-8734.630000000001</v>
      </c>
      <c r="N227">
        <v>0</v>
      </c>
      <c r="O227">
        <v>0</v>
      </c>
      <c r="P227">
        <v>800.82</v>
      </c>
    </row>
    <row r="228" spans="1:16">
      <c r="A228" s="1">
        <v>44713</v>
      </c>
      <c r="B228" t="s">
        <v>128</v>
      </c>
      <c r="C228" t="s">
        <v>14</v>
      </c>
      <c r="D228" t="s">
        <v>15</v>
      </c>
      <c r="E228" t="s">
        <v>33</v>
      </c>
      <c r="F228" t="s">
        <v>17</v>
      </c>
      <c r="G228" t="s">
        <v>73</v>
      </c>
      <c r="H228" t="s">
        <v>525</v>
      </c>
      <c r="I228">
        <v>7</v>
      </c>
      <c r="J228" t="s">
        <v>92</v>
      </c>
      <c r="K228" t="str">
        <f t="shared" si="3"/>
        <v>37100</v>
      </c>
      <c r="L228">
        <v>125955.89</v>
      </c>
      <c r="M228">
        <v>12009.69</v>
      </c>
      <c r="N228">
        <v>0</v>
      </c>
      <c r="O228">
        <v>0</v>
      </c>
      <c r="P228">
        <v>137965.58000000002</v>
      </c>
    </row>
    <row r="229" spans="1:16">
      <c r="A229" s="1">
        <v>44713</v>
      </c>
      <c r="B229" t="s">
        <v>128</v>
      </c>
      <c r="C229" t="s">
        <v>14</v>
      </c>
      <c r="D229" t="s">
        <v>15</v>
      </c>
      <c r="E229" t="s">
        <v>33</v>
      </c>
      <c r="F229" t="s">
        <v>17</v>
      </c>
      <c r="G229" t="s">
        <v>73</v>
      </c>
      <c r="H229" t="s">
        <v>525</v>
      </c>
      <c r="I229">
        <v>7</v>
      </c>
      <c r="J229" t="s">
        <v>93</v>
      </c>
      <c r="K229" t="str">
        <f t="shared" si="3"/>
        <v>37300</v>
      </c>
      <c r="L229">
        <v>1024037.49</v>
      </c>
      <c r="M229">
        <v>10265.56</v>
      </c>
      <c r="N229">
        <v>0</v>
      </c>
      <c r="O229">
        <v>0</v>
      </c>
      <c r="P229">
        <v>1034303.05</v>
      </c>
    </row>
    <row r="230" spans="1:16">
      <c r="A230" s="1">
        <v>44743</v>
      </c>
      <c r="B230" t="s">
        <v>127</v>
      </c>
      <c r="C230" t="s">
        <v>14</v>
      </c>
      <c r="D230" t="s">
        <v>15</v>
      </c>
      <c r="E230" t="s">
        <v>33</v>
      </c>
      <c r="F230" t="s">
        <v>24</v>
      </c>
      <c r="G230" t="s">
        <v>73</v>
      </c>
      <c r="H230" t="s">
        <v>525</v>
      </c>
      <c r="I230">
        <v>7</v>
      </c>
      <c r="J230" t="s">
        <v>74</v>
      </c>
      <c r="K230" t="str">
        <f t="shared" si="3"/>
        <v>36001</v>
      </c>
      <c r="L230">
        <v>658853.93000000005</v>
      </c>
      <c r="M230">
        <v>0</v>
      </c>
      <c r="N230">
        <v>0</v>
      </c>
      <c r="O230">
        <v>0</v>
      </c>
      <c r="P230" s="8">
        <v>658853.93000000005</v>
      </c>
    </row>
    <row r="231" spans="1:16">
      <c r="A231" s="1">
        <v>44743</v>
      </c>
      <c r="B231" t="s">
        <v>127</v>
      </c>
      <c r="C231" t="s">
        <v>14</v>
      </c>
      <c r="D231" t="s">
        <v>15</v>
      </c>
      <c r="E231" t="s">
        <v>33</v>
      </c>
      <c r="F231" t="s">
        <v>24</v>
      </c>
      <c r="G231" t="s">
        <v>73</v>
      </c>
      <c r="H231" t="s">
        <v>525</v>
      </c>
      <c r="I231">
        <v>7</v>
      </c>
      <c r="J231" t="s">
        <v>75</v>
      </c>
      <c r="K231" t="str">
        <f t="shared" si="3"/>
        <v>36002</v>
      </c>
      <c r="L231">
        <v>184620.19</v>
      </c>
      <c r="M231">
        <v>0</v>
      </c>
      <c r="N231">
        <v>0</v>
      </c>
      <c r="O231">
        <v>0</v>
      </c>
      <c r="P231" s="8">
        <v>184620.19</v>
      </c>
    </row>
    <row r="232" spans="1:16">
      <c r="A232" s="1">
        <v>44743</v>
      </c>
      <c r="B232" t="s">
        <v>127</v>
      </c>
      <c r="C232" t="s">
        <v>14</v>
      </c>
      <c r="D232" t="s">
        <v>15</v>
      </c>
      <c r="E232" t="s">
        <v>33</v>
      </c>
      <c r="F232" t="s">
        <v>24</v>
      </c>
      <c r="G232" t="s">
        <v>73</v>
      </c>
      <c r="H232" t="s">
        <v>525</v>
      </c>
      <c r="I232">
        <v>7</v>
      </c>
      <c r="J232" t="s">
        <v>76</v>
      </c>
      <c r="K232" t="str">
        <f t="shared" si="3"/>
        <v>36003</v>
      </c>
      <c r="L232">
        <v>0</v>
      </c>
      <c r="M232">
        <v>0</v>
      </c>
      <c r="N232">
        <v>0</v>
      </c>
      <c r="O232">
        <v>0</v>
      </c>
      <c r="P232" s="8">
        <v>0</v>
      </c>
    </row>
    <row r="233" spans="1:16">
      <c r="A233" s="1">
        <v>44743</v>
      </c>
      <c r="B233" t="s">
        <v>127</v>
      </c>
      <c r="C233" t="s">
        <v>14</v>
      </c>
      <c r="D233" t="s">
        <v>15</v>
      </c>
      <c r="E233" t="s">
        <v>33</v>
      </c>
      <c r="F233" t="s">
        <v>24</v>
      </c>
      <c r="G233" t="s">
        <v>73</v>
      </c>
      <c r="H233" t="s">
        <v>525</v>
      </c>
      <c r="I233">
        <v>7</v>
      </c>
      <c r="J233" t="s">
        <v>77</v>
      </c>
      <c r="K233" t="str">
        <f t="shared" si="3"/>
        <v>36100</v>
      </c>
      <c r="L233">
        <v>643978.15</v>
      </c>
      <c r="M233">
        <v>0</v>
      </c>
      <c r="N233">
        <v>0</v>
      </c>
      <c r="O233">
        <v>0</v>
      </c>
      <c r="P233" s="8">
        <v>643978.15</v>
      </c>
    </row>
    <row r="234" spans="1:16">
      <c r="A234" s="1">
        <v>44743</v>
      </c>
      <c r="B234" t="s">
        <v>127</v>
      </c>
      <c r="C234" t="s">
        <v>14</v>
      </c>
      <c r="D234" t="s">
        <v>15</v>
      </c>
      <c r="E234" t="s">
        <v>33</v>
      </c>
      <c r="F234" t="s">
        <v>24</v>
      </c>
      <c r="G234" t="s">
        <v>73</v>
      </c>
      <c r="H234" t="s">
        <v>525</v>
      </c>
      <c r="I234">
        <v>7</v>
      </c>
      <c r="J234" t="s">
        <v>78</v>
      </c>
      <c r="K234" t="str">
        <f t="shared" si="3"/>
        <v>36105</v>
      </c>
      <c r="L234">
        <v>1169918.8700000001</v>
      </c>
      <c r="M234">
        <v>0</v>
      </c>
      <c r="N234">
        <v>0</v>
      </c>
      <c r="O234">
        <v>0</v>
      </c>
      <c r="P234" s="8">
        <v>1169918.8700000001</v>
      </c>
    </row>
    <row r="235" spans="1:16">
      <c r="A235" s="1">
        <v>44743</v>
      </c>
      <c r="B235" t="s">
        <v>127</v>
      </c>
      <c r="C235" t="s">
        <v>14</v>
      </c>
      <c r="D235" t="s">
        <v>15</v>
      </c>
      <c r="E235" t="s">
        <v>33</v>
      </c>
      <c r="F235" t="s">
        <v>24</v>
      </c>
      <c r="G235" t="s">
        <v>73</v>
      </c>
      <c r="H235" t="s">
        <v>525</v>
      </c>
      <c r="I235">
        <v>7</v>
      </c>
      <c r="J235" t="s">
        <v>79</v>
      </c>
      <c r="K235" t="str">
        <f t="shared" si="3"/>
        <v>36200</v>
      </c>
      <c r="L235">
        <v>51229217.25</v>
      </c>
      <c r="M235">
        <v>1563.19</v>
      </c>
      <c r="N235">
        <v>0</v>
      </c>
      <c r="O235">
        <v>0</v>
      </c>
      <c r="P235" s="8">
        <v>51230780.439999998</v>
      </c>
    </row>
    <row r="236" spans="1:16">
      <c r="A236" s="1">
        <v>44743</v>
      </c>
      <c r="B236" t="s">
        <v>127</v>
      </c>
      <c r="C236" t="s">
        <v>14</v>
      </c>
      <c r="D236" t="s">
        <v>15</v>
      </c>
      <c r="E236" t="s">
        <v>33</v>
      </c>
      <c r="F236" t="s">
        <v>24</v>
      </c>
      <c r="G236" t="s">
        <v>73</v>
      </c>
      <c r="H236" t="s">
        <v>525</v>
      </c>
      <c r="I236">
        <v>7</v>
      </c>
      <c r="J236" t="s">
        <v>80</v>
      </c>
      <c r="K236" t="str">
        <f t="shared" si="3"/>
        <v>36400</v>
      </c>
      <c r="L236">
        <v>83201385.049999997</v>
      </c>
      <c r="M236">
        <v>-4260.92</v>
      </c>
      <c r="N236">
        <v>-42398.21</v>
      </c>
      <c r="O236">
        <v>0</v>
      </c>
      <c r="P236" s="8">
        <v>83154725.920000002</v>
      </c>
    </row>
    <row r="237" spans="1:16">
      <c r="A237" s="1">
        <v>44743</v>
      </c>
      <c r="B237" t="s">
        <v>127</v>
      </c>
      <c r="C237" t="s">
        <v>14</v>
      </c>
      <c r="D237" t="s">
        <v>15</v>
      </c>
      <c r="E237" t="s">
        <v>33</v>
      </c>
      <c r="F237" t="s">
        <v>24</v>
      </c>
      <c r="G237" t="s">
        <v>73</v>
      </c>
      <c r="H237" t="s">
        <v>525</v>
      </c>
      <c r="I237">
        <v>7</v>
      </c>
      <c r="J237" t="s">
        <v>81</v>
      </c>
      <c r="K237" t="str">
        <f t="shared" si="3"/>
        <v>36500</v>
      </c>
      <c r="L237">
        <v>54421466.100000001</v>
      </c>
      <c r="M237">
        <v>162556.6</v>
      </c>
      <c r="N237">
        <v>-61897.279999999999</v>
      </c>
      <c r="O237">
        <v>0</v>
      </c>
      <c r="P237" s="8">
        <v>54522125.420000002</v>
      </c>
    </row>
    <row r="238" spans="1:16">
      <c r="A238" s="1">
        <v>44743</v>
      </c>
      <c r="B238" t="s">
        <v>127</v>
      </c>
      <c r="C238" t="s">
        <v>14</v>
      </c>
      <c r="D238" t="s">
        <v>15</v>
      </c>
      <c r="E238" t="s">
        <v>33</v>
      </c>
      <c r="F238" t="s">
        <v>24</v>
      </c>
      <c r="G238" t="s">
        <v>73</v>
      </c>
      <c r="H238" t="s">
        <v>525</v>
      </c>
      <c r="I238">
        <v>7</v>
      </c>
      <c r="J238" t="s">
        <v>82</v>
      </c>
      <c r="K238" t="str">
        <f t="shared" si="3"/>
        <v>36600</v>
      </c>
      <c r="L238">
        <v>15339355.08</v>
      </c>
      <c r="M238">
        <v>507490.44</v>
      </c>
      <c r="N238">
        <v>-29353.83</v>
      </c>
      <c r="O238">
        <v>0</v>
      </c>
      <c r="P238" s="8">
        <v>15817491.689999999</v>
      </c>
    </row>
    <row r="239" spans="1:16">
      <c r="A239" s="1">
        <v>44743</v>
      </c>
      <c r="B239" t="s">
        <v>127</v>
      </c>
      <c r="C239" t="s">
        <v>14</v>
      </c>
      <c r="D239" t="s">
        <v>15</v>
      </c>
      <c r="E239" t="s">
        <v>33</v>
      </c>
      <c r="F239" t="s">
        <v>24</v>
      </c>
      <c r="G239" t="s">
        <v>73</v>
      </c>
      <c r="H239" t="s">
        <v>525</v>
      </c>
      <c r="I239">
        <v>7</v>
      </c>
      <c r="J239" t="s">
        <v>83</v>
      </c>
      <c r="K239" t="str">
        <f t="shared" si="3"/>
        <v>36700</v>
      </c>
      <c r="L239">
        <v>28987400.440000001</v>
      </c>
      <c r="M239">
        <v>288489.58</v>
      </c>
      <c r="N239">
        <v>-19484.3</v>
      </c>
      <c r="O239">
        <v>0</v>
      </c>
      <c r="P239" s="8">
        <v>29256405.719999999</v>
      </c>
    </row>
    <row r="240" spans="1:16">
      <c r="A240" s="1">
        <v>44743</v>
      </c>
      <c r="B240" t="s">
        <v>127</v>
      </c>
      <c r="C240" t="s">
        <v>14</v>
      </c>
      <c r="D240" t="s">
        <v>15</v>
      </c>
      <c r="E240" t="s">
        <v>33</v>
      </c>
      <c r="F240" t="s">
        <v>24</v>
      </c>
      <c r="G240" t="s">
        <v>73</v>
      </c>
      <c r="H240" t="s">
        <v>525</v>
      </c>
      <c r="I240">
        <v>7</v>
      </c>
      <c r="J240" t="s">
        <v>84</v>
      </c>
      <c r="K240" t="str">
        <f t="shared" si="3"/>
        <v>36801</v>
      </c>
      <c r="L240">
        <v>10016714.33</v>
      </c>
      <c r="M240">
        <v>197556.16</v>
      </c>
      <c r="N240">
        <v>-23311.170000000002</v>
      </c>
      <c r="O240">
        <v>0</v>
      </c>
      <c r="P240" s="8">
        <v>10190959.32</v>
      </c>
    </row>
    <row r="241" spans="1:16">
      <c r="A241" s="1">
        <v>44743</v>
      </c>
      <c r="B241" t="s">
        <v>127</v>
      </c>
      <c r="C241" t="s">
        <v>14</v>
      </c>
      <c r="D241" t="s">
        <v>15</v>
      </c>
      <c r="E241" t="s">
        <v>33</v>
      </c>
      <c r="F241" t="s">
        <v>24</v>
      </c>
      <c r="G241" t="s">
        <v>73</v>
      </c>
      <c r="H241" t="s">
        <v>525</v>
      </c>
      <c r="I241">
        <v>7</v>
      </c>
      <c r="J241" t="s">
        <v>85</v>
      </c>
      <c r="K241" t="str">
        <f t="shared" si="3"/>
        <v>36802</v>
      </c>
      <c r="L241">
        <v>31727381.190000001</v>
      </c>
      <c r="M241">
        <v>195376.38</v>
      </c>
      <c r="N241">
        <v>-503.25</v>
      </c>
      <c r="O241">
        <v>0</v>
      </c>
      <c r="P241" s="8">
        <v>31922254.32</v>
      </c>
    </row>
    <row r="242" spans="1:16">
      <c r="A242" s="1">
        <v>44743</v>
      </c>
      <c r="B242" t="s">
        <v>127</v>
      </c>
      <c r="C242" t="s">
        <v>14</v>
      </c>
      <c r="D242" t="s">
        <v>15</v>
      </c>
      <c r="E242" t="s">
        <v>33</v>
      </c>
      <c r="F242" t="s">
        <v>24</v>
      </c>
      <c r="G242" t="s">
        <v>73</v>
      </c>
      <c r="H242" t="s">
        <v>525</v>
      </c>
      <c r="I242">
        <v>7</v>
      </c>
      <c r="J242" t="s">
        <v>86</v>
      </c>
      <c r="K242" t="str">
        <f t="shared" si="3"/>
        <v>36803</v>
      </c>
      <c r="L242">
        <v>26960430.25</v>
      </c>
      <c r="M242">
        <v>23302.86</v>
      </c>
      <c r="N242">
        <v>0</v>
      </c>
      <c r="O242">
        <v>0</v>
      </c>
      <c r="P242" s="8">
        <v>26983733.109999999</v>
      </c>
    </row>
    <row r="243" spans="1:16">
      <c r="A243" s="1">
        <v>44743</v>
      </c>
      <c r="B243" t="s">
        <v>127</v>
      </c>
      <c r="C243" t="s">
        <v>14</v>
      </c>
      <c r="D243" t="s">
        <v>15</v>
      </c>
      <c r="E243" t="s">
        <v>33</v>
      </c>
      <c r="F243" t="s">
        <v>24</v>
      </c>
      <c r="G243" t="s">
        <v>73</v>
      </c>
      <c r="H243" t="s">
        <v>525</v>
      </c>
      <c r="I243">
        <v>7</v>
      </c>
      <c r="J243" t="s">
        <v>87</v>
      </c>
      <c r="K243" t="str">
        <f t="shared" si="3"/>
        <v>36901</v>
      </c>
      <c r="L243">
        <v>10062518.720000001</v>
      </c>
      <c r="M243">
        <v>723441.77</v>
      </c>
      <c r="N243">
        <v>0</v>
      </c>
      <c r="O243">
        <v>0</v>
      </c>
      <c r="P243" s="8">
        <v>10785960.49</v>
      </c>
    </row>
    <row r="244" spans="1:16">
      <c r="A244" s="1">
        <v>44743</v>
      </c>
      <c r="B244" t="s">
        <v>127</v>
      </c>
      <c r="C244" t="s">
        <v>14</v>
      </c>
      <c r="D244" t="s">
        <v>15</v>
      </c>
      <c r="E244" t="s">
        <v>33</v>
      </c>
      <c r="F244" t="s">
        <v>24</v>
      </c>
      <c r="G244" t="s">
        <v>73</v>
      </c>
      <c r="H244" t="s">
        <v>525</v>
      </c>
      <c r="I244">
        <v>7</v>
      </c>
      <c r="J244" t="s">
        <v>88</v>
      </c>
      <c r="K244" t="str">
        <f t="shared" si="3"/>
        <v>36902</v>
      </c>
      <c r="L244">
        <v>13948526.199999999</v>
      </c>
      <c r="M244">
        <v>218708.68</v>
      </c>
      <c r="N244">
        <v>0</v>
      </c>
      <c r="O244">
        <v>0</v>
      </c>
      <c r="P244" s="8">
        <v>14167234.880000001</v>
      </c>
    </row>
    <row r="245" spans="1:16">
      <c r="A245" s="1">
        <v>44743</v>
      </c>
      <c r="B245" t="s">
        <v>127</v>
      </c>
      <c r="C245" t="s">
        <v>14</v>
      </c>
      <c r="D245" t="s">
        <v>15</v>
      </c>
      <c r="E245" t="s">
        <v>33</v>
      </c>
      <c r="F245" t="s">
        <v>24</v>
      </c>
      <c r="G245" t="s">
        <v>73</v>
      </c>
      <c r="H245" t="s">
        <v>525</v>
      </c>
      <c r="I245">
        <v>7</v>
      </c>
      <c r="J245" t="s">
        <v>89</v>
      </c>
      <c r="K245" t="str">
        <f t="shared" si="3"/>
        <v>37001</v>
      </c>
      <c r="L245">
        <v>1743434.94</v>
      </c>
      <c r="M245">
        <v>0</v>
      </c>
      <c r="N245">
        <v>0</v>
      </c>
      <c r="O245">
        <v>0</v>
      </c>
      <c r="P245" s="8">
        <v>1743434.94</v>
      </c>
    </row>
    <row r="246" spans="1:16">
      <c r="A246" s="1">
        <v>44743</v>
      </c>
      <c r="B246" t="s">
        <v>127</v>
      </c>
      <c r="C246" t="s">
        <v>14</v>
      </c>
      <c r="D246" t="s">
        <v>15</v>
      </c>
      <c r="E246" t="s">
        <v>33</v>
      </c>
      <c r="F246" t="s">
        <v>24</v>
      </c>
      <c r="G246" t="s">
        <v>73</v>
      </c>
      <c r="H246" t="s">
        <v>525</v>
      </c>
      <c r="I246">
        <v>7</v>
      </c>
      <c r="J246" t="s">
        <v>90</v>
      </c>
      <c r="K246" t="str">
        <f t="shared" si="3"/>
        <v>37002</v>
      </c>
      <c r="L246">
        <v>0</v>
      </c>
      <c r="M246">
        <v>0</v>
      </c>
      <c r="N246">
        <v>0</v>
      </c>
      <c r="O246">
        <v>0</v>
      </c>
      <c r="P246" s="8">
        <v>0</v>
      </c>
    </row>
    <row r="247" spans="1:16">
      <c r="A247" s="1">
        <v>44743</v>
      </c>
      <c r="B247" t="s">
        <v>127</v>
      </c>
      <c r="C247" t="s">
        <v>14</v>
      </c>
      <c r="D247" t="s">
        <v>15</v>
      </c>
      <c r="E247" t="s">
        <v>33</v>
      </c>
      <c r="F247" t="s">
        <v>24</v>
      </c>
      <c r="G247" t="s">
        <v>73</v>
      </c>
      <c r="H247" t="s">
        <v>525</v>
      </c>
      <c r="I247">
        <v>7</v>
      </c>
      <c r="J247" t="s">
        <v>91</v>
      </c>
      <c r="K247" t="str">
        <f t="shared" si="3"/>
        <v>37004</v>
      </c>
      <c r="L247">
        <v>17108019.890000001</v>
      </c>
      <c r="M247">
        <v>0</v>
      </c>
      <c r="N247">
        <v>-254929.15</v>
      </c>
      <c r="O247">
        <v>0</v>
      </c>
      <c r="P247" s="8">
        <v>16853090.739999998</v>
      </c>
    </row>
    <row r="248" spans="1:16">
      <c r="A248" s="1">
        <v>44743</v>
      </c>
      <c r="B248" t="s">
        <v>127</v>
      </c>
      <c r="C248" t="s">
        <v>14</v>
      </c>
      <c r="D248" t="s">
        <v>15</v>
      </c>
      <c r="E248" t="s">
        <v>33</v>
      </c>
      <c r="F248" t="s">
        <v>24</v>
      </c>
      <c r="G248" t="s">
        <v>73</v>
      </c>
      <c r="H248" t="s">
        <v>525</v>
      </c>
      <c r="I248">
        <v>7</v>
      </c>
      <c r="J248" t="s">
        <v>92</v>
      </c>
      <c r="K248" t="str">
        <f t="shared" si="3"/>
        <v>37100</v>
      </c>
      <c r="L248">
        <v>2496875.1800000002</v>
      </c>
      <c r="M248">
        <v>13932.93</v>
      </c>
      <c r="N248">
        <v>-1068.07</v>
      </c>
      <c r="O248">
        <v>0</v>
      </c>
      <c r="P248" s="8">
        <v>2509740.04</v>
      </c>
    </row>
    <row r="249" spans="1:16">
      <c r="A249" s="1">
        <v>44743</v>
      </c>
      <c r="B249" t="s">
        <v>127</v>
      </c>
      <c r="C249" t="s">
        <v>14</v>
      </c>
      <c r="D249" t="s">
        <v>15</v>
      </c>
      <c r="E249" t="s">
        <v>33</v>
      </c>
      <c r="F249" t="s">
        <v>24</v>
      </c>
      <c r="G249" t="s">
        <v>73</v>
      </c>
      <c r="H249" t="s">
        <v>525</v>
      </c>
      <c r="I249">
        <v>7</v>
      </c>
      <c r="J249" t="s">
        <v>93</v>
      </c>
      <c r="K249" t="str">
        <f t="shared" si="3"/>
        <v>37300</v>
      </c>
      <c r="L249">
        <v>10372424.82</v>
      </c>
      <c r="M249">
        <v>0</v>
      </c>
      <c r="N249">
        <v>0</v>
      </c>
      <c r="O249">
        <v>0</v>
      </c>
      <c r="P249" s="8">
        <v>10372424.82</v>
      </c>
    </row>
    <row r="250" spans="1:16">
      <c r="A250" s="1">
        <v>44743</v>
      </c>
      <c r="B250" t="s">
        <v>127</v>
      </c>
      <c r="C250" t="s">
        <v>14</v>
      </c>
      <c r="D250" t="s">
        <v>15</v>
      </c>
      <c r="E250" t="s">
        <v>33</v>
      </c>
      <c r="F250" t="s">
        <v>119</v>
      </c>
      <c r="G250" t="s">
        <v>73</v>
      </c>
      <c r="H250" t="s">
        <v>525</v>
      </c>
      <c r="I250">
        <v>7</v>
      </c>
      <c r="J250" t="s">
        <v>74</v>
      </c>
      <c r="K250" t="str">
        <f t="shared" si="3"/>
        <v>36001</v>
      </c>
      <c r="L250">
        <v>0</v>
      </c>
      <c r="M250">
        <v>0</v>
      </c>
      <c r="N250">
        <v>0</v>
      </c>
      <c r="O250">
        <v>0</v>
      </c>
      <c r="P250" s="9">
        <v>0</v>
      </c>
    </row>
    <row r="251" spans="1:16">
      <c r="A251" s="1">
        <v>44743</v>
      </c>
      <c r="B251" t="s">
        <v>127</v>
      </c>
      <c r="C251" t="s">
        <v>14</v>
      </c>
      <c r="D251" t="s">
        <v>15</v>
      </c>
      <c r="E251" t="s">
        <v>33</v>
      </c>
      <c r="F251" t="s">
        <v>119</v>
      </c>
      <c r="G251" t="s">
        <v>73</v>
      </c>
      <c r="H251" t="s">
        <v>525</v>
      </c>
      <c r="I251">
        <v>7</v>
      </c>
      <c r="J251" t="s">
        <v>79</v>
      </c>
      <c r="K251" t="str">
        <f t="shared" si="3"/>
        <v>36200</v>
      </c>
      <c r="L251">
        <v>2753405.5</v>
      </c>
      <c r="M251">
        <v>0</v>
      </c>
      <c r="N251">
        <v>0</v>
      </c>
      <c r="O251">
        <v>0</v>
      </c>
      <c r="P251" s="9">
        <v>2753405.5</v>
      </c>
    </row>
    <row r="252" spans="1:16">
      <c r="A252" s="1">
        <v>44743</v>
      </c>
      <c r="B252" t="s">
        <v>127</v>
      </c>
      <c r="C252" t="s">
        <v>14</v>
      </c>
      <c r="D252" t="s">
        <v>15</v>
      </c>
      <c r="E252" t="s">
        <v>33</v>
      </c>
      <c r="F252" t="s">
        <v>17</v>
      </c>
      <c r="G252" t="s">
        <v>73</v>
      </c>
      <c r="H252" t="s">
        <v>525</v>
      </c>
      <c r="I252">
        <v>7</v>
      </c>
      <c r="J252" t="s">
        <v>74</v>
      </c>
      <c r="K252" t="str">
        <f t="shared" si="3"/>
        <v>36001</v>
      </c>
      <c r="L252">
        <v>57920.08</v>
      </c>
      <c r="M252">
        <v>0</v>
      </c>
      <c r="N252">
        <v>0</v>
      </c>
      <c r="O252">
        <v>0</v>
      </c>
      <c r="P252">
        <v>57920.08</v>
      </c>
    </row>
    <row r="253" spans="1:16">
      <c r="A253" s="1">
        <v>44743</v>
      </c>
      <c r="B253" t="s">
        <v>127</v>
      </c>
      <c r="C253" t="s">
        <v>14</v>
      </c>
      <c r="D253" t="s">
        <v>15</v>
      </c>
      <c r="E253" t="s">
        <v>33</v>
      </c>
      <c r="F253" t="s">
        <v>17</v>
      </c>
      <c r="G253" t="s">
        <v>73</v>
      </c>
      <c r="H253" t="s">
        <v>525</v>
      </c>
      <c r="I253">
        <v>7</v>
      </c>
      <c r="J253" t="s">
        <v>77</v>
      </c>
      <c r="K253" t="str">
        <f t="shared" si="3"/>
        <v>36100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>
      <c r="A254" s="1">
        <v>44743</v>
      </c>
      <c r="B254" t="s">
        <v>127</v>
      </c>
      <c r="C254" t="s">
        <v>14</v>
      </c>
      <c r="D254" t="s">
        <v>15</v>
      </c>
      <c r="E254" t="s">
        <v>33</v>
      </c>
      <c r="F254" t="s">
        <v>17</v>
      </c>
      <c r="G254" t="s">
        <v>73</v>
      </c>
      <c r="H254" t="s">
        <v>525</v>
      </c>
      <c r="I254">
        <v>7</v>
      </c>
      <c r="J254" t="s">
        <v>79</v>
      </c>
      <c r="K254" t="str">
        <f t="shared" si="3"/>
        <v>36200</v>
      </c>
      <c r="L254">
        <v>4537240.76</v>
      </c>
      <c r="M254">
        <v>-909.31000000000006</v>
      </c>
      <c r="N254">
        <v>0</v>
      </c>
      <c r="O254">
        <v>0</v>
      </c>
      <c r="P254">
        <v>4536331.45</v>
      </c>
    </row>
    <row r="255" spans="1:16">
      <c r="A255" s="1">
        <v>44743</v>
      </c>
      <c r="B255" t="s">
        <v>127</v>
      </c>
      <c r="C255" t="s">
        <v>14</v>
      </c>
      <c r="D255" t="s">
        <v>15</v>
      </c>
      <c r="E255" t="s">
        <v>33</v>
      </c>
      <c r="F255" t="s">
        <v>17</v>
      </c>
      <c r="G255" t="s">
        <v>73</v>
      </c>
      <c r="H255" t="s">
        <v>525</v>
      </c>
      <c r="I255">
        <v>7</v>
      </c>
      <c r="J255" t="s">
        <v>80</v>
      </c>
      <c r="K255" t="str">
        <f t="shared" si="3"/>
        <v>36400</v>
      </c>
      <c r="L255">
        <v>17543987.07</v>
      </c>
      <c r="M255">
        <v>93166.39</v>
      </c>
      <c r="N255">
        <v>0</v>
      </c>
      <c r="O255">
        <v>0</v>
      </c>
      <c r="P255">
        <v>17637153.460000001</v>
      </c>
    </row>
    <row r="256" spans="1:16">
      <c r="A256" s="1">
        <v>44743</v>
      </c>
      <c r="B256" t="s">
        <v>127</v>
      </c>
      <c r="C256" t="s">
        <v>14</v>
      </c>
      <c r="D256" t="s">
        <v>15</v>
      </c>
      <c r="E256" t="s">
        <v>33</v>
      </c>
      <c r="F256" t="s">
        <v>17</v>
      </c>
      <c r="G256" t="s">
        <v>73</v>
      </c>
      <c r="H256" t="s">
        <v>525</v>
      </c>
      <c r="I256">
        <v>7</v>
      </c>
      <c r="J256" t="s">
        <v>81</v>
      </c>
      <c r="K256" t="str">
        <f t="shared" si="3"/>
        <v>36500</v>
      </c>
      <c r="L256">
        <v>3739462.3200000003</v>
      </c>
      <c r="M256">
        <v>150253.56</v>
      </c>
      <c r="N256">
        <v>0</v>
      </c>
      <c r="O256">
        <v>0</v>
      </c>
      <c r="P256">
        <v>3889715.88</v>
      </c>
    </row>
    <row r="257" spans="1:16">
      <c r="A257" s="1">
        <v>44743</v>
      </c>
      <c r="B257" t="s">
        <v>127</v>
      </c>
      <c r="C257" t="s">
        <v>14</v>
      </c>
      <c r="D257" t="s">
        <v>15</v>
      </c>
      <c r="E257" t="s">
        <v>33</v>
      </c>
      <c r="F257" t="s">
        <v>17</v>
      </c>
      <c r="G257" t="s">
        <v>73</v>
      </c>
      <c r="H257" t="s">
        <v>525</v>
      </c>
      <c r="I257">
        <v>7</v>
      </c>
      <c r="J257" t="s">
        <v>82</v>
      </c>
      <c r="K257" t="str">
        <f t="shared" si="3"/>
        <v>36600</v>
      </c>
      <c r="L257">
        <v>1391826.83</v>
      </c>
      <c r="M257">
        <v>-248633.26</v>
      </c>
      <c r="N257">
        <v>0</v>
      </c>
      <c r="O257">
        <v>0</v>
      </c>
      <c r="P257">
        <v>1143193.57</v>
      </c>
    </row>
    <row r="258" spans="1:16">
      <c r="A258" s="1">
        <v>44743</v>
      </c>
      <c r="B258" t="s">
        <v>127</v>
      </c>
      <c r="C258" t="s">
        <v>14</v>
      </c>
      <c r="D258" t="s">
        <v>15</v>
      </c>
      <c r="E258" t="s">
        <v>33</v>
      </c>
      <c r="F258" t="s">
        <v>17</v>
      </c>
      <c r="G258" t="s">
        <v>73</v>
      </c>
      <c r="H258" t="s">
        <v>525</v>
      </c>
      <c r="I258">
        <v>7</v>
      </c>
      <c r="J258" t="s">
        <v>83</v>
      </c>
      <c r="K258" t="str">
        <f t="shared" ref="K258:K321" si="4">MID(J258,2,5)</f>
        <v>36700</v>
      </c>
      <c r="L258">
        <v>4654603.0199999996</v>
      </c>
      <c r="M258">
        <v>335674.84</v>
      </c>
      <c r="N258">
        <v>0</v>
      </c>
      <c r="O258">
        <v>0</v>
      </c>
      <c r="P258">
        <v>4990277.8600000003</v>
      </c>
    </row>
    <row r="259" spans="1:16">
      <c r="A259" s="1">
        <v>44743</v>
      </c>
      <c r="B259" t="s">
        <v>127</v>
      </c>
      <c r="C259" t="s">
        <v>14</v>
      </c>
      <c r="D259" t="s">
        <v>15</v>
      </c>
      <c r="E259" t="s">
        <v>33</v>
      </c>
      <c r="F259" t="s">
        <v>17</v>
      </c>
      <c r="G259" t="s">
        <v>73</v>
      </c>
      <c r="H259" t="s">
        <v>525</v>
      </c>
      <c r="I259">
        <v>7</v>
      </c>
      <c r="J259" t="s">
        <v>84</v>
      </c>
      <c r="K259" t="str">
        <f t="shared" si="4"/>
        <v>36801</v>
      </c>
      <c r="L259">
        <v>407418.94</v>
      </c>
      <c r="M259">
        <v>-25541.64</v>
      </c>
      <c r="N259">
        <v>0</v>
      </c>
      <c r="O259">
        <v>0</v>
      </c>
      <c r="P259">
        <v>381877.3</v>
      </c>
    </row>
    <row r="260" spans="1:16">
      <c r="A260" s="1">
        <v>44743</v>
      </c>
      <c r="B260" t="s">
        <v>127</v>
      </c>
      <c r="C260" t="s">
        <v>14</v>
      </c>
      <c r="D260" t="s">
        <v>15</v>
      </c>
      <c r="E260" t="s">
        <v>33</v>
      </c>
      <c r="F260" t="s">
        <v>17</v>
      </c>
      <c r="G260" t="s">
        <v>73</v>
      </c>
      <c r="H260" t="s">
        <v>525</v>
      </c>
      <c r="I260">
        <v>7</v>
      </c>
      <c r="J260" t="s">
        <v>85</v>
      </c>
      <c r="K260" t="str">
        <f t="shared" si="4"/>
        <v>36802</v>
      </c>
      <c r="L260">
        <v>1037582.14</v>
      </c>
      <c r="M260">
        <v>-280030.47000000003</v>
      </c>
      <c r="N260">
        <v>0</v>
      </c>
      <c r="O260">
        <v>0</v>
      </c>
      <c r="P260">
        <v>757551.67</v>
      </c>
    </row>
    <row r="261" spans="1:16">
      <c r="A261" s="1">
        <v>44743</v>
      </c>
      <c r="B261" t="s">
        <v>127</v>
      </c>
      <c r="C261" t="s">
        <v>14</v>
      </c>
      <c r="D261" t="s">
        <v>15</v>
      </c>
      <c r="E261" t="s">
        <v>33</v>
      </c>
      <c r="F261" t="s">
        <v>17</v>
      </c>
      <c r="G261" t="s">
        <v>73</v>
      </c>
      <c r="H261" t="s">
        <v>525</v>
      </c>
      <c r="I261">
        <v>7</v>
      </c>
      <c r="J261" t="s">
        <v>86</v>
      </c>
      <c r="K261" t="str">
        <f t="shared" si="4"/>
        <v>36803</v>
      </c>
      <c r="L261">
        <v>620934.35</v>
      </c>
      <c r="M261">
        <v>-222303.9</v>
      </c>
      <c r="N261">
        <v>0</v>
      </c>
      <c r="O261">
        <v>0</v>
      </c>
      <c r="P261">
        <v>398630.45</v>
      </c>
    </row>
    <row r="262" spans="1:16">
      <c r="A262" s="1">
        <v>44743</v>
      </c>
      <c r="B262" t="s">
        <v>127</v>
      </c>
      <c r="C262" t="s">
        <v>14</v>
      </c>
      <c r="D262" t="s">
        <v>15</v>
      </c>
      <c r="E262" t="s">
        <v>33</v>
      </c>
      <c r="F262" t="s">
        <v>17</v>
      </c>
      <c r="G262" t="s">
        <v>73</v>
      </c>
      <c r="H262" t="s">
        <v>525</v>
      </c>
      <c r="I262">
        <v>7</v>
      </c>
      <c r="J262" t="s">
        <v>87</v>
      </c>
      <c r="K262" t="str">
        <f t="shared" si="4"/>
        <v>36901</v>
      </c>
      <c r="L262">
        <v>603777.25</v>
      </c>
      <c r="M262">
        <v>-154651.47</v>
      </c>
      <c r="N262">
        <v>0</v>
      </c>
      <c r="O262">
        <v>0</v>
      </c>
      <c r="P262">
        <v>449125.78</v>
      </c>
    </row>
    <row r="263" spans="1:16">
      <c r="A263" s="1">
        <v>44743</v>
      </c>
      <c r="B263" t="s">
        <v>127</v>
      </c>
      <c r="C263" t="s">
        <v>14</v>
      </c>
      <c r="D263" t="s">
        <v>15</v>
      </c>
      <c r="E263" t="s">
        <v>33</v>
      </c>
      <c r="F263" t="s">
        <v>17</v>
      </c>
      <c r="G263" t="s">
        <v>73</v>
      </c>
      <c r="H263" t="s">
        <v>525</v>
      </c>
      <c r="I263">
        <v>7</v>
      </c>
      <c r="J263" t="s">
        <v>88</v>
      </c>
      <c r="K263" t="str">
        <f t="shared" si="4"/>
        <v>36902</v>
      </c>
      <c r="L263">
        <v>624850.37</v>
      </c>
      <c r="M263">
        <v>-272451.03999999998</v>
      </c>
      <c r="N263">
        <v>0</v>
      </c>
      <c r="O263">
        <v>0</v>
      </c>
      <c r="P263">
        <v>352399.33</v>
      </c>
    </row>
    <row r="264" spans="1:16">
      <c r="A264" s="1">
        <v>44743</v>
      </c>
      <c r="B264" t="s">
        <v>127</v>
      </c>
      <c r="C264" t="s">
        <v>14</v>
      </c>
      <c r="D264" t="s">
        <v>15</v>
      </c>
      <c r="E264" t="s">
        <v>33</v>
      </c>
      <c r="F264" t="s">
        <v>17</v>
      </c>
      <c r="G264" t="s">
        <v>73</v>
      </c>
      <c r="H264" t="s">
        <v>525</v>
      </c>
      <c r="I264">
        <v>7</v>
      </c>
      <c r="J264" t="s">
        <v>89</v>
      </c>
      <c r="K264" t="str">
        <f t="shared" si="4"/>
        <v>37001</v>
      </c>
      <c r="L264">
        <v>6198.8</v>
      </c>
      <c r="M264">
        <v>1786.04</v>
      </c>
      <c r="N264">
        <v>0</v>
      </c>
      <c r="O264">
        <v>0</v>
      </c>
      <c r="P264">
        <v>7984.84</v>
      </c>
    </row>
    <row r="265" spans="1:16">
      <c r="A265" s="1">
        <v>44743</v>
      </c>
      <c r="B265" t="s">
        <v>127</v>
      </c>
      <c r="C265" t="s">
        <v>14</v>
      </c>
      <c r="D265" t="s">
        <v>15</v>
      </c>
      <c r="E265" t="s">
        <v>33</v>
      </c>
      <c r="F265" t="s">
        <v>17</v>
      </c>
      <c r="G265" t="s">
        <v>73</v>
      </c>
      <c r="H265" t="s">
        <v>525</v>
      </c>
      <c r="I265">
        <v>7</v>
      </c>
      <c r="J265" t="s">
        <v>91</v>
      </c>
      <c r="K265" t="str">
        <f t="shared" si="4"/>
        <v>37004</v>
      </c>
      <c r="L265">
        <v>800.82</v>
      </c>
      <c r="M265">
        <v>1882.05</v>
      </c>
      <c r="N265">
        <v>0</v>
      </c>
      <c r="O265">
        <v>0</v>
      </c>
      <c r="P265">
        <v>2682.87</v>
      </c>
    </row>
    <row r="266" spans="1:16">
      <c r="A266" s="1">
        <v>44743</v>
      </c>
      <c r="B266" t="s">
        <v>127</v>
      </c>
      <c r="C266" t="s">
        <v>14</v>
      </c>
      <c r="D266" t="s">
        <v>15</v>
      </c>
      <c r="E266" t="s">
        <v>33</v>
      </c>
      <c r="F266" t="s">
        <v>17</v>
      </c>
      <c r="G266" t="s">
        <v>73</v>
      </c>
      <c r="H266" t="s">
        <v>525</v>
      </c>
      <c r="I266">
        <v>7</v>
      </c>
      <c r="J266" t="s">
        <v>92</v>
      </c>
      <c r="K266" t="str">
        <f t="shared" si="4"/>
        <v>37100</v>
      </c>
      <c r="L266">
        <v>137965.58000000002</v>
      </c>
      <c r="M266">
        <v>11966</v>
      </c>
      <c r="N266">
        <v>0</v>
      </c>
      <c r="O266">
        <v>0</v>
      </c>
      <c r="P266">
        <v>149931.58000000002</v>
      </c>
    </row>
    <row r="267" spans="1:16">
      <c r="A267" s="1">
        <v>44743</v>
      </c>
      <c r="B267" t="s">
        <v>127</v>
      </c>
      <c r="C267" t="s">
        <v>14</v>
      </c>
      <c r="D267" t="s">
        <v>15</v>
      </c>
      <c r="E267" t="s">
        <v>33</v>
      </c>
      <c r="F267" t="s">
        <v>17</v>
      </c>
      <c r="G267" t="s">
        <v>73</v>
      </c>
      <c r="H267" t="s">
        <v>525</v>
      </c>
      <c r="I267">
        <v>7</v>
      </c>
      <c r="J267" t="s">
        <v>93</v>
      </c>
      <c r="K267" t="str">
        <f t="shared" si="4"/>
        <v>37300</v>
      </c>
      <c r="L267">
        <v>1034303.05</v>
      </c>
      <c r="M267">
        <v>-91047.94</v>
      </c>
      <c r="N267">
        <v>0</v>
      </c>
      <c r="O267">
        <v>0</v>
      </c>
      <c r="P267">
        <v>943255.11</v>
      </c>
    </row>
    <row r="268" spans="1:16">
      <c r="A268" s="1">
        <v>44774</v>
      </c>
      <c r="B268" t="s">
        <v>126</v>
      </c>
      <c r="C268" t="s">
        <v>14</v>
      </c>
      <c r="D268" t="s">
        <v>15</v>
      </c>
      <c r="E268" t="s">
        <v>33</v>
      </c>
      <c r="F268" t="s">
        <v>24</v>
      </c>
      <c r="G268" t="s">
        <v>73</v>
      </c>
      <c r="H268" t="s">
        <v>525</v>
      </c>
      <c r="I268">
        <v>7</v>
      </c>
      <c r="J268" t="s">
        <v>74</v>
      </c>
      <c r="K268" t="str">
        <f t="shared" si="4"/>
        <v>36001</v>
      </c>
      <c r="L268">
        <v>658853.93000000005</v>
      </c>
      <c r="M268">
        <v>0</v>
      </c>
      <c r="N268">
        <v>0</v>
      </c>
      <c r="O268">
        <v>0</v>
      </c>
      <c r="P268" s="8">
        <v>658853.93000000005</v>
      </c>
    </row>
    <row r="269" spans="1:16">
      <c r="A269" s="1">
        <v>44774</v>
      </c>
      <c r="B269" t="s">
        <v>126</v>
      </c>
      <c r="C269" t="s">
        <v>14</v>
      </c>
      <c r="D269" t="s">
        <v>15</v>
      </c>
      <c r="E269" t="s">
        <v>33</v>
      </c>
      <c r="F269" t="s">
        <v>24</v>
      </c>
      <c r="G269" t="s">
        <v>73</v>
      </c>
      <c r="H269" t="s">
        <v>525</v>
      </c>
      <c r="I269">
        <v>7</v>
      </c>
      <c r="J269" t="s">
        <v>75</v>
      </c>
      <c r="K269" t="str">
        <f t="shared" si="4"/>
        <v>36002</v>
      </c>
      <c r="L269">
        <v>184620.19</v>
      </c>
      <c r="M269">
        <v>0</v>
      </c>
      <c r="N269">
        <v>0</v>
      </c>
      <c r="O269">
        <v>0</v>
      </c>
      <c r="P269" s="8">
        <v>184620.19</v>
      </c>
    </row>
    <row r="270" spans="1:16">
      <c r="A270" s="1">
        <v>44774</v>
      </c>
      <c r="B270" t="s">
        <v>126</v>
      </c>
      <c r="C270" t="s">
        <v>14</v>
      </c>
      <c r="D270" t="s">
        <v>15</v>
      </c>
      <c r="E270" t="s">
        <v>33</v>
      </c>
      <c r="F270" t="s">
        <v>24</v>
      </c>
      <c r="G270" t="s">
        <v>73</v>
      </c>
      <c r="H270" t="s">
        <v>525</v>
      </c>
      <c r="I270">
        <v>7</v>
      </c>
      <c r="J270" t="s">
        <v>76</v>
      </c>
      <c r="K270" t="str">
        <f t="shared" si="4"/>
        <v>36003</v>
      </c>
      <c r="L270">
        <v>0</v>
      </c>
      <c r="M270">
        <v>0</v>
      </c>
      <c r="N270">
        <v>0</v>
      </c>
      <c r="O270">
        <v>0</v>
      </c>
      <c r="P270" s="8">
        <v>0</v>
      </c>
    </row>
    <row r="271" spans="1:16">
      <c r="A271" s="1">
        <v>44774</v>
      </c>
      <c r="B271" t="s">
        <v>126</v>
      </c>
      <c r="C271" t="s">
        <v>14</v>
      </c>
      <c r="D271" t="s">
        <v>15</v>
      </c>
      <c r="E271" t="s">
        <v>33</v>
      </c>
      <c r="F271" t="s">
        <v>24</v>
      </c>
      <c r="G271" t="s">
        <v>73</v>
      </c>
      <c r="H271" t="s">
        <v>525</v>
      </c>
      <c r="I271">
        <v>7</v>
      </c>
      <c r="J271" t="s">
        <v>77</v>
      </c>
      <c r="K271" t="str">
        <f t="shared" si="4"/>
        <v>36100</v>
      </c>
      <c r="L271">
        <v>643978.15</v>
      </c>
      <c r="M271">
        <v>0</v>
      </c>
      <c r="N271">
        <v>0</v>
      </c>
      <c r="O271">
        <v>0</v>
      </c>
      <c r="P271" s="8">
        <v>643978.15</v>
      </c>
    </row>
    <row r="272" spans="1:16">
      <c r="A272" s="1">
        <v>44774</v>
      </c>
      <c r="B272" t="s">
        <v>126</v>
      </c>
      <c r="C272" t="s">
        <v>14</v>
      </c>
      <c r="D272" t="s">
        <v>15</v>
      </c>
      <c r="E272" t="s">
        <v>33</v>
      </c>
      <c r="F272" t="s">
        <v>24</v>
      </c>
      <c r="G272" t="s">
        <v>73</v>
      </c>
      <c r="H272" t="s">
        <v>525</v>
      </c>
      <c r="I272">
        <v>7</v>
      </c>
      <c r="J272" t="s">
        <v>78</v>
      </c>
      <c r="K272" t="str">
        <f t="shared" si="4"/>
        <v>36105</v>
      </c>
      <c r="L272">
        <v>1169918.8700000001</v>
      </c>
      <c r="M272">
        <v>0</v>
      </c>
      <c r="N272">
        <v>0</v>
      </c>
      <c r="O272">
        <v>0</v>
      </c>
      <c r="P272" s="8">
        <v>1169918.8700000001</v>
      </c>
    </row>
    <row r="273" spans="1:16">
      <c r="A273" s="1">
        <v>44774</v>
      </c>
      <c r="B273" t="s">
        <v>126</v>
      </c>
      <c r="C273" t="s">
        <v>14</v>
      </c>
      <c r="D273" t="s">
        <v>15</v>
      </c>
      <c r="E273" t="s">
        <v>33</v>
      </c>
      <c r="F273" t="s">
        <v>24</v>
      </c>
      <c r="G273" t="s">
        <v>73</v>
      </c>
      <c r="H273" t="s">
        <v>525</v>
      </c>
      <c r="I273">
        <v>7</v>
      </c>
      <c r="J273" t="s">
        <v>79</v>
      </c>
      <c r="K273" t="str">
        <f t="shared" si="4"/>
        <v>36200</v>
      </c>
      <c r="L273">
        <v>51230780.439999998</v>
      </c>
      <c r="M273">
        <v>126780.82</v>
      </c>
      <c r="N273">
        <v>-34910.959999999999</v>
      </c>
      <c r="O273">
        <v>0</v>
      </c>
      <c r="P273" s="8">
        <v>51322650.299999997</v>
      </c>
    </row>
    <row r="274" spans="1:16">
      <c r="A274" s="1">
        <v>44774</v>
      </c>
      <c r="B274" t="s">
        <v>126</v>
      </c>
      <c r="C274" t="s">
        <v>14</v>
      </c>
      <c r="D274" t="s">
        <v>15</v>
      </c>
      <c r="E274" t="s">
        <v>33</v>
      </c>
      <c r="F274" t="s">
        <v>24</v>
      </c>
      <c r="G274" t="s">
        <v>73</v>
      </c>
      <c r="H274" t="s">
        <v>525</v>
      </c>
      <c r="I274">
        <v>7</v>
      </c>
      <c r="J274" t="s">
        <v>80</v>
      </c>
      <c r="K274" t="str">
        <f t="shared" si="4"/>
        <v>36400</v>
      </c>
      <c r="L274">
        <v>83154725.920000002</v>
      </c>
      <c r="M274">
        <v>10348.44</v>
      </c>
      <c r="N274">
        <v>-747.08</v>
      </c>
      <c r="O274">
        <v>0</v>
      </c>
      <c r="P274" s="8">
        <v>83164327.280000001</v>
      </c>
    </row>
    <row r="275" spans="1:16">
      <c r="A275" s="1">
        <v>44774</v>
      </c>
      <c r="B275" t="s">
        <v>126</v>
      </c>
      <c r="C275" t="s">
        <v>14</v>
      </c>
      <c r="D275" t="s">
        <v>15</v>
      </c>
      <c r="E275" t="s">
        <v>33</v>
      </c>
      <c r="F275" t="s">
        <v>24</v>
      </c>
      <c r="G275" t="s">
        <v>73</v>
      </c>
      <c r="H275" t="s">
        <v>525</v>
      </c>
      <c r="I275">
        <v>7</v>
      </c>
      <c r="J275" t="s">
        <v>81</v>
      </c>
      <c r="K275" t="str">
        <f t="shared" si="4"/>
        <v>36500</v>
      </c>
      <c r="L275">
        <v>54522125.420000002</v>
      </c>
      <c r="M275">
        <v>-29.45</v>
      </c>
      <c r="N275">
        <v>0</v>
      </c>
      <c r="O275">
        <v>0</v>
      </c>
      <c r="P275" s="8">
        <v>54522095.969999999</v>
      </c>
    </row>
    <row r="276" spans="1:16">
      <c r="A276" s="1">
        <v>44774</v>
      </c>
      <c r="B276" t="s">
        <v>126</v>
      </c>
      <c r="C276" t="s">
        <v>14</v>
      </c>
      <c r="D276" t="s">
        <v>15</v>
      </c>
      <c r="E276" t="s">
        <v>33</v>
      </c>
      <c r="F276" t="s">
        <v>24</v>
      </c>
      <c r="G276" t="s">
        <v>73</v>
      </c>
      <c r="H276" t="s">
        <v>525</v>
      </c>
      <c r="I276">
        <v>7</v>
      </c>
      <c r="J276" t="s">
        <v>82</v>
      </c>
      <c r="K276" t="str">
        <f t="shared" si="4"/>
        <v>36600</v>
      </c>
      <c r="L276">
        <v>15817491.689999999</v>
      </c>
      <c r="M276">
        <v>23233.77</v>
      </c>
      <c r="N276">
        <v>0</v>
      </c>
      <c r="O276">
        <v>0</v>
      </c>
      <c r="P276" s="8">
        <v>15840725.460000001</v>
      </c>
    </row>
    <row r="277" spans="1:16">
      <c r="A277" s="1">
        <v>44774</v>
      </c>
      <c r="B277" t="s">
        <v>126</v>
      </c>
      <c r="C277" t="s">
        <v>14</v>
      </c>
      <c r="D277" t="s">
        <v>15</v>
      </c>
      <c r="E277" t="s">
        <v>33</v>
      </c>
      <c r="F277" t="s">
        <v>24</v>
      </c>
      <c r="G277" t="s">
        <v>73</v>
      </c>
      <c r="H277" t="s">
        <v>525</v>
      </c>
      <c r="I277">
        <v>7</v>
      </c>
      <c r="J277" t="s">
        <v>83</v>
      </c>
      <c r="K277" t="str">
        <f t="shared" si="4"/>
        <v>36700</v>
      </c>
      <c r="L277">
        <v>29256405.719999999</v>
      </c>
      <c r="M277">
        <v>15157.73</v>
      </c>
      <c r="N277">
        <v>0</v>
      </c>
      <c r="O277">
        <v>0</v>
      </c>
      <c r="P277" s="8">
        <v>29271563.449999999</v>
      </c>
    </row>
    <row r="278" spans="1:16">
      <c r="A278" s="1">
        <v>44774</v>
      </c>
      <c r="B278" t="s">
        <v>126</v>
      </c>
      <c r="C278" t="s">
        <v>14</v>
      </c>
      <c r="D278" t="s">
        <v>15</v>
      </c>
      <c r="E278" t="s">
        <v>33</v>
      </c>
      <c r="F278" t="s">
        <v>24</v>
      </c>
      <c r="G278" t="s">
        <v>73</v>
      </c>
      <c r="H278" t="s">
        <v>525</v>
      </c>
      <c r="I278">
        <v>7</v>
      </c>
      <c r="J278" t="s">
        <v>84</v>
      </c>
      <c r="K278" t="str">
        <f t="shared" si="4"/>
        <v>36801</v>
      </c>
      <c r="L278">
        <v>10190959.32</v>
      </c>
      <c r="M278">
        <v>3105.9700000000003</v>
      </c>
      <c r="N278">
        <v>0</v>
      </c>
      <c r="O278">
        <v>0</v>
      </c>
      <c r="P278" s="8">
        <v>10194065.289999999</v>
      </c>
    </row>
    <row r="279" spans="1:16">
      <c r="A279" s="1">
        <v>44774</v>
      </c>
      <c r="B279" t="s">
        <v>126</v>
      </c>
      <c r="C279" t="s">
        <v>14</v>
      </c>
      <c r="D279" t="s">
        <v>15</v>
      </c>
      <c r="E279" t="s">
        <v>33</v>
      </c>
      <c r="F279" t="s">
        <v>24</v>
      </c>
      <c r="G279" t="s">
        <v>73</v>
      </c>
      <c r="H279" t="s">
        <v>525</v>
      </c>
      <c r="I279">
        <v>7</v>
      </c>
      <c r="J279" t="s">
        <v>85</v>
      </c>
      <c r="K279" t="str">
        <f t="shared" si="4"/>
        <v>36802</v>
      </c>
      <c r="L279">
        <v>31922254.32</v>
      </c>
      <c r="M279">
        <v>333873.02</v>
      </c>
      <c r="N279">
        <v>0.03</v>
      </c>
      <c r="O279">
        <v>0</v>
      </c>
      <c r="P279" s="8">
        <v>32256127.370000001</v>
      </c>
    </row>
    <row r="280" spans="1:16">
      <c r="A280" s="1">
        <v>44774</v>
      </c>
      <c r="B280" t="s">
        <v>126</v>
      </c>
      <c r="C280" t="s">
        <v>14</v>
      </c>
      <c r="D280" t="s">
        <v>15</v>
      </c>
      <c r="E280" t="s">
        <v>33</v>
      </c>
      <c r="F280" t="s">
        <v>24</v>
      </c>
      <c r="G280" t="s">
        <v>73</v>
      </c>
      <c r="H280" t="s">
        <v>525</v>
      </c>
      <c r="I280">
        <v>7</v>
      </c>
      <c r="J280" t="s">
        <v>86</v>
      </c>
      <c r="K280" t="str">
        <f t="shared" si="4"/>
        <v>36803</v>
      </c>
      <c r="L280">
        <v>26983733.109999999</v>
      </c>
      <c r="M280">
        <v>347002.72000000003</v>
      </c>
      <c r="N280">
        <v>-14.46</v>
      </c>
      <c r="O280">
        <v>0</v>
      </c>
      <c r="P280" s="8">
        <v>27330721.370000001</v>
      </c>
    </row>
    <row r="281" spans="1:16">
      <c r="A281" s="1">
        <v>44774</v>
      </c>
      <c r="B281" t="s">
        <v>126</v>
      </c>
      <c r="C281" t="s">
        <v>14</v>
      </c>
      <c r="D281" t="s">
        <v>15</v>
      </c>
      <c r="E281" t="s">
        <v>33</v>
      </c>
      <c r="F281" t="s">
        <v>24</v>
      </c>
      <c r="G281" t="s">
        <v>73</v>
      </c>
      <c r="H281" t="s">
        <v>525</v>
      </c>
      <c r="I281">
        <v>7</v>
      </c>
      <c r="J281" t="s">
        <v>87</v>
      </c>
      <c r="K281" t="str">
        <f t="shared" si="4"/>
        <v>36901</v>
      </c>
      <c r="L281">
        <v>10785960.49</v>
      </c>
      <c r="M281">
        <v>41.18</v>
      </c>
      <c r="N281">
        <v>0</v>
      </c>
      <c r="O281">
        <v>0</v>
      </c>
      <c r="P281" s="8">
        <v>10786001.67</v>
      </c>
    </row>
    <row r="282" spans="1:16">
      <c r="A282" s="1">
        <v>44774</v>
      </c>
      <c r="B282" t="s">
        <v>126</v>
      </c>
      <c r="C282" t="s">
        <v>14</v>
      </c>
      <c r="D282" t="s">
        <v>15</v>
      </c>
      <c r="E282" t="s">
        <v>33</v>
      </c>
      <c r="F282" t="s">
        <v>24</v>
      </c>
      <c r="G282" t="s">
        <v>73</v>
      </c>
      <c r="H282" t="s">
        <v>525</v>
      </c>
      <c r="I282">
        <v>7</v>
      </c>
      <c r="J282" t="s">
        <v>88</v>
      </c>
      <c r="K282" t="str">
        <f t="shared" si="4"/>
        <v>36902</v>
      </c>
      <c r="L282">
        <v>14167234.880000001</v>
      </c>
      <c r="M282">
        <v>9781.02</v>
      </c>
      <c r="N282">
        <v>0</v>
      </c>
      <c r="O282">
        <v>0</v>
      </c>
      <c r="P282" s="8">
        <v>14177015.9</v>
      </c>
    </row>
    <row r="283" spans="1:16">
      <c r="A283" s="1">
        <v>44774</v>
      </c>
      <c r="B283" t="s">
        <v>126</v>
      </c>
      <c r="C283" t="s">
        <v>14</v>
      </c>
      <c r="D283" t="s">
        <v>15</v>
      </c>
      <c r="E283" t="s">
        <v>33</v>
      </c>
      <c r="F283" t="s">
        <v>24</v>
      </c>
      <c r="G283" t="s">
        <v>73</v>
      </c>
      <c r="H283" t="s">
        <v>525</v>
      </c>
      <c r="I283">
        <v>7</v>
      </c>
      <c r="J283" t="s">
        <v>89</v>
      </c>
      <c r="K283" t="str">
        <f t="shared" si="4"/>
        <v>37001</v>
      </c>
      <c r="L283">
        <v>1743434.94</v>
      </c>
      <c r="M283">
        <v>0</v>
      </c>
      <c r="N283">
        <v>0</v>
      </c>
      <c r="O283">
        <v>0</v>
      </c>
      <c r="P283" s="8">
        <v>1743434.94</v>
      </c>
    </row>
    <row r="284" spans="1:16">
      <c r="A284" s="1">
        <v>44774</v>
      </c>
      <c r="B284" t="s">
        <v>126</v>
      </c>
      <c r="C284" t="s">
        <v>14</v>
      </c>
      <c r="D284" t="s">
        <v>15</v>
      </c>
      <c r="E284" t="s">
        <v>33</v>
      </c>
      <c r="F284" t="s">
        <v>24</v>
      </c>
      <c r="G284" t="s">
        <v>73</v>
      </c>
      <c r="H284" t="s">
        <v>525</v>
      </c>
      <c r="I284">
        <v>7</v>
      </c>
      <c r="J284" t="s">
        <v>90</v>
      </c>
      <c r="K284" t="str">
        <f t="shared" si="4"/>
        <v>37002</v>
      </c>
      <c r="L284">
        <v>0</v>
      </c>
      <c r="M284">
        <v>0</v>
      </c>
      <c r="N284">
        <v>0</v>
      </c>
      <c r="O284">
        <v>0</v>
      </c>
      <c r="P284" s="8">
        <v>0</v>
      </c>
    </row>
    <row r="285" spans="1:16">
      <c r="A285" s="1">
        <v>44774</v>
      </c>
      <c r="B285" t="s">
        <v>126</v>
      </c>
      <c r="C285" t="s">
        <v>14</v>
      </c>
      <c r="D285" t="s">
        <v>15</v>
      </c>
      <c r="E285" t="s">
        <v>33</v>
      </c>
      <c r="F285" t="s">
        <v>24</v>
      </c>
      <c r="G285" t="s">
        <v>73</v>
      </c>
      <c r="H285" t="s">
        <v>525</v>
      </c>
      <c r="I285">
        <v>7</v>
      </c>
      <c r="J285" t="s">
        <v>91</v>
      </c>
      <c r="K285" t="str">
        <f t="shared" si="4"/>
        <v>37004</v>
      </c>
      <c r="L285">
        <v>16853090.739999998</v>
      </c>
      <c r="M285">
        <v>0</v>
      </c>
      <c r="N285">
        <v>1318.15</v>
      </c>
      <c r="O285">
        <v>24792.31</v>
      </c>
      <c r="P285" s="8">
        <v>16879201.199999999</v>
      </c>
    </row>
    <row r="286" spans="1:16">
      <c r="A286" s="1">
        <v>44774</v>
      </c>
      <c r="B286" t="s">
        <v>126</v>
      </c>
      <c r="C286" t="s">
        <v>14</v>
      </c>
      <c r="D286" t="s">
        <v>15</v>
      </c>
      <c r="E286" t="s">
        <v>33</v>
      </c>
      <c r="F286" t="s">
        <v>24</v>
      </c>
      <c r="G286" t="s">
        <v>73</v>
      </c>
      <c r="H286" t="s">
        <v>525</v>
      </c>
      <c r="I286">
        <v>7</v>
      </c>
      <c r="J286" t="s">
        <v>92</v>
      </c>
      <c r="K286" t="str">
        <f t="shared" si="4"/>
        <v>37100</v>
      </c>
      <c r="L286">
        <v>2509740.04</v>
      </c>
      <c r="M286">
        <v>0</v>
      </c>
      <c r="N286">
        <v>0</v>
      </c>
      <c r="O286">
        <v>0</v>
      </c>
      <c r="P286" s="8">
        <v>2509740.04</v>
      </c>
    </row>
    <row r="287" spans="1:16">
      <c r="A287" s="1">
        <v>44774</v>
      </c>
      <c r="B287" t="s">
        <v>126</v>
      </c>
      <c r="C287" t="s">
        <v>14</v>
      </c>
      <c r="D287" t="s">
        <v>15</v>
      </c>
      <c r="E287" t="s">
        <v>33</v>
      </c>
      <c r="F287" t="s">
        <v>24</v>
      </c>
      <c r="G287" t="s">
        <v>73</v>
      </c>
      <c r="H287" t="s">
        <v>525</v>
      </c>
      <c r="I287">
        <v>7</v>
      </c>
      <c r="J287" t="s">
        <v>93</v>
      </c>
      <c r="K287" t="str">
        <f t="shared" si="4"/>
        <v>37300</v>
      </c>
      <c r="L287">
        <v>10372424.82</v>
      </c>
      <c r="M287">
        <v>0</v>
      </c>
      <c r="N287">
        <v>0</v>
      </c>
      <c r="O287">
        <v>0</v>
      </c>
      <c r="P287" s="8">
        <v>10372424.82</v>
      </c>
    </row>
    <row r="288" spans="1:16">
      <c r="A288" s="1">
        <v>44774</v>
      </c>
      <c r="B288" t="s">
        <v>126</v>
      </c>
      <c r="C288" t="s">
        <v>14</v>
      </c>
      <c r="D288" t="s">
        <v>15</v>
      </c>
      <c r="E288" t="s">
        <v>33</v>
      </c>
      <c r="F288" t="s">
        <v>119</v>
      </c>
      <c r="G288" t="s">
        <v>73</v>
      </c>
      <c r="H288" t="s">
        <v>525</v>
      </c>
      <c r="I288">
        <v>7</v>
      </c>
      <c r="J288" t="s">
        <v>74</v>
      </c>
      <c r="K288" t="str">
        <f t="shared" si="4"/>
        <v>36001</v>
      </c>
      <c r="L288">
        <v>0</v>
      </c>
      <c r="M288">
        <v>0</v>
      </c>
      <c r="N288">
        <v>0</v>
      </c>
      <c r="O288">
        <v>0</v>
      </c>
      <c r="P288" s="9">
        <v>0</v>
      </c>
    </row>
    <row r="289" spans="1:16">
      <c r="A289" s="1">
        <v>44774</v>
      </c>
      <c r="B289" t="s">
        <v>126</v>
      </c>
      <c r="C289" t="s">
        <v>14</v>
      </c>
      <c r="D289" t="s">
        <v>15</v>
      </c>
      <c r="E289" t="s">
        <v>33</v>
      </c>
      <c r="F289" t="s">
        <v>119</v>
      </c>
      <c r="G289" t="s">
        <v>73</v>
      </c>
      <c r="H289" t="s">
        <v>525</v>
      </c>
      <c r="I289">
        <v>7</v>
      </c>
      <c r="J289" t="s">
        <v>79</v>
      </c>
      <c r="K289" t="str">
        <f t="shared" si="4"/>
        <v>36200</v>
      </c>
      <c r="L289">
        <v>2753405.5</v>
      </c>
      <c r="M289">
        <v>0</v>
      </c>
      <c r="N289">
        <v>0</v>
      </c>
      <c r="O289">
        <v>0</v>
      </c>
      <c r="P289" s="9">
        <v>2753405.5</v>
      </c>
    </row>
    <row r="290" spans="1:16">
      <c r="A290" s="1">
        <v>44774</v>
      </c>
      <c r="B290" t="s">
        <v>126</v>
      </c>
      <c r="C290" t="s">
        <v>14</v>
      </c>
      <c r="D290" t="s">
        <v>15</v>
      </c>
      <c r="E290" t="s">
        <v>33</v>
      </c>
      <c r="F290" t="s">
        <v>17</v>
      </c>
      <c r="G290" t="s">
        <v>73</v>
      </c>
      <c r="H290" t="s">
        <v>525</v>
      </c>
      <c r="I290">
        <v>7</v>
      </c>
      <c r="J290" t="s">
        <v>74</v>
      </c>
      <c r="K290" t="str">
        <f t="shared" si="4"/>
        <v>36001</v>
      </c>
      <c r="L290">
        <v>57920.08</v>
      </c>
      <c r="M290">
        <v>0</v>
      </c>
      <c r="N290">
        <v>0</v>
      </c>
      <c r="O290">
        <v>0</v>
      </c>
      <c r="P290">
        <v>57920.08</v>
      </c>
    </row>
    <row r="291" spans="1:16">
      <c r="A291" s="1">
        <v>44774</v>
      </c>
      <c r="B291" t="s">
        <v>126</v>
      </c>
      <c r="C291" t="s">
        <v>14</v>
      </c>
      <c r="D291" t="s">
        <v>15</v>
      </c>
      <c r="E291" t="s">
        <v>33</v>
      </c>
      <c r="F291" t="s">
        <v>17</v>
      </c>
      <c r="G291" t="s">
        <v>73</v>
      </c>
      <c r="H291" t="s">
        <v>525</v>
      </c>
      <c r="I291">
        <v>7</v>
      </c>
      <c r="J291" t="s">
        <v>77</v>
      </c>
      <c r="K291" t="str">
        <f t="shared" si="4"/>
        <v>36100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>
      <c r="A292" s="1">
        <v>44774</v>
      </c>
      <c r="B292" t="s">
        <v>126</v>
      </c>
      <c r="C292" t="s">
        <v>14</v>
      </c>
      <c r="D292" t="s">
        <v>15</v>
      </c>
      <c r="E292" t="s">
        <v>33</v>
      </c>
      <c r="F292" t="s">
        <v>17</v>
      </c>
      <c r="G292" t="s">
        <v>73</v>
      </c>
      <c r="H292" t="s">
        <v>525</v>
      </c>
      <c r="I292">
        <v>7</v>
      </c>
      <c r="J292" t="s">
        <v>79</v>
      </c>
      <c r="K292" t="str">
        <f t="shared" si="4"/>
        <v>36200</v>
      </c>
      <c r="L292">
        <v>4536331.45</v>
      </c>
      <c r="M292">
        <v>-135275.65</v>
      </c>
      <c r="N292">
        <v>0</v>
      </c>
      <c r="O292">
        <v>0</v>
      </c>
      <c r="P292">
        <v>4401055.8</v>
      </c>
    </row>
    <row r="293" spans="1:16">
      <c r="A293" s="1">
        <v>44774</v>
      </c>
      <c r="B293" t="s">
        <v>126</v>
      </c>
      <c r="C293" t="s">
        <v>14</v>
      </c>
      <c r="D293" t="s">
        <v>15</v>
      </c>
      <c r="E293" t="s">
        <v>33</v>
      </c>
      <c r="F293" t="s">
        <v>17</v>
      </c>
      <c r="G293" t="s">
        <v>73</v>
      </c>
      <c r="H293" t="s">
        <v>525</v>
      </c>
      <c r="I293">
        <v>7</v>
      </c>
      <c r="J293" t="s">
        <v>80</v>
      </c>
      <c r="K293" t="str">
        <f t="shared" si="4"/>
        <v>36400</v>
      </c>
      <c r="L293">
        <v>17637153.460000001</v>
      </c>
      <c r="M293">
        <v>27728.29</v>
      </c>
      <c r="N293">
        <v>0</v>
      </c>
      <c r="O293">
        <v>0</v>
      </c>
      <c r="P293">
        <v>17664881.75</v>
      </c>
    </row>
    <row r="294" spans="1:16">
      <c r="A294" s="1">
        <v>44774</v>
      </c>
      <c r="B294" t="s">
        <v>126</v>
      </c>
      <c r="C294" t="s">
        <v>14</v>
      </c>
      <c r="D294" t="s">
        <v>15</v>
      </c>
      <c r="E294" t="s">
        <v>33</v>
      </c>
      <c r="F294" t="s">
        <v>17</v>
      </c>
      <c r="G294" t="s">
        <v>73</v>
      </c>
      <c r="H294" t="s">
        <v>525</v>
      </c>
      <c r="I294">
        <v>7</v>
      </c>
      <c r="J294" t="s">
        <v>81</v>
      </c>
      <c r="K294" t="str">
        <f t="shared" si="4"/>
        <v>36500</v>
      </c>
      <c r="L294">
        <v>3889715.88</v>
      </c>
      <c r="M294">
        <v>-83026.13</v>
      </c>
      <c r="N294">
        <v>0</v>
      </c>
      <c r="O294">
        <v>0</v>
      </c>
      <c r="P294">
        <v>3806689.75</v>
      </c>
    </row>
    <row r="295" spans="1:16">
      <c r="A295" s="1">
        <v>44774</v>
      </c>
      <c r="B295" t="s">
        <v>126</v>
      </c>
      <c r="C295" t="s">
        <v>14</v>
      </c>
      <c r="D295" t="s">
        <v>15</v>
      </c>
      <c r="E295" t="s">
        <v>33</v>
      </c>
      <c r="F295" t="s">
        <v>17</v>
      </c>
      <c r="G295" t="s">
        <v>73</v>
      </c>
      <c r="H295" t="s">
        <v>525</v>
      </c>
      <c r="I295">
        <v>7</v>
      </c>
      <c r="J295" t="s">
        <v>82</v>
      </c>
      <c r="K295" t="str">
        <f t="shared" si="4"/>
        <v>36600</v>
      </c>
      <c r="L295">
        <v>1143193.57</v>
      </c>
      <c r="M295">
        <v>86319.56</v>
      </c>
      <c r="N295">
        <v>0</v>
      </c>
      <c r="O295">
        <v>0</v>
      </c>
      <c r="P295">
        <v>1229513.1299999999</v>
      </c>
    </row>
    <row r="296" spans="1:16">
      <c r="A296" s="1">
        <v>44774</v>
      </c>
      <c r="B296" t="s">
        <v>126</v>
      </c>
      <c r="C296" t="s">
        <v>14</v>
      </c>
      <c r="D296" t="s">
        <v>15</v>
      </c>
      <c r="E296" t="s">
        <v>33</v>
      </c>
      <c r="F296" t="s">
        <v>17</v>
      </c>
      <c r="G296" t="s">
        <v>73</v>
      </c>
      <c r="H296" t="s">
        <v>525</v>
      </c>
      <c r="I296">
        <v>7</v>
      </c>
      <c r="J296" t="s">
        <v>83</v>
      </c>
      <c r="K296" t="str">
        <f t="shared" si="4"/>
        <v>36700</v>
      </c>
      <c r="L296">
        <v>4990277.8600000003</v>
      </c>
      <c r="M296">
        <v>205574.44</v>
      </c>
      <c r="N296">
        <v>0</v>
      </c>
      <c r="O296">
        <v>0</v>
      </c>
      <c r="P296">
        <v>5195852.3</v>
      </c>
    </row>
    <row r="297" spans="1:16">
      <c r="A297" s="1">
        <v>44774</v>
      </c>
      <c r="B297" t="s">
        <v>126</v>
      </c>
      <c r="C297" t="s">
        <v>14</v>
      </c>
      <c r="D297" t="s">
        <v>15</v>
      </c>
      <c r="E297" t="s">
        <v>33</v>
      </c>
      <c r="F297" t="s">
        <v>17</v>
      </c>
      <c r="G297" t="s">
        <v>73</v>
      </c>
      <c r="H297" t="s">
        <v>525</v>
      </c>
      <c r="I297">
        <v>7</v>
      </c>
      <c r="J297" t="s">
        <v>84</v>
      </c>
      <c r="K297" t="str">
        <f t="shared" si="4"/>
        <v>36801</v>
      </c>
      <c r="L297">
        <v>381877.3</v>
      </c>
      <c r="M297">
        <v>-56391.880000000005</v>
      </c>
      <c r="N297">
        <v>0</v>
      </c>
      <c r="O297">
        <v>0</v>
      </c>
      <c r="P297">
        <v>325485.42</v>
      </c>
    </row>
    <row r="298" spans="1:16">
      <c r="A298" s="1">
        <v>44774</v>
      </c>
      <c r="B298" t="s">
        <v>126</v>
      </c>
      <c r="C298" t="s">
        <v>14</v>
      </c>
      <c r="D298" t="s">
        <v>15</v>
      </c>
      <c r="E298" t="s">
        <v>33</v>
      </c>
      <c r="F298" t="s">
        <v>17</v>
      </c>
      <c r="G298" t="s">
        <v>73</v>
      </c>
      <c r="H298" t="s">
        <v>525</v>
      </c>
      <c r="I298">
        <v>7</v>
      </c>
      <c r="J298" t="s">
        <v>85</v>
      </c>
      <c r="K298" t="str">
        <f t="shared" si="4"/>
        <v>36802</v>
      </c>
      <c r="L298">
        <v>757551.67</v>
      </c>
      <c r="M298">
        <v>42580.63</v>
      </c>
      <c r="N298">
        <v>0</v>
      </c>
      <c r="O298">
        <v>0</v>
      </c>
      <c r="P298">
        <v>800132.3</v>
      </c>
    </row>
    <row r="299" spans="1:16">
      <c r="A299" s="1">
        <v>44774</v>
      </c>
      <c r="B299" t="s">
        <v>126</v>
      </c>
      <c r="C299" t="s">
        <v>14</v>
      </c>
      <c r="D299" t="s">
        <v>15</v>
      </c>
      <c r="E299" t="s">
        <v>33</v>
      </c>
      <c r="F299" t="s">
        <v>17</v>
      </c>
      <c r="G299" t="s">
        <v>73</v>
      </c>
      <c r="H299" t="s">
        <v>525</v>
      </c>
      <c r="I299">
        <v>7</v>
      </c>
      <c r="J299" t="s">
        <v>86</v>
      </c>
      <c r="K299" t="str">
        <f t="shared" si="4"/>
        <v>36803</v>
      </c>
      <c r="L299">
        <v>398630.45</v>
      </c>
      <c r="M299">
        <v>-95678.86</v>
      </c>
      <c r="N299">
        <v>0</v>
      </c>
      <c r="O299">
        <v>0</v>
      </c>
      <c r="P299">
        <v>302951.59000000003</v>
      </c>
    </row>
    <row r="300" spans="1:16">
      <c r="A300" s="1">
        <v>44774</v>
      </c>
      <c r="B300" t="s">
        <v>126</v>
      </c>
      <c r="C300" t="s">
        <v>14</v>
      </c>
      <c r="D300" t="s">
        <v>15</v>
      </c>
      <c r="E300" t="s">
        <v>33</v>
      </c>
      <c r="F300" t="s">
        <v>17</v>
      </c>
      <c r="G300" t="s">
        <v>73</v>
      </c>
      <c r="H300" t="s">
        <v>525</v>
      </c>
      <c r="I300">
        <v>7</v>
      </c>
      <c r="J300" t="s">
        <v>87</v>
      </c>
      <c r="K300" t="str">
        <f t="shared" si="4"/>
        <v>36901</v>
      </c>
      <c r="L300">
        <v>449125.78</v>
      </c>
      <c r="M300">
        <v>41153.65</v>
      </c>
      <c r="N300">
        <v>0</v>
      </c>
      <c r="O300">
        <v>0</v>
      </c>
      <c r="P300">
        <v>490279.43</v>
      </c>
    </row>
    <row r="301" spans="1:16">
      <c r="A301" s="1">
        <v>44774</v>
      </c>
      <c r="B301" t="s">
        <v>126</v>
      </c>
      <c r="C301" t="s">
        <v>14</v>
      </c>
      <c r="D301" t="s">
        <v>15</v>
      </c>
      <c r="E301" t="s">
        <v>33</v>
      </c>
      <c r="F301" t="s">
        <v>17</v>
      </c>
      <c r="G301" t="s">
        <v>73</v>
      </c>
      <c r="H301" t="s">
        <v>525</v>
      </c>
      <c r="I301">
        <v>7</v>
      </c>
      <c r="J301" t="s">
        <v>88</v>
      </c>
      <c r="K301" t="str">
        <f t="shared" si="4"/>
        <v>36902</v>
      </c>
      <c r="L301">
        <v>352399.33</v>
      </c>
      <c r="M301">
        <v>94876.56</v>
      </c>
      <c r="N301">
        <v>0</v>
      </c>
      <c r="O301">
        <v>0</v>
      </c>
      <c r="P301">
        <v>447275.89</v>
      </c>
    </row>
    <row r="302" spans="1:16">
      <c r="A302" s="1">
        <v>44774</v>
      </c>
      <c r="B302" t="s">
        <v>126</v>
      </c>
      <c r="C302" t="s">
        <v>14</v>
      </c>
      <c r="D302" t="s">
        <v>15</v>
      </c>
      <c r="E302" t="s">
        <v>33</v>
      </c>
      <c r="F302" t="s">
        <v>17</v>
      </c>
      <c r="G302" t="s">
        <v>73</v>
      </c>
      <c r="H302" t="s">
        <v>525</v>
      </c>
      <c r="I302">
        <v>7</v>
      </c>
      <c r="J302" t="s">
        <v>89</v>
      </c>
      <c r="K302" t="str">
        <f t="shared" si="4"/>
        <v>37001</v>
      </c>
      <c r="L302">
        <v>7984.84</v>
      </c>
      <c r="M302">
        <v>2787.26</v>
      </c>
      <c r="N302">
        <v>0</v>
      </c>
      <c r="O302">
        <v>0</v>
      </c>
      <c r="P302">
        <v>10772.1</v>
      </c>
    </row>
    <row r="303" spans="1:16">
      <c r="A303" s="1">
        <v>44774</v>
      </c>
      <c r="B303" t="s">
        <v>126</v>
      </c>
      <c r="C303" t="s">
        <v>14</v>
      </c>
      <c r="D303" t="s">
        <v>15</v>
      </c>
      <c r="E303" t="s">
        <v>33</v>
      </c>
      <c r="F303" t="s">
        <v>17</v>
      </c>
      <c r="G303" t="s">
        <v>73</v>
      </c>
      <c r="H303" t="s">
        <v>525</v>
      </c>
      <c r="I303">
        <v>7</v>
      </c>
      <c r="J303" t="s">
        <v>91</v>
      </c>
      <c r="K303" t="str">
        <f t="shared" si="4"/>
        <v>37004</v>
      </c>
      <c r="L303">
        <v>2682.87</v>
      </c>
      <c r="M303">
        <v>2787.15</v>
      </c>
      <c r="N303">
        <v>0</v>
      </c>
      <c r="O303">
        <v>0</v>
      </c>
      <c r="P303">
        <v>5470.02</v>
      </c>
    </row>
    <row r="304" spans="1:16">
      <c r="A304" s="1">
        <v>44774</v>
      </c>
      <c r="B304" t="s">
        <v>126</v>
      </c>
      <c r="C304" t="s">
        <v>14</v>
      </c>
      <c r="D304" t="s">
        <v>15</v>
      </c>
      <c r="E304" t="s">
        <v>33</v>
      </c>
      <c r="F304" t="s">
        <v>17</v>
      </c>
      <c r="G304" t="s">
        <v>73</v>
      </c>
      <c r="H304" t="s">
        <v>525</v>
      </c>
      <c r="I304">
        <v>7</v>
      </c>
      <c r="J304" t="s">
        <v>92</v>
      </c>
      <c r="K304" t="str">
        <f t="shared" si="4"/>
        <v>37100</v>
      </c>
      <c r="L304">
        <v>149931.58000000002</v>
      </c>
      <c r="M304">
        <v>32267.83</v>
      </c>
      <c r="N304">
        <v>0</v>
      </c>
      <c r="O304">
        <v>0</v>
      </c>
      <c r="P304">
        <v>182199.41</v>
      </c>
    </row>
    <row r="305" spans="1:16">
      <c r="A305" s="1">
        <v>44774</v>
      </c>
      <c r="B305" t="s">
        <v>126</v>
      </c>
      <c r="C305" t="s">
        <v>14</v>
      </c>
      <c r="D305" t="s">
        <v>15</v>
      </c>
      <c r="E305" t="s">
        <v>33</v>
      </c>
      <c r="F305" t="s">
        <v>17</v>
      </c>
      <c r="G305" t="s">
        <v>73</v>
      </c>
      <c r="H305" t="s">
        <v>525</v>
      </c>
      <c r="I305">
        <v>7</v>
      </c>
      <c r="J305" t="s">
        <v>93</v>
      </c>
      <c r="K305" t="str">
        <f t="shared" si="4"/>
        <v>37300</v>
      </c>
      <c r="L305">
        <v>943255.11</v>
      </c>
      <c r="M305">
        <v>42095.090000000004</v>
      </c>
      <c r="N305">
        <v>0</v>
      </c>
      <c r="O305">
        <v>0</v>
      </c>
      <c r="P305">
        <v>985350.20000000007</v>
      </c>
    </row>
    <row r="306" spans="1:16">
      <c r="A306" s="1">
        <v>44805</v>
      </c>
      <c r="B306" t="s">
        <v>125</v>
      </c>
      <c r="C306" t="s">
        <v>14</v>
      </c>
      <c r="D306" t="s">
        <v>15</v>
      </c>
      <c r="E306" t="s">
        <v>33</v>
      </c>
      <c r="F306" t="s">
        <v>24</v>
      </c>
      <c r="G306" t="s">
        <v>73</v>
      </c>
      <c r="H306" t="s">
        <v>525</v>
      </c>
      <c r="I306">
        <v>7</v>
      </c>
      <c r="J306" t="s">
        <v>74</v>
      </c>
      <c r="K306" t="str">
        <f t="shared" si="4"/>
        <v>36001</v>
      </c>
      <c r="L306">
        <v>658853.93000000005</v>
      </c>
      <c r="M306">
        <v>0</v>
      </c>
      <c r="N306">
        <v>0</v>
      </c>
      <c r="O306">
        <v>0</v>
      </c>
      <c r="P306" s="8">
        <v>658853.93000000005</v>
      </c>
    </row>
    <row r="307" spans="1:16">
      <c r="A307" s="1">
        <v>44805</v>
      </c>
      <c r="B307" t="s">
        <v>125</v>
      </c>
      <c r="C307" t="s">
        <v>14</v>
      </c>
      <c r="D307" t="s">
        <v>15</v>
      </c>
      <c r="E307" t="s">
        <v>33</v>
      </c>
      <c r="F307" t="s">
        <v>24</v>
      </c>
      <c r="G307" t="s">
        <v>73</v>
      </c>
      <c r="H307" t="s">
        <v>525</v>
      </c>
      <c r="I307">
        <v>7</v>
      </c>
      <c r="J307" t="s">
        <v>75</v>
      </c>
      <c r="K307" t="str">
        <f t="shared" si="4"/>
        <v>36002</v>
      </c>
      <c r="L307">
        <v>184620.19</v>
      </c>
      <c r="M307">
        <v>0</v>
      </c>
      <c r="N307">
        <v>0</v>
      </c>
      <c r="O307">
        <v>0</v>
      </c>
      <c r="P307" s="8">
        <v>184620.19</v>
      </c>
    </row>
    <row r="308" spans="1:16">
      <c r="A308" s="1">
        <v>44805</v>
      </c>
      <c r="B308" t="s">
        <v>125</v>
      </c>
      <c r="C308" t="s">
        <v>14</v>
      </c>
      <c r="D308" t="s">
        <v>15</v>
      </c>
      <c r="E308" t="s">
        <v>33</v>
      </c>
      <c r="F308" t="s">
        <v>24</v>
      </c>
      <c r="G308" t="s">
        <v>73</v>
      </c>
      <c r="H308" t="s">
        <v>525</v>
      </c>
      <c r="I308">
        <v>7</v>
      </c>
      <c r="J308" t="s">
        <v>76</v>
      </c>
      <c r="K308" t="str">
        <f t="shared" si="4"/>
        <v>36003</v>
      </c>
      <c r="L308">
        <v>0</v>
      </c>
      <c r="M308">
        <v>0</v>
      </c>
      <c r="N308">
        <v>0</v>
      </c>
      <c r="O308">
        <v>0</v>
      </c>
      <c r="P308" s="8">
        <v>0</v>
      </c>
    </row>
    <row r="309" spans="1:16">
      <c r="A309" s="1">
        <v>44805</v>
      </c>
      <c r="B309" t="s">
        <v>125</v>
      </c>
      <c r="C309" t="s">
        <v>14</v>
      </c>
      <c r="D309" t="s">
        <v>15</v>
      </c>
      <c r="E309" t="s">
        <v>33</v>
      </c>
      <c r="F309" t="s">
        <v>24</v>
      </c>
      <c r="G309" t="s">
        <v>73</v>
      </c>
      <c r="H309" t="s">
        <v>525</v>
      </c>
      <c r="I309">
        <v>7</v>
      </c>
      <c r="J309" t="s">
        <v>77</v>
      </c>
      <c r="K309" t="str">
        <f t="shared" si="4"/>
        <v>36100</v>
      </c>
      <c r="L309">
        <v>643978.15</v>
      </c>
      <c r="M309">
        <v>0</v>
      </c>
      <c r="N309">
        <v>0</v>
      </c>
      <c r="O309">
        <v>0</v>
      </c>
      <c r="P309" s="8">
        <v>643978.15</v>
      </c>
    </row>
    <row r="310" spans="1:16">
      <c r="A310" s="1">
        <v>44805</v>
      </c>
      <c r="B310" t="s">
        <v>125</v>
      </c>
      <c r="C310" t="s">
        <v>14</v>
      </c>
      <c r="D310" t="s">
        <v>15</v>
      </c>
      <c r="E310" t="s">
        <v>33</v>
      </c>
      <c r="F310" t="s">
        <v>24</v>
      </c>
      <c r="G310" t="s">
        <v>73</v>
      </c>
      <c r="H310" t="s">
        <v>525</v>
      </c>
      <c r="I310">
        <v>7</v>
      </c>
      <c r="J310" t="s">
        <v>78</v>
      </c>
      <c r="K310" t="str">
        <f t="shared" si="4"/>
        <v>36105</v>
      </c>
      <c r="L310">
        <v>1169918.8700000001</v>
      </c>
      <c r="M310">
        <v>0</v>
      </c>
      <c r="N310">
        <v>0</v>
      </c>
      <c r="O310">
        <v>0</v>
      </c>
      <c r="P310" s="8">
        <v>1169918.8700000001</v>
      </c>
    </row>
    <row r="311" spans="1:16">
      <c r="A311" s="1">
        <v>44805</v>
      </c>
      <c r="B311" t="s">
        <v>125</v>
      </c>
      <c r="C311" t="s">
        <v>14</v>
      </c>
      <c r="D311" t="s">
        <v>15</v>
      </c>
      <c r="E311" t="s">
        <v>33</v>
      </c>
      <c r="F311" t="s">
        <v>24</v>
      </c>
      <c r="G311" t="s">
        <v>73</v>
      </c>
      <c r="H311" t="s">
        <v>525</v>
      </c>
      <c r="I311">
        <v>7</v>
      </c>
      <c r="J311" t="s">
        <v>79</v>
      </c>
      <c r="K311" t="str">
        <f t="shared" si="4"/>
        <v>36200</v>
      </c>
      <c r="L311">
        <v>51322650.299999997</v>
      </c>
      <c r="M311">
        <v>0</v>
      </c>
      <c r="N311">
        <v>0</v>
      </c>
      <c r="O311">
        <v>0</v>
      </c>
      <c r="P311" s="8">
        <v>51322650.299999997</v>
      </c>
    </row>
    <row r="312" spans="1:16">
      <c r="A312" s="1">
        <v>44805</v>
      </c>
      <c r="B312" t="s">
        <v>125</v>
      </c>
      <c r="C312" t="s">
        <v>14</v>
      </c>
      <c r="D312" t="s">
        <v>15</v>
      </c>
      <c r="E312" t="s">
        <v>33</v>
      </c>
      <c r="F312" t="s">
        <v>24</v>
      </c>
      <c r="G312" t="s">
        <v>73</v>
      </c>
      <c r="H312" t="s">
        <v>525</v>
      </c>
      <c r="I312">
        <v>7</v>
      </c>
      <c r="J312" t="s">
        <v>80</v>
      </c>
      <c r="K312" t="str">
        <f t="shared" si="4"/>
        <v>36400</v>
      </c>
      <c r="L312">
        <v>83164327.280000001</v>
      </c>
      <c r="M312">
        <v>299700.43</v>
      </c>
      <c r="N312">
        <v>-24064.59</v>
      </c>
      <c r="O312">
        <v>0</v>
      </c>
      <c r="P312" s="8">
        <v>83439963.120000005</v>
      </c>
    </row>
    <row r="313" spans="1:16">
      <c r="A313" s="1">
        <v>44805</v>
      </c>
      <c r="B313" t="s">
        <v>125</v>
      </c>
      <c r="C313" t="s">
        <v>14</v>
      </c>
      <c r="D313" t="s">
        <v>15</v>
      </c>
      <c r="E313" t="s">
        <v>33</v>
      </c>
      <c r="F313" t="s">
        <v>24</v>
      </c>
      <c r="G313" t="s">
        <v>73</v>
      </c>
      <c r="H313" t="s">
        <v>525</v>
      </c>
      <c r="I313">
        <v>7</v>
      </c>
      <c r="J313" t="s">
        <v>81</v>
      </c>
      <c r="K313" t="str">
        <f t="shared" si="4"/>
        <v>36500</v>
      </c>
      <c r="L313">
        <v>54522095.969999999</v>
      </c>
      <c r="M313">
        <v>47477.65</v>
      </c>
      <c r="N313">
        <v>-1192.92</v>
      </c>
      <c r="O313">
        <v>-39206.6</v>
      </c>
      <c r="P313" s="8">
        <v>54529174.100000001</v>
      </c>
    </row>
    <row r="314" spans="1:16">
      <c r="A314" s="1">
        <v>44805</v>
      </c>
      <c r="B314" t="s">
        <v>125</v>
      </c>
      <c r="C314" t="s">
        <v>14</v>
      </c>
      <c r="D314" t="s">
        <v>15</v>
      </c>
      <c r="E314" t="s">
        <v>33</v>
      </c>
      <c r="F314" t="s">
        <v>24</v>
      </c>
      <c r="G314" t="s">
        <v>73</v>
      </c>
      <c r="H314" t="s">
        <v>525</v>
      </c>
      <c r="I314">
        <v>7</v>
      </c>
      <c r="J314" t="s">
        <v>82</v>
      </c>
      <c r="K314" t="str">
        <f t="shared" si="4"/>
        <v>36600</v>
      </c>
      <c r="L314">
        <v>15840725.460000001</v>
      </c>
      <c r="M314">
        <v>76007.5</v>
      </c>
      <c r="N314">
        <v>-413.31</v>
      </c>
      <c r="O314">
        <v>0</v>
      </c>
      <c r="P314" s="8">
        <v>15916319.65</v>
      </c>
    </row>
    <row r="315" spans="1:16">
      <c r="A315" s="1">
        <v>44805</v>
      </c>
      <c r="B315" t="s">
        <v>125</v>
      </c>
      <c r="C315" t="s">
        <v>14</v>
      </c>
      <c r="D315" t="s">
        <v>15</v>
      </c>
      <c r="E315" t="s">
        <v>33</v>
      </c>
      <c r="F315" t="s">
        <v>24</v>
      </c>
      <c r="G315" t="s">
        <v>73</v>
      </c>
      <c r="H315" t="s">
        <v>525</v>
      </c>
      <c r="I315">
        <v>7</v>
      </c>
      <c r="J315" t="s">
        <v>83</v>
      </c>
      <c r="K315" t="str">
        <f t="shared" si="4"/>
        <v>36700</v>
      </c>
      <c r="L315">
        <v>29271563.449999999</v>
      </c>
      <c r="M315">
        <v>211027.09</v>
      </c>
      <c r="N315">
        <v>-5556.22</v>
      </c>
      <c r="O315">
        <v>0</v>
      </c>
      <c r="P315" s="8">
        <v>29477034.32</v>
      </c>
    </row>
    <row r="316" spans="1:16">
      <c r="A316" s="1">
        <v>44805</v>
      </c>
      <c r="B316" t="s">
        <v>125</v>
      </c>
      <c r="C316" t="s">
        <v>14</v>
      </c>
      <c r="D316" t="s">
        <v>15</v>
      </c>
      <c r="E316" t="s">
        <v>33</v>
      </c>
      <c r="F316" t="s">
        <v>24</v>
      </c>
      <c r="G316" t="s">
        <v>73</v>
      </c>
      <c r="H316" t="s">
        <v>525</v>
      </c>
      <c r="I316">
        <v>7</v>
      </c>
      <c r="J316" t="s">
        <v>84</v>
      </c>
      <c r="K316" t="str">
        <f t="shared" si="4"/>
        <v>36801</v>
      </c>
      <c r="L316">
        <v>10194065.289999999</v>
      </c>
      <c r="M316">
        <v>50251.26</v>
      </c>
      <c r="N316">
        <v>-5044.8900000000003</v>
      </c>
      <c r="O316">
        <v>0</v>
      </c>
      <c r="P316" s="8">
        <v>10239271.66</v>
      </c>
    </row>
    <row r="317" spans="1:16">
      <c r="A317" s="1">
        <v>44805</v>
      </c>
      <c r="B317" t="s">
        <v>125</v>
      </c>
      <c r="C317" t="s">
        <v>14</v>
      </c>
      <c r="D317" t="s">
        <v>15</v>
      </c>
      <c r="E317" t="s">
        <v>33</v>
      </c>
      <c r="F317" t="s">
        <v>24</v>
      </c>
      <c r="G317" t="s">
        <v>73</v>
      </c>
      <c r="H317" t="s">
        <v>525</v>
      </c>
      <c r="I317">
        <v>7</v>
      </c>
      <c r="J317" t="s">
        <v>85</v>
      </c>
      <c r="K317" t="str">
        <f t="shared" si="4"/>
        <v>36802</v>
      </c>
      <c r="L317">
        <v>32256127.370000001</v>
      </c>
      <c r="M317">
        <v>42804.99</v>
      </c>
      <c r="N317">
        <v>5824.08</v>
      </c>
      <c r="O317">
        <v>-8300.58</v>
      </c>
      <c r="P317" s="8">
        <v>32296455.859999999</v>
      </c>
    </row>
    <row r="318" spans="1:16">
      <c r="A318" s="1">
        <v>44805</v>
      </c>
      <c r="B318" t="s">
        <v>125</v>
      </c>
      <c r="C318" t="s">
        <v>14</v>
      </c>
      <c r="D318" t="s">
        <v>15</v>
      </c>
      <c r="E318" t="s">
        <v>33</v>
      </c>
      <c r="F318" t="s">
        <v>24</v>
      </c>
      <c r="G318" t="s">
        <v>73</v>
      </c>
      <c r="H318" t="s">
        <v>525</v>
      </c>
      <c r="I318">
        <v>7</v>
      </c>
      <c r="J318" t="s">
        <v>86</v>
      </c>
      <c r="K318" t="str">
        <f t="shared" si="4"/>
        <v>36803</v>
      </c>
      <c r="L318">
        <v>27330721.370000001</v>
      </c>
      <c r="M318">
        <v>269141.67</v>
      </c>
      <c r="N318">
        <v>-43.410000000000004</v>
      </c>
      <c r="O318">
        <v>0</v>
      </c>
      <c r="P318" s="8">
        <v>27599819.629999999</v>
      </c>
    </row>
    <row r="319" spans="1:16">
      <c r="A319" s="1">
        <v>44805</v>
      </c>
      <c r="B319" t="s">
        <v>125</v>
      </c>
      <c r="C319" t="s">
        <v>14</v>
      </c>
      <c r="D319" t="s">
        <v>15</v>
      </c>
      <c r="E319" t="s">
        <v>33</v>
      </c>
      <c r="F319" t="s">
        <v>24</v>
      </c>
      <c r="G319" t="s">
        <v>73</v>
      </c>
      <c r="H319" t="s">
        <v>525</v>
      </c>
      <c r="I319">
        <v>7</v>
      </c>
      <c r="J319" t="s">
        <v>87</v>
      </c>
      <c r="K319" t="str">
        <f t="shared" si="4"/>
        <v>36901</v>
      </c>
      <c r="L319">
        <v>10786001.67</v>
      </c>
      <c r="M319">
        <v>669.44</v>
      </c>
      <c r="N319">
        <v>-32.619999999999997</v>
      </c>
      <c r="O319">
        <v>-36312.94</v>
      </c>
      <c r="P319" s="8">
        <v>10750325.550000001</v>
      </c>
    </row>
    <row r="320" spans="1:16">
      <c r="A320" s="1">
        <v>44805</v>
      </c>
      <c r="B320" t="s">
        <v>125</v>
      </c>
      <c r="C320" t="s">
        <v>14</v>
      </c>
      <c r="D320" t="s">
        <v>15</v>
      </c>
      <c r="E320" t="s">
        <v>33</v>
      </c>
      <c r="F320" t="s">
        <v>24</v>
      </c>
      <c r="G320" t="s">
        <v>73</v>
      </c>
      <c r="H320" t="s">
        <v>525</v>
      </c>
      <c r="I320">
        <v>7</v>
      </c>
      <c r="J320" t="s">
        <v>88</v>
      </c>
      <c r="K320" t="str">
        <f t="shared" si="4"/>
        <v>36902</v>
      </c>
      <c r="L320">
        <v>14177015.9</v>
      </c>
      <c r="M320">
        <v>15532.67</v>
      </c>
      <c r="N320">
        <v>0</v>
      </c>
      <c r="O320">
        <v>0</v>
      </c>
      <c r="P320" s="8">
        <v>14192548.57</v>
      </c>
    </row>
    <row r="321" spans="1:16">
      <c r="A321" s="1">
        <v>44805</v>
      </c>
      <c r="B321" t="s">
        <v>125</v>
      </c>
      <c r="C321" t="s">
        <v>14</v>
      </c>
      <c r="D321" t="s">
        <v>15</v>
      </c>
      <c r="E321" t="s">
        <v>33</v>
      </c>
      <c r="F321" t="s">
        <v>24</v>
      </c>
      <c r="G321" t="s">
        <v>73</v>
      </c>
      <c r="H321" t="s">
        <v>525</v>
      </c>
      <c r="I321">
        <v>7</v>
      </c>
      <c r="J321" t="s">
        <v>89</v>
      </c>
      <c r="K321" t="str">
        <f t="shared" si="4"/>
        <v>37001</v>
      </c>
      <c r="L321">
        <v>1743434.94</v>
      </c>
      <c r="M321">
        <v>0</v>
      </c>
      <c r="N321">
        <v>0</v>
      </c>
      <c r="O321">
        <v>0</v>
      </c>
      <c r="P321" s="8">
        <v>1743434.94</v>
      </c>
    </row>
    <row r="322" spans="1:16">
      <c r="A322" s="1">
        <v>44805</v>
      </c>
      <c r="B322" t="s">
        <v>125</v>
      </c>
      <c r="C322" t="s">
        <v>14</v>
      </c>
      <c r="D322" t="s">
        <v>15</v>
      </c>
      <c r="E322" t="s">
        <v>33</v>
      </c>
      <c r="F322" t="s">
        <v>24</v>
      </c>
      <c r="G322" t="s">
        <v>73</v>
      </c>
      <c r="H322" t="s">
        <v>525</v>
      </c>
      <c r="I322">
        <v>7</v>
      </c>
      <c r="J322" t="s">
        <v>90</v>
      </c>
      <c r="K322" t="str">
        <f t="shared" ref="K322:K385" si="5">MID(J322,2,5)</f>
        <v>37002</v>
      </c>
      <c r="L322">
        <v>0</v>
      </c>
      <c r="M322">
        <v>0</v>
      </c>
      <c r="N322">
        <v>0</v>
      </c>
      <c r="O322">
        <v>0</v>
      </c>
      <c r="P322" s="8">
        <v>0</v>
      </c>
    </row>
    <row r="323" spans="1:16">
      <c r="A323" s="1">
        <v>44805</v>
      </c>
      <c r="B323" t="s">
        <v>125</v>
      </c>
      <c r="C323" t="s">
        <v>14</v>
      </c>
      <c r="D323" t="s">
        <v>15</v>
      </c>
      <c r="E323" t="s">
        <v>33</v>
      </c>
      <c r="F323" t="s">
        <v>24</v>
      </c>
      <c r="G323" t="s">
        <v>73</v>
      </c>
      <c r="H323" t="s">
        <v>525</v>
      </c>
      <c r="I323">
        <v>7</v>
      </c>
      <c r="J323" t="s">
        <v>91</v>
      </c>
      <c r="K323" t="str">
        <f t="shared" si="5"/>
        <v>37004</v>
      </c>
      <c r="L323">
        <v>16879201.199999999</v>
      </c>
      <c r="M323">
        <v>16585.02</v>
      </c>
      <c r="N323">
        <v>0</v>
      </c>
      <c r="O323">
        <v>67196.460000000006</v>
      </c>
      <c r="P323" s="8">
        <v>16962982.68</v>
      </c>
    </row>
    <row r="324" spans="1:16">
      <c r="A324" s="1">
        <v>44805</v>
      </c>
      <c r="B324" t="s">
        <v>125</v>
      </c>
      <c r="C324" t="s">
        <v>14</v>
      </c>
      <c r="D324" t="s">
        <v>15</v>
      </c>
      <c r="E324" t="s">
        <v>33</v>
      </c>
      <c r="F324" t="s">
        <v>24</v>
      </c>
      <c r="G324" t="s">
        <v>73</v>
      </c>
      <c r="H324" t="s">
        <v>525</v>
      </c>
      <c r="I324">
        <v>7</v>
      </c>
      <c r="J324" t="s">
        <v>92</v>
      </c>
      <c r="K324" t="str">
        <f t="shared" si="5"/>
        <v>37100</v>
      </c>
      <c r="L324">
        <v>2509740.04</v>
      </c>
      <c r="M324">
        <v>-136.02000000000001</v>
      </c>
      <c r="N324">
        <v>0</v>
      </c>
      <c r="O324">
        <v>0</v>
      </c>
      <c r="P324" s="8">
        <v>2509604.02</v>
      </c>
    </row>
    <row r="325" spans="1:16">
      <c r="A325" s="1">
        <v>44805</v>
      </c>
      <c r="B325" t="s">
        <v>125</v>
      </c>
      <c r="C325" t="s">
        <v>14</v>
      </c>
      <c r="D325" t="s">
        <v>15</v>
      </c>
      <c r="E325" t="s">
        <v>33</v>
      </c>
      <c r="F325" t="s">
        <v>24</v>
      </c>
      <c r="G325" t="s">
        <v>73</v>
      </c>
      <c r="H325" t="s">
        <v>525</v>
      </c>
      <c r="I325">
        <v>7</v>
      </c>
      <c r="J325" t="s">
        <v>93</v>
      </c>
      <c r="K325" t="str">
        <f t="shared" si="5"/>
        <v>37300</v>
      </c>
      <c r="L325">
        <v>10372424.82</v>
      </c>
      <c r="M325">
        <v>103992.18000000001</v>
      </c>
      <c r="N325">
        <v>-168.03</v>
      </c>
      <c r="O325">
        <v>0</v>
      </c>
      <c r="P325" s="8">
        <v>10476248.970000001</v>
      </c>
    </row>
    <row r="326" spans="1:16">
      <c r="A326" s="1">
        <v>44805</v>
      </c>
      <c r="B326" t="s">
        <v>125</v>
      </c>
      <c r="C326" t="s">
        <v>14</v>
      </c>
      <c r="D326" t="s">
        <v>15</v>
      </c>
      <c r="E326" t="s">
        <v>33</v>
      </c>
      <c r="F326" t="s">
        <v>119</v>
      </c>
      <c r="G326" t="s">
        <v>73</v>
      </c>
      <c r="H326" t="s">
        <v>525</v>
      </c>
      <c r="I326">
        <v>7</v>
      </c>
      <c r="J326" t="s">
        <v>74</v>
      </c>
      <c r="K326" t="str">
        <f t="shared" si="5"/>
        <v>36001</v>
      </c>
      <c r="L326">
        <v>0</v>
      </c>
      <c r="M326">
        <v>0</v>
      </c>
      <c r="N326">
        <v>0</v>
      </c>
      <c r="O326">
        <v>0</v>
      </c>
      <c r="P326" s="9">
        <v>0</v>
      </c>
    </row>
    <row r="327" spans="1:16">
      <c r="A327" s="1">
        <v>44805</v>
      </c>
      <c r="B327" t="s">
        <v>125</v>
      </c>
      <c r="C327" t="s">
        <v>14</v>
      </c>
      <c r="D327" t="s">
        <v>15</v>
      </c>
      <c r="E327" t="s">
        <v>33</v>
      </c>
      <c r="F327" t="s">
        <v>119</v>
      </c>
      <c r="G327" t="s">
        <v>73</v>
      </c>
      <c r="H327" t="s">
        <v>525</v>
      </c>
      <c r="I327">
        <v>7</v>
      </c>
      <c r="J327" t="s">
        <v>79</v>
      </c>
      <c r="K327" t="str">
        <f t="shared" si="5"/>
        <v>36200</v>
      </c>
      <c r="L327">
        <v>2753405.5</v>
      </c>
      <c r="M327">
        <v>0</v>
      </c>
      <c r="N327">
        <v>0</v>
      </c>
      <c r="O327">
        <v>0</v>
      </c>
      <c r="P327" s="9">
        <v>2753405.5</v>
      </c>
    </row>
    <row r="328" spans="1:16">
      <c r="A328" s="1">
        <v>44805</v>
      </c>
      <c r="B328" t="s">
        <v>125</v>
      </c>
      <c r="C328" t="s">
        <v>14</v>
      </c>
      <c r="D328" t="s">
        <v>15</v>
      </c>
      <c r="E328" t="s">
        <v>33</v>
      </c>
      <c r="F328" t="s">
        <v>17</v>
      </c>
      <c r="G328" t="s">
        <v>73</v>
      </c>
      <c r="H328" t="s">
        <v>525</v>
      </c>
      <c r="I328">
        <v>7</v>
      </c>
      <c r="J328" t="s">
        <v>74</v>
      </c>
      <c r="K328" t="str">
        <f t="shared" si="5"/>
        <v>36001</v>
      </c>
      <c r="L328">
        <v>57920.08</v>
      </c>
      <c r="M328">
        <v>0</v>
      </c>
      <c r="N328">
        <v>0</v>
      </c>
      <c r="O328">
        <v>0</v>
      </c>
      <c r="P328">
        <v>57920.08</v>
      </c>
    </row>
    <row r="329" spans="1:16">
      <c r="A329" s="1">
        <v>44805</v>
      </c>
      <c r="B329" t="s">
        <v>125</v>
      </c>
      <c r="C329" t="s">
        <v>14</v>
      </c>
      <c r="D329" t="s">
        <v>15</v>
      </c>
      <c r="E329" t="s">
        <v>33</v>
      </c>
      <c r="F329" t="s">
        <v>17</v>
      </c>
      <c r="G329" t="s">
        <v>73</v>
      </c>
      <c r="H329" t="s">
        <v>525</v>
      </c>
      <c r="I329">
        <v>7</v>
      </c>
      <c r="J329" t="s">
        <v>77</v>
      </c>
      <c r="K329" t="str">
        <f t="shared" si="5"/>
        <v>36100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>
      <c r="A330" s="1">
        <v>44805</v>
      </c>
      <c r="B330" t="s">
        <v>125</v>
      </c>
      <c r="C330" t="s">
        <v>14</v>
      </c>
      <c r="D330" t="s">
        <v>15</v>
      </c>
      <c r="E330" t="s">
        <v>33</v>
      </c>
      <c r="F330" t="s">
        <v>17</v>
      </c>
      <c r="G330" t="s">
        <v>73</v>
      </c>
      <c r="H330" t="s">
        <v>525</v>
      </c>
      <c r="I330">
        <v>7</v>
      </c>
      <c r="J330" t="s">
        <v>79</v>
      </c>
      <c r="K330" t="str">
        <f t="shared" si="5"/>
        <v>36200</v>
      </c>
      <c r="L330">
        <v>4401055.8</v>
      </c>
      <c r="M330">
        <v>51955.01</v>
      </c>
      <c r="N330">
        <v>0</v>
      </c>
      <c r="O330">
        <v>0</v>
      </c>
      <c r="P330">
        <v>4453010.8099999996</v>
      </c>
    </row>
    <row r="331" spans="1:16">
      <c r="A331" s="1">
        <v>44805</v>
      </c>
      <c r="B331" t="s">
        <v>125</v>
      </c>
      <c r="C331" t="s">
        <v>14</v>
      </c>
      <c r="D331" t="s">
        <v>15</v>
      </c>
      <c r="E331" t="s">
        <v>33</v>
      </c>
      <c r="F331" t="s">
        <v>17</v>
      </c>
      <c r="G331" t="s">
        <v>73</v>
      </c>
      <c r="H331" t="s">
        <v>525</v>
      </c>
      <c r="I331">
        <v>7</v>
      </c>
      <c r="J331" t="s">
        <v>80</v>
      </c>
      <c r="K331" t="str">
        <f t="shared" si="5"/>
        <v>36400</v>
      </c>
      <c r="L331">
        <v>17664881.75</v>
      </c>
      <c r="M331">
        <v>243910.73</v>
      </c>
      <c r="N331">
        <v>0</v>
      </c>
      <c r="O331">
        <v>0</v>
      </c>
      <c r="P331">
        <v>17908792.48</v>
      </c>
    </row>
    <row r="332" spans="1:16">
      <c r="A332" s="1">
        <v>44805</v>
      </c>
      <c r="B332" t="s">
        <v>125</v>
      </c>
      <c r="C332" t="s">
        <v>14</v>
      </c>
      <c r="D332" t="s">
        <v>15</v>
      </c>
      <c r="E332" t="s">
        <v>33</v>
      </c>
      <c r="F332" t="s">
        <v>17</v>
      </c>
      <c r="G332" t="s">
        <v>73</v>
      </c>
      <c r="H332" t="s">
        <v>525</v>
      </c>
      <c r="I332">
        <v>7</v>
      </c>
      <c r="J332" t="s">
        <v>81</v>
      </c>
      <c r="K332" t="str">
        <f t="shared" si="5"/>
        <v>36500</v>
      </c>
      <c r="L332">
        <v>3806689.75</v>
      </c>
      <c r="M332">
        <v>276510.58</v>
      </c>
      <c r="N332">
        <v>0</v>
      </c>
      <c r="O332">
        <v>0</v>
      </c>
      <c r="P332">
        <v>4083200.33</v>
      </c>
    </row>
    <row r="333" spans="1:16">
      <c r="A333" s="1">
        <v>44805</v>
      </c>
      <c r="B333" t="s">
        <v>125</v>
      </c>
      <c r="C333" t="s">
        <v>14</v>
      </c>
      <c r="D333" t="s">
        <v>15</v>
      </c>
      <c r="E333" t="s">
        <v>33</v>
      </c>
      <c r="F333" t="s">
        <v>17</v>
      </c>
      <c r="G333" t="s">
        <v>73</v>
      </c>
      <c r="H333" t="s">
        <v>525</v>
      </c>
      <c r="I333">
        <v>7</v>
      </c>
      <c r="J333" t="s">
        <v>82</v>
      </c>
      <c r="K333" t="str">
        <f t="shared" si="5"/>
        <v>36600</v>
      </c>
      <c r="L333">
        <v>1229513.1299999999</v>
      </c>
      <c r="M333">
        <v>28795.18</v>
      </c>
      <c r="N333">
        <v>0</v>
      </c>
      <c r="O333">
        <v>0</v>
      </c>
      <c r="P333">
        <v>1258308.31</v>
      </c>
    </row>
    <row r="334" spans="1:16">
      <c r="A334" s="1">
        <v>44805</v>
      </c>
      <c r="B334" t="s">
        <v>125</v>
      </c>
      <c r="C334" t="s">
        <v>14</v>
      </c>
      <c r="D334" t="s">
        <v>15</v>
      </c>
      <c r="E334" t="s">
        <v>33</v>
      </c>
      <c r="F334" t="s">
        <v>17</v>
      </c>
      <c r="G334" t="s">
        <v>73</v>
      </c>
      <c r="H334" t="s">
        <v>525</v>
      </c>
      <c r="I334">
        <v>7</v>
      </c>
      <c r="J334" t="s">
        <v>83</v>
      </c>
      <c r="K334" t="str">
        <f t="shared" si="5"/>
        <v>36700</v>
      </c>
      <c r="L334">
        <v>5195852.3</v>
      </c>
      <c r="M334">
        <v>-464278.10000000003</v>
      </c>
      <c r="N334">
        <v>0</v>
      </c>
      <c r="O334">
        <v>0</v>
      </c>
      <c r="P334">
        <v>4731574.2</v>
      </c>
    </row>
    <row r="335" spans="1:16">
      <c r="A335" s="1">
        <v>44805</v>
      </c>
      <c r="B335" t="s">
        <v>125</v>
      </c>
      <c r="C335" t="s">
        <v>14</v>
      </c>
      <c r="D335" t="s">
        <v>15</v>
      </c>
      <c r="E335" t="s">
        <v>33</v>
      </c>
      <c r="F335" t="s">
        <v>17</v>
      </c>
      <c r="G335" t="s">
        <v>73</v>
      </c>
      <c r="H335" t="s">
        <v>525</v>
      </c>
      <c r="I335">
        <v>7</v>
      </c>
      <c r="J335" t="s">
        <v>84</v>
      </c>
      <c r="K335" t="str">
        <f t="shared" si="5"/>
        <v>36801</v>
      </c>
      <c r="L335">
        <v>325485.42</v>
      </c>
      <c r="M335">
        <v>-59875.6</v>
      </c>
      <c r="N335">
        <v>0</v>
      </c>
      <c r="O335">
        <v>0</v>
      </c>
      <c r="P335">
        <v>265609.82</v>
      </c>
    </row>
    <row r="336" spans="1:16">
      <c r="A336" s="1">
        <v>44805</v>
      </c>
      <c r="B336" t="s">
        <v>125</v>
      </c>
      <c r="C336" t="s">
        <v>14</v>
      </c>
      <c r="D336" t="s">
        <v>15</v>
      </c>
      <c r="E336" t="s">
        <v>33</v>
      </c>
      <c r="F336" t="s">
        <v>17</v>
      </c>
      <c r="G336" t="s">
        <v>73</v>
      </c>
      <c r="H336" t="s">
        <v>525</v>
      </c>
      <c r="I336">
        <v>7</v>
      </c>
      <c r="J336" t="s">
        <v>85</v>
      </c>
      <c r="K336" t="str">
        <f t="shared" si="5"/>
        <v>36802</v>
      </c>
      <c r="L336">
        <v>800132.3</v>
      </c>
      <c r="M336">
        <v>111809.85</v>
      </c>
      <c r="N336">
        <v>0</v>
      </c>
      <c r="O336">
        <v>0</v>
      </c>
      <c r="P336">
        <v>911942.15</v>
      </c>
    </row>
    <row r="337" spans="1:16">
      <c r="A337" s="1">
        <v>44805</v>
      </c>
      <c r="B337" t="s">
        <v>125</v>
      </c>
      <c r="C337" t="s">
        <v>14</v>
      </c>
      <c r="D337" t="s">
        <v>15</v>
      </c>
      <c r="E337" t="s">
        <v>33</v>
      </c>
      <c r="F337" t="s">
        <v>17</v>
      </c>
      <c r="G337" t="s">
        <v>73</v>
      </c>
      <c r="H337" t="s">
        <v>525</v>
      </c>
      <c r="I337">
        <v>7</v>
      </c>
      <c r="J337" t="s">
        <v>86</v>
      </c>
      <c r="K337" t="str">
        <f t="shared" si="5"/>
        <v>36803</v>
      </c>
      <c r="L337">
        <v>302951.59000000003</v>
      </c>
      <c r="M337">
        <v>20234.420000000002</v>
      </c>
      <c r="N337">
        <v>0</v>
      </c>
      <c r="O337">
        <v>0</v>
      </c>
      <c r="P337">
        <v>323186.01</v>
      </c>
    </row>
    <row r="338" spans="1:16">
      <c r="A338" s="1">
        <v>44805</v>
      </c>
      <c r="B338" t="s">
        <v>125</v>
      </c>
      <c r="C338" t="s">
        <v>14</v>
      </c>
      <c r="D338" t="s">
        <v>15</v>
      </c>
      <c r="E338" t="s">
        <v>33</v>
      </c>
      <c r="F338" t="s">
        <v>17</v>
      </c>
      <c r="G338" t="s">
        <v>73</v>
      </c>
      <c r="H338" t="s">
        <v>525</v>
      </c>
      <c r="I338">
        <v>7</v>
      </c>
      <c r="J338" t="s">
        <v>87</v>
      </c>
      <c r="K338" t="str">
        <f t="shared" si="5"/>
        <v>36901</v>
      </c>
      <c r="L338">
        <v>490279.43</v>
      </c>
      <c r="M338">
        <v>58353.68</v>
      </c>
      <c r="N338">
        <v>0</v>
      </c>
      <c r="O338">
        <v>0</v>
      </c>
      <c r="P338">
        <v>548633.11</v>
      </c>
    </row>
    <row r="339" spans="1:16">
      <c r="A339" s="1">
        <v>44805</v>
      </c>
      <c r="B339" t="s">
        <v>125</v>
      </c>
      <c r="C339" t="s">
        <v>14</v>
      </c>
      <c r="D339" t="s">
        <v>15</v>
      </c>
      <c r="E339" t="s">
        <v>33</v>
      </c>
      <c r="F339" t="s">
        <v>17</v>
      </c>
      <c r="G339" t="s">
        <v>73</v>
      </c>
      <c r="H339" t="s">
        <v>525</v>
      </c>
      <c r="I339">
        <v>7</v>
      </c>
      <c r="J339" t="s">
        <v>88</v>
      </c>
      <c r="K339" t="str">
        <f t="shared" si="5"/>
        <v>36902</v>
      </c>
      <c r="L339">
        <v>447275.89</v>
      </c>
      <c r="M339">
        <v>62690.99</v>
      </c>
      <c r="N339">
        <v>0</v>
      </c>
      <c r="O339">
        <v>0</v>
      </c>
      <c r="P339">
        <v>509966.88</v>
      </c>
    </row>
    <row r="340" spans="1:16">
      <c r="A340" s="1">
        <v>44805</v>
      </c>
      <c r="B340" t="s">
        <v>125</v>
      </c>
      <c r="C340" t="s">
        <v>14</v>
      </c>
      <c r="D340" t="s">
        <v>15</v>
      </c>
      <c r="E340" t="s">
        <v>33</v>
      </c>
      <c r="F340" t="s">
        <v>17</v>
      </c>
      <c r="G340" t="s">
        <v>73</v>
      </c>
      <c r="H340" t="s">
        <v>525</v>
      </c>
      <c r="I340">
        <v>7</v>
      </c>
      <c r="J340" t="s">
        <v>89</v>
      </c>
      <c r="K340" t="str">
        <f t="shared" si="5"/>
        <v>37001</v>
      </c>
      <c r="L340">
        <v>10772.1</v>
      </c>
      <c r="M340">
        <v>-2161.14</v>
      </c>
      <c r="N340">
        <v>0</v>
      </c>
      <c r="O340">
        <v>0</v>
      </c>
      <c r="P340">
        <v>8610.9600000000009</v>
      </c>
    </row>
    <row r="341" spans="1:16">
      <c r="A341" s="1">
        <v>44805</v>
      </c>
      <c r="B341" t="s">
        <v>125</v>
      </c>
      <c r="C341" t="s">
        <v>14</v>
      </c>
      <c r="D341" t="s">
        <v>15</v>
      </c>
      <c r="E341" t="s">
        <v>33</v>
      </c>
      <c r="F341" t="s">
        <v>17</v>
      </c>
      <c r="G341" t="s">
        <v>73</v>
      </c>
      <c r="H341" t="s">
        <v>525</v>
      </c>
      <c r="I341">
        <v>7</v>
      </c>
      <c r="J341" t="s">
        <v>91</v>
      </c>
      <c r="K341" t="str">
        <f t="shared" si="5"/>
        <v>37004</v>
      </c>
      <c r="L341">
        <v>5470.02</v>
      </c>
      <c r="M341">
        <v>-2160.9499999999998</v>
      </c>
      <c r="N341">
        <v>0</v>
      </c>
      <c r="O341">
        <v>0</v>
      </c>
      <c r="P341">
        <v>3309.07</v>
      </c>
    </row>
    <row r="342" spans="1:16">
      <c r="A342" s="1">
        <v>44805</v>
      </c>
      <c r="B342" t="s">
        <v>125</v>
      </c>
      <c r="C342" t="s">
        <v>14</v>
      </c>
      <c r="D342" t="s">
        <v>15</v>
      </c>
      <c r="E342" t="s">
        <v>33</v>
      </c>
      <c r="F342" t="s">
        <v>17</v>
      </c>
      <c r="G342" t="s">
        <v>73</v>
      </c>
      <c r="H342" t="s">
        <v>525</v>
      </c>
      <c r="I342">
        <v>7</v>
      </c>
      <c r="J342" t="s">
        <v>92</v>
      </c>
      <c r="K342" t="str">
        <f t="shared" si="5"/>
        <v>37100</v>
      </c>
      <c r="L342">
        <v>182199.41</v>
      </c>
      <c r="M342">
        <v>31325.61</v>
      </c>
      <c r="N342">
        <v>0</v>
      </c>
      <c r="O342">
        <v>0</v>
      </c>
      <c r="P342">
        <v>213525.02000000002</v>
      </c>
    </row>
    <row r="343" spans="1:16">
      <c r="A343" s="1">
        <v>44805</v>
      </c>
      <c r="B343" t="s">
        <v>125</v>
      </c>
      <c r="C343" t="s">
        <v>14</v>
      </c>
      <c r="D343" t="s">
        <v>15</v>
      </c>
      <c r="E343" t="s">
        <v>33</v>
      </c>
      <c r="F343" t="s">
        <v>17</v>
      </c>
      <c r="G343" t="s">
        <v>73</v>
      </c>
      <c r="H343" t="s">
        <v>525</v>
      </c>
      <c r="I343">
        <v>7</v>
      </c>
      <c r="J343" t="s">
        <v>93</v>
      </c>
      <c r="K343" t="str">
        <f t="shared" si="5"/>
        <v>37300</v>
      </c>
      <c r="L343">
        <v>985350.20000000007</v>
      </c>
      <c r="M343">
        <v>20657.37</v>
      </c>
      <c r="N343">
        <v>0</v>
      </c>
      <c r="O343">
        <v>0</v>
      </c>
      <c r="P343">
        <v>1006007.57</v>
      </c>
    </row>
    <row r="344" spans="1:16">
      <c r="A344" s="1">
        <v>44835</v>
      </c>
      <c r="B344" t="s">
        <v>124</v>
      </c>
      <c r="C344" t="s">
        <v>14</v>
      </c>
      <c r="D344" t="s">
        <v>15</v>
      </c>
      <c r="E344" t="s">
        <v>33</v>
      </c>
      <c r="F344" t="s">
        <v>24</v>
      </c>
      <c r="G344" t="s">
        <v>73</v>
      </c>
      <c r="H344" t="s">
        <v>525</v>
      </c>
      <c r="I344">
        <v>7</v>
      </c>
      <c r="J344" t="s">
        <v>74</v>
      </c>
      <c r="K344" t="str">
        <f t="shared" si="5"/>
        <v>36001</v>
      </c>
      <c r="L344">
        <v>658853.93000000005</v>
      </c>
      <c r="M344">
        <v>0</v>
      </c>
      <c r="N344">
        <v>0</v>
      </c>
      <c r="O344">
        <v>0</v>
      </c>
      <c r="P344" s="8">
        <v>658853.93000000005</v>
      </c>
    </row>
    <row r="345" spans="1:16">
      <c r="A345" s="1">
        <v>44835</v>
      </c>
      <c r="B345" t="s">
        <v>124</v>
      </c>
      <c r="C345" t="s">
        <v>14</v>
      </c>
      <c r="D345" t="s">
        <v>15</v>
      </c>
      <c r="E345" t="s">
        <v>33</v>
      </c>
      <c r="F345" t="s">
        <v>24</v>
      </c>
      <c r="G345" t="s">
        <v>73</v>
      </c>
      <c r="H345" t="s">
        <v>525</v>
      </c>
      <c r="I345">
        <v>7</v>
      </c>
      <c r="J345" t="s">
        <v>75</v>
      </c>
      <c r="K345" t="str">
        <f t="shared" si="5"/>
        <v>36002</v>
      </c>
      <c r="L345">
        <v>184620.19</v>
      </c>
      <c r="M345">
        <v>0</v>
      </c>
      <c r="N345">
        <v>0</v>
      </c>
      <c r="O345">
        <v>0</v>
      </c>
      <c r="P345" s="8">
        <v>184620.19</v>
      </c>
    </row>
    <row r="346" spans="1:16">
      <c r="A346" s="1">
        <v>44835</v>
      </c>
      <c r="B346" t="s">
        <v>124</v>
      </c>
      <c r="C346" t="s">
        <v>14</v>
      </c>
      <c r="D346" t="s">
        <v>15</v>
      </c>
      <c r="E346" t="s">
        <v>33</v>
      </c>
      <c r="F346" t="s">
        <v>24</v>
      </c>
      <c r="G346" t="s">
        <v>73</v>
      </c>
      <c r="H346" t="s">
        <v>525</v>
      </c>
      <c r="I346">
        <v>7</v>
      </c>
      <c r="J346" t="s">
        <v>76</v>
      </c>
      <c r="K346" t="str">
        <f t="shared" si="5"/>
        <v>36003</v>
      </c>
      <c r="L346">
        <v>0</v>
      </c>
      <c r="M346">
        <v>0</v>
      </c>
      <c r="N346">
        <v>0</v>
      </c>
      <c r="O346">
        <v>0</v>
      </c>
      <c r="P346" s="8">
        <v>0</v>
      </c>
    </row>
    <row r="347" spans="1:16">
      <c r="A347" s="1">
        <v>44835</v>
      </c>
      <c r="B347" t="s">
        <v>124</v>
      </c>
      <c r="C347" t="s">
        <v>14</v>
      </c>
      <c r="D347" t="s">
        <v>15</v>
      </c>
      <c r="E347" t="s">
        <v>33</v>
      </c>
      <c r="F347" t="s">
        <v>24</v>
      </c>
      <c r="G347" t="s">
        <v>73</v>
      </c>
      <c r="H347" t="s">
        <v>525</v>
      </c>
      <c r="I347">
        <v>7</v>
      </c>
      <c r="J347" t="s">
        <v>77</v>
      </c>
      <c r="K347" t="str">
        <f t="shared" si="5"/>
        <v>36100</v>
      </c>
      <c r="L347">
        <v>643978.15</v>
      </c>
      <c r="M347">
        <v>0</v>
      </c>
      <c r="N347">
        <v>0</v>
      </c>
      <c r="O347">
        <v>0</v>
      </c>
      <c r="P347" s="8">
        <v>643978.15</v>
      </c>
    </row>
    <row r="348" spans="1:16">
      <c r="A348" s="1">
        <v>44835</v>
      </c>
      <c r="B348" t="s">
        <v>124</v>
      </c>
      <c r="C348" t="s">
        <v>14</v>
      </c>
      <c r="D348" t="s">
        <v>15</v>
      </c>
      <c r="E348" t="s">
        <v>33</v>
      </c>
      <c r="F348" t="s">
        <v>24</v>
      </c>
      <c r="G348" t="s">
        <v>73</v>
      </c>
      <c r="H348" t="s">
        <v>525</v>
      </c>
      <c r="I348">
        <v>7</v>
      </c>
      <c r="J348" t="s">
        <v>78</v>
      </c>
      <c r="K348" t="str">
        <f t="shared" si="5"/>
        <v>36105</v>
      </c>
      <c r="L348">
        <v>1169918.8700000001</v>
      </c>
      <c r="M348">
        <v>0</v>
      </c>
      <c r="N348">
        <v>0</v>
      </c>
      <c r="O348">
        <v>0</v>
      </c>
      <c r="P348" s="8">
        <v>1169918.8700000001</v>
      </c>
    </row>
    <row r="349" spans="1:16">
      <c r="A349" s="1">
        <v>44835</v>
      </c>
      <c r="B349" t="s">
        <v>124</v>
      </c>
      <c r="C349" t="s">
        <v>14</v>
      </c>
      <c r="D349" t="s">
        <v>15</v>
      </c>
      <c r="E349" t="s">
        <v>33</v>
      </c>
      <c r="F349" t="s">
        <v>24</v>
      </c>
      <c r="G349" t="s">
        <v>73</v>
      </c>
      <c r="H349" t="s">
        <v>525</v>
      </c>
      <c r="I349">
        <v>7</v>
      </c>
      <c r="J349" t="s">
        <v>79</v>
      </c>
      <c r="K349" t="str">
        <f t="shared" si="5"/>
        <v>36200</v>
      </c>
      <c r="L349">
        <v>51322650.299999997</v>
      </c>
      <c r="M349">
        <v>0</v>
      </c>
      <c r="N349">
        <v>0</v>
      </c>
      <c r="O349">
        <v>0</v>
      </c>
      <c r="P349" s="8">
        <v>51322650.299999997</v>
      </c>
    </row>
    <row r="350" spans="1:16">
      <c r="A350" s="1">
        <v>44835</v>
      </c>
      <c r="B350" t="s">
        <v>124</v>
      </c>
      <c r="C350" t="s">
        <v>14</v>
      </c>
      <c r="D350" t="s">
        <v>15</v>
      </c>
      <c r="E350" t="s">
        <v>33</v>
      </c>
      <c r="F350" t="s">
        <v>24</v>
      </c>
      <c r="G350" t="s">
        <v>73</v>
      </c>
      <c r="H350" t="s">
        <v>525</v>
      </c>
      <c r="I350">
        <v>7</v>
      </c>
      <c r="J350" t="s">
        <v>80</v>
      </c>
      <c r="K350" t="str">
        <f t="shared" si="5"/>
        <v>36400</v>
      </c>
      <c r="L350">
        <v>83439963.120000005</v>
      </c>
      <c r="M350">
        <v>31666.080000000002</v>
      </c>
      <c r="N350">
        <v>-8775.0300000000007</v>
      </c>
      <c r="O350">
        <v>0</v>
      </c>
      <c r="P350" s="8">
        <v>83462854.170000002</v>
      </c>
    </row>
    <row r="351" spans="1:16">
      <c r="A351" s="1">
        <v>44835</v>
      </c>
      <c r="B351" t="s">
        <v>124</v>
      </c>
      <c r="C351" t="s">
        <v>14</v>
      </c>
      <c r="D351" t="s">
        <v>15</v>
      </c>
      <c r="E351" t="s">
        <v>33</v>
      </c>
      <c r="F351" t="s">
        <v>24</v>
      </c>
      <c r="G351" t="s">
        <v>73</v>
      </c>
      <c r="H351" t="s">
        <v>525</v>
      </c>
      <c r="I351">
        <v>7</v>
      </c>
      <c r="J351" t="s">
        <v>81</v>
      </c>
      <c r="K351" t="str">
        <f t="shared" si="5"/>
        <v>36500</v>
      </c>
      <c r="L351">
        <v>54529174.100000001</v>
      </c>
      <c r="M351">
        <v>225.47</v>
      </c>
      <c r="N351">
        <v>-7717.27</v>
      </c>
      <c r="O351">
        <v>0</v>
      </c>
      <c r="P351" s="8">
        <v>54521682.299999997</v>
      </c>
    </row>
    <row r="352" spans="1:16">
      <c r="A352" s="1">
        <v>44835</v>
      </c>
      <c r="B352" t="s">
        <v>124</v>
      </c>
      <c r="C352" t="s">
        <v>14</v>
      </c>
      <c r="D352" t="s">
        <v>15</v>
      </c>
      <c r="E352" t="s">
        <v>33</v>
      </c>
      <c r="F352" t="s">
        <v>24</v>
      </c>
      <c r="G352" t="s">
        <v>73</v>
      </c>
      <c r="H352" t="s">
        <v>525</v>
      </c>
      <c r="I352">
        <v>7</v>
      </c>
      <c r="J352" t="s">
        <v>82</v>
      </c>
      <c r="K352" t="str">
        <f t="shared" si="5"/>
        <v>36600</v>
      </c>
      <c r="L352">
        <v>15916319.65</v>
      </c>
      <c r="M352">
        <v>22611.24</v>
      </c>
      <c r="N352">
        <v>-456.72</v>
      </c>
      <c r="O352">
        <v>0</v>
      </c>
      <c r="P352" s="8">
        <v>15938474.17</v>
      </c>
    </row>
    <row r="353" spans="1:16">
      <c r="A353" s="1">
        <v>44835</v>
      </c>
      <c r="B353" t="s">
        <v>124</v>
      </c>
      <c r="C353" t="s">
        <v>14</v>
      </c>
      <c r="D353" t="s">
        <v>15</v>
      </c>
      <c r="E353" t="s">
        <v>33</v>
      </c>
      <c r="F353" t="s">
        <v>24</v>
      </c>
      <c r="G353" t="s">
        <v>73</v>
      </c>
      <c r="H353" t="s">
        <v>525</v>
      </c>
      <c r="I353">
        <v>7</v>
      </c>
      <c r="J353" t="s">
        <v>83</v>
      </c>
      <c r="K353" t="str">
        <f t="shared" si="5"/>
        <v>36700</v>
      </c>
      <c r="L353">
        <v>29477034.32</v>
      </c>
      <c r="M353">
        <v>15215.39</v>
      </c>
      <c r="N353">
        <v>-5689.22</v>
      </c>
      <c r="O353">
        <v>0</v>
      </c>
      <c r="P353" s="8">
        <v>29486560.489999998</v>
      </c>
    </row>
    <row r="354" spans="1:16">
      <c r="A354" s="1">
        <v>44835</v>
      </c>
      <c r="B354" t="s">
        <v>124</v>
      </c>
      <c r="C354" t="s">
        <v>14</v>
      </c>
      <c r="D354" t="s">
        <v>15</v>
      </c>
      <c r="E354" t="s">
        <v>33</v>
      </c>
      <c r="F354" t="s">
        <v>24</v>
      </c>
      <c r="G354" t="s">
        <v>73</v>
      </c>
      <c r="H354" t="s">
        <v>525</v>
      </c>
      <c r="I354">
        <v>7</v>
      </c>
      <c r="J354" t="s">
        <v>84</v>
      </c>
      <c r="K354" t="str">
        <f t="shared" si="5"/>
        <v>36801</v>
      </c>
      <c r="L354">
        <v>10239271.66</v>
      </c>
      <c r="M354">
        <v>3605.65</v>
      </c>
      <c r="N354">
        <v>-1120.21</v>
      </c>
      <c r="O354">
        <v>0</v>
      </c>
      <c r="P354" s="8">
        <v>10241757.1</v>
      </c>
    </row>
    <row r="355" spans="1:16">
      <c r="A355" s="1">
        <v>44835</v>
      </c>
      <c r="B355" t="s">
        <v>124</v>
      </c>
      <c r="C355" t="s">
        <v>14</v>
      </c>
      <c r="D355" t="s">
        <v>15</v>
      </c>
      <c r="E355" t="s">
        <v>33</v>
      </c>
      <c r="F355" t="s">
        <v>24</v>
      </c>
      <c r="G355" t="s">
        <v>73</v>
      </c>
      <c r="H355" t="s">
        <v>525</v>
      </c>
      <c r="I355">
        <v>7</v>
      </c>
      <c r="J355" t="s">
        <v>85</v>
      </c>
      <c r="K355" t="str">
        <f t="shared" si="5"/>
        <v>36802</v>
      </c>
      <c r="L355">
        <v>32296455.859999999</v>
      </c>
      <c r="M355">
        <v>17587.22</v>
      </c>
      <c r="N355">
        <v>5823.93</v>
      </c>
      <c r="O355">
        <v>0</v>
      </c>
      <c r="P355" s="8">
        <v>32319867.010000002</v>
      </c>
    </row>
    <row r="356" spans="1:16">
      <c r="A356" s="1">
        <v>44835</v>
      </c>
      <c r="B356" t="s">
        <v>124</v>
      </c>
      <c r="C356" t="s">
        <v>14</v>
      </c>
      <c r="D356" t="s">
        <v>15</v>
      </c>
      <c r="E356" t="s">
        <v>33</v>
      </c>
      <c r="F356" t="s">
        <v>24</v>
      </c>
      <c r="G356" t="s">
        <v>73</v>
      </c>
      <c r="H356" t="s">
        <v>525</v>
      </c>
      <c r="I356">
        <v>7</v>
      </c>
      <c r="J356" t="s">
        <v>86</v>
      </c>
      <c r="K356" t="str">
        <f t="shared" si="5"/>
        <v>36803</v>
      </c>
      <c r="L356">
        <v>27599819.629999999</v>
      </c>
      <c r="M356">
        <v>29367.89</v>
      </c>
      <c r="N356">
        <v>-43.4</v>
      </c>
      <c r="O356">
        <v>0</v>
      </c>
      <c r="P356" s="8">
        <v>27629144.120000001</v>
      </c>
    </row>
    <row r="357" spans="1:16">
      <c r="A357" s="1">
        <v>44835</v>
      </c>
      <c r="B357" t="s">
        <v>124</v>
      </c>
      <c r="C357" t="s">
        <v>14</v>
      </c>
      <c r="D357" t="s">
        <v>15</v>
      </c>
      <c r="E357" t="s">
        <v>33</v>
      </c>
      <c r="F357" t="s">
        <v>24</v>
      </c>
      <c r="G357" t="s">
        <v>73</v>
      </c>
      <c r="H357" t="s">
        <v>525</v>
      </c>
      <c r="I357">
        <v>7</v>
      </c>
      <c r="J357" t="s">
        <v>87</v>
      </c>
      <c r="K357" t="str">
        <f t="shared" si="5"/>
        <v>36901</v>
      </c>
      <c r="L357">
        <v>10750325.550000001</v>
      </c>
      <c r="M357">
        <v>1418.56</v>
      </c>
      <c r="N357">
        <v>-60.61</v>
      </c>
      <c r="O357">
        <v>0</v>
      </c>
      <c r="P357" s="8">
        <v>10751683.5</v>
      </c>
    </row>
    <row r="358" spans="1:16">
      <c r="A358" s="1">
        <v>44835</v>
      </c>
      <c r="B358" t="s">
        <v>124</v>
      </c>
      <c r="C358" t="s">
        <v>14</v>
      </c>
      <c r="D358" t="s">
        <v>15</v>
      </c>
      <c r="E358" t="s">
        <v>33</v>
      </c>
      <c r="F358" t="s">
        <v>24</v>
      </c>
      <c r="G358" t="s">
        <v>73</v>
      </c>
      <c r="H358" t="s">
        <v>525</v>
      </c>
      <c r="I358">
        <v>7</v>
      </c>
      <c r="J358" t="s">
        <v>88</v>
      </c>
      <c r="K358" t="str">
        <f t="shared" si="5"/>
        <v>36902</v>
      </c>
      <c r="L358">
        <v>14192548.57</v>
      </c>
      <c r="M358">
        <v>15417.44</v>
      </c>
      <c r="N358">
        <v>-76.73</v>
      </c>
      <c r="O358">
        <v>0</v>
      </c>
      <c r="P358" s="8">
        <v>14207889.279999999</v>
      </c>
    </row>
    <row r="359" spans="1:16">
      <c r="A359" s="1">
        <v>44835</v>
      </c>
      <c r="B359" t="s">
        <v>124</v>
      </c>
      <c r="C359" t="s">
        <v>14</v>
      </c>
      <c r="D359" t="s">
        <v>15</v>
      </c>
      <c r="E359" t="s">
        <v>33</v>
      </c>
      <c r="F359" t="s">
        <v>24</v>
      </c>
      <c r="G359" t="s">
        <v>73</v>
      </c>
      <c r="H359" t="s">
        <v>525</v>
      </c>
      <c r="I359">
        <v>7</v>
      </c>
      <c r="J359" t="s">
        <v>89</v>
      </c>
      <c r="K359" t="str">
        <f t="shared" si="5"/>
        <v>37001</v>
      </c>
      <c r="L359">
        <v>1743434.94</v>
      </c>
      <c r="M359">
        <v>0</v>
      </c>
      <c r="N359">
        <v>0</v>
      </c>
      <c r="O359">
        <v>0</v>
      </c>
      <c r="P359" s="8">
        <v>1743434.94</v>
      </c>
    </row>
    <row r="360" spans="1:16">
      <c r="A360" s="1">
        <v>44835</v>
      </c>
      <c r="B360" t="s">
        <v>124</v>
      </c>
      <c r="C360" t="s">
        <v>14</v>
      </c>
      <c r="D360" t="s">
        <v>15</v>
      </c>
      <c r="E360" t="s">
        <v>33</v>
      </c>
      <c r="F360" t="s">
        <v>24</v>
      </c>
      <c r="G360" t="s">
        <v>73</v>
      </c>
      <c r="H360" t="s">
        <v>525</v>
      </c>
      <c r="I360">
        <v>7</v>
      </c>
      <c r="J360" t="s">
        <v>90</v>
      </c>
      <c r="K360" t="str">
        <f t="shared" si="5"/>
        <v>37002</v>
      </c>
      <c r="L360">
        <v>0</v>
      </c>
      <c r="M360">
        <v>0</v>
      </c>
      <c r="N360">
        <v>0</v>
      </c>
      <c r="O360">
        <v>0</v>
      </c>
      <c r="P360" s="8">
        <v>0</v>
      </c>
    </row>
    <row r="361" spans="1:16">
      <c r="A361" s="1">
        <v>44835</v>
      </c>
      <c r="B361" t="s">
        <v>124</v>
      </c>
      <c r="C361" t="s">
        <v>14</v>
      </c>
      <c r="D361" t="s">
        <v>15</v>
      </c>
      <c r="E361" t="s">
        <v>33</v>
      </c>
      <c r="F361" t="s">
        <v>24</v>
      </c>
      <c r="G361" t="s">
        <v>73</v>
      </c>
      <c r="H361" t="s">
        <v>525</v>
      </c>
      <c r="I361">
        <v>7</v>
      </c>
      <c r="J361" t="s">
        <v>91</v>
      </c>
      <c r="K361" t="str">
        <f t="shared" si="5"/>
        <v>37004</v>
      </c>
      <c r="L361">
        <v>16962982.68</v>
      </c>
      <c r="M361">
        <v>0</v>
      </c>
      <c r="N361">
        <v>1152.9100000000001</v>
      </c>
      <c r="O361">
        <v>0</v>
      </c>
      <c r="P361" s="8">
        <v>16964135.59</v>
      </c>
    </row>
    <row r="362" spans="1:16">
      <c r="A362" s="1">
        <v>44835</v>
      </c>
      <c r="B362" t="s">
        <v>124</v>
      </c>
      <c r="C362" t="s">
        <v>14</v>
      </c>
      <c r="D362" t="s">
        <v>15</v>
      </c>
      <c r="E362" t="s">
        <v>33</v>
      </c>
      <c r="F362" t="s">
        <v>24</v>
      </c>
      <c r="G362" t="s">
        <v>73</v>
      </c>
      <c r="H362" t="s">
        <v>525</v>
      </c>
      <c r="I362">
        <v>7</v>
      </c>
      <c r="J362" t="s">
        <v>92</v>
      </c>
      <c r="K362" t="str">
        <f t="shared" si="5"/>
        <v>37100</v>
      </c>
      <c r="L362">
        <v>2509604.02</v>
      </c>
      <c r="M362">
        <v>1220.3800000000001</v>
      </c>
      <c r="N362">
        <v>0</v>
      </c>
      <c r="O362">
        <v>0</v>
      </c>
      <c r="P362" s="8">
        <v>2510824.4</v>
      </c>
    </row>
    <row r="363" spans="1:16">
      <c r="A363" s="1">
        <v>44835</v>
      </c>
      <c r="B363" t="s">
        <v>124</v>
      </c>
      <c r="C363" t="s">
        <v>14</v>
      </c>
      <c r="D363" t="s">
        <v>15</v>
      </c>
      <c r="E363" t="s">
        <v>33</v>
      </c>
      <c r="F363" t="s">
        <v>24</v>
      </c>
      <c r="G363" t="s">
        <v>73</v>
      </c>
      <c r="H363" t="s">
        <v>525</v>
      </c>
      <c r="I363">
        <v>7</v>
      </c>
      <c r="J363" t="s">
        <v>93</v>
      </c>
      <c r="K363" t="str">
        <f t="shared" si="5"/>
        <v>37300</v>
      </c>
      <c r="L363">
        <v>10476248.970000001</v>
      </c>
      <c r="M363">
        <v>0</v>
      </c>
      <c r="N363">
        <v>-1378.02</v>
      </c>
      <c r="O363">
        <v>0</v>
      </c>
      <c r="P363" s="8">
        <v>10474870.949999999</v>
      </c>
    </row>
    <row r="364" spans="1:16">
      <c r="A364" s="1">
        <v>44835</v>
      </c>
      <c r="B364" t="s">
        <v>124</v>
      </c>
      <c r="C364" t="s">
        <v>14</v>
      </c>
      <c r="D364" t="s">
        <v>15</v>
      </c>
      <c r="E364" t="s">
        <v>33</v>
      </c>
      <c r="F364" t="s">
        <v>119</v>
      </c>
      <c r="G364" t="s">
        <v>73</v>
      </c>
      <c r="H364" t="s">
        <v>525</v>
      </c>
      <c r="I364">
        <v>7</v>
      </c>
      <c r="J364" t="s">
        <v>74</v>
      </c>
      <c r="K364" t="str">
        <f t="shared" si="5"/>
        <v>36001</v>
      </c>
      <c r="L364">
        <v>0</v>
      </c>
      <c r="M364">
        <v>0</v>
      </c>
      <c r="N364">
        <v>0</v>
      </c>
      <c r="O364">
        <v>0</v>
      </c>
      <c r="P364" s="9">
        <v>0</v>
      </c>
    </row>
    <row r="365" spans="1:16">
      <c r="A365" s="1">
        <v>44835</v>
      </c>
      <c r="B365" t="s">
        <v>124</v>
      </c>
      <c r="C365" t="s">
        <v>14</v>
      </c>
      <c r="D365" t="s">
        <v>15</v>
      </c>
      <c r="E365" t="s">
        <v>33</v>
      </c>
      <c r="F365" t="s">
        <v>119</v>
      </c>
      <c r="G365" t="s">
        <v>73</v>
      </c>
      <c r="H365" t="s">
        <v>525</v>
      </c>
      <c r="I365">
        <v>7</v>
      </c>
      <c r="J365" t="s">
        <v>79</v>
      </c>
      <c r="K365" t="str">
        <f t="shared" si="5"/>
        <v>36200</v>
      </c>
      <c r="L365">
        <v>2753405.5</v>
      </c>
      <c r="M365">
        <v>0</v>
      </c>
      <c r="N365">
        <v>0</v>
      </c>
      <c r="O365">
        <v>0</v>
      </c>
      <c r="P365" s="9">
        <v>2753405.5</v>
      </c>
    </row>
    <row r="366" spans="1:16">
      <c r="A366" s="1">
        <v>44835</v>
      </c>
      <c r="B366" t="s">
        <v>124</v>
      </c>
      <c r="C366" t="s">
        <v>14</v>
      </c>
      <c r="D366" t="s">
        <v>15</v>
      </c>
      <c r="E366" t="s">
        <v>33</v>
      </c>
      <c r="F366" t="s">
        <v>17</v>
      </c>
      <c r="G366" t="s">
        <v>73</v>
      </c>
      <c r="H366" t="s">
        <v>525</v>
      </c>
      <c r="I366">
        <v>7</v>
      </c>
      <c r="J366" t="s">
        <v>74</v>
      </c>
      <c r="K366" t="str">
        <f t="shared" si="5"/>
        <v>36001</v>
      </c>
      <c r="L366">
        <v>57920.08</v>
      </c>
      <c r="M366">
        <v>0</v>
      </c>
      <c r="N366">
        <v>0</v>
      </c>
      <c r="O366">
        <v>0</v>
      </c>
      <c r="P366">
        <v>57920.08</v>
      </c>
    </row>
    <row r="367" spans="1:16">
      <c r="A367" s="1">
        <v>44835</v>
      </c>
      <c r="B367" t="s">
        <v>124</v>
      </c>
      <c r="C367" t="s">
        <v>14</v>
      </c>
      <c r="D367" t="s">
        <v>15</v>
      </c>
      <c r="E367" t="s">
        <v>33</v>
      </c>
      <c r="F367" t="s">
        <v>17</v>
      </c>
      <c r="G367" t="s">
        <v>73</v>
      </c>
      <c r="H367" t="s">
        <v>525</v>
      </c>
      <c r="I367">
        <v>7</v>
      </c>
      <c r="J367" t="s">
        <v>77</v>
      </c>
      <c r="K367" t="str">
        <f t="shared" si="5"/>
        <v>36100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>
      <c r="A368" s="1">
        <v>44835</v>
      </c>
      <c r="B368" t="s">
        <v>124</v>
      </c>
      <c r="C368" t="s">
        <v>14</v>
      </c>
      <c r="D368" t="s">
        <v>15</v>
      </c>
      <c r="E368" t="s">
        <v>33</v>
      </c>
      <c r="F368" t="s">
        <v>17</v>
      </c>
      <c r="G368" t="s">
        <v>73</v>
      </c>
      <c r="H368" t="s">
        <v>525</v>
      </c>
      <c r="I368">
        <v>7</v>
      </c>
      <c r="J368" t="s">
        <v>79</v>
      </c>
      <c r="K368" t="str">
        <f t="shared" si="5"/>
        <v>36200</v>
      </c>
      <c r="L368">
        <v>4453010.8099999996</v>
      </c>
      <c r="M368">
        <v>14752.66</v>
      </c>
      <c r="N368">
        <v>0</v>
      </c>
      <c r="O368">
        <v>0</v>
      </c>
      <c r="P368">
        <v>4467763.47</v>
      </c>
    </row>
    <row r="369" spans="1:16">
      <c r="A369" s="1">
        <v>44835</v>
      </c>
      <c r="B369" t="s">
        <v>124</v>
      </c>
      <c r="C369" t="s">
        <v>14</v>
      </c>
      <c r="D369" t="s">
        <v>15</v>
      </c>
      <c r="E369" t="s">
        <v>33</v>
      </c>
      <c r="F369" t="s">
        <v>17</v>
      </c>
      <c r="G369" t="s">
        <v>73</v>
      </c>
      <c r="H369" t="s">
        <v>525</v>
      </c>
      <c r="I369">
        <v>7</v>
      </c>
      <c r="J369" t="s">
        <v>80</v>
      </c>
      <c r="K369" t="str">
        <f t="shared" si="5"/>
        <v>36400</v>
      </c>
      <c r="L369">
        <v>17908792.48</v>
      </c>
      <c r="M369">
        <v>273495.82</v>
      </c>
      <c r="N369">
        <v>0</v>
      </c>
      <c r="O369">
        <v>0</v>
      </c>
      <c r="P369">
        <v>18182288.300000001</v>
      </c>
    </row>
    <row r="370" spans="1:16">
      <c r="A370" s="1">
        <v>44835</v>
      </c>
      <c r="B370" t="s">
        <v>124</v>
      </c>
      <c r="C370" t="s">
        <v>14</v>
      </c>
      <c r="D370" t="s">
        <v>15</v>
      </c>
      <c r="E370" t="s">
        <v>33</v>
      </c>
      <c r="F370" t="s">
        <v>17</v>
      </c>
      <c r="G370" t="s">
        <v>73</v>
      </c>
      <c r="H370" t="s">
        <v>525</v>
      </c>
      <c r="I370">
        <v>7</v>
      </c>
      <c r="J370" t="s">
        <v>81</v>
      </c>
      <c r="K370" t="str">
        <f t="shared" si="5"/>
        <v>36500</v>
      </c>
      <c r="L370">
        <v>4083200.33</v>
      </c>
      <c r="M370">
        <v>120012.15000000001</v>
      </c>
      <c r="N370">
        <v>0</v>
      </c>
      <c r="O370">
        <v>0</v>
      </c>
      <c r="P370">
        <v>4203212.4800000004</v>
      </c>
    </row>
    <row r="371" spans="1:16">
      <c r="A371" s="1">
        <v>44835</v>
      </c>
      <c r="B371" t="s">
        <v>124</v>
      </c>
      <c r="C371" t="s">
        <v>14</v>
      </c>
      <c r="D371" t="s">
        <v>15</v>
      </c>
      <c r="E371" t="s">
        <v>33</v>
      </c>
      <c r="F371" t="s">
        <v>17</v>
      </c>
      <c r="G371" t="s">
        <v>73</v>
      </c>
      <c r="H371" t="s">
        <v>525</v>
      </c>
      <c r="I371">
        <v>7</v>
      </c>
      <c r="J371" t="s">
        <v>82</v>
      </c>
      <c r="K371" t="str">
        <f t="shared" si="5"/>
        <v>36600</v>
      </c>
      <c r="L371">
        <v>1258308.31</v>
      </c>
      <c r="M371">
        <v>59878.74</v>
      </c>
      <c r="N371">
        <v>0</v>
      </c>
      <c r="O371">
        <v>0</v>
      </c>
      <c r="P371">
        <v>1318187.05</v>
      </c>
    </row>
    <row r="372" spans="1:16">
      <c r="A372" s="1">
        <v>44835</v>
      </c>
      <c r="B372" t="s">
        <v>124</v>
      </c>
      <c r="C372" t="s">
        <v>14</v>
      </c>
      <c r="D372" t="s">
        <v>15</v>
      </c>
      <c r="E372" t="s">
        <v>33</v>
      </c>
      <c r="F372" t="s">
        <v>17</v>
      </c>
      <c r="G372" t="s">
        <v>73</v>
      </c>
      <c r="H372" t="s">
        <v>525</v>
      </c>
      <c r="I372">
        <v>7</v>
      </c>
      <c r="J372" t="s">
        <v>83</v>
      </c>
      <c r="K372" t="str">
        <f t="shared" si="5"/>
        <v>36700</v>
      </c>
      <c r="L372">
        <v>4731574.2</v>
      </c>
      <c r="M372">
        <v>289591.14</v>
      </c>
      <c r="N372">
        <v>0</v>
      </c>
      <c r="O372">
        <v>0</v>
      </c>
      <c r="P372">
        <v>5021165.34</v>
      </c>
    </row>
    <row r="373" spans="1:16">
      <c r="A373" s="1">
        <v>44835</v>
      </c>
      <c r="B373" t="s">
        <v>124</v>
      </c>
      <c r="C373" t="s">
        <v>14</v>
      </c>
      <c r="D373" t="s">
        <v>15</v>
      </c>
      <c r="E373" t="s">
        <v>33</v>
      </c>
      <c r="F373" t="s">
        <v>17</v>
      </c>
      <c r="G373" t="s">
        <v>73</v>
      </c>
      <c r="H373" t="s">
        <v>525</v>
      </c>
      <c r="I373">
        <v>7</v>
      </c>
      <c r="J373" t="s">
        <v>84</v>
      </c>
      <c r="K373" t="str">
        <f t="shared" si="5"/>
        <v>36801</v>
      </c>
      <c r="L373">
        <v>265609.82</v>
      </c>
      <c r="M373">
        <v>32914.28</v>
      </c>
      <c r="N373">
        <v>0</v>
      </c>
      <c r="O373">
        <v>0</v>
      </c>
      <c r="P373">
        <v>298524.10000000003</v>
      </c>
    </row>
    <row r="374" spans="1:16">
      <c r="A374" s="1">
        <v>44835</v>
      </c>
      <c r="B374" t="s">
        <v>124</v>
      </c>
      <c r="C374" t="s">
        <v>14</v>
      </c>
      <c r="D374" t="s">
        <v>15</v>
      </c>
      <c r="E374" t="s">
        <v>33</v>
      </c>
      <c r="F374" t="s">
        <v>17</v>
      </c>
      <c r="G374" t="s">
        <v>73</v>
      </c>
      <c r="H374" t="s">
        <v>525</v>
      </c>
      <c r="I374">
        <v>7</v>
      </c>
      <c r="J374" t="s">
        <v>85</v>
      </c>
      <c r="K374" t="str">
        <f t="shared" si="5"/>
        <v>36802</v>
      </c>
      <c r="L374">
        <v>911942.15</v>
      </c>
      <c r="M374">
        <v>53182.41</v>
      </c>
      <c r="N374">
        <v>0</v>
      </c>
      <c r="O374">
        <v>0</v>
      </c>
      <c r="P374">
        <v>965124.56</v>
      </c>
    </row>
    <row r="375" spans="1:16">
      <c r="A375" s="1">
        <v>44835</v>
      </c>
      <c r="B375" t="s">
        <v>124</v>
      </c>
      <c r="C375" t="s">
        <v>14</v>
      </c>
      <c r="D375" t="s">
        <v>15</v>
      </c>
      <c r="E375" t="s">
        <v>33</v>
      </c>
      <c r="F375" t="s">
        <v>17</v>
      </c>
      <c r="G375" t="s">
        <v>73</v>
      </c>
      <c r="H375" t="s">
        <v>525</v>
      </c>
      <c r="I375">
        <v>7</v>
      </c>
      <c r="J375" t="s">
        <v>86</v>
      </c>
      <c r="K375" t="str">
        <f t="shared" si="5"/>
        <v>36803</v>
      </c>
      <c r="L375">
        <v>323186.01</v>
      </c>
      <c r="M375">
        <v>32675.16</v>
      </c>
      <c r="N375">
        <v>0</v>
      </c>
      <c r="O375">
        <v>0</v>
      </c>
      <c r="P375">
        <v>355861.17</v>
      </c>
    </row>
    <row r="376" spans="1:16">
      <c r="A376" s="1">
        <v>44835</v>
      </c>
      <c r="B376" t="s">
        <v>124</v>
      </c>
      <c r="C376" t="s">
        <v>14</v>
      </c>
      <c r="D376" t="s">
        <v>15</v>
      </c>
      <c r="E376" t="s">
        <v>33</v>
      </c>
      <c r="F376" t="s">
        <v>17</v>
      </c>
      <c r="G376" t="s">
        <v>73</v>
      </c>
      <c r="H376" t="s">
        <v>525</v>
      </c>
      <c r="I376">
        <v>7</v>
      </c>
      <c r="J376" t="s">
        <v>87</v>
      </c>
      <c r="K376" t="str">
        <f t="shared" si="5"/>
        <v>36901</v>
      </c>
      <c r="L376">
        <v>548633.11</v>
      </c>
      <c r="M376">
        <v>11681.97</v>
      </c>
      <c r="N376">
        <v>0</v>
      </c>
      <c r="O376">
        <v>0</v>
      </c>
      <c r="P376">
        <v>560315.07999999996</v>
      </c>
    </row>
    <row r="377" spans="1:16">
      <c r="A377" s="1">
        <v>44835</v>
      </c>
      <c r="B377" t="s">
        <v>124</v>
      </c>
      <c r="C377" t="s">
        <v>14</v>
      </c>
      <c r="D377" t="s">
        <v>15</v>
      </c>
      <c r="E377" t="s">
        <v>33</v>
      </c>
      <c r="F377" t="s">
        <v>17</v>
      </c>
      <c r="G377" t="s">
        <v>73</v>
      </c>
      <c r="H377" t="s">
        <v>525</v>
      </c>
      <c r="I377">
        <v>7</v>
      </c>
      <c r="J377" t="s">
        <v>88</v>
      </c>
      <c r="K377" t="str">
        <f t="shared" si="5"/>
        <v>36902</v>
      </c>
      <c r="L377">
        <v>509966.88</v>
      </c>
      <c r="M377">
        <v>23102.25</v>
      </c>
      <c r="N377">
        <v>0</v>
      </c>
      <c r="O377">
        <v>0</v>
      </c>
      <c r="P377">
        <v>533069.13</v>
      </c>
    </row>
    <row r="378" spans="1:16">
      <c r="A378" s="1">
        <v>44835</v>
      </c>
      <c r="B378" t="s">
        <v>124</v>
      </c>
      <c r="C378" t="s">
        <v>14</v>
      </c>
      <c r="D378" t="s">
        <v>15</v>
      </c>
      <c r="E378" t="s">
        <v>33</v>
      </c>
      <c r="F378" t="s">
        <v>17</v>
      </c>
      <c r="G378" t="s">
        <v>73</v>
      </c>
      <c r="H378" t="s">
        <v>525</v>
      </c>
      <c r="I378">
        <v>7</v>
      </c>
      <c r="J378" t="s">
        <v>89</v>
      </c>
      <c r="K378" t="str">
        <f t="shared" si="5"/>
        <v>37001</v>
      </c>
      <c r="L378">
        <v>8610.9600000000009</v>
      </c>
      <c r="M378">
        <v>84.5</v>
      </c>
      <c r="N378">
        <v>0</v>
      </c>
      <c r="O378">
        <v>0</v>
      </c>
      <c r="P378">
        <v>8695.4600000000009</v>
      </c>
    </row>
    <row r="379" spans="1:16">
      <c r="A379" s="1">
        <v>44835</v>
      </c>
      <c r="B379" t="s">
        <v>124</v>
      </c>
      <c r="C379" t="s">
        <v>14</v>
      </c>
      <c r="D379" t="s">
        <v>15</v>
      </c>
      <c r="E379" t="s">
        <v>33</v>
      </c>
      <c r="F379" t="s">
        <v>17</v>
      </c>
      <c r="G379" t="s">
        <v>73</v>
      </c>
      <c r="H379" t="s">
        <v>525</v>
      </c>
      <c r="I379">
        <v>7</v>
      </c>
      <c r="J379" t="s">
        <v>91</v>
      </c>
      <c r="K379" t="str">
        <f t="shared" si="5"/>
        <v>37004</v>
      </c>
      <c r="L379">
        <v>3309.07</v>
      </c>
      <c r="M379">
        <v>84.460000000000008</v>
      </c>
      <c r="N379">
        <v>0</v>
      </c>
      <c r="O379">
        <v>0</v>
      </c>
      <c r="P379">
        <v>3393.53</v>
      </c>
    </row>
    <row r="380" spans="1:16">
      <c r="A380" s="1">
        <v>44835</v>
      </c>
      <c r="B380" t="s">
        <v>124</v>
      </c>
      <c r="C380" t="s">
        <v>14</v>
      </c>
      <c r="D380" t="s">
        <v>15</v>
      </c>
      <c r="E380" t="s">
        <v>33</v>
      </c>
      <c r="F380" t="s">
        <v>17</v>
      </c>
      <c r="G380" t="s">
        <v>73</v>
      </c>
      <c r="H380" t="s">
        <v>525</v>
      </c>
      <c r="I380">
        <v>7</v>
      </c>
      <c r="J380" t="s">
        <v>92</v>
      </c>
      <c r="K380" t="str">
        <f t="shared" si="5"/>
        <v>37100</v>
      </c>
      <c r="L380">
        <v>213525.02000000002</v>
      </c>
      <c r="M380">
        <v>2610.04</v>
      </c>
      <c r="N380">
        <v>0</v>
      </c>
      <c r="O380">
        <v>0</v>
      </c>
      <c r="P380">
        <v>216135.06</v>
      </c>
    </row>
    <row r="381" spans="1:16">
      <c r="A381" s="1">
        <v>44835</v>
      </c>
      <c r="B381" t="s">
        <v>124</v>
      </c>
      <c r="C381" t="s">
        <v>14</v>
      </c>
      <c r="D381" t="s">
        <v>15</v>
      </c>
      <c r="E381" t="s">
        <v>33</v>
      </c>
      <c r="F381" t="s">
        <v>17</v>
      </c>
      <c r="G381" t="s">
        <v>73</v>
      </c>
      <c r="H381" t="s">
        <v>525</v>
      </c>
      <c r="I381">
        <v>7</v>
      </c>
      <c r="J381" t="s">
        <v>93</v>
      </c>
      <c r="K381" t="str">
        <f t="shared" si="5"/>
        <v>37300</v>
      </c>
      <c r="L381">
        <v>1006007.57</v>
      </c>
      <c r="M381">
        <v>46521.82</v>
      </c>
      <c r="N381">
        <v>0</v>
      </c>
      <c r="O381">
        <v>0</v>
      </c>
      <c r="P381">
        <v>1052529.3899999999</v>
      </c>
    </row>
    <row r="382" spans="1:16">
      <c r="A382" s="1">
        <v>44866</v>
      </c>
      <c r="B382" t="s">
        <v>123</v>
      </c>
      <c r="C382" t="s">
        <v>14</v>
      </c>
      <c r="D382" t="s">
        <v>15</v>
      </c>
      <c r="E382" t="s">
        <v>33</v>
      </c>
      <c r="F382" t="s">
        <v>24</v>
      </c>
      <c r="G382" t="s">
        <v>73</v>
      </c>
      <c r="H382" t="s">
        <v>525</v>
      </c>
      <c r="I382">
        <v>7</v>
      </c>
      <c r="J382" t="s">
        <v>74</v>
      </c>
      <c r="K382" t="str">
        <f t="shared" si="5"/>
        <v>36001</v>
      </c>
      <c r="L382">
        <v>658853.93000000005</v>
      </c>
      <c r="M382">
        <v>0</v>
      </c>
      <c r="N382">
        <v>0</v>
      </c>
      <c r="O382">
        <v>0</v>
      </c>
      <c r="P382" s="8">
        <v>658853.93000000005</v>
      </c>
    </row>
    <row r="383" spans="1:16">
      <c r="A383" s="1">
        <v>44866</v>
      </c>
      <c r="B383" t="s">
        <v>123</v>
      </c>
      <c r="C383" t="s">
        <v>14</v>
      </c>
      <c r="D383" t="s">
        <v>15</v>
      </c>
      <c r="E383" t="s">
        <v>33</v>
      </c>
      <c r="F383" t="s">
        <v>24</v>
      </c>
      <c r="G383" t="s">
        <v>73</v>
      </c>
      <c r="H383" t="s">
        <v>525</v>
      </c>
      <c r="I383">
        <v>7</v>
      </c>
      <c r="J383" t="s">
        <v>75</v>
      </c>
      <c r="K383" t="str">
        <f t="shared" si="5"/>
        <v>36002</v>
      </c>
      <c r="L383">
        <v>184620.19</v>
      </c>
      <c r="M383">
        <v>0</v>
      </c>
      <c r="N383">
        <v>0</v>
      </c>
      <c r="O383">
        <v>0</v>
      </c>
      <c r="P383" s="8">
        <v>184620.19</v>
      </c>
    </row>
    <row r="384" spans="1:16">
      <c r="A384" s="1">
        <v>44866</v>
      </c>
      <c r="B384" t="s">
        <v>123</v>
      </c>
      <c r="C384" t="s">
        <v>14</v>
      </c>
      <c r="D384" t="s">
        <v>15</v>
      </c>
      <c r="E384" t="s">
        <v>33</v>
      </c>
      <c r="F384" t="s">
        <v>24</v>
      </c>
      <c r="G384" t="s">
        <v>73</v>
      </c>
      <c r="H384" t="s">
        <v>525</v>
      </c>
      <c r="I384">
        <v>7</v>
      </c>
      <c r="J384" t="s">
        <v>76</v>
      </c>
      <c r="K384" t="str">
        <f t="shared" si="5"/>
        <v>36003</v>
      </c>
      <c r="L384">
        <v>0</v>
      </c>
      <c r="M384">
        <v>0</v>
      </c>
      <c r="N384">
        <v>0</v>
      </c>
      <c r="O384">
        <v>0</v>
      </c>
      <c r="P384" s="8">
        <v>0</v>
      </c>
    </row>
    <row r="385" spans="1:16">
      <c r="A385" s="1">
        <v>44866</v>
      </c>
      <c r="B385" t="s">
        <v>123</v>
      </c>
      <c r="C385" t="s">
        <v>14</v>
      </c>
      <c r="D385" t="s">
        <v>15</v>
      </c>
      <c r="E385" t="s">
        <v>33</v>
      </c>
      <c r="F385" t="s">
        <v>24</v>
      </c>
      <c r="G385" t="s">
        <v>73</v>
      </c>
      <c r="H385" t="s">
        <v>525</v>
      </c>
      <c r="I385">
        <v>7</v>
      </c>
      <c r="J385" t="s">
        <v>77</v>
      </c>
      <c r="K385" t="str">
        <f t="shared" si="5"/>
        <v>36100</v>
      </c>
      <c r="L385">
        <v>643978.15</v>
      </c>
      <c r="M385">
        <v>0</v>
      </c>
      <c r="N385">
        <v>0</v>
      </c>
      <c r="O385">
        <v>0</v>
      </c>
      <c r="P385" s="8">
        <v>643978.15</v>
      </c>
    </row>
    <row r="386" spans="1:16">
      <c r="A386" s="1">
        <v>44866</v>
      </c>
      <c r="B386" t="s">
        <v>123</v>
      </c>
      <c r="C386" t="s">
        <v>14</v>
      </c>
      <c r="D386" t="s">
        <v>15</v>
      </c>
      <c r="E386" t="s">
        <v>33</v>
      </c>
      <c r="F386" t="s">
        <v>24</v>
      </c>
      <c r="G386" t="s">
        <v>73</v>
      </c>
      <c r="H386" t="s">
        <v>525</v>
      </c>
      <c r="I386">
        <v>7</v>
      </c>
      <c r="J386" t="s">
        <v>78</v>
      </c>
      <c r="K386" t="str">
        <f t="shared" ref="K386:K449" si="6">MID(J386,2,5)</f>
        <v>36105</v>
      </c>
      <c r="L386">
        <v>1169918.8700000001</v>
      </c>
      <c r="M386">
        <v>0</v>
      </c>
      <c r="N386">
        <v>0</v>
      </c>
      <c r="O386">
        <v>0</v>
      </c>
      <c r="P386" s="8">
        <v>1169918.8700000001</v>
      </c>
    </row>
    <row r="387" spans="1:16">
      <c r="A387" s="1">
        <v>44866</v>
      </c>
      <c r="B387" t="s">
        <v>123</v>
      </c>
      <c r="C387" t="s">
        <v>14</v>
      </c>
      <c r="D387" t="s">
        <v>15</v>
      </c>
      <c r="E387" t="s">
        <v>33</v>
      </c>
      <c r="F387" t="s">
        <v>24</v>
      </c>
      <c r="G387" t="s">
        <v>73</v>
      </c>
      <c r="H387" t="s">
        <v>525</v>
      </c>
      <c r="I387">
        <v>7</v>
      </c>
      <c r="J387" t="s">
        <v>79</v>
      </c>
      <c r="K387" t="str">
        <f t="shared" si="6"/>
        <v>36200</v>
      </c>
      <c r="L387">
        <v>51322650.299999997</v>
      </c>
      <c r="M387">
        <v>0</v>
      </c>
      <c r="N387">
        <v>0</v>
      </c>
      <c r="O387">
        <v>0</v>
      </c>
      <c r="P387" s="8">
        <v>51322650.299999997</v>
      </c>
    </row>
    <row r="388" spans="1:16">
      <c r="A388" s="1">
        <v>44866</v>
      </c>
      <c r="B388" t="s">
        <v>123</v>
      </c>
      <c r="C388" t="s">
        <v>14</v>
      </c>
      <c r="D388" t="s">
        <v>15</v>
      </c>
      <c r="E388" t="s">
        <v>33</v>
      </c>
      <c r="F388" t="s">
        <v>24</v>
      </c>
      <c r="G388" t="s">
        <v>73</v>
      </c>
      <c r="H388" t="s">
        <v>525</v>
      </c>
      <c r="I388">
        <v>7</v>
      </c>
      <c r="J388" t="s">
        <v>80</v>
      </c>
      <c r="K388" t="str">
        <f t="shared" si="6"/>
        <v>36400</v>
      </c>
      <c r="L388">
        <v>83462854.170000002</v>
      </c>
      <c r="M388">
        <v>1412980.19</v>
      </c>
      <c r="N388">
        <v>-52610.14</v>
      </c>
      <c r="O388">
        <v>0</v>
      </c>
      <c r="P388" s="8">
        <v>84823224.219999999</v>
      </c>
    </row>
    <row r="389" spans="1:16">
      <c r="A389" s="1">
        <v>44866</v>
      </c>
      <c r="B389" t="s">
        <v>123</v>
      </c>
      <c r="C389" t="s">
        <v>14</v>
      </c>
      <c r="D389" t="s">
        <v>15</v>
      </c>
      <c r="E389" t="s">
        <v>33</v>
      </c>
      <c r="F389" t="s">
        <v>24</v>
      </c>
      <c r="G389" t="s">
        <v>73</v>
      </c>
      <c r="H389" t="s">
        <v>525</v>
      </c>
      <c r="I389">
        <v>7</v>
      </c>
      <c r="J389" t="s">
        <v>81</v>
      </c>
      <c r="K389" t="str">
        <f t="shared" si="6"/>
        <v>36500</v>
      </c>
      <c r="L389">
        <v>54521682.299999997</v>
      </c>
      <c r="M389">
        <v>40372.370000000003</v>
      </c>
      <c r="N389">
        <v>0</v>
      </c>
      <c r="O389">
        <v>0</v>
      </c>
      <c r="P389" s="8">
        <v>54562054.670000002</v>
      </c>
    </row>
    <row r="390" spans="1:16">
      <c r="A390" s="1">
        <v>44866</v>
      </c>
      <c r="B390" t="s">
        <v>123</v>
      </c>
      <c r="C390" t="s">
        <v>14</v>
      </c>
      <c r="D390" t="s">
        <v>15</v>
      </c>
      <c r="E390" t="s">
        <v>33</v>
      </c>
      <c r="F390" t="s">
        <v>24</v>
      </c>
      <c r="G390" t="s">
        <v>73</v>
      </c>
      <c r="H390" t="s">
        <v>525</v>
      </c>
      <c r="I390">
        <v>7</v>
      </c>
      <c r="J390" t="s">
        <v>82</v>
      </c>
      <c r="K390" t="str">
        <f t="shared" si="6"/>
        <v>36600</v>
      </c>
      <c r="L390">
        <v>15938474.17</v>
      </c>
      <c r="M390">
        <v>154763.11000000002</v>
      </c>
      <c r="N390">
        <v>0</v>
      </c>
      <c r="O390">
        <v>0</v>
      </c>
      <c r="P390" s="8">
        <v>16093237.279999999</v>
      </c>
    </row>
    <row r="391" spans="1:16">
      <c r="A391" s="1">
        <v>44866</v>
      </c>
      <c r="B391" t="s">
        <v>123</v>
      </c>
      <c r="C391" t="s">
        <v>14</v>
      </c>
      <c r="D391" t="s">
        <v>15</v>
      </c>
      <c r="E391" t="s">
        <v>33</v>
      </c>
      <c r="F391" t="s">
        <v>24</v>
      </c>
      <c r="G391" t="s">
        <v>73</v>
      </c>
      <c r="H391" t="s">
        <v>525</v>
      </c>
      <c r="I391">
        <v>7</v>
      </c>
      <c r="J391" t="s">
        <v>83</v>
      </c>
      <c r="K391" t="str">
        <f t="shared" si="6"/>
        <v>36700</v>
      </c>
      <c r="L391">
        <v>29486560.489999998</v>
      </c>
      <c r="M391">
        <v>65413.75</v>
      </c>
      <c r="N391">
        <v>0</v>
      </c>
      <c r="O391">
        <v>0</v>
      </c>
      <c r="P391" s="8">
        <v>29551974.239999998</v>
      </c>
    </row>
    <row r="392" spans="1:16">
      <c r="A392" s="1">
        <v>44866</v>
      </c>
      <c r="B392" t="s">
        <v>123</v>
      </c>
      <c r="C392" t="s">
        <v>14</v>
      </c>
      <c r="D392" t="s">
        <v>15</v>
      </c>
      <c r="E392" t="s">
        <v>33</v>
      </c>
      <c r="F392" t="s">
        <v>24</v>
      </c>
      <c r="G392" t="s">
        <v>73</v>
      </c>
      <c r="H392" t="s">
        <v>525</v>
      </c>
      <c r="I392">
        <v>7</v>
      </c>
      <c r="J392" t="s">
        <v>84</v>
      </c>
      <c r="K392" t="str">
        <f t="shared" si="6"/>
        <v>36801</v>
      </c>
      <c r="L392">
        <v>10241757.1</v>
      </c>
      <c r="M392">
        <v>36468.26</v>
      </c>
      <c r="N392">
        <v>-107400.82</v>
      </c>
      <c r="O392">
        <v>0</v>
      </c>
      <c r="P392" s="8">
        <v>10170824.539999999</v>
      </c>
    </row>
    <row r="393" spans="1:16">
      <c r="A393" s="1">
        <v>44866</v>
      </c>
      <c r="B393" t="s">
        <v>123</v>
      </c>
      <c r="C393" t="s">
        <v>14</v>
      </c>
      <c r="D393" t="s">
        <v>15</v>
      </c>
      <c r="E393" t="s">
        <v>33</v>
      </c>
      <c r="F393" t="s">
        <v>24</v>
      </c>
      <c r="G393" t="s">
        <v>73</v>
      </c>
      <c r="H393" t="s">
        <v>525</v>
      </c>
      <c r="I393">
        <v>7</v>
      </c>
      <c r="J393" t="s">
        <v>85</v>
      </c>
      <c r="K393" t="str">
        <f t="shared" si="6"/>
        <v>36802</v>
      </c>
      <c r="L393">
        <v>32319867.010000002</v>
      </c>
      <c r="M393">
        <v>16917.990000000002</v>
      </c>
      <c r="N393">
        <v>0.03</v>
      </c>
      <c r="O393">
        <v>0</v>
      </c>
      <c r="P393" s="8">
        <v>32336785.030000001</v>
      </c>
    </row>
    <row r="394" spans="1:16">
      <c r="A394" s="1">
        <v>44866</v>
      </c>
      <c r="B394" t="s">
        <v>123</v>
      </c>
      <c r="C394" t="s">
        <v>14</v>
      </c>
      <c r="D394" t="s">
        <v>15</v>
      </c>
      <c r="E394" t="s">
        <v>33</v>
      </c>
      <c r="F394" t="s">
        <v>24</v>
      </c>
      <c r="G394" t="s">
        <v>73</v>
      </c>
      <c r="H394" t="s">
        <v>525</v>
      </c>
      <c r="I394">
        <v>7</v>
      </c>
      <c r="J394" t="s">
        <v>86</v>
      </c>
      <c r="K394" t="str">
        <f t="shared" si="6"/>
        <v>36803</v>
      </c>
      <c r="L394">
        <v>27629144.120000001</v>
      </c>
      <c r="M394">
        <v>34551.629999999997</v>
      </c>
      <c r="N394">
        <v>0</v>
      </c>
      <c r="O394">
        <v>0</v>
      </c>
      <c r="P394" s="8">
        <v>27663695.75</v>
      </c>
    </row>
    <row r="395" spans="1:16">
      <c r="A395" s="1">
        <v>44866</v>
      </c>
      <c r="B395" t="s">
        <v>123</v>
      </c>
      <c r="C395" t="s">
        <v>14</v>
      </c>
      <c r="D395" t="s">
        <v>15</v>
      </c>
      <c r="E395" t="s">
        <v>33</v>
      </c>
      <c r="F395" t="s">
        <v>24</v>
      </c>
      <c r="G395" t="s">
        <v>73</v>
      </c>
      <c r="H395" t="s">
        <v>525</v>
      </c>
      <c r="I395">
        <v>7</v>
      </c>
      <c r="J395" t="s">
        <v>87</v>
      </c>
      <c r="K395" t="str">
        <f t="shared" si="6"/>
        <v>36901</v>
      </c>
      <c r="L395">
        <v>10751683.5</v>
      </c>
      <c r="M395">
        <v>7884.17</v>
      </c>
      <c r="N395">
        <v>-82801.53</v>
      </c>
      <c r="O395">
        <v>0</v>
      </c>
      <c r="P395" s="8">
        <v>10676766.140000001</v>
      </c>
    </row>
    <row r="396" spans="1:16">
      <c r="A396" s="1">
        <v>44866</v>
      </c>
      <c r="B396" t="s">
        <v>123</v>
      </c>
      <c r="C396" t="s">
        <v>14</v>
      </c>
      <c r="D396" t="s">
        <v>15</v>
      </c>
      <c r="E396" t="s">
        <v>33</v>
      </c>
      <c r="F396" t="s">
        <v>24</v>
      </c>
      <c r="G396" t="s">
        <v>73</v>
      </c>
      <c r="H396" t="s">
        <v>525</v>
      </c>
      <c r="I396">
        <v>7</v>
      </c>
      <c r="J396" t="s">
        <v>88</v>
      </c>
      <c r="K396" t="str">
        <f t="shared" si="6"/>
        <v>36902</v>
      </c>
      <c r="L396">
        <v>14207889.279999999</v>
      </c>
      <c r="M396">
        <v>99764.11</v>
      </c>
      <c r="N396">
        <v>-1325.6100000000001</v>
      </c>
      <c r="O396">
        <v>0</v>
      </c>
      <c r="P396" s="8">
        <v>14306327.779999999</v>
      </c>
    </row>
    <row r="397" spans="1:16">
      <c r="A397" s="1">
        <v>44866</v>
      </c>
      <c r="B397" t="s">
        <v>123</v>
      </c>
      <c r="C397" t="s">
        <v>14</v>
      </c>
      <c r="D397" t="s">
        <v>15</v>
      </c>
      <c r="E397" t="s">
        <v>33</v>
      </c>
      <c r="F397" t="s">
        <v>24</v>
      </c>
      <c r="G397" t="s">
        <v>73</v>
      </c>
      <c r="H397" t="s">
        <v>525</v>
      </c>
      <c r="I397">
        <v>7</v>
      </c>
      <c r="J397" t="s">
        <v>89</v>
      </c>
      <c r="K397" t="str">
        <f t="shared" si="6"/>
        <v>37001</v>
      </c>
      <c r="L397">
        <v>1743434.94</v>
      </c>
      <c r="M397">
        <v>0</v>
      </c>
      <c r="N397">
        <v>0</v>
      </c>
      <c r="O397">
        <v>4181.58</v>
      </c>
      <c r="P397" s="8">
        <v>1747616.52</v>
      </c>
    </row>
    <row r="398" spans="1:16">
      <c r="A398" s="1">
        <v>44866</v>
      </c>
      <c r="B398" t="s">
        <v>123</v>
      </c>
      <c r="C398" t="s">
        <v>14</v>
      </c>
      <c r="D398" t="s">
        <v>15</v>
      </c>
      <c r="E398" t="s">
        <v>33</v>
      </c>
      <c r="F398" t="s">
        <v>24</v>
      </c>
      <c r="G398" t="s">
        <v>73</v>
      </c>
      <c r="H398" t="s">
        <v>525</v>
      </c>
      <c r="I398">
        <v>7</v>
      </c>
      <c r="J398" t="s">
        <v>90</v>
      </c>
      <c r="K398" t="str">
        <f t="shared" si="6"/>
        <v>37002</v>
      </c>
      <c r="L398">
        <v>0</v>
      </c>
      <c r="M398">
        <v>0</v>
      </c>
      <c r="N398">
        <v>0</v>
      </c>
      <c r="O398">
        <v>0</v>
      </c>
      <c r="P398" s="8">
        <v>0</v>
      </c>
    </row>
    <row r="399" spans="1:16">
      <c r="A399" s="1">
        <v>44866</v>
      </c>
      <c r="B399" t="s">
        <v>123</v>
      </c>
      <c r="C399" t="s">
        <v>14</v>
      </c>
      <c r="D399" t="s">
        <v>15</v>
      </c>
      <c r="E399" t="s">
        <v>33</v>
      </c>
      <c r="F399" t="s">
        <v>24</v>
      </c>
      <c r="G399" t="s">
        <v>73</v>
      </c>
      <c r="H399" t="s">
        <v>525</v>
      </c>
      <c r="I399">
        <v>7</v>
      </c>
      <c r="J399" t="s">
        <v>91</v>
      </c>
      <c r="K399" t="str">
        <f t="shared" si="6"/>
        <v>37004</v>
      </c>
      <c r="L399">
        <v>16964135.59</v>
      </c>
      <c r="M399">
        <v>0</v>
      </c>
      <c r="N399">
        <v>-158430.48000000001</v>
      </c>
      <c r="O399">
        <v>-117943.2</v>
      </c>
      <c r="P399" s="8">
        <v>16687761.91</v>
      </c>
    </row>
    <row r="400" spans="1:16">
      <c r="A400" s="1">
        <v>44866</v>
      </c>
      <c r="B400" t="s">
        <v>123</v>
      </c>
      <c r="C400" t="s">
        <v>14</v>
      </c>
      <c r="D400" t="s">
        <v>15</v>
      </c>
      <c r="E400" t="s">
        <v>33</v>
      </c>
      <c r="F400" t="s">
        <v>24</v>
      </c>
      <c r="G400" t="s">
        <v>73</v>
      </c>
      <c r="H400" t="s">
        <v>525</v>
      </c>
      <c r="I400">
        <v>7</v>
      </c>
      <c r="J400" t="s">
        <v>92</v>
      </c>
      <c r="K400" t="str">
        <f t="shared" si="6"/>
        <v>37100</v>
      </c>
      <c r="L400">
        <v>2510824.4</v>
      </c>
      <c r="M400">
        <v>1084.1500000000001</v>
      </c>
      <c r="N400">
        <v>0</v>
      </c>
      <c r="O400">
        <v>0</v>
      </c>
      <c r="P400" s="8">
        <v>2511908.5499999998</v>
      </c>
    </row>
    <row r="401" spans="1:16">
      <c r="A401" s="1">
        <v>44866</v>
      </c>
      <c r="B401" t="s">
        <v>123</v>
      </c>
      <c r="C401" t="s">
        <v>14</v>
      </c>
      <c r="D401" t="s">
        <v>15</v>
      </c>
      <c r="E401" t="s">
        <v>33</v>
      </c>
      <c r="F401" t="s">
        <v>24</v>
      </c>
      <c r="G401" t="s">
        <v>73</v>
      </c>
      <c r="H401" t="s">
        <v>525</v>
      </c>
      <c r="I401">
        <v>7</v>
      </c>
      <c r="J401" t="s">
        <v>93</v>
      </c>
      <c r="K401" t="str">
        <f t="shared" si="6"/>
        <v>37300</v>
      </c>
      <c r="L401">
        <v>10474870.949999999</v>
      </c>
      <c r="M401">
        <v>10046.76</v>
      </c>
      <c r="N401">
        <v>-2800.12</v>
      </c>
      <c r="O401">
        <v>0</v>
      </c>
      <c r="P401" s="8">
        <v>10482117.59</v>
      </c>
    </row>
    <row r="402" spans="1:16">
      <c r="A402" s="1">
        <v>44866</v>
      </c>
      <c r="B402" t="s">
        <v>123</v>
      </c>
      <c r="C402" t="s">
        <v>14</v>
      </c>
      <c r="D402" t="s">
        <v>15</v>
      </c>
      <c r="E402" t="s">
        <v>33</v>
      </c>
      <c r="F402" t="s">
        <v>119</v>
      </c>
      <c r="G402" t="s">
        <v>73</v>
      </c>
      <c r="H402" t="s">
        <v>525</v>
      </c>
      <c r="I402">
        <v>7</v>
      </c>
      <c r="J402" t="s">
        <v>74</v>
      </c>
      <c r="K402" t="str">
        <f t="shared" si="6"/>
        <v>36001</v>
      </c>
      <c r="L402">
        <v>0</v>
      </c>
      <c r="M402">
        <v>0</v>
      </c>
      <c r="N402">
        <v>0</v>
      </c>
      <c r="O402">
        <v>0</v>
      </c>
      <c r="P402" s="9">
        <v>0</v>
      </c>
    </row>
    <row r="403" spans="1:16">
      <c r="A403" s="1">
        <v>44866</v>
      </c>
      <c r="B403" t="s">
        <v>123</v>
      </c>
      <c r="C403" t="s">
        <v>14</v>
      </c>
      <c r="D403" t="s">
        <v>15</v>
      </c>
      <c r="E403" t="s">
        <v>33</v>
      </c>
      <c r="F403" t="s">
        <v>119</v>
      </c>
      <c r="G403" t="s">
        <v>73</v>
      </c>
      <c r="H403" t="s">
        <v>525</v>
      </c>
      <c r="I403">
        <v>7</v>
      </c>
      <c r="J403" t="s">
        <v>79</v>
      </c>
      <c r="K403" t="str">
        <f t="shared" si="6"/>
        <v>36200</v>
      </c>
      <c r="L403">
        <v>2753405.5</v>
      </c>
      <c r="M403">
        <v>0</v>
      </c>
      <c r="N403">
        <v>0</v>
      </c>
      <c r="O403">
        <v>0</v>
      </c>
      <c r="P403" s="9">
        <v>2753405.5</v>
      </c>
    </row>
    <row r="404" spans="1:16">
      <c r="A404" s="1">
        <v>44866</v>
      </c>
      <c r="B404" t="s">
        <v>123</v>
      </c>
      <c r="C404" t="s">
        <v>14</v>
      </c>
      <c r="D404" t="s">
        <v>15</v>
      </c>
      <c r="E404" t="s">
        <v>33</v>
      </c>
      <c r="F404" t="s">
        <v>17</v>
      </c>
      <c r="G404" t="s">
        <v>73</v>
      </c>
      <c r="H404" t="s">
        <v>525</v>
      </c>
      <c r="I404">
        <v>7</v>
      </c>
      <c r="J404" t="s">
        <v>74</v>
      </c>
      <c r="K404" t="str">
        <f t="shared" si="6"/>
        <v>36001</v>
      </c>
      <c r="L404">
        <v>57920.08</v>
      </c>
      <c r="M404">
        <v>-41543.040000000001</v>
      </c>
      <c r="N404">
        <v>0</v>
      </c>
      <c r="O404">
        <v>0</v>
      </c>
      <c r="P404">
        <v>16377.04</v>
      </c>
    </row>
    <row r="405" spans="1:16">
      <c r="A405" s="1">
        <v>44866</v>
      </c>
      <c r="B405" t="s">
        <v>123</v>
      </c>
      <c r="C405" t="s">
        <v>14</v>
      </c>
      <c r="D405" t="s">
        <v>15</v>
      </c>
      <c r="E405" t="s">
        <v>33</v>
      </c>
      <c r="F405" t="s">
        <v>17</v>
      </c>
      <c r="G405" t="s">
        <v>73</v>
      </c>
      <c r="H405" t="s">
        <v>525</v>
      </c>
      <c r="I405">
        <v>7</v>
      </c>
      <c r="J405" t="s">
        <v>77</v>
      </c>
      <c r="K405" t="str">
        <f t="shared" si="6"/>
        <v>36100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>
      <c r="A406" s="1">
        <v>44866</v>
      </c>
      <c r="B406" t="s">
        <v>123</v>
      </c>
      <c r="C406" t="s">
        <v>14</v>
      </c>
      <c r="D406" t="s">
        <v>15</v>
      </c>
      <c r="E406" t="s">
        <v>33</v>
      </c>
      <c r="F406" t="s">
        <v>17</v>
      </c>
      <c r="G406" t="s">
        <v>73</v>
      </c>
      <c r="H406" t="s">
        <v>525</v>
      </c>
      <c r="I406">
        <v>7</v>
      </c>
      <c r="J406" t="s">
        <v>79</v>
      </c>
      <c r="K406" t="str">
        <f t="shared" si="6"/>
        <v>36200</v>
      </c>
      <c r="L406">
        <v>4467763.47</v>
      </c>
      <c r="M406">
        <v>5286175.43</v>
      </c>
      <c r="N406">
        <v>0</v>
      </c>
      <c r="O406">
        <v>0</v>
      </c>
      <c r="P406">
        <v>9753938.9000000004</v>
      </c>
    </row>
    <row r="407" spans="1:16">
      <c r="A407" s="1">
        <v>44866</v>
      </c>
      <c r="B407" t="s">
        <v>123</v>
      </c>
      <c r="C407" t="s">
        <v>14</v>
      </c>
      <c r="D407" t="s">
        <v>15</v>
      </c>
      <c r="E407" t="s">
        <v>33</v>
      </c>
      <c r="F407" t="s">
        <v>17</v>
      </c>
      <c r="G407" t="s">
        <v>73</v>
      </c>
      <c r="H407" t="s">
        <v>525</v>
      </c>
      <c r="I407">
        <v>7</v>
      </c>
      <c r="J407" t="s">
        <v>80</v>
      </c>
      <c r="K407" t="str">
        <f t="shared" si="6"/>
        <v>36400</v>
      </c>
      <c r="L407">
        <v>18182288.300000001</v>
      </c>
      <c r="M407">
        <v>-1138906.6100000001</v>
      </c>
      <c r="N407">
        <v>0</v>
      </c>
      <c r="O407">
        <v>0</v>
      </c>
      <c r="P407">
        <v>17043381.690000001</v>
      </c>
    </row>
    <row r="408" spans="1:16">
      <c r="A408" s="1">
        <v>44866</v>
      </c>
      <c r="B408" t="s">
        <v>123</v>
      </c>
      <c r="C408" t="s">
        <v>14</v>
      </c>
      <c r="D408" t="s">
        <v>15</v>
      </c>
      <c r="E408" t="s">
        <v>33</v>
      </c>
      <c r="F408" t="s">
        <v>17</v>
      </c>
      <c r="G408" t="s">
        <v>73</v>
      </c>
      <c r="H408" t="s">
        <v>525</v>
      </c>
      <c r="I408">
        <v>7</v>
      </c>
      <c r="J408" t="s">
        <v>81</v>
      </c>
      <c r="K408" t="str">
        <f t="shared" si="6"/>
        <v>36500</v>
      </c>
      <c r="L408">
        <v>4203212.4800000004</v>
      </c>
      <c r="M408">
        <v>186908.07</v>
      </c>
      <c r="N408">
        <v>0</v>
      </c>
      <c r="O408">
        <v>0</v>
      </c>
      <c r="P408">
        <v>4390120.55</v>
      </c>
    </row>
    <row r="409" spans="1:16">
      <c r="A409" s="1">
        <v>44866</v>
      </c>
      <c r="B409" t="s">
        <v>123</v>
      </c>
      <c r="C409" t="s">
        <v>14</v>
      </c>
      <c r="D409" t="s">
        <v>15</v>
      </c>
      <c r="E409" t="s">
        <v>33</v>
      </c>
      <c r="F409" t="s">
        <v>17</v>
      </c>
      <c r="G409" t="s">
        <v>73</v>
      </c>
      <c r="H409" t="s">
        <v>525</v>
      </c>
      <c r="I409">
        <v>7</v>
      </c>
      <c r="J409" t="s">
        <v>82</v>
      </c>
      <c r="K409" t="str">
        <f t="shared" si="6"/>
        <v>36600</v>
      </c>
      <c r="L409">
        <v>1318187.05</v>
      </c>
      <c r="M409">
        <v>-39611.370000000003</v>
      </c>
      <c r="N409">
        <v>0</v>
      </c>
      <c r="O409">
        <v>0</v>
      </c>
      <c r="P409">
        <v>1278575.68</v>
      </c>
    </row>
    <row r="410" spans="1:16">
      <c r="A410" s="1">
        <v>44866</v>
      </c>
      <c r="B410" t="s">
        <v>123</v>
      </c>
      <c r="C410" t="s">
        <v>14</v>
      </c>
      <c r="D410" t="s">
        <v>15</v>
      </c>
      <c r="E410" t="s">
        <v>33</v>
      </c>
      <c r="F410" t="s">
        <v>17</v>
      </c>
      <c r="G410" t="s">
        <v>73</v>
      </c>
      <c r="H410" t="s">
        <v>525</v>
      </c>
      <c r="I410">
        <v>7</v>
      </c>
      <c r="J410" t="s">
        <v>83</v>
      </c>
      <c r="K410" t="str">
        <f t="shared" si="6"/>
        <v>36700</v>
      </c>
      <c r="L410">
        <v>5021165.34</v>
      </c>
      <c r="M410">
        <v>-31607.32</v>
      </c>
      <c r="N410">
        <v>0</v>
      </c>
      <c r="O410">
        <v>0</v>
      </c>
      <c r="P410">
        <v>4989558.0199999996</v>
      </c>
    </row>
    <row r="411" spans="1:16">
      <c r="A411" s="1">
        <v>44866</v>
      </c>
      <c r="B411" t="s">
        <v>123</v>
      </c>
      <c r="C411" t="s">
        <v>14</v>
      </c>
      <c r="D411" t="s">
        <v>15</v>
      </c>
      <c r="E411" t="s">
        <v>33</v>
      </c>
      <c r="F411" t="s">
        <v>17</v>
      </c>
      <c r="G411" t="s">
        <v>73</v>
      </c>
      <c r="H411" t="s">
        <v>525</v>
      </c>
      <c r="I411">
        <v>7</v>
      </c>
      <c r="J411" t="s">
        <v>84</v>
      </c>
      <c r="K411" t="str">
        <f t="shared" si="6"/>
        <v>36801</v>
      </c>
      <c r="L411">
        <v>298524.10000000003</v>
      </c>
      <c r="M411">
        <v>14477.77</v>
      </c>
      <c r="N411">
        <v>0</v>
      </c>
      <c r="O411">
        <v>0</v>
      </c>
      <c r="P411">
        <v>313001.87</v>
      </c>
    </row>
    <row r="412" spans="1:16">
      <c r="A412" s="1">
        <v>44866</v>
      </c>
      <c r="B412" t="s">
        <v>123</v>
      </c>
      <c r="C412" t="s">
        <v>14</v>
      </c>
      <c r="D412" t="s">
        <v>15</v>
      </c>
      <c r="E412" t="s">
        <v>33</v>
      </c>
      <c r="F412" t="s">
        <v>17</v>
      </c>
      <c r="G412" t="s">
        <v>73</v>
      </c>
      <c r="H412" t="s">
        <v>525</v>
      </c>
      <c r="I412">
        <v>7</v>
      </c>
      <c r="J412" t="s">
        <v>85</v>
      </c>
      <c r="K412" t="str">
        <f t="shared" si="6"/>
        <v>36802</v>
      </c>
      <c r="L412">
        <v>965124.56</v>
      </c>
      <c r="M412">
        <v>38800.270000000004</v>
      </c>
      <c r="N412">
        <v>0</v>
      </c>
      <c r="O412">
        <v>0</v>
      </c>
      <c r="P412">
        <v>1003924.83</v>
      </c>
    </row>
    <row r="413" spans="1:16">
      <c r="A413" s="1">
        <v>44866</v>
      </c>
      <c r="B413" t="s">
        <v>123</v>
      </c>
      <c r="C413" t="s">
        <v>14</v>
      </c>
      <c r="D413" t="s">
        <v>15</v>
      </c>
      <c r="E413" t="s">
        <v>33</v>
      </c>
      <c r="F413" t="s">
        <v>17</v>
      </c>
      <c r="G413" t="s">
        <v>73</v>
      </c>
      <c r="H413" t="s">
        <v>525</v>
      </c>
      <c r="I413">
        <v>7</v>
      </c>
      <c r="J413" t="s">
        <v>86</v>
      </c>
      <c r="K413" t="str">
        <f t="shared" si="6"/>
        <v>36803</v>
      </c>
      <c r="L413">
        <v>355861.17</v>
      </c>
      <c r="M413">
        <v>28914.260000000002</v>
      </c>
      <c r="N413">
        <v>0</v>
      </c>
      <c r="O413">
        <v>0</v>
      </c>
      <c r="P413">
        <v>384775.43</v>
      </c>
    </row>
    <row r="414" spans="1:16">
      <c r="A414" s="1">
        <v>44866</v>
      </c>
      <c r="B414" t="s">
        <v>123</v>
      </c>
      <c r="C414" t="s">
        <v>14</v>
      </c>
      <c r="D414" t="s">
        <v>15</v>
      </c>
      <c r="E414" t="s">
        <v>33</v>
      </c>
      <c r="F414" t="s">
        <v>17</v>
      </c>
      <c r="G414" t="s">
        <v>73</v>
      </c>
      <c r="H414" t="s">
        <v>525</v>
      </c>
      <c r="I414">
        <v>7</v>
      </c>
      <c r="J414" t="s">
        <v>87</v>
      </c>
      <c r="K414" t="str">
        <f t="shared" si="6"/>
        <v>36901</v>
      </c>
      <c r="L414">
        <v>560315.07999999996</v>
      </c>
      <c r="M414">
        <v>-16687.43</v>
      </c>
      <c r="N414">
        <v>0</v>
      </c>
      <c r="O414">
        <v>0</v>
      </c>
      <c r="P414">
        <v>543627.65</v>
      </c>
    </row>
    <row r="415" spans="1:16">
      <c r="A415" s="1">
        <v>44866</v>
      </c>
      <c r="B415" t="s">
        <v>123</v>
      </c>
      <c r="C415" t="s">
        <v>14</v>
      </c>
      <c r="D415" t="s">
        <v>15</v>
      </c>
      <c r="E415" t="s">
        <v>33</v>
      </c>
      <c r="F415" t="s">
        <v>17</v>
      </c>
      <c r="G415" t="s">
        <v>73</v>
      </c>
      <c r="H415" t="s">
        <v>525</v>
      </c>
      <c r="I415">
        <v>7</v>
      </c>
      <c r="J415" t="s">
        <v>88</v>
      </c>
      <c r="K415" t="str">
        <f t="shared" si="6"/>
        <v>36902</v>
      </c>
      <c r="L415">
        <v>533069.13</v>
      </c>
      <c r="M415">
        <v>-18812.59</v>
      </c>
      <c r="N415">
        <v>0</v>
      </c>
      <c r="O415">
        <v>0</v>
      </c>
      <c r="P415">
        <v>514256.54000000004</v>
      </c>
    </row>
    <row r="416" spans="1:16">
      <c r="A416" s="1">
        <v>44866</v>
      </c>
      <c r="B416" t="s">
        <v>123</v>
      </c>
      <c r="C416" t="s">
        <v>14</v>
      </c>
      <c r="D416" t="s">
        <v>15</v>
      </c>
      <c r="E416" t="s">
        <v>33</v>
      </c>
      <c r="F416" t="s">
        <v>17</v>
      </c>
      <c r="G416" t="s">
        <v>73</v>
      </c>
      <c r="H416" t="s">
        <v>525</v>
      </c>
      <c r="I416">
        <v>7</v>
      </c>
      <c r="J416" t="s">
        <v>89</v>
      </c>
      <c r="K416" t="str">
        <f t="shared" si="6"/>
        <v>37001</v>
      </c>
      <c r="L416">
        <v>8695.4600000000009</v>
      </c>
      <c r="M416">
        <v>-4991.6000000000004</v>
      </c>
      <c r="N416">
        <v>0</v>
      </c>
      <c r="O416">
        <v>0</v>
      </c>
      <c r="P416">
        <v>3703.86</v>
      </c>
    </row>
    <row r="417" spans="1:16">
      <c r="A417" s="1">
        <v>44866</v>
      </c>
      <c r="B417" t="s">
        <v>123</v>
      </c>
      <c r="C417" t="s">
        <v>14</v>
      </c>
      <c r="D417" t="s">
        <v>15</v>
      </c>
      <c r="E417" t="s">
        <v>33</v>
      </c>
      <c r="F417" t="s">
        <v>17</v>
      </c>
      <c r="G417" t="s">
        <v>73</v>
      </c>
      <c r="H417" t="s">
        <v>525</v>
      </c>
      <c r="I417">
        <v>7</v>
      </c>
      <c r="J417" t="s">
        <v>91</v>
      </c>
      <c r="K417" t="str">
        <f t="shared" si="6"/>
        <v>37004</v>
      </c>
      <c r="L417">
        <v>3393.53</v>
      </c>
      <c r="M417">
        <v>-3294.48</v>
      </c>
      <c r="N417">
        <v>0</v>
      </c>
      <c r="O417">
        <v>0</v>
      </c>
      <c r="P417">
        <v>99.05</v>
      </c>
    </row>
    <row r="418" spans="1:16">
      <c r="A418" s="1">
        <v>44866</v>
      </c>
      <c r="B418" t="s">
        <v>123</v>
      </c>
      <c r="C418" t="s">
        <v>14</v>
      </c>
      <c r="D418" t="s">
        <v>15</v>
      </c>
      <c r="E418" t="s">
        <v>33</v>
      </c>
      <c r="F418" t="s">
        <v>17</v>
      </c>
      <c r="G418" t="s">
        <v>73</v>
      </c>
      <c r="H418" t="s">
        <v>525</v>
      </c>
      <c r="I418">
        <v>7</v>
      </c>
      <c r="J418" t="s">
        <v>92</v>
      </c>
      <c r="K418" t="str">
        <f t="shared" si="6"/>
        <v>37100</v>
      </c>
      <c r="L418">
        <v>216135.06</v>
      </c>
      <c r="M418">
        <v>16790.46</v>
      </c>
      <c r="N418">
        <v>0</v>
      </c>
      <c r="O418">
        <v>0</v>
      </c>
      <c r="P418">
        <v>232925.52000000002</v>
      </c>
    </row>
    <row r="419" spans="1:16">
      <c r="A419" s="1">
        <v>44866</v>
      </c>
      <c r="B419" t="s">
        <v>123</v>
      </c>
      <c r="C419" t="s">
        <v>14</v>
      </c>
      <c r="D419" t="s">
        <v>15</v>
      </c>
      <c r="E419" t="s">
        <v>33</v>
      </c>
      <c r="F419" t="s">
        <v>17</v>
      </c>
      <c r="G419" t="s">
        <v>73</v>
      </c>
      <c r="H419" t="s">
        <v>525</v>
      </c>
      <c r="I419">
        <v>7</v>
      </c>
      <c r="J419" t="s">
        <v>93</v>
      </c>
      <c r="K419" t="str">
        <f t="shared" si="6"/>
        <v>37300</v>
      </c>
      <c r="L419">
        <v>1052529.3899999999</v>
      </c>
      <c r="M419">
        <v>28452</v>
      </c>
      <c r="N419">
        <v>0</v>
      </c>
      <c r="O419">
        <v>0</v>
      </c>
      <c r="P419">
        <v>1080981.3899999999</v>
      </c>
    </row>
    <row r="420" spans="1:16">
      <c r="A420" s="1">
        <v>44896</v>
      </c>
      <c r="B420" t="s">
        <v>122</v>
      </c>
      <c r="C420" t="s">
        <v>14</v>
      </c>
      <c r="D420" t="s">
        <v>15</v>
      </c>
      <c r="E420" t="s">
        <v>33</v>
      </c>
      <c r="F420" t="s">
        <v>24</v>
      </c>
      <c r="G420" t="s">
        <v>73</v>
      </c>
      <c r="H420" t="s">
        <v>525</v>
      </c>
      <c r="I420">
        <v>7</v>
      </c>
      <c r="J420" t="s">
        <v>74</v>
      </c>
      <c r="K420" t="str">
        <f t="shared" si="6"/>
        <v>36001</v>
      </c>
      <c r="L420">
        <v>658853.93000000005</v>
      </c>
      <c r="M420">
        <v>0</v>
      </c>
      <c r="N420">
        <v>0</v>
      </c>
      <c r="O420">
        <v>10000</v>
      </c>
      <c r="P420" s="8">
        <v>668853.93000000005</v>
      </c>
    </row>
    <row r="421" spans="1:16">
      <c r="A421" s="1">
        <v>44896</v>
      </c>
      <c r="B421" t="s">
        <v>122</v>
      </c>
      <c r="C421" t="s">
        <v>14</v>
      </c>
      <c r="D421" t="s">
        <v>15</v>
      </c>
      <c r="E421" t="s">
        <v>33</v>
      </c>
      <c r="F421" t="s">
        <v>24</v>
      </c>
      <c r="G421" t="s">
        <v>73</v>
      </c>
      <c r="H421" t="s">
        <v>525</v>
      </c>
      <c r="I421">
        <v>7</v>
      </c>
      <c r="J421" t="s">
        <v>75</v>
      </c>
      <c r="K421" t="str">
        <f t="shared" si="6"/>
        <v>36002</v>
      </c>
      <c r="L421">
        <v>184620.19</v>
      </c>
      <c r="M421">
        <v>0</v>
      </c>
      <c r="N421">
        <v>0</v>
      </c>
      <c r="O421">
        <v>0</v>
      </c>
      <c r="P421" s="8">
        <v>184620.19</v>
      </c>
    </row>
    <row r="422" spans="1:16">
      <c r="A422" s="1">
        <v>44896</v>
      </c>
      <c r="B422" t="s">
        <v>122</v>
      </c>
      <c r="C422" t="s">
        <v>14</v>
      </c>
      <c r="D422" t="s">
        <v>15</v>
      </c>
      <c r="E422" t="s">
        <v>33</v>
      </c>
      <c r="F422" t="s">
        <v>24</v>
      </c>
      <c r="G422" t="s">
        <v>73</v>
      </c>
      <c r="H422" t="s">
        <v>525</v>
      </c>
      <c r="I422">
        <v>7</v>
      </c>
      <c r="J422" t="s">
        <v>76</v>
      </c>
      <c r="K422" t="str">
        <f t="shared" si="6"/>
        <v>36003</v>
      </c>
      <c r="L422">
        <v>0</v>
      </c>
      <c r="M422">
        <v>0</v>
      </c>
      <c r="N422">
        <v>0</v>
      </c>
      <c r="O422">
        <v>19051.650000000001</v>
      </c>
      <c r="P422" s="8">
        <v>19051.650000000001</v>
      </c>
    </row>
    <row r="423" spans="1:16">
      <c r="A423" s="1">
        <v>44896</v>
      </c>
      <c r="B423" t="s">
        <v>122</v>
      </c>
      <c r="C423" t="s">
        <v>14</v>
      </c>
      <c r="D423" t="s">
        <v>15</v>
      </c>
      <c r="E423" t="s">
        <v>33</v>
      </c>
      <c r="F423" t="s">
        <v>24</v>
      </c>
      <c r="G423" t="s">
        <v>73</v>
      </c>
      <c r="H423" t="s">
        <v>525</v>
      </c>
      <c r="I423">
        <v>7</v>
      </c>
      <c r="J423" t="s">
        <v>77</v>
      </c>
      <c r="K423" t="str">
        <f t="shared" si="6"/>
        <v>36100</v>
      </c>
      <c r="L423">
        <v>643978.15</v>
      </c>
      <c r="M423">
        <v>0</v>
      </c>
      <c r="N423">
        <v>0</v>
      </c>
      <c r="O423">
        <v>0</v>
      </c>
      <c r="P423" s="8">
        <v>643978.15</v>
      </c>
    </row>
    <row r="424" spans="1:16">
      <c r="A424" s="1">
        <v>44896</v>
      </c>
      <c r="B424" t="s">
        <v>122</v>
      </c>
      <c r="C424" t="s">
        <v>14</v>
      </c>
      <c r="D424" t="s">
        <v>15</v>
      </c>
      <c r="E424" t="s">
        <v>33</v>
      </c>
      <c r="F424" t="s">
        <v>24</v>
      </c>
      <c r="G424" t="s">
        <v>73</v>
      </c>
      <c r="H424" t="s">
        <v>525</v>
      </c>
      <c r="I424">
        <v>7</v>
      </c>
      <c r="J424" t="s">
        <v>78</v>
      </c>
      <c r="K424" t="str">
        <f t="shared" si="6"/>
        <v>36105</v>
      </c>
      <c r="L424">
        <v>1169918.8700000001</v>
      </c>
      <c r="M424">
        <v>878814.20000000007</v>
      </c>
      <c r="N424">
        <v>0</v>
      </c>
      <c r="O424">
        <v>0</v>
      </c>
      <c r="P424" s="8">
        <v>2048733.07</v>
      </c>
    </row>
    <row r="425" spans="1:16">
      <c r="A425" s="1">
        <v>44896</v>
      </c>
      <c r="B425" t="s">
        <v>122</v>
      </c>
      <c r="C425" t="s">
        <v>14</v>
      </c>
      <c r="D425" t="s">
        <v>15</v>
      </c>
      <c r="E425" t="s">
        <v>33</v>
      </c>
      <c r="F425" t="s">
        <v>24</v>
      </c>
      <c r="G425" t="s">
        <v>73</v>
      </c>
      <c r="H425" t="s">
        <v>525</v>
      </c>
      <c r="I425">
        <v>7</v>
      </c>
      <c r="J425" t="s">
        <v>79</v>
      </c>
      <c r="K425" t="str">
        <f t="shared" si="6"/>
        <v>36200</v>
      </c>
      <c r="L425">
        <v>51322650.299999997</v>
      </c>
      <c r="M425">
        <v>4083506.56</v>
      </c>
      <c r="N425">
        <v>-70235.06</v>
      </c>
      <c r="O425">
        <v>0</v>
      </c>
      <c r="P425" s="8">
        <v>55335921.799999997</v>
      </c>
    </row>
    <row r="426" spans="1:16">
      <c r="A426" s="1">
        <v>44896</v>
      </c>
      <c r="B426" t="s">
        <v>122</v>
      </c>
      <c r="C426" t="s">
        <v>14</v>
      </c>
      <c r="D426" t="s">
        <v>15</v>
      </c>
      <c r="E426" t="s">
        <v>33</v>
      </c>
      <c r="F426" t="s">
        <v>24</v>
      </c>
      <c r="G426" t="s">
        <v>73</v>
      </c>
      <c r="H426" t="s">
        <v>525</v>
      </c>
      <c r="I426">
        <v>7</v>
      </c>
      <c r="J426" t="s">
        <v>80</v>
      </c>
      <c r="K426" t="str">
        <f t="shared" si="6"/>
        <v>36400</v>
      </c>
      <c r="L426">
        <v>84823224.219999999</v>
      </c>
      <c r="M426">
        <v>2202490.5299999998</v>
      </c>
      <c r="N426">
        <v>-692023.51</v>
      </c>
      <c r="O426">
        <v>0</v>
      </c>
      <c r="P426" s="8">
        <v>86333691.239999995</v>
      </c>
    </row>
    <row r="427" spans="1:16">
      <c r="A427" s="1">
        <v>44896</v>
      </c>
      <c r="B427" t="s">
        <v>122</v>
      </c>
      <c r="C427" t="s">
        <v>14</v>
      </c>
      <c r="D427" t="s">
        <v>15</v>
      </c>
      <c r="E427" t="s">
        <v>33</v>
      </c>
      <c r="F427" t="s">
        <v>24</v>
      </c>
      <c r="G427" t="s">
        <v>73</v>
      </c>
      <c r="H427" t="s">
        <v>525</v>
      </c>
      <c r="I427">
        <v>7</v>
      </c>
      <c r="J427" t="s">
        <v>81</v>
      </c>
      <c r="K427" t="str">
        <f t="shared" si="6"/>
        <v>36500</v>
      </c>
      <c r="L427">
        <v>54562054.670000002</v>
      </c>
      <c r="M427">
        <v>1154469</v>
      </c>
      <c r="N427">
        <v>-540391.6</v>
      </c>
      <c r="O427">
        <v>-36883.64</v>
      </c>
      <c r="P427" s="8">
        <v>55139248.43</v>
      </c>
    </row>
    <row r="428" spans="1:16">
      <c r="A428" s="1">
        <v>44896</v>
      </c>
      <c r="B428" t="s">
        <v>122</v>
      </c>
      <c r="C428" t="s">
        <v>14</v>
      </c>
      <c r="D428" t="s">
        <v>15</v>
      </c>
      <c r="E428" t="s">
        <v>33</v>
      </c>
      <c r="F428" t="s">
        <v>24</v>
      </c>
      <c r="G428" t="s">
        <v>73</v>
      </c>
      <c r="H428" t="s">
        <v>525</v>
      </c>
      <c r="I428">
        <v>7</v>
      </c>
      <c r="J428" t="s">
        <v>82</v>
      </c>
      <c r="K428" t="str">
        <f t="shared" si="6"/>
        <v>36600</v>
      </c>
      <c r="L428">
        <v>16093237.279999999</v>
      </c>
      <c r="M428">
        <v>590627.59</v>
      </c>
      <c r="N428">
        <v>-69780.990000000005</v>
      </c>
      <c r="O428">
        <v>0</v>
      </c>
      <c r="P428" s="8">
        <v>16614083.880000001</v>
      </c>
    </row>
    <row r="429" spans="1:16">
      <c r="A429" s="1">
        <v>44896</v>
      </c>
      <c r="B429" t="s">
        <v>122</v>
      </c>
      <c r="C429" t="s">
        <v>14</v>
      </c>
      <c r="D429" t="s">
        <v>15</v>
      </c>
      <c r="E429" t="s">
        <v>33</v>
      </c>
      <c r="F429" t="s">
        <v>24</v>
      </c>
      <c r="G429" t="s">
        <v>73</v>
      </c>
      <c r="H429" t="s">
        <v>525</v>
      </c>
      <c r="I429">
        <v>7</v>
      </c>
      <c r="J429" t="s">
        <v>83</v>
      </c>
      <c r="K429" t="str">
        <f t="shared" si="6"/>
        <v>36700</v>
      </c>
      <c r="L429">
        <v>29551974.239999998</v>
      </c>
      <c r="M429">
        <v>963227.51</v>
      </c>
      <c r="N429">
        <v>-71350.36</v>
      </c>
      <c r="O429">
        <v>0</v>
      </c>
      <c r="P429" s="8">
        <v>30443851.390000001</v>
      </c>
    </row>
    <row r="430" spans="1:16">
      <c r="A430" s="1">
        <v>44896</v>
      </c>
      <c r="B430" t="s">
        <v>122</v>
      </c>
      <c r="C430" t="s">
        <v>14</v>
      </c>
      <c r="D430" t="s">
        <v>15</v>
      </c>
      <c r="E430" t="s">
        <v>33</v>
      </c>
      <c r="F430" t="s">
        <v>24</v>
      </c>
      <c r="G430" t="s">
        <v>73</v>
      </c>
      <c r="H430" t="s">
        <v>525</v>
      </c>
      <c r="I430">
        <v>7</v>
      </c>
      <c r="J430" t="s">
        <v>84</v>
      </c>
      <c r="K430" t="str">
        <f t="shared" si="6"/>
        <v>36801</v>
      </c>
      <c r="L430">
        <v>10170824.539999999</v>
      </c>
      <c r="M430">
        <v>446538.36</v>
      </c>
      <c r="N430">
        <v>-41829.53</v>
      </c>
      <c r="O430">
        <v>0</v>
      </c>
      <c r="P430" s="8">
        <v>10575533.369999999</v>
      </c>
    </row>
    <row r="431" spans="1:16">
      <c r="A431" s="1">
        <v>44896</v>
      </c>
      <c r="B431" t="s">
        <v>122</v>
      </c>
      <c r="C431" t="s">
        <v>14</v>
      </c>
      <c r="D431" t="s">
        <v>15</v>
      </c>
      <c r="E431" t="s">
        <v>33</v>
      </c>
      <c r="F431" t="s">
        <v>24</v>
      </c>
      <c r="G431" t="s">
        <v>73</v>
      </c>
      <c r="H431" t="s">
        <v>525</v>
      </c>
      <c r="I431">
        <v>7</v>
      </c>
      <c r="J431" t="s">
        <v>85</v>
      </c>
      <c r="K431" t="str">
        <f t="shared" si="6"/>
        <v>36802</v>
      </c>
      <c r="L431">
        <v>32336785.030000001</v>
      </c>
      <c r="M431">
        <v>259734.86000000002</v>
      </c>
      <c r="N431">
        <v>1941.18</v>
      </c>
      <c r="O431">
        <v>0</v>
      </c>
      <c r="P431" s="8">
        <v>32598461.07</v>
      </c>
    </row>
    <row r="432" spans="1:16">
      <c r="A432" s="1">
        <v>44896</v>
      </c>
      <c r="B432" t="s">
        <v>122</v>
      </c>
      <c r="C432" t="s">
        <v>14</v>
      </c>
      <c r="D432" t="s">
        <v>15</v>
      </c>
      <c r="E432" t="s">
        <v>33</v>
      </c>
      <c r="F432" t="s">
        <v>24</v>
      </c>
      <c r="G432" t="s">
        <v>73</v>
      </c>
      <c r="H432" t="s">
        <v>525</v>
      </c>
      <c r="I432">
        <v>7</v>
      </c>
      <c r="J432" t="s">
        <v>86</v>
      </c>
      <c r="K432" t="str">
        <f t="shared" si="6"/>
        <v>36803</v>
      </c>
      <c r="L432">
        <v>27663695.75</v>
      </c>
      <c r="M432">
        <v>430184.32</v>
      </c>
      <c r="N432">
        <v>179.95000000000002</v>
      </c>
      <c r="O432">
        <v>0</v>
      </c>
      <c r="P432" s="8">
        <v>28094060.02</v>
      </c>
    </row>
    <row r="433" spans="1:16">
      <c r="A433" s="1">
        <v>44896</v>
      </c>
      <c r="B433" t="s">
        <v>122</v>
      </c>
      <c r="C433" t="s">
        <v>14</v>
      </c>
      <c r="D433" t="s">
        <v>15</v>
      </c>
      <c r="E433" t="s">
        <v>33</v>
      </c>
      <c r="F433" t="s">
        <v>24</v>
      </c>
      <c r="G433" t="s">
        <v>73</v>
      </c>
      <c r="H433" t="s">
        <v>525</v>
      </c>
      <c r="I433">
        <v>7</v>
      </c>
      <c r="J433" t="s">
        <v>87</v>
      </c>
      <c r="K433" t="str">
        <f t="shared" si="6"/>
        <v>36901</v>
      </c>
      <c r="L433">
        <v>10676766.140000001</v>
      </c>
      <c r="M433">
        <v>368770.26</v>
      </c>
      <c r="N433">
        <v>-12585.380000000001</v>
      </c>
      <c r="O433">
        <v>0</v>
      </c>
      <c r="P433" s="8">
        <v>11032951.02</v>
      </c>
    </row>
    <row r="434" spans="1:16">
      <c r="A434" s="1">
        <v>44896</v>
      </c>
      <c r="B434" t="s">
        <v>122</v>
      </c>
      <c r="C434" t="s">
        <v>14</v>
      </c>
      <c r="D434" t="s">
        <v>15</v>
      </c>
      <c r="E434" t="s">
        <v>33</v>
      </c>
      <c r="F434" t="s">
        <v>24</v>
      </c>
      <c r="G434" t="s">
        <v>73</v>
      </c>
      <c r="H434" t="s">
        <v>525</v>
      </c>
      <c r="I434">
        <v>7</v>
      </c>
      <c r="J434" t="s">
        <v>88</v>
      </c>
      <c r="K434" t="str">
        <f t="shared" si="6"/>
        <v>36902</v>
      </c>
      <c r="L434">
        <v>14306327.779999999</v>
      </c>
      <c r="M434">
        <v>355475.16000000003</v>
      </c>
      <c r="N434">
        <v>-3268.65</v>
      </c>
      <c r="O434">
        <v>0</v>
      </c>
      <c r="P434" s="8">
        <v>14658534.289999999</v>
      </c>
    </row>
    <row r="435" spans="1:16">
      <c r="A435" s="1">
        <v>44896</v>
      </c>
      <c r="B435" t="s">
        <v>122</v>
      </c>
      <c r="C435" t="s">
        <v>14</v>
      </c>
      <c r="D435" t="s">
        <v>15</v>
      </c>
      <c r="E435" t="s">
        <v>33</v>
      </c>
      <c r="F435" t="s">
        <v>24</v>
      </c>
      <c r="G435" t="s">
        <v>73</v>
      </c>
      <c r="H435" t="s">
        <v>525</v>
      </c>
      <c r="I435">
        <v>7</v>
      </c>
      <c r="J435" t="s">
        <v>89</v>
      </c>
      <c r="K435" t="str">
        <f t="shared" si="6"/>
        <v>37001</v>
      </c>
      <c r="L435">
        <v>1747616.52</v>
      </c>
      <c r="M435">
        <v>3537.07</v>
      </c>
      <c r="N435">
        <v>0</v>
      </c>
      <c r="O435">
        <v>2025.75</v>
      </c>
      <c r="P435" s="8">
        <v>1753179.3399999999</v>
      </c>
    </row>
    <row r="436" spans="1:16">
      <c r="A436" s="1">
        <v>44896</v>
      </c>
      <c r="B436" t="s">
        <v>122</v>
      </c>
      <c r="C436" t="s">
        <v>14</v>
      </c>
      <c r="D436" t="s">
        <v>15</v>
      </c>
      <c r="E436" t="s">
        <v>33</v>
      </c>
      <c r="F436" t="s">
        <v>24</v>
      </c>
      <c r="G436" t="s">
        <v>73</v>
      </c>
      <c r="H436" t="s">
        <v>525</v>
      </c>
      <c r="I436">
        <v>7</v>
      </c>
      <c r="J436" t="s">
        <v>90</v>
      </c>
      <c r="K436" t="str">
        <f t="shared" si="6"/>
        <v>37002</v>
      </c>
      <c r="L436">
        <v>0</v>
      </c>
      <c r="M436">
        <v>0</v>
      </c>
      <c r="N436">
        <v>0</v>
      </c>
      <c r="O436">
        <v>0</v>
      </c>
      <c r="P436" s="8">
        <v>0</v>
      </c>
    </row>
    <row r="437" spans="1:16">
      <c r="A437" s="1">
        <v>44896</v>
      </c>
      <c r="B437" t="s">
        <v>122</v>
      </c>
      <c r="C437" t="s">
        <v>14</v>
      </c>
      <c r="D437" t="s">
        <v>15</v>
      </c>
      <c r="E437" t="s">
        <v>33</v>
      </c>
      <c r="F437" t="s">
        <v>24</v>
      </c>
      <c r="G437" t="s">
        <v>73</v>
      </c>
      <c r="H437" t="s">
        <v>525</v>
      </c>
      <c r="I437">
        <v>7</v>
      </c>
      <c r="J437" t="s">
        <v>91</v>
      </c>
      <c r="K437" t="str">
        <f t="shared" si="6"/>
        <v>37004</v>
      </c>
      <c r="L437">
        <v>16687761.91</v>
      </c>
      <c r="M437">
        <v>-1039.27</v>
      </c>
      <c r="N437">
        <v>11381.050000000001</v>
      </c>
      <c r="O437">
        <v>311.63</v>
      </c>
      <c r="P437" s="8">
        <v>16698415.32</v>
      </c>
    </row>
    <row r="438" spans="1:16">
      <c r="A438" s="1">
        <v>44896</v>
      </c>
      <c r="B438" t="s">
        <v>122</v>
      </c>
      <c r="C438" t="s">
        <v>14</v>
      </c>
      <c r="D438" t="s">
        <v>15</v>
      </c>
      <c r="E438" t="s">
        <v>33</v>
      </c>
      <c r="F438" t="s">
        <v>24</v>
      </c>
      <c r="G438" t="s">
        <v>73</v>
      </c>
      <c r="H438" t="s">
        <v>525</v>
      </c>
      <c r="I438">
        <v>7</v>
      </c>
      <c r="J438" t="s">
        <v>92</v>
      </c>
      <c r="K438" t="str">
        <f t="shared" si="6"/>
        <v>37100</v>
      </c>
      <c r="L438">
        <v>2511908.5499999998</v>
      </c>
      <c r="M438">
        <v>150699.31</v>
      </c>
      <c r="N438">
        <v>-14990.300000000001</v>
      </c>
      <c r="O438">
        <v>0</v>
      </c>
      <c r="P438" s="8">
        <v>2647617.56</v>
      </c>
    </row>
    <row r="439" spans="1:16">
      <c r="A439" s="1">
        <v>44896</v>
      </c>
      <c r="B439" t="s">
        <v>122</v>
      </c>
      <c r="C439" t="s">
        <v>14</v>
      </c>
      <c r="D439" t="s">
        <v>15</v>
      </c>
      <c r="E439" t="s">
        <v>33</v>
      </c>
      <c r="F439" t="s">
        <v>24</v>
      </c>
      <c r="G439" t="s">
        <v>73</v>
      </c>
      <c r="H439" t="s">
        <v>525</v>
      </c>
      <c r="I439">
        <v>7</v>
      </c>
      <c r="J439" t="s">
        <v>93</v>
      </c>
      <c r="K439" t="str">
        <f t="shared" si="6"/>
        <v>37300</v>
      </c>
      <c r="L439">
        <v>10482117.59</v>
      </c>
      <c r="M439">
        <v>509888.62</v>
      </c>
      <c r="N439">
        <v>-20048.09</v>
      </c>
      <c r="O439">
        <v>-3387.64</v>
      </c>
      <c r="P439" s="8">
        <v>10968570.48</v>
      </c>
    </row>
    <row r="440" spans="1:16">
      <c r="A440" s="1">
        <v>44896</v>
      </c>
      <c r="B440" t="s">
        <v>122</v>
      </c>
      <c r="C440" t="s">
        <v>14</v>
      </c>
      <c r="D440" t="s">
        <v>15</v>
      </c>
      <c r="E440" t="s">
        <v>33</v>
      </c>
      <c r="F440" t="s">
        <v>119</v>
      </c>
      <c r="G440" t="s">
        <v>73</v>
      </c>
      <c r="H440" t="s">
        <v>525</v>
      </c>
      <c r="I440">
        <v>7</v>
      </c>
      <c r="J440" t="s">
        <v>74</v>
      </c>
      <c r="K440" t="str">
        <f t="shared" si="6"/>
        <v>36001</v>
      </c>
      <c r="L440">
        <v>0</v>
      </c>
      <c r="M440">
        <v>0</v>
      </c>
      <c r="N440">
        <v>0</v>
      </c>
      <c r="O440">
        <v>0</v>
      </c>
      <c r="P440" s="9">
        <v>0</v>
      </c>
    </row>
    <row r="441" spans="1:16">
      <c r="A441" s="1">
        <v>44896</v>
      </c>
      <c r="B441" t="s">
        <v>122</v>
      </c>
      <c r="C441" t="s">
        <v>14</v>
      </c>
      <c r="D441" t="s">
        <v>15</v>
      </c>
      <c r="E441" t="s">
        <v>33</v>
      </c>
      <c r="F441" t="s">
        <v>119</v>
      </c>
      <c r="G441" t="s">
        <v>73</v>
      </c>
      <c r="H441" t="s">
        <v>525</v>
      </c>
      <c r="I441">
        <v>7</v>
      </c>
      <c r="J441" t="s">
        <v>79</v>
      </c>
      <c r="K441" t="str">
        <f t="shared" si="6"/>
        <v>36200</v>
      </c>
      <c r="L441">
        <v>2753405.5</v>
      </c>
      <c r="M441">
        <v>0</v>
      </c>
      <c r="N441">
        <v>0</v>
      </c>
      <c r="O441">
        <v>0</v>
      </c>
      <c r="P441" s="9">
        <v>2753405.5</v>
      </c>
    </row>
    <row r="442" spans="1:16">
      <c r="A442" s="1">
        <v>44896</v>
      </c>
      <c r="B442" t="s">
        <v>122</v>
      </c>
      <c r="C442" t="s">
        <v>14</v>
      </c>
      <c r="D442" t="s">
        <v>15</v>
      </c>
      <c r="E442" t="s">
        <v>33</v>
      </c>
      <c r="F442" t="s">
        <v>17</v>
      </c>
      <c r="G442" t="s">
        <v>73</v>
      </c>
      <c r="H442" t="s">
        <v>525</v>
      </c>
      <c r="I442">
        <v>7</v>
      </c>
      <c r="J442" t="s">
        <v>74</v>
      </c>
      <c r="K442" t="str">
        <f t="shared" si="6"/>
        <v>36001</v>
      </c>
      <c r="L442">
        <v>16377.04</v>
      </c>
      <c r="M442">
        <v>0</v>
      </c>
      <c r="N442">
        <v>0</v>
      </c>
      <c r="O442">
        <v>0</v>
      </c>
      <c r="P442">
        <v>16377.04</v>
      </c>
    </row>
    <row r="443" spans="1:16">
      <c r="A443" s="1">
        <v>44896</v>
      </c>
      <c r="B443" t="s">
        <v>122</v>
      </c>
      <c r="C443" t="s">
        <v>14</v>
      </c>
      <c r="D443" t="s">
        <v>15</v>
      </c>
      <c r="E443" t="s">
        <v>33</v>
      </c>
      <c r="F443" t="s">
        <v>17</v>
      </c>
      <c r="G443" t="s">
        <v>73</v>
      </c>
      <c r="H443" t="s">
        <v>525</v>
      </c>
      <c r="I443">
        <v>7</v>
      </c>
      <c r="J443" t="s">
        <v>77</v>
      </c>
      <c r="K443" t="str">
        <f t="shared" si="6"/>
        <v>36100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>
      <c r="A444" s="1">
        <v>44896</v>
      </c>
      <c r="B444" t="s">
        <v>122</v>
      </c>
      <c r="C444" t="s">
        <v>14</v>
      </c>
      <c r="D444" t="s">
        <v>15</v>
      </c>
      <c r="E444" t="s">
        <v>33</v>
      </c>
      <c r="F444" t="s">
        <v>17</v>
      </c>
      <c r="G444" t="s">
        <v>73</v>
      </c>
      <c r="H444" t="s">
        <v>525</v>
      </c>
      <c r="I444">
        <v>7</v>
      </c>
      <c r="J444" t="s">
        <v>79</v>
      </c>
      <c r="K444" t="str">
        <f t="shared" si="6"/>
        <v>36200</v>
      </c>
      <c r="L444">
        <v>9753938.9000000004</v>
      </c>
      <c r="M444">
        <v>-4398277.67</v>
      </c>
      <c r="N444">
        <v>0</v>
      </c>
      <c r="O444">
        <v>0</v>
      </c>
      <c r="P444">
        <v>5355661.2300000004</v>
      </c>
    </row>
    <row r="445" spans="1:16">
      <c r="A445" s="1">
        <v>44896</v>
      </c>
      <c r="B445" t="s">
        <v>122</v>
      </c>
      <c r="C445" t="s">
        <v>14</v>
      </c>
      <c r="D445" t="s">
        <v>15</v>
      </c>
      <c r="E445" t="s">
        <v>33</v>
      </c>
      <c r="F445" t="s">
        <v>17</v>
      </c>
      <c r="G445" t="s">
        <v>73</v>
      </c>
      <c r="H445" t="s">
        <v>525</v>
      </c>
      <c r="I445">
        <v>7</v>
      </c>
      <c r="J445" t="s">
        <v>80</v>
      </c>
      <c r="K445" t="str">
        <f t="shared" si="6"/>
        <v>36400</v>
      </c>
      <c r="L445">
        <v>17043381.690000001</v>
      </c>
      <c r="M445">
        <v>391864.41000000003</v>
      </c>
      <c r="N445">
        <v>0</v>
      </c>
      <c r="O445">
        <v>0</v>
      </c>
      <c r="P445">
        <v>17435246.100000001</v>
      </c>
    </row>
    <row r="446" spans="1:16">
      <c r="A446" s="1">
        <v>44896</v>
      </c>
      <c r="B446" t="s">
        <v>122</v>
      </c>
      <c r="C446" t="s">
        <v>14</v>
      </c>
      <c r="D446" t="s">
        <v>15</v>
      </c>
      <c r="E446" t="s">
        <v>33</v>
      </c>
      <c r="F446" t="s">
        <v>17</v>
      </c>
      <c r="G446" t="s">
        <v>73</v>
      </c>
      <c r="H446" t="s">
        <v>525</v>
      </c>
      <c r="I446">
        <v>7</v>
      </c>
      <c r="J446" t="s">
        <v>81</v>
      </c>
      <c r="K446" t="str">
        <f t="shared" si="6"/>
        <v>36500</v>
      </c>
      <c r="L446">
        <v>4390120.55</v>
      </c>
      <c r="M446">
        <v>-110351.90000000001</v>
      </c>
      <c r="N446">
        <v>0</v>
      </c>
      <c r="O446">
        <v>0</v>
      </c>
      <c r="P446">
        <v>4279768.6500000004</v>
      </c>
    </row>
    <row r="447" spans="1:16">
      <c r="A447" s="1">
        <v>44896</v>
      </c>
      <c r="B447" t="s">
        <v>122</v>
      </c>
      <c r="C447" t="s">
        <v>14</v>
      </c>
      <c r="D447" t="s">
        <v>15</v>
      </c>
      <c r="E447" t="s">
        <v>33</v>
      </c>
      <c r="F447" t="s">
        <v>17</v>
      </c>
      <c r="G447" t="s">
        <v>73</v>
      </c>
      <c r="H447" t="s">
        <v>525</v>
      </c>
      <c r="I447">
        <v>7</v>
      </c>
      <c r="J447" t="s">
        <v>82</v>
      </c>
      <c r="K447" t="str">
        <f t="shared" si="6"/>
        <v>36600</v>
      </c>
      <c r="L447">
        <v>1278575.68</v>
      </c>
      <c r="M447">
        <v>-412238.44</v>
      </c>
      <c r="N447">
        <v>0</v>
      </c>
      <c r="O447">
        <v>0</v>
      </c>
      <c r="P447">
        <v>866337.24</v>
      </c>
    </row>
    <row r="448" spans="1:16">
      <c r="A448" s="1">
        <v>44896</v>
      </c>
      <c r="B448" t="s">
        <v>122</v>
      </c>
      <c r="C448" t="s">
        <v>14</v>
      </c>
      <c r="D448" t="s">
        <v>15</v>
      </c>
      <c r="E448" t="s">
        <v>33</v>
      </c>
      <c r="F448" t="s">
        <v>17</v>
      </c>
      <c r="G448" t="s">
        <v>73</v>
      </c>
      <c r="H448" t="s">
        <v>525</v>
      </c>
      <c r="I448">
        <v>7</v>
      </c>
      <c r="J448" t="s">
        <v>83</v>
      </c>
      <c r="K448" t="str">
        <f t="shared" si="6"/>
        <v>36700</v>
      </c>
      <c r="L448">
        <v>4989558.0199999996</v>
      </c>
      <c r="M448">
        <v>-176805.73</v>
      </c>
      <c r="N448">
        <v>0</v>
      </c>
      <c r="O448">
        <v>0</v>
      </c>
      <c r="P448">
        <v>4812752.29</v>
      </c>
    </row>
    <row r="449" spans="1:16">
      <c r="A449" s="1">
        <v>44896</v>
      </c>
      <c r="B449" t="s">
        <v>122</v>
      </c>
      <c r="C449" t="s">
        <v>14</v>
      </c>
      <c r="D449" t="s">
        <v>15</v>
      </c>
      <c r="E449" t="s">
        <v>33</v>
      </c>
      <c r="F449" t="s">
        <v>17</v>
      </c>
      <c r="G449" t="s">
        <v>73</v>
      </c>
      <c r="H449" t="s">
        <v>525</v>
      </c>
      <c r="I449">
        <v>7</v>
      </c>
      <c r="J449" t="s">
        <v>84</v>
      </c>
      <c r="K449" t="str">
        <f t="shared" si="6"/>
        <v>36801</v>
      </c>
      <c r="L449">
        <v>313001.87</v>
      </c>
      <c r="M449">
        <v>-208041.54</v>
      </c>
      <c r="N449">
        <v>0</v>
      </c>
      <c r="O449">
        <v>0</v>
      </c>
      <c r="P449">
        <v>104960.33</v>
      </c>
    </row>
    <row r="450" spans="1:16">
      <c r="A450" s="1">
        <v>44896</v>
      </c>
      <c r="B450" t="s">
        <v>122</v>
      </c>
      <c r="C450" t="s">
        <v>14</v>
      </c>
      <c r="D450" t="s">
        <v>15</v>
      </c>
      <c r="E450" t="s">
        <v>33</v>
      </c>
      <c r="F450" t="s">
        <v>17</v>
      </c>
      <c r="G450" t="s">
        <v>73</v>
      </c>
      <c r="H450" t="s">
        <v>525</v>
      </c>
      <c r="I450">
        <v>7</v>
      </c>
      <c r="J450" t="s">
        <v>85</v>
      </c>
      <c r="K450" t="str">
        <f t="shared" ref="K450:K513" si="7">MID(J450,2,5)</f>
        <v>36802</v>
      </c>
      <c r="L450">
        <v>1003924.83</v>
      </c>
      <c r="M450">
        <v>-634673.76</v>
      </c>
      <c r="N450">
        <v>0</v>
      </c>
      <c r="O450">
        <v>0</v>
      </c>
      <c r="P450">
        <v>369251.07</v>
      </c>
    </row>
    <row r="451" spans="1:16">
      <c r="A451" s="1">
        <v>44896</v>
      </c>
      <c r="B451" t="s">
        <v>122</v>
      </c>
      <c r="C451" t="s">
        <v>14</v>
      </c>
      <c r="D451" t="s">
        <v>15</v>
      </c>
      <c r="E451" t="s">
        <v>33</v>
      </c>
      <c r="F451" t="s">
        <v>17</v>
      </c>
      <c r="G451" t="s">
        <v>73</v>
      </c>
      <c r="H451" t="s">
        <v>525</v>
      </c>
      <c r="I451">
        <v>7</v>
      </c>
      <c r="J451" t="s">
        <v>86</v>
      </c>
      <c r="K451" t="str">
        <f t="shared" si="7"/>
        <v>36803</v>
      </c>
      <c r="L451">
        <v>384775.43</v>
      </c>
      <c r="M451">
        <v>-111513.92</v>
      </c>
      <c r="N451">
        <v>0</v>
      </c>
      <c r="O451">
        <v>0</v>
      </c>
      <c r="P451">
        <v>273261.51</v>
      </c>
    </row>
    <row r="452" spans="1:16">
      <c r="A452" s="1">
        <v>44896</v>
      </c>
      <c r="B452" t="s">
        <v>122</v>
      </c>
      <c r="C452" t="s">
        <v>14</v>
      </c>
      <c r="D452" t="s">
        <v>15</v>
      </c>
      <c r="E452" t="s">
        <v>33</v>
      </c>
      <c r="F452" t="s">
        <v>17</v>
      </c>
      <c r="G452" t="s">
        <v>73</v>
      </c>
      <c r="H452" t="s">
        <v>525</v>
      </c>
      <c r="I452">
        <v>7</v>
      </c>
      <c r="J452" t="s">
        <v>87</v>
      </c>
      <c r="K452" t="str">
        <f t="shared" si="7"/>
        <v>36901</v>
      </c>
      <c r="L452">
        <v>543627.65</v>
      </c>
      <c r="M452">
        <v>-234995.43</v>
      </c>
      <c r="N452">
        <v>0</v>
      </c>
      <c r="O452">
        <v>0</v>
      </c>
      <c r="P452">
        <v>308632.22000000003</v>
      </c>
    </row>
    <row r="453" spans="1:16">
      <c r="A453" s="1">
        <v>44896</v>
      </c>
      <c r="B453" t="s">
        <v>122</v>
      </c>
      <c r="C453" t="s">
        <v>14</v>
      </c>
      <c r="D453" t="s">
        <v>15</v>
      </c>
      <c r="E453" t="s">
        <v>33</v>
      </c>
      <c r="F453" t="s">
        <v>17</v>
      </c>
      <c r="G453" t="s">
        <v>73</v>
      </c>
      <c r="H453" t="s">
        <v>525</v>
      </c>
      <c r="I453">
        <v>7</v>
      </c>
      <c r="J453" t="s">
        <v>88</v>
      </c>
      <c r="K453" t="str">
        <f t="shared" si="7"/>
        <v>36902</v>
      </c>
      <c r="L453">
        <v>514256.54000000004</v>
      </c>
      <c r="M453">
        <v>-287429.22000000003</v>
      </c>
      <c r="N453">
        <v>0</v>
      </c>
      <c r="O453">
        <v>0</v>
      </c>
      <c r="P453">
        <v>226827.32</v>
      </c>
    </row>
    <row r="454" spans="1:16">
      <c r="A454" s="1">
        <v>44896</v>
      </c>
      <c r="B454" t="s">
        <v>122</v>
      </c>
      <c r="C454" t="s">
        <v>14</v>
      </c>
      <c r="D454" t="s">
        <v>15</v>
      </c>
      <c r="E454" t="s">
        <v>33</v>
      </c>
      <c r="F454" t="s">
        <v>17</v>
      </c>
      <c r="G454" t="s">
        <v>73</v>
      </c>
      <c r="H454" t="s">
        <v>525</v>
      </c>
      <c r="I454">
        <v>7</v>
      </c>
      <c r="J454" t="s">
        <v>89</v>
      </c>
      <c r="K454" t="str">
        <f t="shared" si="7"/>
        <v>37001</v>
      </c>
      <c r="L454">
        <v>3703.86</v>
      </c>
      <c r="M454">
        <v>42.92</v>
      </c>
      <c r="N454">
        <v>0</v>
      </c>
      <c r="O454">
        <v>0</v>
      </c>
      <c r="P454">
        <v>3746.78</v>
      </c>
    </row>
    <row r="455" spans="1:16">
      <c r="A455" s="1">
        <v>44896</v>
      </c>
      <c r="B455" t="s">
        <v>122</v>
      </c>
      <c r="C455" t="s">
        <v>14</v>
      </c>
      <c r="D455" t="s">
        <v>15</v>
      </c>
      <c r="E455" t="s">
        <v>33</v>
      </c>
      <c r="F455" t="s">
        <v>17</v>
      </c>
      <c r="G455" t="s">
        <v>73</v>
      </c>
      <c r="H455" t="s">
        <v>525</v>
      </c>
      <c r="I455">
        <v>7</v>
      </c>
      <c r="J455" t="s">
        <v>91</v>
      </c>
      <c r="K455" t="str">
        <f t="shared" si="7"/>
        <v>37004</v>
      </c>
      <c r="L455">
        <v>99.05</v>
      </c>
      <c r="M455">
        <v>42.92</v>
      </c>
      <c r="N455">
        <v>0</v>
      </c>
      <c r="O455">
        <v>0</v>
      </c>
      <c r="P455">
        <v>141.97</v>
      </c>
    </row>
    <row r="456" spans="1:16">
      <c r="A456" s="1">
        <v>44896</v>
      </c>
      <c r="B456" t="s">
        <v>122</v>
      </c>
      <c r="C456" t="s">
        <v>14</v>
      </c>
      <c r="D456" t="s">
        <v>15</v>
      </c>
      <c r="E456" t="s">
        <v>33</v>
      </c>
      <c r="F456" t="s">
        <v>17</v>
      </c>
      <c r="G456" t="s">
        <v>73</v>
      </c>
      <c r="H456" t="s">
        <v>525</v>
      </c>
      <c r="I456">
        <v>7</v>
      </c>
      <c r="J456" t="s">
        <v>92</v>
      </c>
      <c r="K456" t="str">
        <f t="shared" si="7"/>
        <v>37100</v>
      </c>
      <c r="L456">
        <v>232925.52000000002</v>
      </c>
      <c r="M456">
        <v>-133982.23000000001</v>
      </c>
      <c r="N456">
        <v>0</v>
      </c>
      <c r="O456">
        <v>0</v>
      </c>
      <c r="P456">
        <v>98943.290000000008</v>
      </c>
    </row>
    <row r="457" spans="1:16">
      <c r="A457" s="1">
        <v>44896</v>
      </c>
      <c r="B457" t="s">
        <v>122</v>
      </c>
      <c r="C457" t="s">
        <v>14</v>
      </c>
      <c r="D457" t="s">
        <v>15</v>
      </c>
      <c r="E457" t="s">
        <v>33</v>
      </c>
      <c r="F457" t="s">
        <v>17</v>
      </c>
      <c r="G457" t="s">
        <v>73</v>
      </c>
      <c r="H457" t="s">
        <v>525</v>
      </c>
      <c r="I457">
        <v>7</v>
      </c>
      <c r="J457" t="s">
        <v>93</v>
      </c>
      <c r="K457" t="str">
        <f t="shared" si="7"/>
        <v>37300</v>
      </c>
      <c r="L457">
        <v>1080981.3899999999</v>
      </c>
      <c r="M457">
        <v>-443493.33</v>
      </c>
      <c r="N457">
        <v>0</v>
      </c>
      <c r="O457">
        <v>0</v>
      </c>
      <c r="P457">
        <v>637488.06000000006</v>
      </c>
    </row>
    <row r="458" spans="1:16">
      <c r="A458" s="1">
        <v>44531</v>
      </c>
      <c r="B458" t="s">
        <v>13</v>
      </c>
      <c r="C458" t="s">
        <v>14</v>
      </c>
      <c r="D458" t="s">
        <v>15</v>
      </c>
      <c r="E458" t="s">
        <v>33</v>
      </c>
      <c r="F458" t="s">
        <v>24</v>
      </c>
      <c r="G458" t="s">
        <v>73</v>
      </c>
      <c r="H458" t="s">
        <v>525</v>
      </c>
      <c r="I458">
        <v>7</v>
      </c>
      <c r="J458" t="s">
        <v>74</v>
      </c>
      <c r="K458" t="str">
        <f t="shared" si="7"/>
        <v>36001</v>
      </c>
      <c r="L458">
        <v>658853.93000000005</v>
      </c>
      <c r="M458">
        <v>0</v>
      </c>
      <c r="N458">
        <v>0</v>
      </c>
      <c r="O458">
        <v>0</v>
      </c>
      <c r="P458" s="8">
        <v>658853.93000000005</v>
      </c>
    </row>
    <row r="459" spans="1:16">
      <c r="A459" s="1">
        <v>44531</v>
      </c>
      <c r="B459" t="s">
        <v>13</v>
      </c>
      <c r="C459" t="s">
        <v>14</v>
      </c>
      <c r="D459" t="s">
        <v>15</v>
      </c>
      <c r="E459" t="s">
        <v>33</v>
      </c>
      <c r="F459" t="s">
        <v>24</v>
      </c>
      <c r="G459" t="s">
        <v>73</v>
      </c>
      <c r="H459" t="s">
        <v>525</v>
      </c>
      <c r="I459">
        <v>7</v>
      </c>
      <c r="J459" t="s">
        <v>75</v>
      </c>
      <c r="K459" t="str">
        <f t="shared" si="7"/>
        <v>36002</v>
      </c>
      <c r="L459">
        <v>184620.19</v>
      </c>
      <c r="M459">
        <v>0</v>
      </c>
      <c r="N459">
        <v>0</v>
      </c>
      <c r="O459">
        <v>0</v>
      </c>
      <c r="P459" s="8">
        <v>184620.19</v>
      </c>
    </row>
    <row r="460" spans="1:16">
      <c r="A460" s="1">
        <v>44531</v>
      </c>
      <c r="B460" t="s">
        <v>13</v>
      </c>
      <c r="C460" t="s">
        <v>14</v>
      </c>
      <c r="D460" t="s">
        <v>15</v>
      </c>
      <c r="E460" t="s">
        <v>33</v>
      </c>
      <c r="F460" t="s">
        <v>24</v>
      </c>
      <c r="G460" t="s">
        <v>73</v>
      </c>
      <c r="H460" t="s">
        <v>525</v>
      </c>
      <c r="I460">
        <v>7</v>
      </c>
      <c r="J460" t="s">
        <v>76</v>
      </c>
      <c r="K460" t="str">
        <f t="shared" si="7"/>
        <v>36003</v>
      </c>
      <c r="L460">
        <v>0</v>
      </c>
      <c r="M460">
        <v>0</v>
      </c>
      <c r="N460">
        <v>0</v>
      </c>
      <c r="O460">
        <v>0</v>
      </c>
      <c r="P460" s="8">
        <v>0</v>
      </c>
    </row>
    <row r="461" spans="1:16">
      <c r="A461" s="1">
        <v>44531</v>
      </c>
      <c r="B461" t="s">
        <v>13</v>
      </c>
      <c r="C461" t="s">
        <v>14</v>
      </c>
      <c r="D461" t="s">
        <v>15</v>
      </c>
      <c r="E461" t="s">
        <v>33</v>
      </c>
      <c r="F461" t="s">
        <v>24</v>
      </c>
      <c r="G461" t="s">
        <v>73</v>
      </c>
      <c r="H461" t="s">
        <v>525</v>
      </c>
      <c r="I461">
        <v>7</v>
      </c>
      <c r="J461" t="s">
        <v>77</v>
      </c>
      <c r="K461" t="str">
        <f t="shared" si="7"/>
        <v>36100</v>
      </c>
      <c r="L461">
        <v>625227.14</v>
      </c>
      <c r="M461">
        <v>0</v>
      </c>
      <c r="N461">
        <v>0</v>
      </c>
      <c r="O461">
        <v>0</v>
      </c>
      <c r="P461" s="8">
        <v>625227.14</v>
      </c>
    </row>
    <row r="462" spans="1:16">
      <c r="A462" s="1">
        <v>44531</v>
      </c>
      <c r="B462" t="s">
        <v>13</v>
      </c>
      <c r="C462" t="s">
        <v>14</v>
      </c>
      <c r="D462" t="s">
        <v>15</v>
      </c>
      <c r="E462" t="s">
        <v>33</v>
      </c>
      <c r="F462" t="s">
        <v>24</v>
      </c>
      <c r="G462" t="s">
        <v>73</v>
      </c>
      <c r="H462" t="s">
        <v>525</v>
      </c>
      <c r="I462">
        <v>7</v>
      </c>
      <c r="J462" t="s">
        <v>78</v>
      </c>
      <c r="K462" t="str">
        <f t="shared" si="7"/>
        <v>36105</v>
      </c>
      <c r="L462">
        <v>1169918.8700000001</v>
      </c>
      <c r="M462">
        <v>0</v>
      </c>
      <c r="N462">
        <v>0</v>
      </c>
      <c r="O462">
        <v>0</v>
      </c>
      <c r="P462" s="8">
        <v>1169918.8700000001</v>
      </c>
    </row>
    <row r="463" spans="1:16">
      <c r="A463" s="1">
        <v>44531</v>
      </c>
      <c r="B463" t="s">
        <v>13</v>
      </c>
      <c r="C463" t="s">
        <v>14</v>
      </c>
      <c r="D463" t="s">
        <v>15</v>
      </c>
      <c r="E463" t="s">
        <v>33</v>
      </c>
      <c r="F463" t="s">
        <v>24</v>
      </c>
      <c r="G463" t="s">
        <v>73</v>
      </c>
      <c r="H463" t="s">
        <v>525</v>
      </c>
      <c r="I463">
        <v>7</v>
      </c>
      <c r="J463" t="s">
        <v>79</v>
      </c>
      <c r="K463" t="str">
        <f t="shared" si="7"/>
        <v>36200</v>
      </c>
      <c r="L463">
        <v>51184216.350000001</v>
      </c>
      <c r="M463">
        <v>0</v>
      </c>
      <c r="N463">
        <v>0</v>
      </c>
      <c r="O463">
        <v>0</v>
      </c>
      <c r="P463" s="8">
        <v>51184216.350000001</v>
      </c>
    </row>
    <row r="464" spans="1:16">
      <c r="A464" s="1">
        <v>44531</v>
      </c>
      <c r="B464" t="s">
        <v>13</v>
      </c>
      <c r="C464" t="s">
        <v>14</v>
      </c>
      <c r="D464" t="s">
        <v>15</v>
      </c>
      <c r="E464" t="s">
        <v>33</v>
      </c>
      <c r="F464" t="s">
        <v>24</v>
      </c>
      <c r="G464" t="s">
        <v>73</v>
      </c>
      <c r="H464" t="s">
        <v>525</v>
      </c>
      <c r="I464">
        <v>7</v>
      </c>
      <c r="J464" t="s">
        <v>80</v>
      </c>
      <c r="K464" t="str">
        <f t="shared" si="7"/>
        <v>36400</v>
      </c>
      <c r="L464">
        <v>78543446.469999999</v>
      </c>
      <c r="M464">
        <v>1474997.72</v>
      </c>
      <c r="N464">
        <v>-11065.17</v>
      </c>
      <c r="O464">
        <v>0</v>
      </c>
      <c r="P464" s="8">
        <v>80007379.019999996</v>
      </c>
    </row>
    <row r="465" spans="1:16">
      <c r="A465" s="1">
        <v>44531</v>
      </c>
      <c r="B465" t="s">
        <v>13</v>
      </c>
      <c r="C465" t="s">
        <v>14</v>
      </c>
      <c r="D465" t="s">
        <v>15</v>
      </c>
      <c r="E465" t="s">
        <v>33</v>
      </c>
      <c r="F465" t="s">
        <v>24</v>
      </c>
      <c r="G465" t="s">
        <v>73</v>
      </c>
      <c r="H465" t="s">
        <v>525</v>
      </c>
      <c r="I465">
        <v>7</v>
      </c>
      <c r="J465" t="s">
        <v>81</v>
      </c>
      <c r="K465" t="str">
        <f t="shared" si="7"/>
        <v>36500</v>
      </c>
      <c r="L465">
        <v>53342297.609999999</v>
      </c>
      <c r="M465">
        <v>386151.09</v>
      </c>
      <c r="N465">
        <v>0</v>
      </c>
      <c r="O465">
        <v>0</v>
      </c>
      <c r="P465" s="8">
        <v>53728448.700000003</v>
      </c>
    </row>
    <row r="466" spans="1:16">
      <c r="A466" s="1">
        <v>44531</v>
      </c>
      <c r="B466" t="s">
        <v>13</v>
      </c>
      <c r="C466" t="s">
        <v>14</v>
      </c>
      <c r="D466" t="s">
        <v>15</v>
      </c>
      <c r="E466" t="s">
        <v>33</v>
      </c>
      <c r="F466" t="s">
        <v>24</v>
      </c>
      <c r="G466" t="s">
        <v>73</v>
      </c>
      <c r="H466" t="s">
        <v>525</v>
      </c>
      <c r="I466">
        <v>7</v>
      </c>
      <c r="J466" t="s">
        <v>82</v>
      </c>
      <c r="K466" t="str">
        <f t="shared" si="7"/>
        <v>36600</v>
      </c>
      <c r="L466">
        <v>14154541.310000001</v>
      </c>
      <c r="M466">
        <v>27751.23</v>
      </c>
      <c r="N466">
        <v>-413.31</v>
      </c>
      <c r="O466">
        <v>0</v>
      </c>
      <c r="P466" s="8">
        <v>14181879.23</v>
      </c>
    </row>
    <row r="467" spans="1:16">
      <c r="A467" s="1">
        <v>44531</v>
      </c>
      <c r="B467" t="s">
        <v>13</v>
      </c>
      <c r="C467" t="s">
        <v>14</v>
      </c>
      <c r="D467" t="s">
        <v>15</v>
      </c>
      <c r="E467" t="s">
        <v>33</v>
      </c>
      <c r="F467" t="s">
        <v>24</v>
      </c>
      <c r="G467" t="s">
        <v>73</v>
      </c>
      <c r="H467" t="s">
        <v>525</v>
      </c>
      <c r="I467">
        <v>7</v>
      </c>
      <c r="J467" t="s">
        <v>83</v>
      </c>
      <c r="K467" t="str">
        <f t="shared" si="7"/>
        <v>36700</v>
      </c>
      <c r="L467">
        <v>27590822.84</v>
      </c>
      <c r="M467">
        <v>71169.58</v>
      </c>
      <c r="N467">
        <v>0</v>
      </c>
      <c r="O467">
        <v>0</v>
      </c>
      <c r="P467" s="8">
        <v>27661992.420000002</v>
      </c>
    </row>
    <row r="468" spans="1:16">
      <c r="A468" s="1">
        <v>44531</v>
      </c>
      <c r="B468" t="s">
        <v>13</v>
      </c>
      <c r="C468" t="s">
        <v>14</v>
      </c>
      <c r="D468" t="s">
        <v>15</v>
      </c>
      <c r="E468" t="s">
        <v>33</v>
      </c>
      <c r="F468" t="s">
        <v>24</v>
      </c>
      <c r="G468" t="s">
        <v>73</v>
      </c>
      <c r="H468" t="s">
        <v>525</v>
      </c>
      <c r="I468">
        <v>7</v>
      </c>
      <c r="J468" t="s">
        <v>84</v>
      </c>
      <c r="K468" t="str">
        <f t="shared" si="7"/>
        <v>36801</v>
      </c>
      <c r="L468">
        <v>9595786.6600000001</v>
      </c>
      <c r="M468">
        <v>50520.840000000004</v>
      </c>
      <c r="N468">
        <v>0</v>
      </c>
      <c r="O468">
        <v>0</v>
      </c>
      <c r="P468" s="8">
        <v>9646307.5</v>
      </c>
    </row>
    <row r="469" spans="1:16">
      <c r="A469" s="1">
        <v>44531</v>
      </c>
      <c r="B469" t="s">
        <v>13</v>
      </c>
      <c r="C469" t="s">
        <v>14</v>
      </c>
      <c r="D469" t="s">
        <v>15</v>
      </c>
      <c r="E469" t="s">
        <v>33</v>
      </c>
      <c r="F469" t="s">
        <v>24</v>
      </c>
      <c r="G469" t="s">
        <v>73</v>
      </c>
      <c r="H469" t="s">
        <v>525</v>
      </c>
      <c r="I469">
        <v>7</v>
      </c>
      <c r="J469" t="s">
        <v>85</v>
      </c>
      <c r="K469" t="str">
        <f t="shared" si="7"/>
        <v>36802</v>
      </c>
      <c r="L469">
        <v>30397559.260000002</v>
      </c>
      <c r="M469">
        <v>179511.83000000002</v>
      </c>
      <c r="N469">
        <v>0</v>
      </c>
      <c r="O469">
        <v>-4027.42</v>
      </c>
      <c r="P469" s="8">
        <v>30573043.670000002</v>
      </c>
    </row>
    <row r="470" spans="1:16">
      <c r="A470" s="1">
        <v>44531</v>
      </c>
      <c r="B470" t="s">
        <v>13</v>
      </c>
      <c r="C470" t="s">
        <v>14</v>
      </c>
      <c r="D470" t="s">
        <v>15</v>
      </c>
      <c r="E470" t="s">
        <v>33</v>
      </c>
      <c r="F470" t="s">
        <v>24</v>
      </c>
      <c r="G470" t="s">
        <v>73</v>
      </c>
      <c r="H470" t="s">
        <v>525</v>
      </c>
      <c r="I470">
        <v>7</v>
      </c>
      <c r="J470" t="s">
        <v>86</v>
      </c>
      <c r="K470" t="str">
        <f t="shared" si="7"/>
        <v>36803</v>
      </c>
      <c r="L470">
        <v>24803975.149999999</v>
      </c>
      <c r="M470">
        <v>41292.82</v>
      </c>
      <c r="N470">
        <v>-14.46</v>
      </c>
      <c r="O470">
        <v>-2978.78</v>
      </c>
      <c r="P470" s="8">
        <v>24842274.73</v>
      </c>
    </row>
    <row r="471" spans="1:16">
      <c r="A471" s="1">
        <v>44531</v>
      </c>
      <c r="B471" t="s">
        <v>13</v>
      </c>
      <c r="C471" t="s">
        <v>14</v>
      </c>
      <c r="D471" t="s">
        <v>15</v>
      </c>
      <c r="E471" t="s">
        <v>33</v>
      </c>
      <c r="F471" t="s">
        <v>24</v>
      </c>
      <c r="G471" t="s">
        <v>73</v>
      </c>
      <c r="H471" t="s">
        <v>525</v>
      </c>
      <c r="I471">
        <v>7</v>
      </c>
      <c r="J471" t="s">
        <v>87</v>
      </c>
      <c r="K471" t="str">
        <f t="shared" si="7"/>
        <v>36901</v>
      </c>
      <c r="L471">
        <v>9992632.0500000007</v>
      </c>
      <c r="M471">
        <v>5039.4800000000005</v>
      </c>
      <c r="N471">
        <v>0</v>
      </c>
      <c r="O471">
        <v>0</v>
      </c>
      <c r="P471" s="8">
        <v>9997671.5299999993</v>
      </c>
    </row>
    <row r="472" spans="1:16">
      <c r="A472" s="1">
        <v>44531</v>
      </c>
      <c r="B472" t="s">
        <v>13</v>
      </c>
      <c r="C472" t="s">
        <v>14</v>
      </c>
      <c r="D472" t="s">
        <v>15</v>
      </c>
      <c r="E472" t="s">
        <v>33</v>
      </c>
      <c r="F472" t="s">
        <v>24</v>
      </c>
      <c r="G472" t="s">
        <v>73</v>
      </c>
      <c r="H472" t="s">
        <v>525</v>
      </c>
      <c r="I472">
        <v>7</v>
      </c>
      <c r="J472" t="s">
        <v>88</v>
      </c>
      <c r="K472" t="str">
        <f t="shared" si="7"/>
        <v>36902</v>
      </c>
      <c r="L472">
        <v>13276684.939999999</v>
      </c>
      <c r="M472">
        <v>9368.2800000000007</v>
      </c>
      <c r="N472">
        <v>0</v>
      </c>
      <c r="O472">
        <v>0</v>
      </c>
      <c r="P472" s="8">
        <v>13286053.220000001</v>
      </c>
    </row>
    <row r="473" spans="1:16">
      <c r="A473" s="1">
        <v>44531</v>
      </c>
      <c r="B473" t="s">
        <v>13</v>
      </c>
      <c r="C473" t="s">
        <v>14</v>
      </c>
      <c r="D473" t="s">
        <v>15</v>
      </c>
      <c r="E473" t="s">
        <v>33</v>
      </c>
      <c r="F473" t="s">
        <v>24</v>
      </c>
      <c r="G473" t="s">
        <v>73</v>
      </c>
      <c r="H473" t="s">
        <v>525</v>
      </c>
      <c r="I473">
        <v>7</v>
      </c>
      <c r="J473" t="s">
        <v>89</v>
      </c>
      <c r="K473" t="str">
        <f t="shared" si="7"/>
        <v>37001</v>
      </c>
      <c r="L473">
        <v>1701565.55</v>
      </c>
      <c r="M473">
        <v>6635.99</v>
      </c>
      <c r="N473">
        <v>0</v>
      </c>
      <c r="O473">
        <v>0</v>
      </c>
      <c r="P473" s="8">
        <v>1708201.54</v>
      </c>
    </row>
    <row r="474" spans="1:16">
      <c r="A474" s="1">
        <v>44531</v>
      </c>
      <c r="B474" t="s">
        <v>13</v>
      </c>
      <c r="C474" t="s">
        <v>14</v>
      </c>
      <c r="D474" t="s">
        <v>15</v>
      </c>
      <c r="E474" t="s">
        <v>33</v>
      </c>
      <c r="F474" t="s">
        <v>24</v>
      </c>
      <c r="G474" t="s">
        <v>73</v>
      </c>
      <c r="H474" t="s">
        <v>525</v>
      </c>
      <c r="I474">
        <v>7</v>
      </c>
      <c r="J474" t="s">
        <v>90</v>
      </c>
      <c r="K474" t="str">
        <f t="shared" si="7"/>
        <v>37002</v>
      </c>
      <c r="L474">
        <v>0</v>
      </c>
      <c r="M474">
        <v>0</v>
      </c>
      <c r="N474">
        <v>0</v>
      </c>
      <c r="O474">
        <v>0</v>
      </c>
      <c r="P474" s="8">
        <v>0</v>
      </c>
    </row>
    <row r="475" spans="1:16">
      <c r="A475" s="1">
        <v>44531</v>
      </c>
      <c r="B475" t="s">
        <v>13</v>
      </c>
      <c r="C475" t="s">
        <v>14</v>
      </c>
      <c r="D475" t="s">
        <v>15</v>
      </c>
      <c r="E475" t="s">
        <v>33</v>
      </c>
      <c r="F475" t="s">
        <v>24</v>
      </c>
      <c r="G475" t="s">
        <v>73</v>
      </c>
      <c r="H475" t="s">
        <v>525</v>
      </c>
      <c r="I475">
        <v>7</v>
      </c>
      <c r="J475" t="s">
        <v>91</v>
      </c>
      <c r="K475" t="str">
        <f t="shared" si="7"/>
        <v>37004</v>
      </c>
      <c r="L475">
        <v>17440079.030000001</v>
      </c>
      <c r="M475">
        <v>9032.3700000000008</v>
      </c>
      <c r="N475">
        <v>-331388.77</v>
      </c>
      <c r="O475">
        <v>331388.77</v>
      </c>
      <c r="P475" s="8">
        <v>17449111.399999999</v>
      </c>
    </row>
    <row r="476" spans="1:16">
      <c r="A476" s="1">
        <v>44531</v>
      </c>
      <c r="B476" t="s">
        <v>13</v>
      </c>
      <c r="C476" t="s">
        <v>14</v>
      </c>
      <c r="D476" t="s">
        <v>15</v>
      </c>
      <c r="E476" t="s">
        <v>33</v>
      </c>
      <c r="F476" t="s">
        <v>24</v>
      </c>
      <c r="G476" t="s">
        <v>73</v>
      </c>
      <c r="H476" t="s">
        <v>525</v>
      </c>
      <c r="I476">
        <v>7</v>
      </c>
      <c r="J476" t="s">
        <v>92</v>
      </c>
      <c r="K476" t="str">
        <f t="shared" si="7"/>
        <v>37100</v>
      </c>
      <c r="L476">
        <v>2499206.9</v>
      </c>
      <c r="M476">
        <v>-78.56</v>
      </c>
      <c r="N476">
        <v>0</v>
      </c>
      <c r="O476">
        <v>0</v>
      </c>
      <c r="P476" s="8">
        <v>2499128.34</v>
      </c>
    </row>
    <row r="477" spans="1:16">
      <c r="A477" s="1">
        <v>44531</v>
      </c>
      <c r="B477" t="s">
        <v>13</v>
      </c>
      <c r="C477" t="s">
        <v>14</v>
      </c>
      <c r="D477" t="s">
        <v>15</v>
      </c>
      <c r="E477" t="s">
        <v>33</v>
      </c>
      <c r="F477" t="s">
        <v>24</v>
      </c>
      <c r="G477" t="s">
        <v>73</v>
      </c>
      <c r="H477" t="s">
        <v>525</v>
      </c>
      <c r="I477">
        <v>7</v>
      </c>
      <c r="J477" t="s">
        <v>93</v>
      </c>
      <c r="K477" t="str">
        <f t="shared" si="7"/>
        <v>37300</v>
      </c>
      <c r="L477">
        <v>10119241.59</v>
      </c>
      <c r="M477">
        <v>1268.27</v>
      </c>
      <c r="N477">
        <v>0</v>
      </c>
      <c r="O477">
        <v>0</v>
      </c>
      <c r="P477" s="8">
        <v>10120509.859999999</v>
      </c>
    </row>
    <row r="478" spans="1:16">
      <c r="A478" s="1">
        <v>44531</v>
      </c>
      <c r="B478" t="s">
        <v>13</v>
      </c>
      <c r="C478" t="s">
        <v>14</v>
      </c>
      <c r="D478" t="s">
        <v>15</v>
      </c>
      <c r="E478" t="s">
        <v>33</v>
      </c>
      <c r="F478" t="s">
        <v>119</v>
      </c>
      <c r="G478" t="s">
        <v>73</v>
      </c>
      <c r="H478" t="s">
        <v>525</v>
      </c>
      <c r="I478">
        <v>7</v>
      </c>
      <c r="J478" t="s">
        <v>74</v>
      </c>
      <c r="K478" t="str">
        <f t="shared" si="7"/>
        <v>36001</v>
      </c>
      <c r="L478">
        <v>0</v>
      </c>
      <c r="M478">
        <v>0</v>
      </c>
      <c r="N478">
        <v>0</v>
      </c>
      <c r="O478">
        <v>0</v>
      </c>
      <c r="P478" s="9">
        <v>0</v>
      </c>
    </row>
    <row r="479" spans="1:16">
      <c r="A479" s="1">
        <v>44531</v>
      </c>
      <c r="B479" t="s">
        <v>13</v>
      </c>
      <c r="C479" t="s">
        <v>14</v>
      </c>
      <c r="D479" t="s">
        <v>15</v>
      </c>
      <c r="E479" t="s">
        <v>33</v>
      </c>
      <c r="F479" t="s">
        <v>119</v>
      </c>
      <c r="G479" t="s">
        <v>73</v>
      </c>
      <c r="H479" t="s">
        <v>525</v>
      </c>
      <c r="I479">
        <v>7</v>
      </c>
      <c r="J479" t="s">
        <v>79</v>
      </c>
      <c r="K479" t="str">
        <f t="shared" si="7"/>
        <v>36200</v>
      </c>
      <c r="L479">
        <v>2753405.5</v>
      </c>
      <c r="M479">
        <v>0</v>
      </c>
      <c r="N479">
        <v>0</v>
      </c>
      <c r="O479">
        <v>0</v>
      </c>
      <c r="P479" s="9">
        <v>2753405.5</v>
      </c>
    </row>
    <row r="480" spans="1:16">
      <c r="A480" s="1">
        <v>44531</v>
      </c>
      <c r="B480" t="s">
        <v>13</v>
      </c>
      <c r="C480" t="s">
        <v>14</v>
      </c>
      <c r="D480" t="s">
        <v>15</v>
      </c>
      <c r="E480" t="s">
        <v>33</v>
      </c>
      <c r="F480" t="s">
        <v>17</v>
      </c>
      <c r="G480" t="s">
        <v>73</v>
      </c>
      <c r="H480" t="s">
        <v>525</v>
      </c>
      <c r="I480">
        <v>7</v>
      </c>
      <c r="J480" t="s">
        <v>74</v>
      </c>
      <c r="K480" t="str">
        <f t="shared" si="7"/>
        <v>36001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>
      <c r="A481" s="1">
        <v>44531</v>
      </c>
      <c r="B481" t="s">
        <v>13</v>
      </c>
      <c r="C481" t="s">
        <v>14</v>
      </c>
      <c r="D481" t="s">
        <v>15</v>
      </c>
      <c r="E481" t="s">
        <v>33</v>
      </c>
      <c r="F481" t="s">
        <v>17</v>
      </c>
      <c r="G481" t="s">
        <v>73</v>
      </c>
      <c r="H481" t="s">
        <v>525</v>
      </c>
      <c r="I481">
        <v>7</v>
      </c>
      <c r="J481" t="s">
        <v>77</v>
      </c>
      <c r="K481" t="str">
        <f t="shared" si="7"/>
        <v>36100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>
      <c r="A482" s="1">
        <v>44531</v>
      </c>
      <c r="B482" t="s">
        <v>13</v>
      </c>
      <c r="C482" t="s">
        <v>14</v>
      </c>
      <c r="D482" t="s">
        <v>15</v>
      </c>
      <c r="E482" t="s">
        <v>33</v>
      </c>
      <c r="F482" t="s">
        <v>17</v>
      </c>
      <c r="G482" t="s">
        <v>73</v>
      </c>
      <c r="H482" t="s">
        <v>525</v>
      </c>
      <c r="I482">
        <v>7</v>
      </c>
      <c r="J482" t="s">
        <v>79</v>
      </c>
      <c r="K482" t="str">
        <f t="shared" si="7"/>
        <v>36200</v>
      </c>
      <c r="L482">
        <v>76347.100000000006</v>
      </c>
      <c r="M482">
        <v>-5069.8100000000004</v>
      </c>
      <c r="N482">
        <v>0</v>
      </c>
      <c r="O482">
        <v>0</v>
      </c>
      <c r="P482">
        <v>71277.290000000008</v>
      </c>
    </row>
    <row r="483" spans="1:16">
      <c r="A483" s="1">
        <v>44531</v>
      </c>
      <c r="B483" t="s">
        <v>13</v>
      </c>
      <c r="C483" t="s">
        <v>14</v>
      </c>
      <c r="D483" t="s">
        <v>15</v>
      </c>
      <c r="E483" t="s">
        <v>33</v>
      </c>
      <c r="F483" t="s">
        <v>17</v>
      </c>
      <c r="G483" t="s">
        <v>73</v>
      </c>
      <c r="H483" t="s">
        <v>525</v>
      </c>
      <c r="I483">
        <v>7</v>
      </c>
      <c r="J483" t="s">
        <v>80</v>
      </c>
      <c r="K483" t="str">
        <f t="shared" si="7"/>
        <v>36400</v>
      </c>
      <c r="L483">
        <v>18388919.370000001</v>
      </c>
      <c r="M483">
        <v>-488983.2</v>
      </c>
      <c r="N483">
        <v>0</v>
      </c>
      <c r="O483">
        <v>0</v>
      </c>
      <c r="P483">
        <v>17899936.170000002</v>
      </c>
    </row>
    <row r="484" spans="1:16">
      <c r="A484" s="1">
        <v>44531</v>
      </c>
      <c r="B484" t="s">
        <v>13</v>
      </c>
      <c r="C484" t="s">
        <v>14</v>
      </c>
      <c r="D484" t="s">
        <v>15</v>
      </c>
      <c r="E484" t="s">
        <v>33</v>
      </c>
      <c r="F484" t="s">
        <v>17</v>
      </c>
      <c r="G484" t="s">
        <v>73</v>
      </c>
      <c r="H484" t="s">
        <v>525</v>
      </c>
      <c r="I484">
        <v>7</v>
      </c>
      <c r="J484" t="s">
        <v>81</v>
      </c>
      <c r="K484" t="str">
        <f t="shared" si="7"/>
        <v>36500</v>
      </c>
      <c r="L484">
        <v>4086463.97</v>
      </c>
      <c r="M484">
        <v>47349.4</v>
      </c>
      <c r="N484">
        <v>0</v>
      </c>
      <c r="O484">
        <v>0</v>
      </c>
      <c r="P484">
        <v>4133813.37</v>
      </c>
    </row>
    <row r="485" spans="1:16">
      <c r="A485" s="1">
        <v>44531</v>
      </c>
      <c r="B485" t="s">
        <v>13</v>
      </c>
      <c r="C485" t="s">
        <v>14</v>
      </c>
      <c r="D485" t="s">
        <v>15</v>
      </c>
      <c r="E485" t="s">
        <v>33</v>
      </c>
      <c r="F485" t="s">
        <v>17</v>
      </c>
      <c r="G485" t="s">
        <v>73</v>
      </c>
      <c r="H485" t="s">
        <v>525</v>
      </c>
      <c r="I485">
        <v>7</v>
      </c>
      <c r="J485" t="s">
        <v>82</v>
      </c>
      <c r="K485" t="str">
        <f t="shared" si="7"/>
        <v>36600</v>
      </c>
      <c r="L485">
        <v>1480154.12</v>
      </c>
      <c r="M485">
        <v>124924.57</v>
      </c>
      <c r="N485">
        <v>0</v>
      </c>
      <c r="O485">
        <v>0</v>
      </c>
      <c r="P485">
        <v>1605078.69</v>
      </c>
    </row>
    <row r="486" spans="1:16">
      <c r="A486" s="1">
        <v>44531</v>
      </c>
      <c r="B486" t="s">
        <v>13</v>
      </c>
      <c r="C486" t="s">
        <v>14</v>
      </c>
      <c r="D486" t="s">
        <v>15</v>
      </c>
      <c r="E486" t="s">
        <v>33</v>
      </c>
      <c r="F486" t="s">
        <v>17</v>
      </c>
      <c r="G486" t="s">
        <v>73</v>
      </c>
      <c r="H486" t="s">
        <v>525</v>
      </c>
      <c r="I486">
        <v>7</v>
      </c>
      <c r="J486" t="s">
        <v>83</v>
      </c>
      <c r="K486" t="str">
        <f t="shared" si="7"/>
        <v>36700</v>
      </c>
      <c r="L486">
        <v>5917421.1399999997</v>
      </c>
      <c r="M486">
        <v>8869.48</v>
      </c>
      <c r="N486">
        <v>0</v>
      </c>
      <c r="O486">
        <v>0</v>
      </c>
      <c r="P486">
        <v>5926290.6200000001</v>
      </c>
    </row>
    <row r="487" spans="1:16">
      <c r="A487" s="1">
        <v>44531</v>
      </c>
      <c r="B487" t="s">
        <v>13</v>
      </c>
      <c r="C487" t="s">
        <v>14</v>
      </c>
      <c r="D487" t="s">
        <v>15</v>
      </c>
      <c r="E487" t="s">
        <v>33</v>
      </c>
      <c r="F487" t="s">
        <v>17</v>
      </c>
      <c r="G487" t="s">
        <v>73</v>
      </c>
      <c r="H487" t="s">
        <v>525</v>
      </c>
      <c r="I487">
        <v>7</v>
      </c>
      <c r="J487" t="s">
        <v>84</v>
      </c>
      <c r="K487" t="str">
        <f t="shared" si="7"/>
        <v>36801</v>
      </c>
      <c r="L487">
        <v>614317.63</v>
      </c>
      <c r="M487">
        <v>40339.15</v>
      </c>
      <c r="N487">
        <v>0</v>
      </c>
      <c r="O487">
        <v>0</v>
      </c>
      <c r="P487">
        <v>654656.78</v>
      </c>
    </row>
    <row r="488" spans="1:16">
      <c r="A488" s="1">
        <v>44531</v>
      </c>
      <c r="B488" t="s">
        <v>13</v>
      </c>
      <c r="C488" t="s">
        <v>14</v>
      </c>
      <c r="D488" t="s">
        <v>15</v>
      </c>
      <c r="E488" t="s">
        <v>33</v>
      </c>
      <c r="F488" t="s">
        <v>17</v>
      </c>
      <c r="G488" t="s">
        <v>73</v>
      </c>
      <c r="H488" t="s">
        <v>525</v>
      </c>
      <c r="I488">
        <v>7</v>
      </c>
      <c r="J488" t="s">
        <v>85</v>
      </c>
      <c r="K488" t="str">
        <f t="shared" si="7"/>
        <v>36802</v>
      </c>
      <c r="L488">
        <v>945359.62</v>
      </c>
      <c r="M488">
        <v>94739.98</v>
      </c>
      <c r="N488">
        <v>0</v>
      </c>
      <c r="O488">
        <v>0</v>
      </c>
      <c r="P488">
        <v>1040099.6</v>
      </c>
    </row>
    <row r="489" spans="1:16">
      <c r="A489" s="1">
        <v>44531</v>
      </c>
      <c r="B489" t="s">
        <v>13</v>
      </c>
      <c r="C489" t="s">
        <v>14</v>
      </c>
      <c r="D489" t="s">
        <v>15</v>
      </c>
      <c r="E489" t="s">
        <v>33</v>
      </c>
      <c r="F489" t="s">
        <v>17</v>
      </c>
      <c r="G489" t="s">
        <v>73</v>
      </c>
      <c r="H489" t="s">
        <v>525</v>
      </c>
      <c r="I489">
        <v>7</v>
      </c>
      <c r="J489" t="s">
        <v>86</v>
      </c>
      <c r="K489" t="str">
        <f t="shared" si="7"/>
        <v>36803</v>
      </c>
      <c r="L489">
        <v>652796</v>
      </c>
      <c r="M489">
        <v>34237.919999999998</v>
      </c>
      <c r="N489">
        <v>0</v>
      </c>
      <c r="O489">
        <v>0</v>
      </c>
      <c r="P489">
        <v>687033.92</v>
      </c>
    </row>
    <row r="490" spans="1:16">
      <c r="A490" s="1">
        <v>44531</v>
      </c>
      <c r="B490" t="s">
        <v>13</v>
      </c>
      <c r="C490" t="s">
        <v>14</v>
      </c>
      <c r="D490" t="s">
        <v>15</v>
      </c>
      <c r="E490" t="s">
        <v>33</v>
      </c>
      <c r="F490" t="s">
        <v>17</v>
      </c>
      <c r="G490" t="s">
        <v>73</v>
      </c>
      <c r="H490" t="s">
        <v>525</v>
      </c>
      <c r="I490">
        <v>7</v>
      </c>
      <c r="J490" t="s">
        <v>87</v>
      </c>
      <c r="K490" t="str">
        <f t="shared" si="7"/>
        <v>36901</v>
      </c>
      <c r="L490">
        <v>528730.6</v>
      </c>
      <c r="M490">
        <v>41178.370000000003</v>
      </c>
      <c r="N490">
        <v>0</v>
      </c>
      <c r="O490">
        <v>0</v>
      </c>
      <c r="P490">
        <v>569908.97</v>
      </c>
    </row>
    <row r="491" spans="1:16">
      <c r="A491" s="1">
        <v>44531</v>
      </c>
      <c r="B491" t="s">
        <v>13</v>
      </c>
      <c r="C491" t="s">
        <v>14</v>
      </c>
      <c r="D491" t="s">
        <v>15</v>
      </c>
      <c r="E491" t="s">
        <v>33</v>
      </c>
      <c r="F491" t="s">
        <v>17</v>
      </c>
      <c r="G491" t="s">
        <v>73</v>
      </c>
      <c r="H491" t="s">
        <v>525</v>
      </c>
      <c r="I491">
        <v>7</v>
      </c>
      <c r="J491" t="s">
        <v>88</v>
      </c>
      <c r="K491" t="str">
        <f t="shared" si="7"/>
        <v>36902</v>
      </c>
      <c r="L491">
        <v>766521.38</v>
      </c>
      <c r="M491">
        <v>51657.26</v>
      </c>
      <c r="N491">
        <v>0</v>
      </c>
      <c r="O491">
        <v>0</v>
      </c>
      <c r="P491">
        <v>818178.64</v>
      </c>
    </row>
    <row r="492" spans="1:16">
      <c r="A492" s="1">
        <v>44531</v>
      </c>
      <c r="B492" t="s">
        <v>13</v>
      </c>
      <c r="C492" t="s">
        <v>14</v>
      </c>
      <c r="D492" t="s">
        <v>15</v>
      </c>
      <c r="E492" t="s">
        <v>33</v>
      </c>
      <c r="F492" t="s">
        <v>17</v>
      </c>
      <c r="G492" t="s">
        <v>73</v>
      </c>
      <c r="H492" t="s">
        <v>525</v>
      </c>
      <c r="I492">
        <v>7</v>
      </c>
      <c r="J492" t="s">
        <v>89</v>
      </c>
      <c r="K492" t="str">
        <f t="shared" si="7"/>
        <v>37001</v>
      </c>
      <c r="L492">
        <v>6822.96</v>
      </c>
      <c r="M492">
        <v>-4831.08</v>
      </c>
      <c r="N492">
        <v>0</v>
      </c>
      <c r="O492">
        <v>0</v>
      </c>
      <c r="P492">
        <v>1991.88</v>
      </c>
    </row>
    <row r="493" spans="1:16">
      <c r="A493" s="1">
        <v>44531</v>
      </c>
      <c r="B493" t="s">
        <v>13</v>
      </c>
      <c r="C493" t="s">
        <v>14</v>
      </c>
      <c r="D493" t="s">
        <v>15</v>
      </c>
      <c r="E493" t="s">
        <v>33</v>
      </c>
      <c r="F493" t="s">
        <v>17</v>
      </c>
      <c r="G493" t="s">
        <v>73</v>
      </c>
      <c r="H493" t="s">
        <v>525</v>
      </c>
      <c r="I493">
        <v>7</v>
      </c>
      <c r="J493" t="s">
        <v>91</v>
      </c>
      <c r="K493" t="str">
        <f t="shared" si="7"/>
        <v>37004</v>
      </c>
      <c r="L493">
        <v>13233.98</v>
      </c>
      <c r="M493">
        <v>-11242.1</v>
      </c>
      <c r="N493">
        <v>0</v>
      </c>
      <c r="O493">
        <v>0</v>
      </c>
      <c r="P493">
        <v>1991.88</v>
      </c>
    </row>
    <row r="494" spans="1:16">
      <c r="A494" s="1">
        <v>44531</v>
      </c>
      <c r="B494" t="s">
        <v>13</v>
      </c>
      <c r="C494" t="s">
        <v>14</v>
      </c>
      <c r="D494" t="s">
        <v>15</v>
      </c>
      <c r="E494" t="s">
        <v>33</v>
      </c>
      <c r="F494" t="s">
        <v>17</v>
      </c>
      <c r="G494" t="s">
        <v>73</v>
      </c>
      <c r="H494" t="s">
        <v>525</v>
      </c>
      <c r="I494">
        <v>7</v>
      </c>
      <c r="J494" t="s">
        <v>92</v>
      </c>
      <c r="K494" t="str">
        <f t="shared" si="7"/>
        <v>37100</v>
      </c>
      <c r="L494">
        <v>143963.59</v>
      </c>
      <c r="M494">
        <v>1325.93</v>
      </c>
      <c r="N494">
        <v>0</v>
      </c>
      <c r="O494">
        <v>0</v>
      </c>
      <c r="P494">
        <v>145289.51999999999</v>
      </c>
    </row>
    <row r="495" spans="1:16">
      <c r="A495" s="1">
        <v>44531</v>
      </c>
      <c r="B495" t="s">
        <v>13</v>
      </c>
      <c r="C495" t="s">
        <v>14</v>
      </c>
      <c r="D495" t="s">
        <v>15</v>
      </c>
      <c r="E495" t="s">
        <v>33</v>
      </c>
      <c r="F495" t="s">
        <v>17</v>
      </c>
      <c r="G495" t="s">
        <v>73</v>
      </c>
      <c r="H495" t="s">
        <v>525</v>
      </c>
      <c r="I495">
        <v>7</v>
      </c>
      <c r="J495" t="s">
        <v>93</v>
      </c>
      <c r="K495" t="str">
        <f t="shared" si="7"/>
        <v>37300</v>
      </c>
      <c r="L495">
        <v>694423.37</v>
      </c>
      <c r="M495">
        <v>143537.18</v>
      </c>
      <c r="N495">
        <v>0</v>
      </c>
      <c r="O495">
        <v>0</v>
      </c>
      <c r="P495">
        <v>837960.55</v>
      </c>
    </row>
    <row r="496" spans="1:16">
      <c r="A496" s="1">
        <v>44562</v>
      </c>
      <c r="B496" t="s">
        <v>133</v>
      </c>
      <c r="C496" t="s">
        <v>14</v>
      </c>
      <c r="D496" t="s">
        <v>15</v>
      </c>
      <c r="E496" t="s">
        <v>23</v>
      </c>
      <c r="F496" t="s">
        <v>24</v>
      </c>
      <c r="G496" t="s">
        <v>25</v>
      </c>
      <c r="H496" t="s">
        <v>526</v>
      </c>
      <c r="I496">
        <v>20</v>
      </c>
      <c r="J496" t="s">
        <v>26</v>
      </c>
      <c r="K496" t="str">
        <f t="shared" si="7"/>
        <v>39103</v>
      </c>
      <c r="L496">
        <v>0</v>
      </c>
      <c r="M496">
        <v>0</v>
      </c>
      <c r="N496">
        <v>0</v>
      </c>
      <c r="O496">
        <v>0</v>
      </c>
      <c r="P496" s="8">
        <v>0</v>
      </c>
    </row>
    <row r="497" spans="1:16">
      <c r="A497" s="1">
        <v>44562</v>
      </c>
      <c r="B497" t="s">
        <v>133</v>
      </c>
      <c r="C497" t="s">
        <v>14</v>
      </c>
      <c r="D497" t="s">
        <v>15</v>
      </c>
      <c r="E497" t="s">
        <v>23</v>
      </c>
      <c r="F497" t="s">
        <v>24</v>
      </c>
      <c r="G497" t="s">
        <v>25</v>
      </c>
      <c r="H497" t="s">
        <v>526</v>
      </c>
      <c r="I497">
        <v>20</v>
      </c>
      <c r="J497" t="s">
        <v>27</v>
      </c>
      <c r="K497" t="str">
        <f t="shared" si="7"/>
        <v>39104</v>
      </c>
      <c r="L497">
        <v>0</v>
      </c>
      <c r="M497">
        <v>0</v>
      </c>
      <c r="N497">
        <v>0</v>
      </c>
      <c r="O497">
        <v>0</v>
      </c>
      <c r="P497" s="8">
        <v>0</v>
      </c>
    </row>
    <row r="498" spans="1:16">
      <c r="A498" s="1">
        <v>44562</v>
      </c>
      <c r="B498" t="s">
        <v>133</v>
      </c>
      <c r="C498" t="s">
        <v>14</v>
      </c>
      <c r="D498" t="s">
        <v>15</v>
      </c>
      <c r="E498" t="s">
        <v>23</v>
      </c>
      <c r="F498" t="s">
        <v>24</v>
      </c>
      <c r="G498" t="s">
        <v>25</v>
      </c>
      <c r="H498" t="s">
        <v>526</v>
      </c>
      <c r="I498">
        <v>20</v>
      </c>
      <c r="J498" t="s">
        <v>28</v>
      </c>
      <c r="K498" t="str">
        <f t="shared" si="7"/>
        <v>39105</v>
      </c>
      <c r="L498">
        <v>0</v>
      </c>
      <c r="M498">
        <v>0</v>
      </c>
      <c r="N498">
        <v>0</v>
      </c>
      <c r="O498">
        <v>0</v>
      </c>
      <c r="P498" s="8">
        <v>0</v>
      </c>
    </row>
    <row r="499" spans="1:16">
      <c r="A499" s="1">
        <v>44562</v>
      </c>
      <c r="B499" t="s">
        <v>133</v>
      </c>
      <c r="C499" t="s">
        <v>14</v>
      </c>
      <c r="D499" t="s">
        <v>15</v>
      </c>
      <c r="E499" t="s">
        <v>23</v>
      </c>
      <c r="F499" t="s">
        <v>24</v>
      </c>
      <c r="G499" t="s">
        <v>25</v>
      </c>
      <c r="H499" t="s">
        <v>526</v>
      </c>
      <c r="I499">
        <v>20</v>
      </c>
      <c r="J499" t="s">
        <v>29</v>
      </c>
      <c r="K499" t="str">
        <f t="shared" si="7"/>
        <v>39700</v>
      </c>
      <c r="L499">
        <v>0</v>
      </c>
      <c r="M499">
        <v>0</v>
      </c>
      <c r="N499">
        <v>0</v>
      </c>
      <c r="O499">
        <v>0</v>
      </c>
      <c r="P499" s="8">
        <v>0</v>
      </c>
    </row>
    <row r="500" spans="1:16">
      <c r="A500" s="1">
        <v>44562</v>
      </c>
      <c r="B500" t="s">
        <v>133</v>
      </c>
      <c r="C500" t="s">
        <v>14</v>
      </c>
      <c r="D500" t="s">
        <v>15</v>
      </c>
      <c r="E500" t="s">
        <v>23</v>
      </c>
      <c r="F500" t="s">
        <v>17</v>
      </c>
      <c r="G500" t="s">
        <v>25</v>
      </c>
      <c r="H500" t="s">
        <v>526</v>
      </c>
      <c r="I500">
        <v>20</v>
      </c>
      <c r="J500" t="s">
        <v>30</v>
      </c>
      <c r="K500" t="str">
        <f t="shared" si="7"/>
        <v>39001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>
      <c r="A501" s="1">
        <v>44562</v>
      </c>
      <c r="B501" t="s">
        <v>133</v>
      </c>
      <c r="C501" t="s">
        <v>14</v>
      </c>
      <c r="D501" t="s">
        <v>15</v>
      </c>
      <c r="E501" t="s">
        <v>23</v>
      </c>
      <c r="F501" t="s">
        <v>17</v>
      </c>
      <c r="G501" t="s">
        <v>25</v>
      </c>
      <c r="H501" t="s">
        <v>526</v>
      </c>
      <c r="I501">
        <v>20</v>
      </c>
      <c r="J501" t="s">
        <v>26</v>
      </c>
      <c r="K501" t="str">
        <f t="shared" si="7"/>
        <v>39103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>
      <c r="A502" s="1">
        <v>44562</v>
      </c>
      <c r="B502" t="s">
        <v>133</v>
      </c>
      <c r="C502" t="s">
        <v>14</v>
      </c>
      <c r="D502" t="s">
        <v>15</v>
      </c>
      <c r="E502" t="s">
        <v>23</v>
      </c>
      <c r="F502" t="s">
        <v>17</v>
      </c>
      <c r="G502" t="s">
        <v>25</v>
      </c>
      <c r="H502" t="s">
        <v>526</v>
      </c>
      <c r="I502">
        <v>20</v>
      </c>
      <c r="J502" t="s">
        <v>29</v>
      </c>
      <c r="K502" t="str">
        <f t="shared" si="7"/>
        <v>39700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>
      <c r="A503" s="1">
        <v>44562</v>
      </c>
      <c r="B503" t="s">
        <v>133</v>
      </c>
      <c r="C503" t="s">
        <v>14</v>
      </c>
      <c r="D503" t="s">
        <v>15</v>
      </c>
      <c r="E503" t="s">
        <v>23</v>
      </c>
      <c r="F503" t="s">
        <v>17</v>
      </c>
      <c r="G503" t="s">
        <v>25</v>
      </c>
      <c r="H503" t="s">
        <v>526</v>
      </c>
      <c r="I503">
        <v>20</v>
      </c>
      <c r="J503" t="s">
        <v>31</v>
      </c>
      <c r="K503" t="str">
        <f t="shared" si="7"/>
        <v>39800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>
      <c r="A504" s="1">
        <v>44593</v>
      </c>
      <c r="B504" t="s">
        <v>132</v>
      </c>
      <c r="C504" t="s">
        <v>14</v>
      </c>
      <c r="D504" t="s">
        <v>15</v>
      </c>
      <c r="E504" t="s">
        <v>23</v>
      </c>
      <c r="F504" t="s">
        <v>24</v>
      </c>
      <c r="G504" t="s">
        <v>25</v>
      </c>
      <c r="H504" t="s">
        <v>526</v>
      </c>
      <c r="I504">
        <v>20</v>
      </c>
      <c r="J504" t="s">
        <v>26</v>
      </c>
      <c r="K504" t="str">
        <f t="shared" si="7"/>
        <v>39103</v>
      </c>
      <c r="L504">
        <v>0</v>
      </c>
      <c r="M504">
        <v>0</v>
      </c>
      <c r="N504">
        <v>0</v>
      </c>
      <c r="O504">
        <v>0</v>
      </c>
      <c r="P504" s="8">
        <v>0</v>
      </c>
    </row>
    <row r="505" spans="1:16">
      <c r="A505" s="1">
        <v>44593</v>
      </c>
      <c r="B505" t="s">
        <v>132</v>
      </c>
      <c r="C505" t="s">
        <v>14</v>
      </c>
      <c r="D505" t="s">
        <v>15</v>
      </c>
      <c r="E505" t="s">
        <v>23</v>
      </c>
      <c r="F505" t="s">
        <v>24</v>
      </c>
      <c r="G505" t="s">
        <v>25</v>
      </c>
      <c r="H505" t="s">
        <v>526</v>
      </c>
      <c r="I505">
        <v>20</v>
      </c>
      <c r="J505" t="s">
        <v>27</v>
      </c>
      <c r="K505" t="str">
        <f t="shared" si="7"/>
        <v>39104</v>
      </c>
      <c r="L505">
        <v>0</v>
      </c>
      <c r="M505">
        <v>0</v>
      </c>
      <c r="N505">
        <v>0</v>
      </c>
      <c r="O505">
        <v>0</v>
      </c>
      <c r="P505" s="8">
        <v>0</v>
      </c>
    </row>
    <row r="506" spans="1:16">
      <c r="A506" s="1">
        <v>44593</v>
      </c>
      <c r="B506" t="s">
        <v>132</v>
      </c>
      <c r="C506" t="s">
        <v>14</v>
      </c>
      <c r="D506" t="s">
        <v>15</v>
      </c>
      <c r="E506" t="s">
        <v>23</v>
      </c>
      <c r="F506" t="s">
        <v>24</v>
      </c>
      <c r="G506" t="s">
        <v>25</v>
      </c>
      <c r="H506" t="s">
        <v>526</v>
      </c>
      <c r="I506">
        <v>20</v>
      </c>
      <c r="J506" t="s">
        <v>28</v>
      </c>
      <c r="K506" t="str">
        <f t="shared" si="7"/>
        <v>39105</v>
      </c>
      <c r="L506">
        <v>0</v>
      </c>
      <c r="M506">
        <v>0</v>
      </c>
      <c r="N506">
        <v>0</v>
      </c>
      <c r="O506">
        <v>0</v>
      </c>
      <c r="P506" s="8">
        <v>0</v>
      </c>
    </row>
    <row r="507" spans="1:16">
      <c r="A507" s="1">
        <v>44593</v>
      </c>
      <c r="B507" t="s">
        <v>132</v>
      </c>
      <c r="C507" t="s">
        <v>14</v>
      </c>
      <c r="D507" t="s">
        <v>15</v>
      </c>
      <c r="E507" t="s">
        <v>23</v>
      </c>
      <c r="F507" t="s">
        <v>24</v>
      </c>
      <c r="G507" t="s">
        <v>25</v>
      </c>
      <c r="H507" t="s">
        <v>526</v>
      </c>
      <c r="I507">
        <v>20</v>
      </c>
      <c r="J507" t="s">
        <v>29</v>
      </c>
      <c r="K507" t="str">
        <f t="shared" si="7"/>
        <v>39700</v>
      </c>
      <c r="L507">
        <v>0</v>
      </c>
      <c r="M507">
        <v>0</v>
      </c>
      <c r="N507">
        <v>0</v>
      </c>
      <c r="O507">
        <v>0</v>
      </c>
      <c r="P507" s="8">
        <v>0</v>
      </c>
    </row>
    <row r="508" spans="1:16">
      <c r="A508" s="1">
        <v>44593</v>
      </c>
      <c r="B508" t="s">
        <v>132</v>
      </c>
      <c r="C508" t="s">
        <v>14</v>
      </c>
      <c r="D508" t="s">
        <v>15</v>
      </c>
      <c r="E508" t="s">
        <v>23</v>
      </c>
      <c r="F508" t="s">
        <v>17</v>
      </c>
      <c r="G508" t="s">
        <v>25</v>
      </c>
      <c r="H508" t="s">
        <v>526</v>
      </c>
      <c r="I508">
        <v>20</v>
      </c>
      <c r="J508" t="s">
        <v>30</v>
      </c>
      <c r="K508" t="str">
        <f t="shared" si="7"/>
        <v>39001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>
      <c r="A509" s="1">
        <v>44593</v>
      </c>
      <c r="B509" t="s">
        <v>132</v>
      </c>
      <c r="C509" t="s">
        <v>14</v>
      </c>
      <c r="D509" t="s">
        <v>15</v>
      </c>
      <c r="E509" t="s">
        <v>23</v>
      </c>
      <c r="F509" t="s">
        <v>17</v>
      </c>
      <c r="G509" t="s">
        <v>25</v>
      </c>
      <c r="H509" t="s">
        <v>526</v>
      </c>
      <c r="I509">
        <v>20</v>
      </c>
      <c r="J509" t="s">
        <v>26</v>
      </c>
      <c r="K509" t="str">
        <f t="shared" si="7"/>
        <v>39103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>
      <c r="A510" s="1">
        <v>44593</v>
      </c>
      <c r="B510" t="s">
        <v>132</v>
      </c>
      <c r="C510" t="s">
        <v>14</v>
      </c>
      <c r="D510" t="s">
        <v>15</v>
      </c>
      <c r="E510" t="s">
        <v>23</v>
      </c>
      <c r="F510" t="s">
        <v>17</v>
      </c>
      <c r="G510" t="s">
        <v>25</v>
      </c>
      <c r="H510" t="s">
        <v>526</v>
      </c>
      <c r="I510">
        <v>20</v>
      </c>
      <c r="J510" t="s">
        <v>29</v>
      </c>
      <c r="K510" t="str">
        <f t="shared" si="7"/>
        <v>39700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>
      <c r="A511" s="1">
        <v>44593</v>
      </c>
      <c r="B511" t="s">
        <v>132</v>
      </c>
      <c r="C511" t="s">
        <v>14</v>
      </c>
      <c r="D511" t="s">
        <v>15</v>
      </c>
      <c r="E511" t="s">
        <v>23</v>
      </c>
      <c r="F511" t="s">
        <v>17</v>
      </c>
      <c r="G511" t="s">
        <v>25</v>
      </c>
      <c r="H511" t="s">
        <v>526</v>
      </c>
      <c r="I511">
        <v>20</v>
      </c>
      <c r="J511" t="s">
        <v>31</v>
      </c>
      <c r="K511" t="str">
        <f t="shared" si="7"/>
        <v>39800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>
      <c r="A512" s="1">
        <v>44621</v>
      </c>
      <c r="B512" t="s">
        <v>131</v>
      </c>
      <c r="C512" t="s">
        <v>14</v>
      </c>
      <c r="D512" t="s">
        <v>15</v>
      </c>
      <c r="E512" t="s">
        <v>23</v>
      </c>
      <c r="F512" t="s">
        <v>24</v>
      </c>
      <c r="G512" t="s">
        <v>25</v>
      </c>
      <c r="H512" t="s">
        <v>526</v>
      </c>
      <c r="I512">
        <v>20</v>
      </c>
      <c r="J512" t="s">
        <v>26</v>
      </c>
      <c r="K512" t="str">
        <f t="shared" si="7"/>
        <v>39103</v>
      </c>
      <c r="L512">
        <v>0</v>
      </c>
      <c r="M512">
        <v>0</v>
      </c>
      <c r="N512">
        <v>0</v>
      </c>
      <c r="O512">
        <v>0</v>
      </c>
      <c r="P512" s="8">
        <v>0</v>
      </c>
    </row>
    <row r="513" spans="1:16">
      <c r="A513" s="1">
        <v>44621</v>
      </c>
      <c r="B513" t="s">
        <v>131</v>
      </c>
      <c r="C513" t="s">
        <v>14</v>
      </c>
      <c r="D513" t="s">
        <v>15</v>
      </c>
      <c r="E513" t="s">
        <v>23</v>
      </c>
      <c r="F513" t="s">
        <v>24</v>
      </c>
      <c r="G513" t="s">
        <v>25</v>
      </c>
      <c r="H513" t="s">
        <v>526</v>
      </c>
      <c r="I513">
        <v>20</v>
      </c>
      <c r="J513" t="s">
        <v>27</v>
      </c>
      <c r="K513" t="str">
        <f t="shared" si="7"/>
        <v>39104</v>
      </c>
      <c r="L513">
        <v>0</v>
      </c>
      <c r="M513">
        <v>0</v>
      </c>
      <c r="N513">
        <v>0</v>
      </c>
      <c r="O513">
        <v>0</v>
      </c>
      <c r="P513" s="8">
        <v>0</v>
      </c>
    </row>
    <row r="514" spans="1:16">
      <c r="A514" s="1">
        <v>44621</v>
      </c>
      <c r="B514" t="s">
        <v>131</v>
      </c>
      <c r="C514" t="s">
        <v>14</v>
      </c>
      <c r="D514" t="s">
        <v>15</v>
      </c>
      <c r="E514" t="s">
        <v>23</v>
      </c>
      <c r="F514" t="s">
        <v>24</v>
      </c>
      <c r="G514" t="s">
        <v>25</v>
      </c>
      <c r="H514" t="s">
        <v>526</v>
      </c>
      <c r="I514">
        <v>20</v>
      </c>
      <c r="J514" t="s">
        <v>28</v>
      </c>
      <c r="K514" t="str">
        <f t="shared" ref="K514:K577" si="8">MID(J514,2,5)</f>
        <v>39105</v>
      </c>
      <c r="L514">
        <v>0</v>
      </c>
      <c r="M514">
        <v>0</v>
      </c>
      <c r="N514">
        <v>0</v>
      </c>
      <c r="O514">
        <v>0</v>
      </c>
      <c r="P514" s="8">
        <v>0</v>
      </c>
    </row>
    <row r="515" spans="1:16">
      <c r="A515" s="1">
        <v>44621</v>
      </c>
      <c r="B515" t="s">
        <v>131</v>
      </c>
      <c r="C515" t="s">
        <v>14</v>
      </c>
      <c r="D515" t="s">
        <v>15</v>
      </c>
      <c r="E515" t="s">
        <v>23</v>
      </c>
      <c r="F515" t="s">
        <v>24</v>
      </c>
      <c r="G515" t="s">
        <v>25</v>
      </c>
      <c r="H515" t="s">
        <v>526</v>
      </c>
      <c r="I515">
        <v>20</v>
      </c>
      <c r="J515" t="s">
        <v>29</v>
      </c>
      <c r="K515" t="str">
        <f t="shared" si="8"/>
        <v>39700</v>
      </c>
      <c r="L515">
        <v>0</v>
      </c>
      <c r="M515">
        <v>0</v>
      </c>
      <c r="N515">
        <v>0</v>
      </c>
      <c r="O515">
        <v>0</v>
      </c>
      <c r="P515" s="8">
        <v>0</v>
      </c>
    </row>
    <row r="516" spans="1:16">
      <c r="A516" s="1">
        <v>44621</v>
      </c>
      <c r="B516" t="s">
        <v>131</v>
      </c>
      <c r="C516" t="s">
        <v>14</v>
      </c>
      <c r="D516" t="s">
        <v>15</v>
      </c>
      <c r="E516" t="s">
        <v>23</v>
      </c>
      <c r="F516" t="s">
        <v>17</v>
      </c>
      <c r="G516" t="s">
        <v>25</v>
      </c>
      <c r="H516" t="s">
        <v>526</v>
      </c>
      <c r="I516">
        <v>20</v>
      </c>
      <c r="J516" t="s">
        <v>30</v>
      </c>
      <c r="K516" t="str">
        <f t="shared" si="8"/>
        <v>39001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>
      <c r="A517" s="1">
        <v>44621</v>
      </c>
      <c r="B517" t="s">
        <v>131</v>
      </c>
      <c r="C517" t="s">
        <v>14</v>
      </c>
      <c r="D517" t="s">
        <v>15</v>
      </c>
      <c r="E517" t="s">
        <v>23</v>
      </c>
      <c r="F517" t="s">
        <v>17</v>
      </c>
      <c r="G517" t="s">
        <v>25</v>
      </c>
      <c r="H517" t="s">
        <v>526</v>
      </c>
      <c r="I517">
        <v>20</v>
      </c>
      <c r="J517" t="s">
        <v>26</v>
      </c>
      <c r="K517" t="str">
        <f t="shared" si="8"/>
        <v>39103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>
      <c r="A518" s="1">
        <v>44621</v>
      </c>
      <c r="B518" t="s">
        <v>131</v>
      </c>
      <c r="C518" t="s">
        <v>14</v>
      </c>
      <c r="D518" t="s">
        <v>15</v>
      </c>
      <c r="E518" t="s">
        <v>23</v>
      </c>
      <c r="F518" t="s">
        <v>17</v>
      </c>
      <c r="G518" t="s">
        <v>25</v>
      </c>
      <c r="H518" t="s">
        <v>526</v>
      </c>
      <c r="I518">
        <v>20</v>
      </c>
      <c r="J518" t="s">
        <v>29</v>
      </c>
      <c r="K518" t="str">
        <f t="shared" si="8"/>
        <v>39700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>
      <c r="A519" s="1">
        <v>44621</v>
      </c>
      <c r="B519" t="s">
        <v>131</v>
      </c>
      <c r="C519" t="s">
        <v>14</v>
      </c>
      <c r="D519" t="s">
        <v>15</v>
      </c>
      <c r="E519" t="s">
        <v>23</v>
      </c>
      <c r="F519" t="s">
        <v>17</v>
      </c>
      <c r="G519" t="s">
        <v>25</v>
      </c>
      <c r="H519" t="s">
        <v>526</v>
      </c>
      <c r="I519">
        <v>20</v>
      </c>
      <c r="J519" t="s">
        <v>31</v>
      </c>
      <c r="K519" t="str">
        <f t="shared" si="8"/>
        <v>39800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>
      <c r="A520" s="1">
        <v>44652</v>
      </c>
      <c r="B520" t="s">
        <v>130</v>
      </c>
      <c r="C520" t="s">
        <v>14</v>
      </c>
      <c r="D520" t="s">
        <v>15</v>
      </c>
      <c r="E520" t="s">
        <v>23</v>
      </c>
      <c r="F520" t="s">
        <v>24</v>
      </c>
      <c r="G520" t="s">
        <v>25</v>
      </c>
      <c r="H520" t="s">
        <v>526</v>
      </c>
      <c r="I520">
        <v>20</v>
      </c>
      <c r="J520" t="s">
        <v>26</v>
      </c>
      <c r="K520" t="str">
        <f t="shared" si="8"/>
        <v>39103</v>
      </c>
      <c r="L520">
        <v>0</v>
      </c>
      <c r="M520">
        <v>0</v>
      </c>
      <c r="N520">
        <v>0</v>
      </c>
      <c r="O520">
        <v>0</v>
      </c>
      <c r="P520" s="8">
        <v>0</v>
      </c>
    </row>
    <row r="521" spans="1:16">
      <c r="A521" s="1">
        <v>44652</v>
      </c>
      <c r="B521" t="s">
        <v>130</v>
      </c>
      <c r="C521" t="s">
        <v>14</v>
      </c>
      <c r="D521" t="s">
        <v>15</v>
      </c>
      <c r="E521" t="s">
        <v>23</v>
      </c>
      <c r="F521" t="s">
        <v>24</v>
      </c>
      <c r="G521" t="s">
        <v>25</v>
      </c>
      <c r="H521" t="s">
        <v>526</v>
      </c>
      <c r="I521">
        <v>20</v>
      </c>
      <c r="J521" t="s">
        <v>27</v>
      </c>
      <c r="K521" t="str">
        <f t="shared" si="8"/>
        <v>39104</v>
      </c>
      <c r="L521">
        <v>0</v>
      </c>
      <c r="M521">
        <v>0</v>
      </c>
      <c r="N521">
        <v>0</v>
      </c>
      <c r="O521">
        <v>0</v>
      </c>
      <c r="P521" s="8">
        <v>0</v>
      </c>
    </row>
    <row r="522" spans="1:16">
      <c r="A522" s="1">
        <v>44652</v>
      </c>
      <c r="B522" t="s">
        <v>130</v>
      </c>
      <c r="C522" t="s">
        <v>14</v>
      </c>
      <c r="D522" t="s">
        <v>15</v>
      </c>
      <c r="E522" t="s">
        <v>23</v>
      </c>
      <c r="F522" t="s">
        <v>24</v>
      </c>
      <c r="G522" t="s">
        <v>25</v>
      </c>
      <c r="H522" t="s">
        <v>526</v>
      </c>
      <c r="I522">
        <v>20</v>
      </c>
      <c r="J522" t="s">
        <v>28</v>
      </c>
      <c r="K522" t="str">
        <f t="shared" si="8"/>
        <v>39105</v>
      </c>
      <c r="L522">
        <v>0</v>
      </c>
      <c r="M522">
        <v>0</v>
      </c>
      <c r="N522">
        <v>0</v>
      </c>
      <c r="O522">
        <v>0</v>
      </c>
      <c r="P522" s="8">
        <v>0</v>
      </c>
    </row>
    <row r="523" spans="1:16">
      <c r="A523" s="1">
        <v>44652</v>
      </c>
      <c r="B523" t="s">
        <v>130</v>
      </c>
      <c r="C523" t="s">
        <v>14</v>
      </c>
      <c r="D523" t="s">
        <v>15</v>
      </c>
      <c r="E523" t="s">
        <v>23</v>
      </c>
      <c r="F523" t="s">
        <v>24</v>
      </c>
      <c r="G523" t="s">
        <v>25</v>
      </c>
      <c r="H523" t="s">
        <v>526</v>
      </c>
      <c r="I523">
        <v>20</v>
      </c>
      <c r="J523" t="s">
        <v>29</v>
      </c>
      <c r="K523" t="str">
        <f t="shared" si="8"/>
        <v>39700</v>
      </c>
      <c r="L523">
        <v>0</v>
      </c>
      <c r="M523">
        <v>0</v>
      </c>
      <c r="N523">
        <v>0</v>
      </c>
      <c r="O523">
        <v>0</v>
      </c>
      <c r="P523" s="8">
        <v>0</v>
      </c>
    </row>
    <row r="524" spans="1:16">
      <c r="A524" s="1">
        <v>44652</v>
      </c>
      <c r="B524" t="s">
        <v>130</v>
      </c>
      <c r="C524" t="s">
        <v>14</v>
      </c>
      <c r="D524" t="s">
        <v>15</v>
      </c>
      <c r="E524" t="s">
        <v>23</v>
      </c>
      <c r="F524" t="s">
        <v>17</v>
      </c>
      <c r="G524" t="s">
        <v>25</v>
      </c>
      <c r="H524" t="s">
        <v>526</v>
      </c>
      <c r="I524">
        <v>20</v>
      </c>
      <c r="J524" t="s">
        <v>30</v>
      </c>
      <c r="K524" t="str">
        <f t="shared" si="8"/>
        <v>39001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>
      <c r="A525" s="1">
        <v>44652</v>
      </c>
      <c r="B525" t="s">
        <v>130</v>
      </c>
      <c r="C525" t="s">
        <v>14</v>
      </c>
      <c r="D525" t="s">
        <v>15</v>
      </c>
      <c r="E525" t="s">
        <v>23</v>
      </c>
      <c r="F525" t="s">
        <v>17</v>
      </c>
      <c r="G525" t="s">
        <v>25</v>
      </c>
      <c r="H525" t="s">
        <v>526</v>
      </c>
      <c r="I525">
        <v>20</v>
      </c>
      <c r="J525" t="s">
        <v>26</v>
      </c>
      <c r="K525" t="str">
        <f t="shared" si="8"/>
        <v>39103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>
      <c r="A526" s="1">
        <v>44652</v>
      </c>
      <c r="B526" t="s">
        <v>130</v>
      </c>
      <c r="C526" t="s">
        <v>14</v>
      </c>
      <c r="D526" t="s">
        <v>15</v>
      </c>
      <c r="E526" t="s">
        <v>23</v>
      </c>
      <c r="F526" t="s">
        <v>17</v>
      </c>
      <c r="G526" t="s">
        <v>25</v>
      </c>
      <c r="H526" t="s">
        <v>526</v>
      </c>
      <c r="I526">
        <v>20</v>
      </c>
      <c r="J526" t="s">
        <v>29</v>
      </c>
      <c r="K526" t="str">
        <f t="shared" si="8"/>
        <v>39700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>
      <c r="A527" s="1">
        <v>44652</v>
      </c>
      <c r="B527" t="s">
        <v>130</v>
      </c>
      <c r="C527" t="s">
        <v>14</v>
      </c>
      <c r="D527" t="s">
        <v>15</v>
      </c>
      <c r="E527" t="s">
        <v>23</v>
      </c>
      <c r="F527" t="s">
        <v>17</v>
      </c>
      <c r="G527" t="s">
        <v>25</v>
      </c>
      <c r="H527" t="s">
        <v>526</v>
      </c>
      <c r="I527">
        <v>20</v>
      </c>
      <c r="J527" t="s">
        <v>31</v>
      </c>
      <c r="K527" t="str">
        <f t="shared" si="8"/>
        <v>39800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>
      <c r="A528" s="1">
        <v>44682</v>
      </c>
      <c r="B528" t="s">
        <v>129</v>
      </c>
      <c r="C528" t="s">
        <v>14</v>
      </c>
      <c r="D528" t="s">
        <v>15</v>
      </c>
      <c r="E528" t="s">
        <v>23</v>
      </c>
      <c r="F528" t="s">
        <v>24</v>
      </c>
      <c r="G528" t="s">
        <v>25</v>
      </c>
      <c r="H528" t="s">
        <v>526</v>
      </c>
      <c r="I528">
        <v>20</v>
      </c>
      <c r="J528" t="s">
        <v>26</v>
      </c>
      <c r="K528" t="str">
        <f t="shared" si="8"/>
        <v>39103</v>
      </c>
      <c r="L528">
        <v>0</v>
      </c>
      <c r="M528">
        <v>0</v>
      </c>
      <c r="N528">
        <v>0</v>
      </c>
      <c r="O528">
        <v>0</v>
      </c>
      <c r="P528" s="8">
        <v>0</v>
      </c>
    </row>
    <row r="529" spans="1:16">
      <c r="A529" s="1">
        <v>44682</v>
      </c>
      <c r="B529" t="s">
        <v>129</v>
      </c>
      <c r="C529" t="s">
        <v>14</v>
      </c>
      <c r="D529" t="s">
        <v>15</v>
      </c>
      <c r="E529" t="s">
        <v>23</v>
      </c>
      <c r="F529" t="s">
        <v>24</v>
      </c>
      <c r="G529" t="s">
        <v>25</v>
      </c>
      <c r="H529" t="s">
        <v>526</v>
      </c>
      <c r="I529">
        <v>20</v>
      </c>
      <c r="J529" t="s">
        <v>27</v>
      </c>
      <c r="K529" t="str">
        <f t="shared" si="8"/>
        <v>39104</v>
      </c>
      <c r="L529">
        <v>0</v>
      </c>
      <c r="M529">
        <v>0</v>
      </c>
      <c r="N529">
        <v>0</v>
      </c>
      <c r="O529">
        <v>0</v>
      </c>
      <c r="P529" s="8">
        <v>0</v>
      </c>
    </row>
    <row r="530" spans="1:16">
      <c r="A530" s="1">
        <v>44682</v>
      </c>
      <c r="B530" t="s">
        <v>129</v>
      </c>
      <c r="C530" t="s">
        <v>14</v>
      </c>
      <c r="D530" t="s">
        <v>15</v>
      </c>
      <c r="E530" t="s">
        <v>23</v>
      </c>
      <c r="F530" t="s">
        <v>24</v>
      </c>
      <c r="G530" t="s">
        <v>25</v>
      </c>
      <c r="H530" t="s">
        <v>526</v>
      </c>
      <c r="I530">
        <v>20</v>
      </c>
      <c r="J530" t="s">
        <v>28</v>
      </c>
      <c r="K530" t="str">
        <f t="shared" si="8"/>
        <v>39105</v>
      </c>
      <c r="L530">
        <v>0</v>
      </c>
      <c r="M530">
        <v>0</v>
      </c>
      <c r="N530">
        <v>0</v>
      </c>
      <c r="O530">
        <v>0</v>
      </c>
      <c r="P530" s="8">
        <v>0</v>
      </c>
    </row>
    <row r="531" spans="1:16">
      <c r="A531" s="1">
        <v>44682</v>
      </c>
      <c r="B531" t="s">
        <v>129</v>
      </c>
      <c r="C531" t="s">
        <v>14</v>
      </c>
      <c r="D531" t="s">
        <v>15</v>
      </c>
      <c r="E531" t="s">
        <v>23</v>
      </c>
      <c r="F531" t="s">
        <v>24</v>
      </c>
      <c r="G531" t="s">
        <v>25</v>
      </c>
      <c r="H531" t="s">
        <v>526</v>
      </c>
      <c r="I531">
        <v>20</v>
      </c>
      <c r="J531" t="s">
        <v>29</v>
      </c>
      <c r="K531" t="str">
        <f t="shared" si="8"/>
        <v>39700</v>
      </c>
      <c r="L531">
        <v>0</v>
      </c>
      <c r="M531">
        <v>0</v>
      </c>
      <c r="N531">
        <v>0</v>
      </c>
      <c r="O531">
        <v>0</v>
      </c>
      <c r="P531" s="8">
        <v>0</v>
      </c>
    </row>
    <row r="532" spans="1:16">
      <c r="A532" s="1">
        <v>44682</v>
      </c>
      <c r="B532" t="s">
        <v>129</v>
      </c>
      <c r="C532" t="s">
        <v>14</v>
      </c>
      <c r="D532" t="s">
        <v>15</v>
      </c>
      <c r="E532" t="s">
        <v>23</v>
      </c>
      <c r="F532" t="s">
        <v>17</v>
      </c>
      <c r="G532" t="s">
        <v>25</v>
      </c>
      <c r="H532" t="s">
        <v>526</v>
      </c>
      <c r="I532">
        <v>20</v>
      </c>
      <c r="J532" t="s">
        <v>30</v>
      </c>
      <c r="K532" t="str">
        <f t="shared" si="8"/>
        <v>39001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>
      <c r="A533" s="1">
        <v>44682</v>
      </c>
      <c r="B533" t="s">
        <v>129</v>
      </c>
      <c r="C533" t="s">
        <v>14</v>
      </c>
      <c r="D533" t="s">
        <v>15</v>
      </c>
      <c r="E533" t="s">
        <v>23</v>
      </c>
      <c r="F533" t="s">
        <v>17</v>
      </c>
      <c r="G533" t="s">
        <v>25</v>
      </c>
      <c r="H533" t="s">
        <v>526</v>
      </c>
      <c r="I533">
        <v>20</v>
      </c>
      <c r="J533" t="s">
        <v>26</v>
      </c>
      <c r="K533" t="str">
        <f t="shared" si="8"/>
        <v>39103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>
      <c r="A534" s="1">
        <v>44682</v>
      </c>
      <c r="B534" t="s">
        <v>129</v>
      </c>
      <c r="C534" t="s">
        <v>14</v>
      </c>
      <c r="D534" t="s">
        <v>15</v>
      </c>
      <c r="E534" t="s">
        <v>23</v>
      </c>
      <c r="F534" t="s">
        <v>17</v>
      </c>
      <c r="G534" t="s">
        <v>25</v>
      </c>
      <c r="H534" t="s">
        <v>526</v>
      </c>
      <c r="I534">
        <v>20</v>
      </c>
      <c r="J534" t="s">
        <v>29</v>
      </c>
      <c r="K534" t="str">
        <f t="shared" si="8"/>
        <v>39700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>
      <c r="A535" s="1">
        <v>44682</v>
      </c>
      <c r="B535" t="s">
        <v>129</v>
      </c>
      <c r="C535" t="s">
        <v>14</v>
      </c>
      <c r="D535" t="s">
        <v>15</v>
      </c>
      <c r="E535" t="s">
        <v>23</v>
      </c>
      <c r="F535" t="s">
        <v>17</v>
      </c>
      <c r="G535" t="s">
        <v>25</v>
      </c>
      <c r="H535" t="s">
        <v>526</v>
      </c>
      <c r="I535">
        <v>20</v>
      </c>
      <c r="J535" t="s">
        <v>31</v>
      </c>
      <c r="K535" t="str">
        <f t="shared" si="8"/>
        <v>39800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>
      <c r="A536" s="1">
        <v>44713</v>
      </c>
      <c r="B536" t="s">
        <v>128</v>
      </c>
      <c r="C536" t="s">
        <v>14</v>
      </c>
      <c r="D536" t="s">
        <v>15</v>
      </c>
      <c r="E536" t="s">
        <v>23</v>
      </c>
      <c r="F536" t="s">
        <v>24</v>
      </c>
      <c r="G536" t="s">
        <v>25</v>
      </c>
      <c r="H536" t="s">
        <v>526</v>
      </c>
      <c r="I536">
        <v>20</v>
      </c>
      <c r="J536" t="s">
        <v>26</v>
      </c>
      <c r="K536" t="str">
        <f t="shared" si="8"/>
        <v>39103</v>
      </c>
      <c r="L536">
        <v>0</v>
      </c>
      <c r="M536">
        <v>0</v>
      </c>
      <c r="N536">
        <v>0</v>
      </c>
      <c r="O536">
        <v>0</v>
      </c>
      <c r="P536" s="8">
        <v>0</v>
      </c>
    </row>
    <row r="537" spans="1:16">
      <c r="A537" s="1">
        <v>44713</v>
      </c>
      <c r="B537" t="s">
        <v>128</v>
      </c>
      <c r="C537" t="s">
        <v>14</v>
      </c>
      <c r="D537" t="s">
        <v>15</v>
      </c>
      <c r="E537" t="s">
        <v>23</v>
      </c>
      <c r="F537" t="s">
        <v>24</v>
      </c>
      <c r="G537" t="s">
        <v>25</v>
      </c>
      <c r="H537" t="s">
        <v>526</v>
      </c>
      <c r="I537">
        <v>20</v>
      </c>
      <c r="J537" t="s">
        <v>27</v>
      </c>
      <c r="K537" t="str">
        <f t="shared" si="8"/>
        <v>39104</v>
      </c>
      <c r="L537">
        <v>0</v>
      </c>
      <c r="M537">
        <v>0</v>
      </c>
      <c r="N537">
        <v>0</v>
      </c>
      <c r="O537">
        <v>0</v>
      </c>
      <c r="P537" s="8">
        <v>0</v>
      </c>
    </row>
    <row r="538" spans="1:16">
      <c r="A538" s="1">
        <v>44713</v>
      </c>
      <c r="B538" t="s">
        <v>128</v>
      </c>
      <c r="C538" t="s">
        <v>14</v>
      </c>
      <c r="D538" t="s">
        <v>15</v>
      </c>
      <c r="E538" t="s">
        <v>23</v>
      </c>
      <c r="F538" t="s">
        <v>24</v>
      </c>
      <c r="G538" t="s">
        <v>25</v>
      </c>
      <c r="H538" t="s">
        <v>526</v>
      </c>
      <c r="I538">
        <v>20</v>
      </c>
      <c r="J538" t="s">
        <v>28</v>
      </c>
      <c r="K538" t="str">
        <f t="shared" si="8"/>
        <v>39105</v>
      </c>
      <c r="L538">
        <v>0</v>
      </c>
      <c r="M538">
        <v>0</v>
      </c>
      <c r="N538">
        <v>0</v>
      </c>
      <c r="O538">
        <v>0</v>
      </c>
      <c r="P538" s="8">
        <v>0</v>
      </c>
    </row>
    <row r="539" spans="1:16">
      <c r="A539" s="1">
        <v>44713</v>
      </c>
      <c r="B539" t="s">
        <v>128</v>
      </c>
      <c r="C539" t="s">
        <v>14</v>
      </c>
      <c r="D539" t="s">
        <v>15</v>
      </c>
      <c r="E539" t="s">
        <v>23</v>
      </c>
      <c r="F539" t="s">
        <v>24</v>
      </c>
      <c r="G539" t="s">
        <v>25</v>
      </c>
      <c r="H539" t="s">
        <v>526</v>
      </c>
      <c r="I539">
        <v>20</v>
      </c>
      <c r="J539" t="s">
        <v>29</v>
      </c>
      <c r="K539" t="str">
        <f t="shared" si="8"/>
        <v>39700</v>
      </c>
      <c r="L539">
        <v>0</v>
      </c>
      <c r="M539">
        <v>0</v>
      </c>
      <c r="N539">
        <v>0</v>
      </c>
      <c r="O539">
        <v>0</v>
      </c>
      <c r="P539" s="8">
        <v>0</v>
      </c>
    </row>
    <row r="540" spans="1:16">
      <c r="A540" s="1">
        <v>44713</v>
      </c>
      <c r="B540" t="s">
        <v>128</v>
      </c>
      <c r="C540" t="s">
        <v>14</v>
      </c>
      <c r="D540" t="s">
        <v>15</v>
      </c>
      <c r="E540" t="s">
        <v>23</v>
      </c>
      <c r="F540" t="s">
        <v>17</v>
      </c>
      <c r="G540" t="s">
        <v>25</v>
      </c>
      <c r="H540" t="s">
        <v>526</v>
      </c>
      <c r="I540">
        <v>20</v>
      </c>
      <c r="J540" t="s">
        <v>30</v>
      </c>
      <c r="K540" t="str">
        <f t="shared" si="8"/>
        <v>39001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>
      <c r="A541" s="1">
        <v>44713</v>
      </c>
      <c r="B541" t="s">
        <v>128</v>
      </c>
      <c r="C541" t="s">
        <v>14</v>
      </c>
      <c r="D541" t="s">
        <v>15</v>
      </c>
      <c r="E541" t="s">
        <v>23</v>
      </c>
      <c r="F541" t="s">
        <v>17</v>
      </c>
      <c r="G541" t="s">
        <v>25</v>
      </c>
      <c r="H541" t="s">
        <v>526</v>
      </c>
      <c r="I541">
        <v>20</v>
      </c>
      <c r="J541" t="s">
        <v>26</v>
      </c>
      <c r="K541" t="str">
        <f t="shared" si="8"/>
        <v>39103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>
      <c r="A542" s="1">
        <v>44713</v>
      </c>
      <c r="B542" t="s">
        <v>128</v>
      </c>
      <c r="C542" t="s">
        <v>14</v>
      </c>
      <c r="D542" t="s">
        <v>15</v>
      </c>
      <c r="E542" t="s">
        <v>23</v>
      </c>
      <c r="F542" t="s">
        <v>17</v>
      </c>
      <c r="G542" t="s">
        <v>25</v>
      </c>
      <c r="H542" t="s">
        <v>526</v>
      </c>
      <c r="I542">
        <v>20</v>
      </c>
      <c r="J542" t="s">
        <v>29</v>
      </c>
      <c r="K542" t="str">
        <f t="shared" si="8"/>
        <v>39700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>
      <c r="A543" s="1">
        <v>44713</v>
      </c>
      <c r="B543" t="s">
        <v>128</v>
      </c>
      <c r="C543" t="s">
        <v>14</v>
      </c>
      <c r="D543" t="s">
        <v>15</v>
      </c>
      <c r="E543" t="s">
        <v>23</v>
      </c>
      <c r="F543" t="s">
        <v>17</v>
      </c>
      <c r="G543" t="s">
        <v>25</v>
      </c>
      <c r="H543" t="s">
        <v>526</v>
      </c>
      <c r="I543">
        <v>20</v>
      </c>
      <c r="J543" t="s">
        <v>31</v>
      </c>
      <c r="K543" t="str">
        <f t="shared" si="8"/>
        <v>39800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>
      <c r="A544" s="1">
        <v>44743</v>
      </c>
      <c r="B544" t="s">
        <v>127</v>
      </c>
      <c r="C544" t="s">
        <v>14</v>
      </c>
      <c r="D544" t="s">
        <v>15</v>
      </c>
      <c r="E544" t="s">
        <v>23</v>
      </c>
      <c r="F544" t="s">
        <v>24</v>
      </c>
      <c r="G544" t="s">
        <v>25</v>
      </c>
      <c r="H544" t="s">
        <v>526</v>
      </c>
      <c r="I544">
        <v>20</v>
      </c>
      <c r="J544" t="s">
        <v>26</v>
      </c>
      <c r="K544" t="str">
        <f t="shared" si="8"/>
        <v>39103</v>
      </c>
      <c r="L544">
        <v>0</v>
      </c>
      <c r="M544">
        <v>0</v>
      </c>
      <c r="N544">
        <v>0</v>
      </c>
      <c r="O544">
        <v>0</v>
      </c>
      <c r="P544" s="8">
        <v>0</v>
      </c>
    </row>
    <row r="545" spans="1:16">
      <c r="A545" s="1">
        <v>44743</v>
      </c>
      <c r="B545" t="s">
        <v>127</v>
      </c>
      <c r="C545" t="s">
        <v>14</v>
      </c>
      <c r="D545" t="s">
        <v>15</v>
      </c>
      <c r="E545" t="s">
        <v>23</v>
      </c>
      <c r="F545" t="s">
        <v>24</v>
      </c>
      <c r="G545" t="s">
        <v>25</v>
      </c>
      <c r="H545" t="s">
        <v>526</v>
      </c>
      <c r="I545">
        <v>20</v>
      </c>
      <c r="J545" t="s">
        <v>27</v>
      </c>
      <c r="K545" t="str">
        <f t="shared" si="8"/>
        <v>39104</v>
      </c>
      <c r="L545">
        <v>0</v>
      </c>
      <c r="M545">
        <v>0</v>
      </c>
      <c r="N545">
        <v>0</v>
      </c>
      <c r="O545">
        <v>0</v>
      </c>
      <c r="P545" s="8">
        <v>0</v>
      </c>
    </row>
    <row r="546" spans="1:16">
      <c r="A546" s="1">
        <v>44743</v>
      </c>
      <c r="B546" t="s">
        <v>127</v>
      </c>
      <c r="C546" t="s">
        <v>14</v>
      </c>
      <c r="D546" t="s">
        <v>15</v>
      </c>
      <c r="E546" t="s">
        <v>23</v>
      </c>
      <c r="F546" t="s">
        <v>24</v>
      </c>
      <c r="G546" t="s">
        <v>25</v>
      </c>
      <c r="H546" t="s">
        <v>526</v>
      </c>
      <c r="I546">
        <v>20</v>
      </c>
      <c r="J546" t="s">
        <v>28</v>
      </c>
      <c r="K546" t="str">
        <f t="shared" si="8"/>
        <v>39105</v>
      </c>
      <c r="L546">
        <v>0</v>
      </c>
      <c r="M546">
        <v>0</v>
      </c>
      <c r="N546">
        <v>0</v>
      </c>
      <c r="O546">
        <v>0</v>
      </c>
      <c r="P546" s="8">
        <v>0</v>
      </c>
    </row>
    <row r="547" spans="1:16">
      <c r="A547" s="1">
        <v>44743</v>
      </c>
      <c r="B547" t="s">
        <v>127</v>
      </c>
      <c r="C547" t="s">
        <v>14</v>
      </c>
      <c r="D547" t="s">
        <v>15</v>
      </c>
      <c r="E547" t="s">
        <v>23</v>
      </c>
      <c r="F547" t="s">
        <v>24</v>
      </c>
      <c r="G547" t="s">
        <v>25</v>
      </c>
      <c r="H547" t="s">
        <v>526</v>
      </c>
      <c r="I547">
        <v>20</v>
      </c>
      <c r="J547" t="s">
        <v>29</v>
      </c>
      <c r="K547" t="str">
        <f t="shared" si="8"/>
        <v>39700</v>
      </c>
      <c r="L547">
        <v>0</v>
      </c>
      <c r="M547">
        <v>0</v>
      </c>
      <c r="N547">
        <v>0</v>
      </c>
      <c r="O547">
        <v>0</v>
      </c>
      <c r="P547" s="8">
        <v>0</v>
      </c>
    </row>
    <row r="548" spans="1:16">
      <c r="A548" s="1">
        <v>44743</v>
      </c>
      <c r="B548" t="s">
        <v>127</v>
      </c>
      <c r="C548" t="s">
        <v>14</v>
      </c>
      <c r="D548" t="s">
        <v>15</v>
      </c>
      <c r="E548" t="s">
        <v>23</v>
      </c>
      <c r="F548" t="s">
        <v>17</v>
      </c>
      <c r="G548" t="s">
        <v>25</v>
      </c>
      <c r="H548" t="s">
        <v>526</v>
      </c>
      <c r="I548">
        <v>20</v>
      </c>
      <c r="J548" t="s">
        <v>30</v>
      </c>
      <c r="K548" t="str">
        <f t="shared" si="8"/>
        <v>39001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>
      <c r="A549" s="1">
        <v>44743</v>
      </c>
      <c r="B549" t="s">
        <v>127</v>
      </c>
      <c r="C549" t="s">
        <v>14</v>
      </c>
      <c r="D549" t="s">
        <v>15</v>
      </c>
      <c r="E549" t="s">
        <v>23</v>
      </c>
      <c r="F549" t="s">
        <v>17</v>
      </c>
      <c r="G549" t="s">
        <v>25</v>
      </c>
      <c r="H549" t="s">
        <v>526</v>
      </c>
      <c r="I549">
        <v>20</v>
      </c>
      <c r="J549" t="s">
        <v>26</v>
      </c>
      <c r="K549" t="str">
        <f t="shared" si="8"/>
        <v>39103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>
      <c r="A550" s="1">
        <v>44743</v>
      </c>
      <c r="B550" t="s">
        <v>127</v>
      </c>
      <c r="C550" t="s">
        <v>14</v>
      </c>
      <c r="D550" t="s">
        <v>15</v>
      </c>
      <c r="E550" t="s">
        <v>23</v>
      </c>
      <c r="F550" t="s">
        <v>17</v>
      </c>
      <c r="G550" t="s">
        <v>25</v>
      </c>
      <c r="H550" t="s">
        <v>526</v>
      </c>
      <c r="I550">
        <v>20</v>
      </c>
      <c r="J550" t="s">
        <v>29</v>
      </c>
      <c r="K550" t="str">
        <f t="shared" si="8"/>
        <v>39700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>
      <c r="A551" s="1">
        <v>44743</v>
      </c>
      <c r="B551" t="s">
        <v>127</v>
      </c>
      <c r="C551" t="s">
        <v>14</v>
      </c>
      <c r="D551" t="s">
        <v>15</v>
      </c>
      <c r="E551" t="s">
        <v>23</v>
      </c>
      <c r="F551" t="s">
        <v>17</v>
      </c>
      <c r="G551" t="s">
        <v>25</v>
      </c>
      <c r="H551" t="s">
        <v>526</v>
      </c>
      <c r="I551">
        <v>20</v>
      </c>
      <c r="J551" t="s">
        <v>31</v>
      </c>
      <c r="K551" t="str">
        <f t="shared" si="8"/>
        <v>39800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>
      <c r="A552" s="1">
        <v>44774</v>
      </c>
      <c r="B552" t="s">
        <v>126</v>
      </c>
      <c r="C552" t="s">
        <v>14</v>
      </c>
      <c r="D552" t="s">
        <v>15</v>
      </c>
      <c r="E552" t="s">
        <v>23</v>
      </c>
      <c r="F552" t="s">
        <v>24</v>
      </c>
      <c r="G552" t="s">
        <v>25</v>
      </c>
      <c r="H552" t="s">
        <v>526</v>
      </c>
      <c r="I552">
        <v>20</v>
      </c>
      <c r="J552" t="s">
        <v>26</v>
      </c>
      <c r="K552" t="str">
        <f t="shared" si="8"/>
        <v>39103</v>
      </c>
      <c r="L552">
        <v>0</v>
      </c>
      <c r="M552">
        <v>0</v>
      </c>
      <c r="N552">
        <v>0</v>
      </c>
      <c r="O552">
        <v>0</v>
      </c>
      <c r="P552" s="8">
        <v>0</v>
      </c>
    </row>
    <row r="553" spans="1:16">
      <c r="A553" s="1">
        <v>44774</v>
      </c>
      <c r="B553" t="s">
        <v>126</v>
      </c>
      <c r="C553" t="s">
        <v>14</v>
      </c>
      <c r="D553" t="s">
        <v>15</v>
      </c>
      <c r="E553" t="s">
        <v>23</v>
      </c>
      <c r="F553" t="s">
        <v>24</v>
      </c>
      <c r="G553" t="s">
        <v>25</v>
      </c>
      <c r="H553" t="s">
        <v>526</v>
      </c>
      <c r="I553">
        <v>20</v>
      </c>
      <c r="J553" t="s">
        <v>27</v>
      </c>
      <c r="K553" t="str">
        <f t="shared" si="8"/>
        <v>39104</v>
      </c>
      <c r="L553">
        <v>0</v>
      </c>
      <c r="M553">
        <v>0</v>
      </c>
      <c r="N553">
        <v>0</v>
      </c>
      <c r="O553">
        <v>0</v>
      </c>
      <c r="P553" s="8">
        <v>0</v>
      </c>
    </row>
    <row r="554" spans="1:16">
      <c r="A554" s="1">
        <v>44774</v>
      </c>
      <c r="B554" t="s">
        <v>126</v>
      </c>
      <c r="C554" t="s">
        <v>14</v>
      </c>
      <c r="D554" t="s">
        <v>15</v>
      </c>
      <c r="E554" t="s">
        <v>23</v>
      </c>
      <c r="F554" t="s">
        <v>24</v>
      </c>
      <c r="G554" t="s">
        <v>25</v>
      </c>
      <c r="H554" t="s">
        <v>526</v>
      </c>
      <c r="I554">
        <v>20</v>
      </c>
      <c r="J554" t="s">
        <v>28</v>
      </c>
      <c r="K554" t="str">
        <f t="shared" si="8"/>
        <v>39105</v>
      </c>
      <c r="L554">
        <v>0</v>
      </c>
      <c r="M554">
        <v>0</v>
      </c>
      <c r="N554">
        <v>0</v>
      </c>
      <c r="O554">
        <v>0</v>
      </c>
      <c r="P554" s="8">
        <v>0</v>
      </c>
    </row>
    <row r="555" spans="1:16">
      <c r="A555" s="1">
        <v>44774</v>
      </c>
      <c r="B555" t="s">
        <v>126</v>
      </c>
      <c r="C555" t="s">
        <v>14</v>
      </c>
      <c r="D555" t="s">
        <v>15</v>
      </c>
      <c r="E555" t="s">
        <v>23</v>
      </c>
      <c r="F555" t="s">
        <v>24</v>
      </c>
      <c r="G555" t="s">
        <v>25</v>
      </c>
      <c r="H555" t="s">
        <v>526</v>
      </c>
      <c r="I555">
        <v>20</v>
      </c>
      <c r="J555" t="s">
        <v>29</v>
      </c>
      <c r="K555" t="str">
        <f t="shared" si="8"/>
        <v>39700</v>
      </c>
      <c r="L555">
        <v>0</v>
      </c>
      <c r="M555">
        <v>0</v>
      </c>
      <c r="N555">
        <v>0</v>
      </c>
      <c r="O555">
        <v>0</v>
      </c>
      <c r="P555" s="8">
        <v>0</v>
      </c>
    </row>
    <row r="556" spans="1:16">
      <c r="A556" s="1">
        <v>44774</v>
      </c>
      <c r="B556" t="s">
        <v>126</v>
      </c>
      <c r="C556" t="s">
        <v>14</v>
      </c>
      <c r="D556" t="s">
        <v>15</v>
      </c>
      <c r="E556" t="s">
        <v>23</v>
      </c>
      <c r="F556" t="s">
        <v>17</v>
      </c>
      <c r="G556" t="s">
        <v>25</v>
      </c>
      <c r="H556" t="s">
        <v>526</v>
      </c>
      <c r="I556">
        <v>20</v>
      </c>
      <c r="J556" t="s">
        <v>30</v>
      </c>
      <c r="K556" t="str">
        <f t="shared" si="8"/>
        <v>39001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>
      <c r="A557" s="1">
        <v>44774</v>
      </c>
      <c r="B557" t="s">
        <v>126</v>
      </c>
      <c r="C557" t="s">
        <v>14</v>
      </c>
      <c r="D557" t="s">
        <v>15</v>
      </c>
      <c r="E557" t="s">
        <v>23</v>
      </c>
      <c r="F557" t="s">
        <v>17</v>
      </c>
      <c r="G557" t="s">
        <v>25</v>
      </c>
      <c r="H557" t="s">
        <v>526</v>
      </c>
      <c r="I557">
        <v>20</v>
      </c>
      <c r="J557" t="s">
        <v>26</v>
      </c>
      <c r="K557" t="str">
        <f t="shared" si="8"/>
        <v>39103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>
      <c r="A558" s="1">
        <v>44774</v>
      </c>
      <c r="B558" t="s">
        <v>126</v>
      </c>
      <c r="C558" t="s">
        <v>14</v>
      </c>
      <c r="D558" t="s">
        <v>15</v>
      </c>
      <c r="E558" t="s">
        <v>23</v>
      </c>
      <c r="F558" t="s">
        <v>17</v>
      </c>
      <c r="G558" t="s">
        <v>25</v>
      </c>
      <c r="H558" t="s">
        <v>526</v>
      </c>
      <c r="I558">
        <v>20</v>
      </c>
      <c r="J558" t="s">
        <v>29</v>
      </c>
      <c r="K558" t="str">
        <f t="shared" si="8"/>
        <v>39700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>
      <c r="A559" s="1">
        <v>44774</v>
      </c>
      <c r="B559" t="s">
        <v>126</v>
      </c>
      <c r="C559" t="s">
        <v>14</v>
      </c>
      <c r="D559" t="s">
        <v>15</v>
      </c>
      <c r="E559" t="s">
        <v>23</v>
      </c>
      <c r="F559" t="s">
        <v>17</v>
      </c>
      <c r="G559" t="s">
        <v>25</v>
      </c>
      <c r="H559" t="s">
        <v>526</v>
      </c>
      <c r="I559">
        <v>20</v>
      </c>
      <c r="J559" t="s">
        <v>31</v>
      </c>
      <c r="K559" t="str">
        <f t="shared" si="8"/>
        <v>39800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>
      <c r="A560" s="1">
        <v>44805</v>
      </c>
      <c r="B560" t="s">
        <v>125</v>
      </c>
      <c r="C560" t="s">
        <v>14</v>
      </c>
      <c r="D560" t="s">
        <v>15</v>
      </c>
      <c r="E560" t="s">
        <v>23</v>
      </c>
      <c r="F560" t="s">
        <v>24</v>
      </c>
      <c r="G560" t="s">
        <v>25</v>
      </c>
      <c r="H560" t="s">
        <v>526</v>
      </c>
      <c r="I560">
        <v>20</v>
      </c>
      <c r="J560" t="s">
        <v>26</v>
      </c>
      <c r="K560" t="str">
        <f t="shared" si="8"/>
        <v>39103</v>
      </c>
      <c r="L560">
        <v>0</v>
      </c>
      <c r="M560">
        <v>0</v>
      </c>
      <c r="N560">
        <v>0</v>
      </c>
      <c r="O560">
        <v>0</v>
      </c>
      <c r="P560" s="8">
        <v>0</v>
      </c>
    </row>
    <row r="561" spans="1:16">
      <c r="A561" s="1">
        <v>44805</v>
      </c>
      <c r="B561" t="s">
        <v>125</v>
      </c>
      <c r="C561" t="s">
        <v>14</v>
      </c>
      <c r="D561" t="s">
        <v>15</v>
      </c>
      <c r="E561" t="s">
        <v>23</v>
      </c>
      <c r="F561" t="s">
        <v>24</v>
      </c>
      <c r="G561" t="s">
        <v>25</v>
      </c>
      <c r="H561" t="s">
        <v>526</v>
      </c>
      <c r="I561">
        <v>20</v>
      </c>
      <c r="J561" t="s">
        <v>27</v>
      </c>
      <c r="K561" t="str">
        <f t="shared" si="8"/>
        <v>39104</v>
      </c>
      <c r="L561">
        <v>0</v>
      </c>
      <c r="M561">
        <v>0</v>
      </c>
      <c r="N561">
        <v>0</v>
      </c>
      <c r="O561">
        <v>0</v>
      </c>
      <c r="P561" s="8">
        <v>0</v>
      </c>
    </row>
    <row r="562" spans="1:16">
      <c r="A562" s="1">
        <v>44805</v>
      </c>
      <c r="B562" t="s">
        <v>125</v>
      </c>
      <c r="C562" t="s">
        <v>14</v>
      </c>
      <c r="D562" t="s">
        <v>15</v>
      </c>
      <c r="E562" t="s">
        <v>23</v>
      </c>
      <c r="F562" t="s">
        <v>24</v>
      </c>
      <c r="G562" t="s">
        <v>25</v>
      </c>
      <c r="H562" t="s">
        <v>526</v>
      </c>
      <c r="I562">
        <v>20</v>
      </c>
      <c r="J562" t="s">
        <v>28</v>
      </c>
      <c r="K562" t="str">
        <f t="shared" si="8"/>
        <v>39105</v>
      </c>
      <c r="L562">
        <v>0</v>
      </c>
      <c r="M562">
        <v>0</v>
      </c>
      <c r="N562">
        <v>0</v>
      </c>
      <c r="O562">
        <v>0</v>
      </c>
      <c r="P562" s="8">
        <v>0</v>
      </c>
    </row>
    <row r="563" spans="1:16">
      <c r="A563" s="1">
        <v>44805</v>
      </c>
      <c r="B563" t="s">
        <v>125</v>
      </c>
      <c r="C563" t="s">
        <v>14</v>
      </c>
      <c r="D563" t="s">
        <v>15</v>
      </c>
      <c r="E563" t="s">
        <v>23</v>
      </c>
      <c r="F563" t="s">
        <v>24</v>
      </c>
      <c r="G563" t="s">
        <v>25</v>
      </c>
      <c r="H563" t="s">
        <v>526</v>
      </c>
      <c r="I563">
        <v>20</v>
      </c>
      <c r="J563" t="s">
        <v>29</v>
      </c>
      <c r="K563" t="str">
        <f t="shared" si="8"/>
        <v>39700</v>
      </c>
      <c r="L563">
        <v>0</v>
      </c>
      <c r="M563">
        <v>0</v>
      </c>
      <c r="N563">
        <v>0</v>
      </c>
      <c r="O563">
        <v>0</v>
      </c>
      <c r="P563" s="8">
        <v>0</v>
      </c>
    </row>
    <row r="564" spans="1:16">
      <c r="A564" s="1">
        <v>44805</v>
      </c>
      <c r="B564" t="s">
        <v>125</v>
      </c>
      <c r="C564" t="s">
        <v>14</v>
      </c>
      <c r="D564" t="s">
        <v>15</v>
      </c>
      <c r="E564" t="s">
        <v>23</v>
      </c>
      <c r="F564" t="s">
        <v>17</v>
      </c>
      <c r="G564" t="s">
        <v>25</v>
      </c>
      <c r="H564" t="s">
        <v>526</v>
      </c>
      <c r="I564">
        <v>20</v>
      </c>
      <c r="J564" t="s">
        <v>30</v>
      </c>
      <c r="K564" t="str">
        <f t="shared" si="8"/>
        <v>39001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>
      <c r="A565" s="1">
        <v>44805</v>
      </c>
      <c r="B565" t="s">
        <v>125</v>
      </c>
      <c r="C565" t="s">
        <v>14</v>
      </c>
      <c r="D565" t="s">
        <v>15</v>
      </c>
      <c r="E565" t="s">
        <v>23</v>
      </c>
      <c r="F565" t="s">
        <v>17</v>
      </c>
      <c r="G565" t="s">
        <v>25</v>
      </c>
      <c r="H565" t="s">
        <v>526</v>
      </c>
      <c r="I565">
        <v>20</v>
      </c>
      <c r="J565" t="s">
        <v>26</v>
      </c>
      <c r="K565" t="str">
        <f t="shared" si="8"/>
        <v>39103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>
      <c r="A566" s="1">
        <v>44805</v>
      </c>
      <c r="B566" t="s">
        <v>125</v>
      </c>
      <c r="C566" t="s">
        <v>14</v>
      </c>
      <c r="D566" t="s">
        <v>15</v>
      </c>
      <c r="E566" t="s">
        <v>23</v>
      </c>
      <c r="F566" t="s">
        <v>17</v>
      </c>
      <c r="G566" t="s">
        <v>25</v>
      </c>
      <c r="H566" t="s">
        <v>526</v>
      </c>
      <c r="I566">
        <v>20</v>
      </c>
      <c r="J566" t="s">
        <v>29</v>
      </c>
      <c r="K566" t="str">
        <f t="shared" si="8"/>
        <v>39700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>
      <c r="A567" s="1">
        <v>44805</v>
      </c>
      <c r="B567" t="s">
        <v>125</v>
      </c>
      <c r="C567" t="s">
        <v>14</v>
      </c>
      <c r="D567" t="s">
        <v>15</v>
      </c>
      <c r="E567" t="s">
        <v>23</v>
      </c>
      <c r="F567" t="s">
        <v>17</v>
      </c>
      <c r="G567" t="s">
        <v>25</v>
      </c>
      <c r="H567" t="s">
        <v>526</v>
      </c>
      <c r="I567">
        <v>20</v>
      </c>
      <c r="J567" t="s">
        <v>31</v>
      </c>
      <c r="K567" t="str">
        <f t="shared" si="8"/>
        <v>39800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>
      <c r="A568" s="1">
        <v>44835</v>
      </c>
      <c r="B568" t="s">
        <v>124</v>
      </c>
      <c r="C568" t="s">
        <v>14</v>
      </c>
      <c r="D568" t="s">
        <v>15</v>
      </c>
      <c r="E568" t="s">
        <v>23</v>
      </c>
      <c r="F568" t="s">
        <v>24</v>
      </c>
      <c r="G568" t="s">
        <v>25</v>
      </c>
      <c r="H568" t="s">
        <v>526</v>
      </c>
      <c r="I568">
        <v>20</v>
      </c>
      <c r="J568" t="s">
        <v>26</v>
      </c>
      <c r="K568" t="str">
        <f t="shared" si="8"/>
        <v>39103</v>
      </c>
      <c r="L568">
        <v>0</v>
      </c>
      <c r="M568">
        <v>0</v>
      </c>
      <c r="N568">
        <v>0</v>
      </c>
      <c r="O568">
        <v>0</v>
      </c>
      <c r="P568" s="8">
        <v>0</v>
      </c>
    </row>
    <row r="569" spans="1:16">
      <c r="A569" s="1">
        <v>44835</v>
      </c>
      <c r="B569" t="s">
        <v>124</v>
      </c>
      <c r="C569" t="s">
        <v>14</v>
      </c>
      <c r="D569" t="s">
        <v>15</v>
      </c>
      <c r="E569" t="s">
        <v>23</v>
      </c>
      <c r="F569" t="s">
        <v>24</v>
      </c>
      <c r="G569" t="s">
        <v>25</v>
      </c>
      <c r="H569" t="s">
        <v>526</v>
      </c>
      <c r="I569">
        <v>20</v>
      </c>
      <c r="J569" t="s">
        <v>27</v>
      </c>
      <c r="K569" t="str">
        <f t="shared" si="8"/>
        <v>39104</v>
      </c>
      <c r="L569">
        <v>0</v>
      </c>
      <c r="M569">
        <v>0</v>
      </c>
      <c r="N569">
        <v>0</v>
      </c>
      <c r="O569">
        <v>0</v>
      </c>
      <c r="P569" s="8">
        <v>0</v>
      </c>
    </row>
    <row r="570" spans="1:16">
      <c r="A570" s="1">
        <v>44835</v>
      </c>
      <c r="B570" t="s">
        <v>124</v>
      </c>
      <c r="C570" t="s">
        <v>14</v>
      </c>
      <c r="D570" t="s">
        <v>15</v>
      </c>
      <c r="E570" t="s">
        <v>23</v>
      </c>
      <c r="F570" t="s">
        <v>24</v>
      </c>
      <c r="G570" t="s">
        <v>25</v>
      </c>
      <c r="H570" t="s">
        <v>526</v>
      </c>
      <c r="I570">
        <v>20</v>
      </c>
      <c r="J570" t="s">
        <v>28</v>
      </c>
      <c r="K570" t="str">
        <f t="shared" si="8"/>
        <v>39105</v>
      </c>
      <c r="L570">
        <v>0</v>
      </c>
      <c r="M570">
        <v>0</v>
      </c>
      <c r="N570">
        <v>0</v>
      </c>
      <c r="O570">
        <v>0</v>
      </c>
      <c r="P570" s="8">
        <v>0</v>
      </c>
    </row>
    <row r="571" spans="1:16">
      <c r="A571" s="1">
        <v>44835</v>
      </c>
      <c r="B571" t="s">
        <v>124</v>
      </c>
      <c r="C571" t="s">
        <v>14</v>
      </c>
      <c r="D571" t="s">
        <v>15</v>
      </c>
      <c r="E571" t="s">
        <v>23</v>
      </c>
      <c r="F571" t="s">
        <v>24</v>
      </c>
      <c r="G571" t="s">
        <v>25</v>
      </c>
      <c r="H571" t="s">
        <v>526</v>
      </c>
      <c r="I571">
        <v>20</v>
      </c>
      <c r="J571" t="s">
        <v>29</v>
      </c>
      <c r="K571" t="str">
        <f t="shared" si="8"/>
        <v>39700</v>
      </c>
      <c r="L571">
        <v>0</v>
      </c>
      <c r="M571">
        <v>0</v>
      </c>
      <c r="N571">
        <v>0</v>
      </c>
      <c r="O571">
        <v>0</v>
      </c>
      <c r="P571" s="8">
        <v>0</v>
      </c>
    </row>
    <row r="572" spans="1:16">
      <c r="A572" s="1">
        <v>44835</v>
      </c>
      <c r="B572" t="s">
        <v>124</v>
      </c>
      <c r="C572" t="s">
        <v>14</v>
      </c>
      <c r="D572" t="s">
        <v>15</v>
      </c>
      <c r="E572" t="s">
        <v>23</v>
      </c>
      <c r="F572" t="s">
        <v>17</v>
      </c>
      <c r="G572" t="s">
        <v>25</v>
      </c>
      <c r="H572" t="s">
        <v>526</v>
      </c>
      <c r="I572">
        <v>20</v>
      </c>
      <c r="J572" t="s">
        <v>30</v>
      </c>
      <c r="K572" t="str">
        <f t="shared" si="8"/>
        <v>39001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>
      <c r="A573" s="1">
        <v>44835</v>
      </c>
      <c r="B573" t="s">
        <v>124</v>
      </c>
      <c r="C573" t="s">
        <v>14</v>
      </c>
      <c r="D573" t="s">
        <v>15</v>
      </c>
      <c r="E573" t="s">
        <v>23</v>
      </c>
      <c r="F573" t="s">
        <v>17</v>
      </c>
      <c r="G573" t="s">
        <v>25</v>
      </c>
      <c r="H573" t="s">
        <v>526</v>
      </c>
      <c r="I573">
        <v>20</v>
      </c>
      <c r="J573" t="s">
        <v>26</v>
      </c>
      <c r="K573" t="str">
        <f t="shared" si="8"/>
        <v>39103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>
      <c r="A574" s="1">
        <v>44835</v>
      </c>
      <c r="B574" t="s">
        <v>124</v>
      </c>
      <c r="C574" t="s">
        <v>14</v>
      </c>
      <c r="D574" t="s">
        <v>15</v>
      </c>
      <c r="E574" t="s">
        <v>23</v>
      </c>
      <c r="F574" t="s">
        <v>17</v>
      </c>
      <c r="G574" t="s">
        <v>25</v>
      </c>
      <c r="H574" t="s">
        <v>526</v>
      </c>
      <c r="I574">
        <v>20</v>
      </c>
      <c r="J574" t="s">
        <v>29</v>
      </c>
      <c r="K574" t="str">
        <f t="shared" si="8"/>
        <v>39700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>
      <c r="A575" s="1">
        <v>44835</v>
      </c>
      <c r="B575" t="s">
        <v>124</v>
      </c>
      <c r="C575" t="s">
        <v>14</v>
      </c>
      <c r="D575" t="s">
        <v>15</v>
      </c>
      <c r="E575" t="s">
        <v>23</v>
      </c>
      <c r="F575" t="s">
        <v>17</v>
      </c>
      <c r="G575" t="s">
        <v>25</v>
      </c>
      <c r="H575" t="s">
        <v>526</v>
      </c>
      <c r="I575">
        <v>20</v>
      </c>
      <c r="J575" t="s">
        <v>31</v>
      </c>
      <c r="K575" t="str">
        <f t="shared" si="8"/>
        <v>39800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>
      <c r="A576" s="1">
        <v>44866</v>
      </c>
      <c r="B576" t="s">
        <v>123</v>
      </c>
      <c r="C576" t="s">
        <v>14</v>
      </c>
      <c r="D576" t="s">
        <v>15</v>
      </c>
      <c r="E576" t="s">
        <v>23</v>
      </c>
      <c r="F576" t="s">
        <v>24</v>
      </c>
      <c r="G576" t="s">
        <v>25</v>
      </c>
      <c r="H576" t="s">
        <v>526</v>
      </c>
      <c r="I576">
        <v>20</v>
      </c>
      <c r="J576" t="s">
        <v>26</v>
      </c>
      <c r="K576" t="str">
        <f t="shared" si="8"/>
        <v>39103</v>
      </c>
      <c r="L576">
        <v>0</v>
      </c>
      <c r="M576">
        <v>0</v>
      </c>
      <c r="N576">
        <v>0</v>
      </c>
      <c r="O576">
        <v>0</v>
      </c>
      <c r="P576" s="8">
        <v>0</v>
      </c>
    </row>
    <row r="577" spans="1:16">
      <c r="A577" s="1">
        <v>44866</v>
      </c>
      <c r="B577" t="s">
        <v>123</v>
      </c>
      <c r="C577" t="s">
        <v>14</v>
      </c>
      <c r="D577" t="s">
        <v>15</v>
      </c>
      <c r="E577" t="s">
        <v>23</v>
      </c>
      <c r="F577" t="s">
        <v>24</v>
      </c>
      <c r="G577" t="s">
        <v>25</v>
      </c>
      <c r="H577" t="s">
        <v>526</v>
      </c>
      <c r="I577">
        <v>20</v>
      </c>
      <c r="J577" t="s">
        <v>27</v>
      </c>
      <c r="K577" t="str">
        <f t="shared" si="8"/>
        <v>39104</v>
      </c>
      <c r="L577">
        <v>0</v>
      </c>
      <c r="M577">
        <v>0</v>
      </c>
      <c r="N577">
        <v>0</v>
      </c>
      <c r="O577">
        <v>0</v>
      </c>
      <c r="P577" s="8">
        <v>0</v>
      </c>
    </row>
    <row r="578" spans="1:16">
      <c r="A578" s="1">
        <v>44866</v>
      </c>
      <c r="B578" t="s">
        <v>123</v>
      </c>
      <c r="C578" t="s">
        <v>14</v>
      </c>
      <c r="D578" t="s">
        <v>15</v>
      </c>
      <c r="E578" t="s">
        <v>23</v>
      </c>
      <c r="F578" t="s">
        <v>24</v>
      </c>
      <c r="G578" t="s">
        <v>25</v>
      </c>
      <c r="H578" t="s">
        <v>526</v>
      </c>
      <c r="I578">
        <v>20</v>
      </c>
      <c r="J578" t="s">
        <v>28</v>
      </c>
      <c r="K578" t="str">
        <f t="shared" ref="K578:K641" si="9">MID(J578,2,5)</f>
        <v>39105</v>
      </c>
      <c r="L578">
        <v>0</v>
      </c>
      <c r="M578">
        <v>0</v>
      </c>
      <c r="N578">
        <v>0</v>
      </c>
      <c r="O578">
        <v>0</v>
      </c>
      <c r="P578" s="8">
        <v>0</v>
      </c>
    </row>
    <row r="579" spans="1:16">
      <c r="A579" s="1">
        <v>44866</v>
      </c>
      <c r="B579" t="s">
        <v>123</v>
      </c>
      <c r="C579" t="s">
        <v>14</v>
      </c>
      <c r="D579" t="s">
        <v>15</v>
      </c>
      <c r="E579" t="s">
        <v>23</v>
      </c>
      <c r="F579" t="s">
        <v>24</v>
      </c>
      <c r="G579" t="s">
        <v>25</v>
      </c>
      <c r="H579" t="s">
        <v>526</v>
      </c>
      <c r="I579">
        <v>20</v>
      </c>
      <c r="J579" t="s">
        <v>29</v>
      </c>
      <c r="K579" t="str">
        <f t="shared" si="9"/>
        <v>39700</v>
      </c>
      <c r="L579">
        <v>0</v>
      </c>
      <c r="M579">
        <v>0</v>
      </c>
      <c r="N579">
        <v>0</v>
      </c>
      <c r="O579">
        <v>0</v>
      </c>
      <c r="P579" s="8">
        <v>0</v>
      </c>
    </row>
    <row r="580" spans="1:16">
      <c r="A580" s="1">
        <v>44866</v>
      </c>
      <c r="B580" t="s">
        <v>123</v>
      </c>
      <c r="C580" t="s">
        <v>14</v>
      </c>
      <c r="D580" t="s">
        <v>15</v>
      </c>
      <c r="E580" t="s">
        <v>23</v>
      </c>
      <c r="F580" t="s">
        <v>17</v>
      </c>
      <c r="G580" t="s">
        <v>25</v>
      </c>
      <c r="H580" t="s">
        <v>526</v>
      </c>
      <c r="I580">
        <v>20</v>
      </c>
      <c r="J580" t="s">
        <v>30</v>
      </c>
      <c r="K580" t="str">
        <f t="shared" si="9"/>
        <v>39001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>
      <c r="A581" s="1">
        <v>44866</v>
      </c>
      <c r="B581" t="s">
        <v>123</v>
      </c>
      <c r="C581" t="s">
        <v>14</v>
      </c>
      <c r="D581" t="s">
        <v>15</v>
      </c>
      <c r="E581" t="s">
        <v>23</v>
      </c>
      <c r="F581" t="s">
        <v>17</v>
      </c>
      <c r="G581" t="s">
        <v>25</v>
      </c>
      <c r="H581" t="s">
        <v>526</v>
      </c>
      <c r="I581">
        <v>20</v>
      </c>
      <c r="J581" t="s">
        <v>26</v>
      </c>
      <c r="K581" t="str">
        <f t="shared" si="9"/>
        <v>39103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>
      <c r="A582" s="1">
        <v>44866</v>
      </c>
      <c r="B582" t="s">
        <v>123</v>
      </c>
      <c r="C582" t="s">
        <v>14</v>
      </c>
      <c r="D582" t="s">
        <v>15</v>
      </c>
      <c r="E582" t="s">
        <v>23</v>
      </c>
      <c r="F582" t="s">
        <v>17</v>
      </c>
      <c r="G582" t="s">
        <v>25</v>
      </c>
      <c r="H582" t="s">
        <v>526</v>
      </c>
      <c r="I582">
        <v>20</v>
      </c>
      <c r="J582" t="s">
        <v>29</v>
      </c>
      <c r="K582" t="str">
        <f t="shared" si="9"/>
        <v>39700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>
      <c r="A583" s="1">
        <v>44866</v>
      </c>
      <c r="B583" t="s">
        <v>123</v>
      </c>
      <c r="C583" t="s">
        <v>14</v>
      </c>
      <c r="D583" t="s">
        <v>15</v>
      </c>
      <c r="E583" t="s">
        <v>23</v>
      </c>
      <c r="F583" t="s">
        <v>17</v>
      </c>
      <c r="G583" t="s">
        <v>25</v>
      </c>
      <c r="H583" t="s">
        <v>526</v>
      </c>
      <c r="I583">
        <v>20</v>
      </c>
      <c r="J583" t="s">
        <v>31</v>
      </c>
      <c r="K583" t="str">
        <f t="shared" si="9"/>
        <v>39800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>
      <c r="A584" s="1">
        <v>44896</v>
      </c>
      <c r="B584" t="s">
        <v>122</v>
      </c>
      <c r="C584" t="s">
        <v>14</v>
      </c>
      <c r="D584" t="s">
        <v>15</v>
      </c>
      <c r="E584" t="s">
        <v>23</v>
      </c>
      <c r="F584" t="s">
        <v>24</v>
      </c>
      <c r="G584" t="s">
        <v>25</v>
      </c>
      <c r="H584" t="s">
        <v>526</v>
      </c>
      <c r="I584">
        <v>20</v>
      </c>
      <c r="J584" t="s">
        <v>26</v>
      </c>
      <c r="K584" t="str">
        <f t="shared" si="9"/>
        <v>39103</v>
      </c>
      <c r="L584">
        <v>0</v>
      </c>
      <c r="M584">
        <v>0</v>
      </c>
      <c r="N584">
        <v>0</v>
      </c>
      <c r="O584">
        <v>0</v>
      </c>
      <c r="P584" s="8">
        <v>0</v>
      </c>
    </row>
    <row r="585" spans="1:16">
      <c r="A585" s="1">
        <v>44896</v>
      </c>
      <c r="B585" t="s">
        <v>122</v>
      </c>
      <c r="C585" t="s">
        <v>14</v>
      </c>
      <c r="D585" t="s">
        <v>15</v>
      </c>
      <c r="E585" t="s">
        <v>23</v>
      </c>
      <c r="F585" t="s">
        <v>24</v>
      </c>
      <c r="G585" t="s">
        <v>25</v>
      </c>
      <c r="H585" t="s">
        <v>526</v>
      </c>
      <c r="I585">
        <v>20</v>
      </c>
      <c r="J585" t="s">
        <v>27</v>
      </c>
      <c r="K585" t="str">
        <f t="shared" si="9"/>
        <v>39104</v>
      </c>
      <c r="L585">
        <v>0</v>
      </c>
      <c r="M585">
        <v>0</v>
      </c>
      <c r="N585">
        <v>0</v>
      </c>
      <c r="O585">
        <v>0</v>
      </c>
      <c r="P585" s="8">
        <v>0</v>
      </c>
    </row>
    <row r="586" spans="1:16">
      <c r="A586" s="1">
        <v>44896</v>
      </c>
      <c r="B586" t="s">
        <v>122</v>
      </c>
      <c r="C586" t="s">
        <v>14</v>
      </c>
      <c r="D586" t="s">
        <v>15</v>
      </c>
      <c r="E586" t="s">
        <v>23</v>
      </c>
      <c r="F586" t="s">
        <v>24</v>
      </c>
      <c r="G586" t="s">
        <v>25</v>
      </c>
      <c r="H586" t="s">
        <v>526</v>
      </c>
      <c r="I586">
        <v>20</v>
      </c>
      <c r="J586" t="s">
        <v>28</v>
      </c>
      <c r="K586" t="str">
        <f t="shared" si="9"/>
        <v>39105</v>
      </c>
      <c r="L586">
        <v>0</v>
      </c>
      <c r="M586">
        <v>0</v>
      </c>
      <c r="N586">
        <v>0</v>
      </c>
      <c r="O586">
        <v>0</v>
      </c>
      <c r="P586" s="8">
        <v>0</v>
      </c>
    </row>
    <row r="587" spans="1:16">
      <c r="A587" s="1">
        <v>44896</v>
      </c>
      <c r="B587" t="s">
        <v>122</v>
      </c>
      <c r="C587" t="s">
        <v>14</v>
      </c>
      <c r="D587" t="s">
        <v>15</v>
      </c>
      <c r="E587" t="s">
        <v>23</v>
      </c>
      <c r="F587" t="s">
        <v>24</v>
      </c>
      <c r="G587" t="s">
        <v>25</v>
      </c>
      <c r="H587" t="s">
        <v>526</v>
      </c>
      <c r="I587">
        <v>20</v>
      </c>
      <c r="J587" t="s">
        <v>29</v>
      </c>
      <c r="K587" t="str">
        <f t="shared" si="9"/>
        <v>39700</v>
      </c>
      <c r="L587">
        <v>0</v>
      </c>
      <c r="M587">
        <v>0</v>
      </c>
      <c r="N587">
        <v>0</v>
      </c>
      <c r="O587">
        <v>0</v>
      </c>
      <c r="P587" s="8">
        <v>0</v>
      </c>
    </row>
    <row r="588" spans="1:16">
      <c r="A588" s="1">
        <v>44896</v>
      </c>
      <c r="B588" t="s">
        <v>122</v>
      </c>
      <c r="C588" t="s">
        <v>14</v>
      </c>
      <c r="D588" t="s">
        <v>15</v>
      </c>
      <c r="E588" t="s">
        <v>23</v>
      </c>
      <c r="F588" t="s">
        <v>17</v>
      </c>
      <c r="G588" t="s">
        <v>25</v>
      </c>
      <c r="H588" t="s">
        <v>526</v>
      </c>
      <c r="I588">
        <v>20</v>
      </c>
      <c r="J588" t="s">
        <v>30</v>
      </c>
      <c r="K588" t="str">
        <f t="shared" si="9"/>
        <v>39001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>
      <c r="A589" s="1">
        <v>44896</v>
      </c>
      <c r="B589" t="s">
        <v>122</v>
      </c>
      <c r="C589" t="s">
        <v>14</v>
      </c>
      <c r="D589" t="s">
        <v>15</v>
      </c>
      <c r="E589" t="s">
        <v>23</v>
      </c>
      <c r="F589" t="s">
        <v>17</v>
      </c>
      <c r="G589" t="s">
        <v>25</v>
      </c>
      <c r="H589" t="s">
        <v>526</v>
      </c>
      <c r="I589">
        <v>20</v>
      </c>
      <c r="J589" t="s">
        <v>26</v>
      </c>
      <c r="K589" t="str">
        <f t="shared" si="9"/>
        <v>39103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>
      <c r="A590" s="1">
        <v>44896</v>
      </c>
      <c r="B590" t="s">
        <v>122</v>
      </c>
      <c r="C590" t="s">
        <v>14</v>
      </c>
      <c r="D590" t="s">
        <v>15</v>
      </c>
      <c r="E590" t="s">
        <v>23</v>
      </c>
      <c r="F590" t="s">
        <v>17</v>
      </c>
      <c r="G590" t="s">
        <v>25</v>
      </c>
      <c r="H590" t="s">
        <v>526</v>
      </c>
      <c r="I590">
        <v>20</v>
      </c>
      <c r="J590" t="s">
        <v>29</v>
      </c>
      <c r="K590" t="str">
        <f t="shared" si="9"/>
        <v>39700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>
      <c r="A591" s="1">
        <v>44896</v>
      </c>
      <c r="B591" t="s">
        <v>122</v>
      </c>
      <c r="C591" t="s">
        <v>14</v>
      </c>
      <c r="D591" t="s">
        <v>15</v>
      </c>
      <c r="E591" t="s">
        <v>23</v>
      </c>
      <c r="F591" t="s">
        <v>17</v>
      </c>
      <c r="G591" t="s">
        <v>25</v>
      </c>
      <c r="H591" t="s">
        <v>526</v>
      </c>
      <c r="I591">
        <v>20</v>
      </c>
      <c r="J591" t="s">
        <v>31</v>
      </c>
      <c r="K591" t="str">
        <f t="shared" si="9"/>
        <v>39800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>
      <c r="A592" s="1">
        <v>44531</v>
      </c>
      <c r="B592" t="s">
        <v>13</v>
      </c>
      <c r="C592" t="s">
        <v>14</v>
      </c>
      <c r="D592" t="s">
        <v>15</v>
      </c>
      <c r="E592" t="s">
        <v>23</v>
      </c>
      <c r="F592" t="s">
        <v>24</v>
      </c>
      <c r="G592" t="s">
        <v>25</v>
      </c>
      <c r="H592" t="s">
        <v>526</v>
      </c>
      <c r="I592">
        <v>20</v>
      </c>
      <c r="J592" t="s">
        <v>26</v>
      </c>
      <c r="K592" t="str">
        <f t="shared" si="9"/>
        <v>39103</v>
      </c>
      <c r="L592">
        <v>0</v>
      </c>
      <c r="M592">
        <v>0</v>
      </c>
      <c r="N592">
        <v>0</v>
      </c>
      <c r="O592">
        <v>0</v>
      </c>
      <c r="P592" s="8">
        <v>0</v>
      </c>
    </row>
    <row r="593" spans="1:16">
      <c r="A593" s="1">
        <v>44531</v>
      </c>
      <c r="B593" t="s">
        <v>13</v>
      </c>
      <c r="C593" t="s">
        <v>14</v>
      </c>
      <c r="D593" t="s">
        <v>15</v>
      </c>
      <c r="E593" t="s">
        <v>23</v>
      </c>
      <c r="F593" t="s">
        <v>24</v>
      </c>
      <c r="G593" t="s">
        <v>25</v>
      </c>
      <c r="H593" t="s">
        <v>526</v>
      </c>
      <c r="I593">
        <v>20</v>
      </c>
      <c r="J593" t="s">
        <v>27</v>
      </c>
      <c r="K593" t="str">
        <f t="shared" si="9"/>
        <v>39104</v>
      </c>
      <c r="L593">
        <v>0</v>
      </c>
      <c r="M593">
        <v>0</v>
      </c>
      <c r="N593">
        <v>0</v>
      </c>
      <c r="O593">
        <v>0</v>
      </c>
      <c r="P593" s="8">
        <v>0</v>
      </c>
    </row>
    <row r="594" spans="1:16">
      <c r="A594" s="1">
        <v>44531</v>
      </c>
      <c r="B594" t="s">
        <v>13</v>
      </c>
      <c r="C594" t="s">
        <v>14</v>
      </c>
      <c r="D594" t="s">
        <v>15</v>
      </c>
      <c r="E594" t="s">
        <v>23</v>
      </c>
      <c r="F594" t="s">
        <v>24</v>
      </c>
      <c r="G594" t="s">
        <v>25</v>
      </c>
      <c r="H594" t="s">
        <v>526</v>
      </c>
      <c r="I594">
        <v>20</v>
      </c>
      <c r="J594" t="s">
        <v>28</v>
      </c>
      <c r="K594" t="str">
        <f t="shared" si="9"/>
        <v>39105</v>
      </c>
      <c r="L594">
        <v>0</v>
      </c>
      <c r="M594">
        <v>0</v>
      </c>
      <c r="N594">
        <v>0</v>
      </c>
      <c r="O594">
        <v>0</v>
      </c>
      <c r="P594" s="8">
        <v>0</v>
      </c>
    </row>
    <row r="595" spans="1:16">
      <c r="A595" s="1">
        <v>44531</v>
      </c>
      <c r="B595" t="s">
        <v>13</v>
      </c>
      <c r="C595" t="s">
        <v>14</v>
      </c>
      <c r="D595" t="s">
        <v>15</v>
      </c>
      <c r="E595" t="s">
        <v>23</v>
      </c>
      <c r="F595" t="s">
        <v>24</v>
      </c>
      <c r="G595" t="s">
        <v>25</v>
      </c>
      <c r="H595" t="s">
        <v>526</v>
      </c>
      <c r="I595">
        <v>20</v>
      </c>
      <c r="J595" t="s">
        <v>29</v>
      </c>
      <c r="K595" t="str">
        <f t="shared" si="9"/>
        <v>39700</v>
      </c>
      <c r="L595">
        <v>0</v>
      </c>
      <c r="M595">
        <v>0</v>
      </c>
      <c r="N595">
        <v>0</v>
      </c>
      <c r="O595">
        <v>0</v>
      </c>
      <c r="P595" s="8">
        <v>0</v>
      </c>
    </row>
    <row r="596" spans="1:16">
      <c r="A596" s="1">
        <v>44531</v>
      </c>
      <c r="B596" t="s">
        <v>13</v>
      </c>
      <c r="C596" t="s">
        <v>14</v>
      </c>
      <c r="D596" t="s">
        <v>15</v>
      </c>
      <c r="E596" t="s">
        <v>23</v>
      </c>
      <c r="F596" t="s">
        <v>17</v>
      </c>
      <c r="G596" t="s">
        <v>25</v>
      </c>
      <c r="H596" t="s">
        <v>526</v>
      </c>
      <c r="I596">
        <v>20</v>
      </c>
      <c r="J596" t="s">
        <v>30</v>
      </c>
      <c r="K596" t="str">
        <f t="shared" si="9"/>
        <v>39001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>
      <c r="A597" s="1">
        <v>44531</v>
      </c>
      <c r="B597" t="s">
        <v>13</v>
      </c>
      <c r="C597" t="s">
        <v>14</v>
      </c>
      <c r="D597" t="s">
        <v>15</v>
      </c>
      <c r="E597" t="s">
        <v>23</v>
      </c>
      <c r="F597" t="s">
        <v>17</v>
      </c>
      <c r="G597" t="s">
        <v>25</v>
      </c>
      <c r="H597" t="s">
        <v>526</v>
      </c>
      <c r="I597">
        <v>20</v>
      </c>
      <c r="J597" t="s">
        <v>26</v>
      </c>
      <c r="K597" t="str">
        <f t="shared" si="9"/>
        <v>39103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>
      <c r="A598" s="1">
        <v>44531</v>
      </c>
      <c r="B598" t="s">
        <v>13</v>
      </c>
      <c r="C598" t="s">
        <v>14</v>
      </c>
      <c r="D598" t="s">
        <v>15</v>
      </c>
      <c r="E598" t="s">
        <v>23</v>
      </c>
      <c r="F598" t="s">
        <v>17</v>
      </c>
      <c r="G598" t="s">
        <v>25</v>
      </c>
      <c r="H598" t="s">
        <v>526</v>
      </c>
      <c r="I598">
        <v>20</v>
      </c>
      <c r="J598" t="s">
        <v>29</v>
      </c>
      <c r="K598" t="str">
        <f t="shared" si="9"/>
        <v>39700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>
      <c r="A599" s="1">
        <v>44531</v>
      </c>
      <c r="B599" t="s">
        <v>13</v>
      </c>
      <c r="C599" t="s">
        <v>14</v>
      </c>
      <c r="D599" t="s">
        <v>15</v>
      </c>
      <c r="E599" t="s">
        <v>23</v>
      </c>
      <c r="F599" t="s">
        <v>17</v>
      </c>
      <c r="G599" t="s">
        <v>25</v>
      </c>
      <c r="H599" t="s">
        <v>526</v>
      </c>
      <c r="I599">
        <v>20</v>
      </c>
      <c r="J599" t="s">
        <v>31</v>
      </c>
      <c r="K599" t="str">
        <f t="shared" si="9"/>
        <v>39800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>
      <c r="A600" s="1">
        <v>44562</v>
      </c>
      <c r="B600" t="s">
        <v>133</v>
      </c>
      <c r="C600" t="s">
        <v>14</v>
      </c>
      <c r="D600" t="s">
        <v>15</v>
      </c>
      <c r="E600" t="s">
        <v>33</v>
      </c>
      <c r="F600" t="s">
        <v>24</v>
      </c>
      <c r="G600" t="s">
        <v>18</v>
      </c>
      <c r="H600" t="s">
        <v>526</v>
      </c>
      <c r="I600">
        <v>8</v>
      </c>
      <c r="J600" t="s">
        <v>94</v>
      </c>
      <c r="K600" t="str">
        <f t="shared" si="9"/>
        <v>38901</v>
      </c>
      <c r="L600">
        <v>261405.41</v>
      </c>
      <c r="M600">
        <v>0</v>
      </c>
      <c r="N600">
        <v>0</v>
      </c>
      <c r="O600">
        <v>0</v>
      </c>
      <c r="P600" s="8">
        <v>261405.41</v>
      </c>
    </row>
    <row r="601" spans="1:16">
      <c r="A601" s="1">
        <v>44562</v>
      </c>
      <c r="B601" t="s">
        <v>133</v>
      </c>
      <c r="C601" t="s">
        <v>14</v>
      </c>
      <c r="D601" t="s">
        <v>15</v>
      </c>
      <c r="E601" t="s">
        <v>33</v>
      </c>
      <c r="F601" t="s">
        <v>24</v>
      </c>
      <c r="G601" t="s">
        <v>18</v>
      </c>
      <c r="H601" t="s">
        <v>526</v>
      </c>
      <c r="I601">
        <v>8</v>
      </c>
      <c r="J601" t="s">
        <v>95</v>
      </c>
      <c r="K601" t="str">
        <f t="shared" si="9"/>
        <v>38902</v>
      </c>
      <c r="L601">
        <v>22532.78</v>
      </c>
      <c r="M601">
        <v>0</v>
      </c>
      <c r="N601">
        <v>0</v>
      </c>
      <c r="O601">
        <v>0</v>
      </c>
      <c r="P601" s="8">
        <v>22532.78</v>
      </c>
    </row>
    <row r="602" spans="1:16">
      <c r="A602" s="1">
        <v>44562</v>
      </c>
      <c r="B602" t="s">
        <v>133</v>
      </c>
      <c r="C602" t="s">
        <v>14</v>
      </c>
      <c r="D602" t="s">
        <v>15</v>
      </c>
      <c r="E602" t="s">
        <v>33</v>
      </c>
      <c r="F602" t="s">
        <v>24</v>
      </c>
      <c r="G602" t="s">
        <v>18</v>
      </c>
      <c r="H602" t="s">
        <v>526</v>
      </c>
      <c r="I602">
        <v>8</v>
      </c>
      <c r="J602" t="s">
        <v>19</v>
      </c>
      <c r="K602" t="str">
        <f t="shared" si="9"/>
        <v>39001</v>
      </c>
      <c r="L602">
        <v>7416309.9800000004</v>
      </c>
      <c r="M602">
        <v>0</v>
      </c>
      <c r="N602">
        <v>0</v>
      </c>
      <c r="O602">
        <v>0</v>
      </c>
      <c r="P602" s="8">
        <v>7416309.9800000004</v>
      </c>
    </row>
    <row r="603" spans="1:16">
      <c r="A603" s="1">
        <v>44562</v>
      </c>
      <c r="B603" t="s">
        <v>133</v>
      </c>
      <c r="C603" t="s">
        <v>14</v>
      </c>
      <c r="D603" t="s">
        <v>15</v>
      </c>
      <c r="E603" t="s">
        <v>33</v>
      </c>
      <c r="F603" t="s">
        <v>24</v>
      </c>
      <c r="G603" t="s">
        <v>18</v>
      </c>
      <c r="H603" t="s">
        <v>526</v>
      </c>
      <c r="I603">
        <v>8</v>
      </c>
      <c r="J603" t="s">
        <v>96</v>
      </c>
      <c r="K603" t="str">
        <f t="shared" si="9"/>
        <v>39051</v>
      </c>
      <c r="L603">
        <v>1426861.24</v>
      </c>
      <c r="M603">
        <v>0</v>
      </c>
      <c r="N603">
        <v>0</v>
      </c>
      <c r="O603">
        <v>0</v>
      </c>
      <c r="P603" s="8">
        <v>1426861.24</v>
      </c>
    </row>
    <row r="604" spans="1:16">
      <c r="A604" s="1">
        <v>44562</v>
      </c>
      <c r="B604" t="s">
        <v>133</v>
      </c>
      <c r="C604" t="s">
        <v>14</v>
      </c>
      <c r="D604" t="s">
        <v>15</v>
      </c>
      <c r="E604" t="s">
        <v>33</v>
      </c>
      <c r="F604" t="s">
        <v>24</v>
      </c>
      <c r="G604" t="s">
        <v>18</v>
      </c>
      <c r="H604" t="s">
        <v>526</v>
      </c>
      <c r="I604">
        <v>8</v>
      </c>
      <c r="J604" t="s">
        <v>97</v>
      </c>
      <c r="K604" t="str">
        <f t="shared" si="9"/>
        <v>39101</v>
      </c>
      <c r="L604">
        <v>1313111.22</v>
      </c>
      <c r="M604">
        <v>0</v>
      </c>
      <c r="N604">
        <v>0</v>
      </c>
      <c r="O604">
        <v>0</v>
      </c>
      <c r="P604" s="8">
        <v>1313111.22</v>
      </c>
    </row>
    <row r="605" spans="1:16">
      <c r="A605" s="1">
        <v>44562</v>
      </c>
      <c r="B605" t="s">
        <v>133</v>
      </c>
      <c r="C605" t="s">
        <v>14</v>
      </c>
      <c r="D605" t="s">
        <v>15</v>
      </c>
      <c r="E605" t="s">
        <v>33</v>
      </c>
      <c r="F605" t="s">
        <v>24</v>
      </c>
      <c r="G605" t="s">
        <v>18</v>
      </c>
      <c r="H605" t="s">
        <v>526</v>
      </c>
      <c r="I605">
        <v>8</v>
      </c>
      <c r="J605" t="s">
        <v>98</v>
      </c>
      <c r="K605" t="str">
        <f t="shared" si="9"/>
        <v>39103</v>
      </c>
      <c r="L605">
        <v>706248.64</v>
      </c>
      <c r="M605">
        <v>0</v>
      </c>
      <c r="N605">
        <v>0</v>
      </c>
      <c r="O605">
        <v>0</v>
      </c>
      <c r="P605" s="8">
        <v>706248.64</v>
      </c>
    </row>
    <row r="606" spans="1:16">
      <c r="A606" s="1">
        <v>44562</v>
      </c>
      <c r="B606" t="s">
        <v>133</v>
      </c>
      <c r="C606" t="s">
        <v>14</v>
      </c>
      <c r="D606" t="s">
        <v>15</v>
      </c>
      <c r="E606" t="s">
        <v>33</v>
      </c>
      <c r="F606" t="s">
        <v>24</v>
      </c>
      <c r="G606" t="s">
        <v>18</v>
      </c>
      <c r="H606" t="s">
        <v>526</v>
      </c>
      <c r="I606">
        <v>8</v>
      </c>
      <c r="J606" t="s">
        <v>99</v>
      </c>
      <c r="K606" t="str">
        <f t="shared" si="9"/>
        <v>39104</v>
      </c>
      <c r="L606">
        <v>14712</v>
      </c>
      <c r="M606">
        <v>0</v>
      </c>
      <c r="N606">
        <v>0</v>
      </c>
      <c r="O606">
        <v>0</v>
      </c>
      <c r="P606" s="8">
        <v>14712</v>
      </c>
    </row>
    <row r="607" spans="1:16">
      <c r="A607" s="1">
        <v>44562</v>
      </c>
      <c r="B607" t="s">
        <v>133</v>
      </c>
      <c r="C607" t="s">
        <v>14</v>
      </c>
      <c r="D607" t="s">
        <v>15</v>
      </c>
      <c r="E607" t="s">
        <v>33</v>
      </c>
      <c r="F607" t="s">
        <v>24</v>
      </c>
      <c r="G607" t="s">
        <v>18</v>
      </c>
      <c r="H607" t="s">
        <v>526</v>
      </c>
      <c r="I607">
        <v>8</v>
      </c>
      <c r="J607" t="s">
        <v>100</v>
      </c>
      <c r="K607" t="str">
        <f t="shared" si="9"/>
        <v>39105</v>
      </c>
      <c r="L607">
        <v>0</v>
      </c>
      <c r="M607">
        <v>0</v>
      </c>
      <c r="N607">
        <v>0</v>
      </c>
      <c r="O607">
        <v>0</v>
      </c>
      <c r="P607" s="8">
        <v>0</v>
      </c>
    </row>
    <row r="608" spans="1:16">
      <c r="A608" s="1">
        <v>44562</v>
      </c>
      <c r="B608" t="s">
        <v>133</v>
      </c>
      <c r="C608" t="s">
        <v>14</v>
      </c>
      <c r="D608" t="s">
        <v>15</v>
      </c>
      <c r="E608" t="s">
        <v>33</v>
      </c>
      <c r="F608" t="s">
        <v>24</v>
      </c>
      <c r="G608" t="s">
        <v>18</v>
      </c>
      <c r="H608" t="s">
        <v>526</v>
      </c>
      <c r="I608">
        <v>8</v>
      </c>
      <c r="J608" t="s">
        <v>101</v>
      </c>
      <c r="K608" t="str">
        <f t="shared" si="9"/>
        <v>39107</v>
      </c>
      <c r="L608">
        <v>0</v>
      </c>
      <c r="M608">
        <v>0</v>
      </c>
      <c r="N608">
        <v>0</v>
      </c>
      <c r="O608">
        <v>0</v>
      </c>
      <c r="P608" s="8">
        <v>0</v>
      </c>
    </row>
    <row r="609" spans="1:16">
      <c r="A609" s="1">
        <v>44562</v>
      </c>
      <c r="B609" t="s">
        <v>133</v>
      </c>
      <c r="C609" t="s">
        <v>14</v>
      </c>
      <c r="D609" t="s">
        <v>15</v>
      </c>
      <c r="E609" t="s">
        <v>33</v>
      </c>
      <c r="F609" t="s">
        <v>24</v>
      </c>
      <c r="G609" t="s">
        <v>18</v>
      </c>
      <c r="H609" t="s">
        <v>526</v>
      </c>
      <c r="I609">
        <v>8</v>
      </c>
      <c r="J609" t="s">
        <v>102</v>
      </c>
      <c r="K609" t="str">
        <f t="shared" si="9"/>
        <v>39159</v>
      </c>
      <c r="L609">
        <v>0</v>
      </c>
      <c r="M609">
        <v>0</v>
      </c>
      <c r="N609">
        <v>0</v>
      </c>
      <c r="O609">
        <v>0</v>
      </c>
      <c r="P609" s="8">
        <v>0</v>
      </c>
    </row>
    <row r="610" spans="1:16">
      <c r="A610" s="1">
        <v>44562</v>
      </c>
      <c r="B610" t="s">
        <v>133</v>
      </c>
      <c r="C610" t="s">
        <v>14</v>
      </c>
      <c r="D610" t="s">
        <v>15</v>
      </c>
      <c r="E610" t="s">
        <v>33</v>
      </c>
      <c r="F610" t="s">
        <v>24</v>
      </c>
      <c r="G610" t="s">
        <v>18</v>
      </c>
      <c r="H610" t="s">
        <v>526</v>
      </c>
      <c r="I610">
        <v>8</v>
      </c>
      <c r="J610" t="s">
        <v>103</v>
      </c>
      <c r="K610" t="str">
        <f t="shared" si="9"/>
        <v>39201</v>
      </c>
      <c r="L610">
        <v>134983.86000000002</v>
      </c>
      <c r="M610">
        <v>0</v>
      </c>
      <c r="N610">
        <v>0</v>
      </c>
      <c r="O610">
        <v>0</v>
      </c>
      <c r="P610" s="8">
        <v>134983.86000000002</v>
      </c>
    </row>
    <row r="611" spans="1:16">
      <c r="A611" s="1">
        <v>44562</v>
      </c>
      <c r="B611" t="s">
        <v>133</v>
      </c>
      <c r="C611" t="s">
        <v>14</v>
      </c>
      <c r="D611" t="s">
        <v>15</v>
      </c>
      <c r="E611" t="s">
        <v>33</v>
      </c>
      <c r="F611" t="s">
        <v>24</v>
      </c>
      <c r="G611" t="s">
        <v>18</v>
      </c>
      <c r="H611" t="s">
        <v>526</v>
      </c>
      <c r="I611">
        <v>8</v>
      </c>
      <c r="J611" t="s">
        <v>104</v>
      </c>
      <c r="K611" t="str">
        <f t="shared" si="9"/>
        <v>39202</v>
      </c>
      <c r="L611">
        <v>45525.16</v>
      </c>
      <c r="M611">
        <v>0</v>
      </c>
      <c r="N611">
        <v>0</v>
      </c>
      <c r="O611">
        <v>0</v>
      </c>
      <c r="P611" s="8">
        <v>45525.16</v>
      </c>
    </row>
    <row r="612" spans="1:16">
      <c r="A612" s="1">
        <v>44562</v>
      </c>
      <c r="B612" t="s">
        <v>133</v>
      </c>
      <c r="C612" t="s">
        <v>14</v>
      </c>
      <c r="D612" t="s">
        <v>15</v>
      </c>
      <c r="E612" t="s">
        <v>33</v>
      </c>
      <c r="F612" t="s">
        <v>24</v>
      </c>
      <c r="G612" t="s">
        <v>18</v>
      </c>
      <c r="H612" t="s">
        <v>526</v>
      </c>
      <c r="I612">
        <v>8</v>
      </c>
      <c r="J612" t="s">
        <v>105</v>
      </c>
      <c r="K612" t="str">
        <f t="shared" si="9"/>
        <v>39203</v>
      </c>
      <c r="L612">
        <v>2291867.58</v>
      </c>
      <c r="M612">
        <v>0</v>
      </c>
      <c r="N612">
        <v>0</v>
      </c>
      <c r="O612">
        <v>0</v>
      </c>
      <c r="P612" s="8">
        <v>2291867.58</v>
      </c>
    </row>
    <row r="613" spans="1:16">
      <c r="A613" s="1">
        <v>44562</v>
      </c>
      <c r="B613" t="s">
        <v>133</v>
      </c>
      <c r="C613" t="s">
        <v>14</v>
      </c>
      <c r="D613" t="s">
        <v>15</v>
      </c>
      <c r="E613" t="s">
        <v>33</v>
      </c>
      <c r="F613" t="s">
        <v>24</v>
      </c>
      <c r="G613" t="s">
        <v>18</v>
      </c>
      <c r="H613" t="s">
        <v>526</v>
      </c>
      <c r="I613">
        <v>8</v>
      </c>
      <c r="J613" t="s">
        <v>106</v>
      </c>
      <c r="K613" t="str">
        <f t="shared" si="9"/>
        <v>39204</v>
      </c>
      <c r="L613">
        <v>1604925.9500000002</v>
      </c>
      <c r="M613">
        <v>0</v>
      </c>
      <c r="N613">
        <v>0</v>
      </c>
      <c r="O613">
        <v>0</v>
      </c>
      <c r="P613" s="8">
        <v>1604925.9500000002</v>
      </c>
    </row>
    <row r="614" spans="1:16">
      <c r="A614" s="1">
        <v>44562</v>
      </c>
      <c r="B614" t="s">
        <v>133</v>
      </c>
      <c r="C614" t="s">
        <v>14</v>
      </c>
      <c r="D614" t="s">
        <v>15</v>
      </c>
      <c r="E614" t="s">
        <v>33</v>
      </c>
      <c r="F614" t="s">
        <v>24</v>
      </c>
      <c r="G614" t="s">
        <v>18</v>
      </c>
      <c r="H614" t="s">
        <v>526</v>
      </c>
      <c r="I614">
        <v>8</v>
      </c>
      <c r="J614" t="s">
        <v>107</v>
      </c>
      <c r="K614" t="str">
        <f t="shared" si="9"/>
        <v>39205</v>
      </c>
      <c r="L614">
        <v>8595881.1500000004</v>
      </c>
      <c r="M614">
        <v>0</v>
      </c>
      <c r="N614">
        <v>0</v>
      </c>
      <c r="O614">
        <v>0</v>
      </c>
      <c r="P614" s="8">
        <v>8595881.1500000004</v>
      </c>
    </row>
    <row r="615" spans="1:16">
      <c r="A615" s="1">
        <v>44562</v>
      </c>
      <c r="B615" t="s">
        <v>133</v>
      </c>
      <c r="C615" t="s">
        <v>14</v>
      </c>
      <c r="D615" t="s">
        <v>15</v>
      </c>
      <c r="E615" t="s">
        <v>33</v>
      </c>
      <c r="F615" t="s">
        <v>24</v>
      </c>
      <c r="G615" t="s">
        <v>18</v>
      </c>
      <c r="H615" t="s">
        <v>526</v>
      </c>
      <c r="I615">
        <v>8</v>
      </c>
      <c r="J615" t="s">
        <v>108</v>
      </c>
      <c r="K615" t="str">
        <f t="shared" si="9"/>
        <v>39206</v>
      </c>
      <c r="L615">
        <v>2241961.6</v>
      </c>
      <c r="M615">
        <v>0</v>
      </c>
      <c r="N615">
        <v>0</v>
      </c>
      <c r="O615">
        <v>0</v>
      </c>
      <c r="P615" s="8">
        <v>2241961.6</v>
      </c>
    </row>
    <row r="616" spans="1:16">
      <c r="A616" s="1">
        <v>44562</v>
      </c>
      <c r="B616" t="s">
        <v>133</v>
      </c>
      <c r="C616" t="s">
        <v>14</v>
      </c>
      <c r="D616" t="s">
        <v>15</v>
      </c>
      <c r="E616" t="s">
        <v>33</v>
      </c>
      <c r="F616" t="s">
        <v>24</v>
      </c>
      <c r="G616" t="s">
        <v>18</v>
      </c>
      <c r="H616" t="s">
        <v>526</v>
      </c>
      <c r="I616">
        <v>8</v>
      </c>
      <c r="J616" t="s">
        <v>109</v>
      </c>
      <c r="K616" t="str">
        <f t="shared" si="9"/>
        <v>39300</v>
      </c>
      <c r="L616">
        <v>24905.31</v>
      </c>
      <c r="M616">
        <v>0</v>
      </c>
      <c r="N616">
        <v>0</v>
      </c>
      <c r="O616">
        <v>0</v>
      </c>
      <c r="P616" s="8">
        <v>24905.31</v>
      </c>
    </row>
    <row r="617" spans="1:16">
      <c r="A617" s="1">
        <v>44562</v>
      </c>
      <c r="B617" t="s">
        <v>133</v>
      </c>
      <c r="C617" t="s">
        <v>14</v>
      </c>
      <c r="D617" t="s">
        <v>15</v>
      </c>
      <c r="E617" t="s">
        <v>33</v>
      </c>
      <c r="F617" t="s">
        <v>24</v>
      </c>
      <c r="G617" t="s">
        <v>18</v>
      </c>
      <c r="H617" t="s">
        <v>526</v>
      </c>
      <c r="I617">
        <v>8</v>
      </c>
      <c r="J617" t="s">
        <v>110</v>
      </c>
      <c r="K617" t="str">
        <f t="shared" si="9"/>
        <v>39400</v>
      </c>
      <c r="L617">
        <v>2995812.17</v>
      </c>
      <c r="M617">
        <v>17359.939999999999</v>
      </c>
      <c r="N617">
        <v>0</v>
      </c>
      <c r="O617">
        <v>0</v>
      </c>
      <c r="P617" s="8">
        <v>3013172.11</v>
      </c>
    </row>
    <row r="618" spans="1:16">
      <c r="A618" s="1">
        <v>44562</v>
      </c>
      <c r="B618" t="s">
        <v>133</v>
      </c>
      <c r="C618" t="s">
        <v>14</v>
      </c>
      <c r="D618" t="s">
        <v>15</v>
      </c>
      <c r="E618" t="s">
        <v>33</v>
      </c>
      <c r="F618" t="s">
        <v>24</v>
      </c>
      <c r="G618" t="s">
        <v>18</v>
      </c>
      <c r="H618" t="s">
        <v>526</v>
      </c>
      <c r="I618">
        <v>8</v>
      </c>
      <c r="J618" t="s">
        <v>111</v>
      </c>
      <c r="K618" t="str">
        <f t="shared" si="9"/>
        <v>39410</v>
      </c>
      <c r="L618">
        <v>14177.720000000001</v>
      </c>
      <c r="M618">
        <v>0</v>
      </c>
      <c r="N618">
        <v>0</v>
      </c>
      <c r="O618">
        <v>0</v>
      </c>
      <c r="P618" s="8">
        <v>14177.720000000001</v>
      </c>
    </row>
    <row r="619" spans="1:16">
      <c r="A619" s="1">
        <v>44562</v>
      </c>
      <c r="B619" t="s">
        <v>133</v>
      </c>
      <c r="C619" t="s">
        <v>14</v>
      </c>
      <c r="D619" t="s">
        <v>15</v>
      </c>
      <c r="E619" t="s">
        <v>33</v>
      </c>
      <c r="F619" t="s">
        <v>24</v>
      </c>
      <c r="G619" t="s">
        <v>18</v>
      </c>
      <c r="H619" t="s">
        <v>526</v>
      </c>
      <c r="I619">
        <v>8</v>
      </c>
      <c r="J619" t="s">
        <v>112</v>
      </c>
      <c r="K619" t="str">
        <f t="shared" si="9"/>
        <v>39500</v>
      </c>
      <c r="L619">
        <v>400236.59</v>
      </c>
      <c r="M619">
        <v>0</v>
      </c>
      <c r="N619">
        <v>0</v>
      </c>
      <c r="O619">
        <v>0</v>
      </c>
      <c r="P619" s="8">
        <v>400236.59</v>
      </c>
    </row>
    <row r="620" spans="1:16">
      <c r="A620" s="1">
        <v>44562</v>
      </c>
      <c r="B620" t="s">
        <v>133</v>
      </c>
      <c r="C620" t="s">
        <v>14</v>
      </c>
      <c r="D620" t="s">
        <v>15</v>
      </c>
      <c r="E620" t="s">
        <v>33</v>
      </c>
      <c r="F620" t="s">
        <v>24</v>
      </c>
      <c r="G620" t="s">
        <v>18</v>
      </c>
      <c r="H620" t="s">
        <v>526</v>
      </c>
      <c r="I620">
        <v>8</v>
      </c>
      <c r="J620" t="s">
        <v>113</v>
      </c>
      <c r="K620" t="str">
        <f t="shared" si="9"/>
        <v>39601</v>
      </c>
      <c r="L620">
        <v>219977.59</v>
      </c>
      <c r="M620">
        <v>0</v>
      </c>
      <c r="N620">
        <v>0</v>
      </c>
      <c r="O620">
        <v>0</v>
      </c>
      <c r="P620" s="8">
        <v>219977.59</v>
      </c>
    </row>
    <row r="621" spans="1:16">
      <c r="A621" s="1">
        <v>44562</v>
      </c>
      <c r="B621" t="s">
        <v>133</v>
      </c>
      <c r="C621" t="s">
        <v>14</v>
      </c>
      <c r="D621" t="s">
        <v>15</v>
      </c>
      <c r="E621" t="s">
        <v>33</v>
      </c>
      <c r="F621" t="s">
        <v>24</v>
      </c>
      <c r="G621" t="s">
        <v>18</v>
      </c>
      <c r="H621" t="s">
        <v>526</v>
      </c>
      <c r="I621">
        <v>8</v>
      </c>
      <c r="J621" t="s">
        <v>114</v>
      </c>
      <c r="K621" t="str">
        <f t="shared" si="9"/>
        <v>39602</v>
      </c>
      <c r="L621">
        <v>2912814.7199999997</v>
      </c>
      <c r="M621">
        <v>0</v>
      </c>
      <c r="N621">
        <v>0</v>
      </c>
      <c r="O621">
        <v>0</v>
      </c>
      <c r="P621" s="8">
        <v>2912814.7199999997</v>
      </c>
    </row>
    <row r="622" spans="1:16">
      <c r="A622" s="1">
        <v>44562</v>
      </c>
      <c r="B622" t="s">
        <v>133</v>
      </c>
      <c r="C622" t="s">
        <v>14</v>
      </c>
      <c r="D622" t="s">
        <v>15</v>
      </c>
      <c r="E622" t="s">
        <v>33</v>
      </c>
      <c r="F622" t="s">
        <v>24</v>
      </c>
      <c r="G622" t="s">
        <v>18</v>
      </c>
      <c r="H622" t="s">
        <v>526</v>
      </c>
      <c r="I622">
        <v>8</v>
      </c>
      <c r="J622" t="s">
        <v>115</v>
      </c>
      <c r="K622" t="str">
        <f t="shared" si="9"/>
        <v>39700</v>
      </c>
      <c r="L622">
        <v>1276206.3700000001</v>
      </c>
      <c r="M622">
        <v>0</v>
      </c>
      <c r="N622">
        <v>0</v>
      </c>
      <c r="O622">
        <v>0</v>
      </c>
      <c r="P622" s="8">
        <v>1276206.3700000001</v>
      </c>
    </row>
    <row r="623" spans="1:16">
      <c r="A623" s="1">
        <v>44562</v>
      </c>
      <c r="B623" t="s">
        <v>133</v>
      </c>
      <c r="C623" t="s">
        <v>14</v>
      </c>
      <c r="D623" t="s">
        <v>15</v>
      </c>
      <c r="E623" t="s">
        <v>33</v>
      </c>
      <c r="F623" t="s">
        <v>24</v>
      </c>
      <c r="G623" t="s">
        <v>18</v>
      </c>
      <c r="H623" t="s">
        <v>526</v>
      </c>
      <c r="I623">
        <v>8</v>
      </c>
      <c r="J623" t="s">
        <v>116</v>
      </c>
      <c r="K623" t="str">
        <f t="shared" si="9"/>
        <v>39710</v>
      </c>
      <c r="L623">
        <v>1204952.6599999999</v>
      </c>
      <c r="M623">
        <v>0</v>
      </c>
      <c r="N623">
        <v>0</v>
      </c>
      <c r="O623">
        <v>0</v>
      </c>
      <c r="P623" s="8">
        <v>1204952.6599999999</v>
      </c>
    </row>
    <row r="624" spans="1:16">
      <c r="A624" s="1">
        <v>44562</v>
      </c>
      <c r="B624" t="s">
        <v>133</v>
      </c>
      <c r="C624" t="s">
        <v>14</v>
      </c>
      <c r="D624" t="s">
        <v>15</v>
      </c>
      <c r="E624" t="s">
        <v>33</v>
      </c>
      <c r="F624" t="s">
        <v>24</v>
      </c>
      <c r="G624" t="s">
        <v>18</v>
      </c>
      <c r="H624" t="s">
        <v>526</v>
      </c>
      <c r="I624">
        <v>8</v>
      </c>
      <c r="J624" t="s">
        <v>117</v>
      </c>
      <c r="K624" t="str">
        <f t="shared" si="9"/>
        <v>39800</v>
      </c>
      <c r="L624">
        <v>129693.81</v>
      </c>
      <c r="M624">
        <v>0</v>
      </c>
      <c r="N624">
        <v>0</v>
      </c>
      <c r="O624">
        <v>0</v>
      </c>
      <c r="P624" s="8">
        <v>129693.81</v>
      </c>
    </row>
    <row r="625" spans="1:16">
      <c r="A625" s="1">
        <v>44562</v>
      </c>
      <c r="B625" t="s">
        <v>133</v>
      </c>
      <c r="C625" t="s">
        <v>14</v>
      </c>
      <c r="D625" t="s">
        <v>15</v>
      </c>
      <c r="E625" t="s">
        <v>33</v>
      </c>
      <c r="F625" t="s">
        <v>119</v>
      </c>
      <c r="G625" t="s">
        <v>18</v>
      </c>
      <c r="H625" t="s">
        <v>526</v>
      </c>
      <c r="I625">
        <v>8</v>
      </c>
      <c r="J625" t="s">
        <v>94</v>
      </c>
      <c r="K625" t="str">
        <f t="shared" si="9"/>
        <v>38901</v>
      </c>
      <c r="L625">
        <v>1221463.3</v>
      </c>
      <c r="M625">
        <v>0</v>
      </c>
      <c r="N625">
        <v>0</v>
      </c>
      <c r="O625">
        <v>0</v>
      </c>
      <c r="P625" s="9">
        <v>1221463.3</v>
      </c>
    </row>
    <row r="626" spans="1:16">
      <c r="A626" s="1">
        <v>44562</v>
      </c>
      <c r="B626" t="s">
        <v>133</v>
      </c>
      <c r="C626" t="s">
        <v>14</v>
      </c>
      <c r="D626" t="s">
        <v>15</v>
      </c>
      <c r="E626" t="s">
        <v>16</v>
      </c>
      <c r="F626" t="s">
        <v>17</v>
      </c>
      <c r="G626" t="s">
        <v>18</v>
      </c>
      <c r="H626" t="s">
        <v>526</v>
      </c>
      <c r="I626">
        <v>8</v>
      </c>
      <c r="J626" t="s">
        <v>19</v>
      </c>
      <c r="K626" t="str">
        <f t="shared" si="9"/>
        <v>39001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>
      <c r="A627" s="1">
        <v>44562</v>
      </c>
      <c r="B627" t="s">
        <v>133</v>
      </c>
      <c r="C627" t="s">
        <v>14</v>
      </c>
      <c r="D627" t="s">
        <v>15</v>
      </c>
      <c r="E627" t="s">
        <v>33</v>
      </c>
      <c r="F627" t="s">
        <v>17</v>
      </c>
      <c r="G627" t="s">
        <v>18</v>
      </c>
      <c r="H627" t="s">
        <v>526</v>
      </c>
      <c r="I627">
        <v>8</v>
      </c>
      <c r="J627" t="s">
        <v>94</v>
      </c>
      <c r="K627" t="str">
        <f t="shared" si="9"/>
        <v>38901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>
      <c r="A628" s="1">
        <v>44562</v>
      </c>
      <c r="B628" t="s">
        <v>133</v>
      </c>
      <c r="C628" t="s">
        <v>14</v>
      </c>
      <c r="D628" t="s">
        <v>15</v>
      </c>
      <c r="E628" t="s">
        <v>33</v>
      </c>
      <c r="F628" t="s">
        <v>17</v>
      </c>
      <c r="G628" t="s">
        <v>18</v>
      </c>
      <c r="H628" t="s">
        <v>526</v>
      </c>
      <c r="I628">
        <v>8</v>
      </c>
      <c r="J628" t="s">
        <v>19</v>
      </c>
      <c r="K628" t="str">
        <f t="shared" si="9"/>
        <v>39001</v>
      </c>
      <c r="L628">
        <v>227270.06</v>
      </c>
      <c r="M628">
        <v>0</v>
      </c>
      <c r="N628">
        <v>0</v>
      </c>
      <c r="O628">
        <v>0</v>
      </c>
      <c r="P628">
        <v>227270.06</v>
      </c>
    </row>
    <row r="629" spans="1:16">
      <c r="A629" s="1">
        <v>44562</v>
      </c>
      <c r="B629" t="s">
        <v>133</v>
      </c>
      <c r="C629" t="s">
        <v>14</v>
      </c>
      <c r="D629" t="s">
        <v>15</v>
      </c>
      <c r="E629" t="s">
        <v>33</v>
      </c>
      <c r="F629" t="s">
        <v>17</v>
      </c>
      <c r="G629" t="s">
        <v>18</v>
      </c>
      <c r="H629" t="s">
        <v>526</v>
      </c>
      <c r="I629">
        <v>8</v>
      </c>
      <c r="J629" t="s">
        <v>96</v>
      </c>
      <c r="K629" t="str">
        <f t="shared" si="9"/>
        <v>39051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>
      <c r="A630" s="1">
        <v>44562</v>
      </c>
      <c r="B630" t="s">
        <v>133</v>
      </c>
      <c r="C630" t="s">
        <v>14</v>
      </c>
      <c r="D630" t="s">
        <v>15</v>
      </c>
      <c r="E630" t="s">
        <v>33</v>
      </c>
      <c r="F630" t="s">
        <v>17</v>
      </c>
      <c r="G630" t="s">
        <v>18</v>
      </c>
      <c r="H630" t="s">
        <v>526</v>
      </c>
      <c r="I630">
        <v>8</v>
      </c>
      <c r="J630" t="s">
        <v>97</v>
      </c>
      <c r="K630" t="str">
        <f t="shared" si="9"/>
        <v>39101</v>
      </c>
      <c r="L630">
        <v>447460.5</v>
      </c>
      <c r="M630">
        <v>0</v>
      </c>
      <c r="N630">
        <v>0</v>
      </c>
      <c r="O630">
        <v>0</v>
      </c>
      <c r="P630">
        <v>447460.5</v>
      </c>
    </row>
    <row r="631" spans="1:16">
      <c r="A631" s="1">
        <v>44562</v>
      </c>
      <c r="B631" t="s">
        <v>133</v>
      </c>
      <c r="C631" t="s">
        <v>14</v>
      </c>
      <c r="D631" t="s">
        <v>15</v>
      </c>
      <c r="E631" t="s">
        <v>33</v>
      </c>
      <c r="F631" t="s">
        <v>17</v>
      </c>
      <c r="G631" t="s">
        <v>18</v>
      </c>
      <c r="H631" t="s">
        <v>526</v>
      </c>
      <c r="I631">
        <v>8</v>
      </c>
      <c r="J631" t="s">
        <v>98</v>
      </c>
      <c r="K631" t="str">
        <f t="shared" si="9"/>
        <v>39103</v>
      </c>
      <c r="L631">
        <v>234121.5</v>
      </c>
      <c r="M631">
        <v>33936.340000000004</v>
      </c>
      <c r="N631">
        <v>0</v>
      </c>
      <c r="O631">
        <v>0</v>
      </c>
      <c r="P631">
        <v>268057.84000000003</v>
      </c>
    </row>
    <row r="632" spans="1:16">
      <c r="A632" s="1">
        <v>44562</v>
      </c>
      <c r="B632" t="s">
        <v>133</v>
      </c>
      <c r="C632" t="s">
        <v>14</v>
      </c>
      <c r="D632" t="s">
        <v>15</v>
      </c>
      <c r="E632" t="s">
        <v>33</v>
      </c>
      <c r="F632" t="s">
        <v>17</v>
      </c>
      <c r="G632" t="s">
        <v>18</v>
      </c>
      <c r="H632" t="s">
        <v>526</v>
      </c>
      <c r="I632">
        <v>8</v>
      </c>
      <c r="J632" t="s">
        <v>99</v>
      </c>
      <c r="K632" t="str">
        <f t="shared" si="9"/>
        <v>39104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>
      <c r="A633" s="1">
        <v>44562</v>
      </c>
      <c r="B633" t="s">
        <v>133</v>
      </c>
      <c r="C633" t="s">
        <v>14</v>
      </c>
      <c r="D633" t="s">
        <v>15</v>
      </c>
      <c r="E633" t="s">
        <v>33</v>
      </c>
      <c r="F633" t="s">
        <v>17</v>
      </c>
      <c r="G633" t="s">
        <v>18</v>
      </c>
      <c r="H633" t="s">
        <v>526</v>
      </c>
      <c r="I633">
        <v>8</v>
      </c>
      <c r="J633" t="s">
        <v>103</v>
      </c>
      <c r="K633" t="str">
        <f t="shared" si="9"/>
        <v>39201</v>
      </c>
      <c r="L633">
        <v>81941.77</v>
      </c>
      <c r="M633">
        <v>0</v>
      </c>
      <c r="N633">
        <v>0</v>
      </c>
      <c r="O633">
        <v>0</v>
      </c>
      <c r="P633">
        <v>81941.77</v>
      </c>
    </row>
    <row r="634" spans="1:16">
      <c r="A634" s="1">
        <v>44562</v>
      </c>
      <c r="B634" t="s">
        <v>133</v>
      </c>
      <c r="C634" t="s">
        <v>14</v>
      </c>
      <c r="D634" t="s">
        <v>15</v>
      </c>
      <c r="E634" t="s">
        <v>33</v>
      </c>
      <c r="F634" t="s">
        <v>17</v>
      </c>
      <c r="G634" t="s">
        <v>18</v>
      </c>
      <c r="H634" t="s">
        <v>526</v>
      </c>
      <c r="I634">
        <v>8</v>
      </c>
      <c r="J634" t="s">
        <v>104</v>
      </c>
      <c r="K634" t="str">
        <f t="shared" si="9"/>
        <v>39202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>
      <c r="A635" s="1">
        <v>44562</v>
      </c>
      <c r="B635" t="s">
        <v>133</v>
      </c>
      <c r="C635" t="s">
        <v>14</v>
      </c>
      <c r="D635" t="s">
        <v>15</v>
      </c>
      <c r="E635" t="s">
        <v>33</v>
      </c>
      <c r="F635" t="s">
        <v>17</v>
      </c>
      <c r="G635" t="s">
        <v>18</v>
      </c>
      <c r="H635" t="s">
        <v>526</v>
      </c>
      <c r="I635">
        <v>8</v>
      </c>
      <c r="J635" t="s">
        <v>105</v>
      </c>
      <c r="K635" t="str">
        <f t="shared" si="9"/>
        <v>39203</v>
      </c>
      <c r="L635">
        <v>528300.52</v>
      </c>
      <c r="M635">
        <v>-3402</v>
      </c>
      <c r="N635">
        <v>0</v>
      </c>
      <c r="O635">
        <v>0</v>
      </c>
      <c r="P635">
        <v>524898.52</v>
      </c>
    </row>
    <row r="636" spans="1:16">
      <c r="A636" s="1">
        <v>44562</v>
      </c>
      <c r="B636" t="s">
        <v>133</v>
      </c>
      <c r="C636" t="s">
        <v>14</v>
      </c>
      <c r="D636" t="s">
        <v>15</v>
      </c>
      <c r="E636" t="s">
        <v>33</v>
      </c>
      <c r="F636" t="s">
        <v>17</v>
      </c>
      <c r="G636" t="s">
        <v>18</v>
      </c>
      <c r="H636" t="s">
        <v>526</v>
      </c>
      <c r="I636">
        <v>8</v>
      </c>
      <c r="J636" t="s">
        <v>106</v>
      </c>
      <c r="K636" t="str">
        <f t="shared" si="9"/>
        <v>39204</v>
      </c>
      <c r="L636">
        <v>483106.33</v>
      </c>
      <c r="M636">
        <v>4416.9400000000005</v>
      </c>
      <c r="N636">
        <v>0</v>
      </c>
      <c r="O636">
        <v>0</v>
      </c>
      <c r="P636">
        <v>487523.27</v>
      </c>
    </row>
    <row r="637" spans="1:16">
      <c r="A637" s="1">
        <v>44562</v>
      </c>
      <c r="B637" t="s">
        <v>133</v>
      </c>
      <c r="C637" t="s">
        <v>14</v>
      </c>
      <c r="D637" t="s">
        <v>15</v>
      </c>
      <c r="E637" t="s">
        <v>33</v>
      </c>
      <c r="F637" t="s">
        <v>17</v>
      </c>
      <c r="G637" t="s">
        <v>18</v>
      </c>
      <c r="H637" t="s">
        <v>526</v>
      </c>
      <c r="I637">
        <v>8</v>
      </c>
      <c r="J637" t="s">
        <v>107</v>
      </c>
      <c r="K637" t="str">
        <f t="shared" si="9"/>
        <v>39205</v>
      </c>
      <c r="L637">
        <v>996305.47</v>
      </c>
      <c r="M637">
        <v>1983426.15</v>
      </c>
      <c r="N637">
        <v>0</v>
      </c>
      <c r="O637">
        <v>0</v>
      </c>
      <c r="P637">
        <v>2979731.62</v>
      </c>
    </row>
    <row r="638" spans="1:16">
      <c r="A638" s="1">
        <v>44562</v>
      </c>
      <c r="B638" t="s">
        <v>133</v>
      </c>
      <c r="C638" t="s">
        <v>14</v>
      </c>
      <c r="D638" t="s">
        <v>15</v>
      </c>
      <c r="E638" t="s">
        <v>33</v>
      </c>
      <c r="F638" t="s">
        <v>17</v>
      </c>
      <c r="G638" t="s">
        <v>18</v>
      </c>
      <c r="H638" t="s">
        <v>526</v>
      </c>
      <c r="I638">
        <v>8</v>
      </c>
      <c r="J638" t="s">
        <v>108</v>
      </c>
      <c r="K638" t="str">
        <f t="shared" si="9"/>
        <v>39206</v>
      </c>
      <c r="L638">
        <v>101884.82</v>
      </c>
      <c r="M638">
        <v>0</v>
      </c>
      <c r="N638">
        <v>0</v>
      </c>
      <c r="O638">
        <v>0</v>
      </c>
      <c r="P638">
        <v>101884.82</v>
      </c>
    </row>
    <row r="639" spans="1:16">
      <c r="A639" s="1">
        <v>44562</v>
      </c>
      <c r="B639" t="s">
        <v>133</v>
      </c>
      <c r="C639" t="s">
        <v>14</v>
      </c>
      <c r="D639" t="s">
        <v>15</v>
      </c>
      <c r="E639" t="s">
        <v>33</v>
      </c>
      <c r="F639" t="s">
        <v>17</v>
      </c>
      <c r="G639" t="s">
        <v>18</v>
      </c>
      <c r="H639" t="s">
        <v>526</v>
      </c>
      <c r="I639">
        <v>8</v>
      </c>
      <c r="J639" t="s">
        <v>109</v>
      </c>
      <c r="K639" t="str">
        <f t="shared" si="9"/>
        <v>39300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>
      <c r="A640" s="1">
        <v>44562</v>
      </c>
      <c r="B640" t="s">
        <v>133</v>
      </c>
      <c r="C640" t="s">
        <v>14</v>
      </c>
      <c r="D640" t="s">
        <v>15</v>
      </c>
      <c r="E640" t="s">
        <v>33</v>
      </c>
      <c r="F640" t="s">
        <v>17</v>
      </c>
      <c r="G640" t="s">
        <v>18</v>
      </c>
      <c r="H640" t="s">
        <v>526</v>
      </c>
      <c r="I640">
        <v>8</v>
      </c>
      <c r="J640" t="s">
        <v>110</v>
      </c>
      <c r="K640" t="str">
        <f t="shared" si="9"/>
        <v>39400</v>
      </c>
      <c r="L640">
        <v>3128.04</v>
      </c>
      <c r="M640">
        <v>91000.59</v>
      </c>
      <c r="N640">
        <v>0</v>
      </c>
      <c r="O640">
        <v>0</v>
      </c>
      <c r="P640">
        <v>94128.63</v>
      </c>
    </row>
    <row r="641" spans="1:16">
      <c r="A641" s="1">
        <v>44562</v>
      </c>
      <c r="B641" t="s">
        <v>133</v>
      </c>
      <c r="C641" t="s">
        <v>14</v>
      </c>
      <c r="D641" t="s">
        <v>15</v>
      </c>
      <c r="E641" t="s">
        <v>33</v>
      </c>
      <c r="F641" t="s">
        <v>17</v>
      </c>
      <c r="G641" t="s">
        <v>18</v>
      </c>
      <c r="H641" t="s">
        <v>526</v>
      </c>
      <c r="I641">
        <v>8</v>
      </c>
      <c r="J641" t="s">
        <v>111</v>
      </c>
      <c r="K641" t="str">
        <f t="shared" si="9"/>
        <v>39410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6">
      <c r="A642" s="1">
        <v>44562</v>
      </c>
      <c r="B642" t="s">
        <v>133</v>
      </c>
      <c r="C642" t="s">
        <v>14</v>
      </c>
      <c r="D642" t="s">
        <v>15</v>
      </c>
      <c r="E642" t="s">
        <v>33</v>
      </c>
      <c r="F642" t="s">
        <v>17</v>
      </c>
      <c r="G642" t="s">
        <v>18</v>
      </c>
      <c r="H642" t="s">
        <v>526</v>
      </c>
      <c r="I642">
        <v>8</v>
      </c>
      <c r="J642" t="s">
        <v>112</v>
      </c>
      <c r="K642" t="str">
        <f t="shared" ref="K642:K705" si="10">MID(J642,2,5)</f>
        <v>39500</v>
      </c>
      <c r="L642">
        <v>10732.800000000001</v>
      </c>
      <c r="M642">
        <v>2087.4700000000003</v>
      </c>
      <c r="N642">
        <v>0</v>
      </c>
      <c r="O642">
        <v>0</v>
      </c>
      <c r="P642">
        <v>12820.27</v>
      </c>
    </row>
    <row r="643" spans="1:16">
      <c r="A643" s="1">
        <v>44562</v>
      </c>
      <c r="B643" t="s">
        <v>133</v>
      </c>
      <c r="C643" t="s">
        <v>14</v>
      </c>
      <c r="D643" t="s">
        <v>15</v>
      </c>
      <c r="E643" t="s">
        <v>33</v>
      </c>
      <c r="F643" t="s">
        <v>17</v>
      </c>
      <c r="G643" t="s">
        <v>18</v>
      </c>
      <c r="H643" t="s">
        <v>526</v>
      </c>
      <c r="I643">
        <v>8</v>
      </c>
      <c r="J643" t="s">
        <v>113</v>
      </c>
      <c r="K643" t="str">
        <f t="shared" si="10"/>
        <v>39601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>
      <c r="A644" s="1">
        <v>44562</v>
      </c>
      <c r="B644" t="s">
        <v>133</v>
      </c>
      <c r="C644" t="s">
        <v>14</v>
      </c>
      <c r="D644" t="s">
        <v>15</v>
      </c>
      <c r="E644" t="s">
        <v>33</v>
      </c>
      <c r="F644" t="s">
        <v>17</v>
      </c>
      <c r="G644" t="s">
        <v>18</v>
      </c>
      <c r="H644" t="s">
        <v>526</v>
      </c>
      <c r="I644">
        <v>8</v>
      </c>
      <c r="J644" t="s">
        <v>114</v>
      </c>
      <c r="K644" t="str">
        <f t="shared" si="10"/>
        <v>39602</v>
      </c>
      <c r="L644">
        <v>343055.38</v>
      </c>
      <c r="M644">
        <v>0</v>
      </c>
      <c r="N644">
        <v>0</v>
      </c>
      <c r="O644">
        <v>0</v>
      </c>
      <c r="P644">
        <v>343055.38</v>
      </c>
    </row>
    <row r="645" spans="1:16">
      <c r="A645" s="1">
        <v>44562</v>
      </c>
      <c r="B645" t="s">
        <v>133</v>
      </c>
      <c r="C645" t="s">
        <v>14</v>
      </c>
      <c r="D645" t="s">
        <v>15</v>
      </c>
      <c r="E645" t="s">
        <v>33</v>
      </c>
      <c r="F645" t="s">
        <v>17</v>
      </c>
      <c r="G645" t="s">
        <v>18</v>
      </c>
      <c r="H645" t="s">
        <v>526</v>
      </c>
      <c r="I645">
        <v>8</v>
      </c>
      <c r="J645" t="s">
        <v>115</v>
      </c>
      <c r="K645" t="str">
        <f t="shared" si="10"/>
        <v>39700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>
      <c r="A646" s="1">
        <v>44562</v>
      </c>
      <c r="B646" t="s">
        <v>133</v>
      </c>
      <c r="C646" t="s">
        <v>14</v>
      </c>
      <c r="D646" t="s">
        <v>15</v>
      </c>
      <c r="E646" t="s">
        <v>33</v>
      </c>
      <c r="F646" t="s">
        <v>17</v>
      </c>
      <c r="G646" t="s">
        <v>18</v>
      </c>
      <c r="H646" t="s">
        <v>526</v>
      </c>
      <c r="I646">
        <v>8</v>
      </c>
      <c r="J646" t="s">
        <v>116</v>
      </c>
      <c r="K646" t="str">
        <f t="shared" si="10"/>
        <v>39710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>
      <c r="A647" s="1">
        <v>44562</v>
      </c>
      <c r="B647" t="s">
        <v>133</v>
      </c>
      <c r="C647" t="s">
        <v>14</v>
      </c>
      <c r="D647" t="s">
        <v>15</v>
      </c>
      <c r="E647" t="s">
        <v>33</v>
      </c>
      <c r="F647" t="s">
        <v>17</v>
      </c>
      <c r="G647" t="s">
        <v>18</v>
      </c>
      <c r="H647" t="s">
        <v>526</v>
      </c>
      <c r="I647">
        <v>8</v>
      </c>
      <c r="J647" t="s">
        <v>117</v>
      </c>
      <c r="K647" t="str">
        <f t="shared" si="10"/>
        <v>39800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>
      <c r="A648" s="1">
        <v>44562</v>
      </c>
      <c r="B648" t="s">
        <v>133</v>
      </c>
      <c r="C648" t="s">
        <v>14</v>
      </c>
      <c r="D648" t="s">
        <v>15</v>
      </c>
      <c r="E648" t="s">
        <v>16</v>
      </c>
      <c r="F648" t="s">
        <v>20</v>
      </c>
      <c r="G648" t="s">
        <v>18</v>
      </c>
      <c r="H648" t="s">
        <v>526</v>
      </c>
      <c r="I648">
        <v>8</v>
      </c>
      <c r="J648" t="s">
        <v>19</v>
      </c>
      <c r="K648" t="str">
        <f t="shared" si="10"/>
        <v>39001</v>
      </c>
      <c r="L648">
        <v>27678.59</v>
      </c>
      <c r="M648">
        <v>0</v>
      </c>
      <c r="N648">
        <v>0</v>
      </c>
      <c r="O648">
        <v>0</v>
      </c>
      <c r="P648">
        <v>27678.59</v>
      </c>
    </row>
    <row r="649" spans="1:16">
      <c r="A649" s="1">
        <v>44593</v>
      </c>
      <c r="B649" t="s">
        <v>132</v>
      </c>
      <c r="C649" t="s">
        <v>14</v>
      </c>
      <c r="D649" t="s">
        <v>15</v>
      </c>
      <c r="E649" t="s">
        <v>33</v>
      </c>
      <c r="F649" t="s">
        <v>24</v>
      </c>
      <c r="G649" t="s">
        <v>18</v>
      </c>
      <c r="H649" t="s">
        <v>526</v>
      </c>
      <c r="I649">
        <v>8</v>
      </c>
      <c r="J649" t="s">
        <v>94</v>
      </c>
      <c r="K649" t="str">
        <f t="shared" si="10"/>
        <v>38901</v>
      </c>
      <c r="L649">
        <v>261405.41</v>
      </c>
      <c r="M649">
        <v>0</v>
      </c>
      <c r="N649">
        <v>0</v>
      </c>
      <c r="O649">
        <v>0</v>
      </c>
      <c r="P649" s="8">
        <v>261405.41</v>
      </c>
    </row>
    <row r="650" spans="1:16">
      <c r="A650" s="1">
        <v>44593</v>
      </c>
      <c r="B650" t="s">
        <v>132</v>
      </c>
      <c r="C650" t="s">
        <v>14</v>
      </c>
      <c r="D650" t="s">
        <v>15</v>
      </c>
      <c r="E650" t="s">
        <v>33</v>
      </c>
      <c r="F650" t="s">
        <v>24</v>
      </c>
      <c r="G650" t="s">
        <v>18</v>
      </c>
      <c r="H650" t="s">
        <v>526</v>
      </c>
      <c r="I650">
        <v>8</v>
      </c>
      <c r="J650" t="s">
        <v>95</v>
      </c>
      <c r="K650" t="str">
        <f t="shared" si="10"/>
        <v>38902</v>
      </c>
      <c r="L650">
        <v>22532.78</v>
      </c>
      <c r="M650">
        <v>0</v>
      </c>
      <c r="N650">
        <v>0</v>
      </c>
      <c r="O650">
        <v>0</v>
      </c>
      <c r="P650" s="8">
        <v>22532.78</v>
      </c>
    </row>
    <row r="651" spans="1:16">
      <c r="A651" s="1">
        <v>44593</v>
      </c>
      <c r="B651" t="s">
        <v>132</v>
      </c>
      <c r="C651" t="s">
        <v>14</v>
      </c>
      <c r="D651" t="s">
        <v>15</v>
      </c>
      <c r="E651" t="s">
        <v>33</v>
      </c>
      <c r="F651" t="s">
        <v>24</v>
      </c>
      <c r="G651" t="s">
        <v>18</v>
      </c>
      <c r="H651" t="s">
        <v>526</v>
      </c>
      <c r="I651">
        <v>8</v>
      </c>
      <c r="J651" t="s">
        <v>19</v>
      </c>
      <c r="K651" t="str">
        <f t="shared" si="10"/>
        <v>39001</v>
      </c>
      <c r="L651">
        <v>7416309.9800000004</v>
      </c>
      <c r="M651">
        <v>0</v>
      </c>
      <c r="N651">
        <v>0</v>
      </c>
      <c r="O651">
        <v>0</v>
      </c>
      <c r="P651" s="8">
        <v>7416309.9800000004</v>
      </c>
    </row>
    <row r="652" spans="1:16">
      <c r="A652" s="1">
        <v>44593</v>
      </c>
      <c r="B652" t="s">
        <v>132</v>
      </c>
      <c r="C652" t="s">
        <v>14</v>
      </c>
      <c r="D652" t="s">
        <v>15</v>
      </c>
      <c r="E652" t="s">
        <v>33</v>
      </c>
      <c r="F652" t="s">
        <v>24</v>
      </c>
      <c r="G652" t="s">
        <v>18</v>
      </c>
      <c r="H652" t="s">
        <v>526</v>
      </c>
      <c r="I652">
        <v>8</v>
      </c>
      <c r="J652" t="s">
        <v>96</v>
      </c>
      <c r="K652" t="str">
        <f t="shared" si="10"/>
        <v>39051</v>
      </c>
      <c r="L652">
        <v>1426861.24</v>
      </c>
      <c r="M652">
        <v>0</v>
      </c>
      <c r="N652">
        <v>0</v>
      </c>
      <c r="O652">
        <v>0</v>
      </c>
      <c r="P652" s="8">
        <v>1426861.24</v>
      </c>
    </row>
    <row r="653" spans="1:16">
      <c r="A653" s="1">
        <v>44593</v>
      </c>
      <c r="B653" t="s">
        <v>132</v>
      </c>
      <c r="C653" t="s">
        <v>14</v>
      </c>
      <c r="D653" t="s">
        <v>15</v>
      </c>
      <c r="E653" t="s">
        <v>33</v>
      </c>
      <c r="F653" t="s">
        <v>24</v>
      </c>
      <c r="G653" t="s">
        <v>18</v>
      </c>
      <c r="H653" t="s">
        <v>526</v>
      </c>
      <c r="I653">
        <v>8</v>
      </c>
      <c r="J653" t="s">
        <v>97</v>
      </c>
      <c r="K653" t="str">
        <f t="shared" si="10"/>
        <v>39101</v>
      </c>
      <c r="L653">
        <v>1313111.22</v>
      </c>
      <c r="M653">
        <v>0</v>
      </c>
      <c r="N653">
        <v>0</v>
      </c>
      <c r="O653">
        <v>0</v>
      </c>
      <c r="P653" s="8">
        <v>1313111.22</v>
      </c>
    </row>
    <row r="654" spans="1:16">
      <c r="A654" s="1">
        <v>44593</v>
      </c>
      <c r="B654" t="s">
        <v>132</v>
      </c>
      <c r="C654" t="s">
        <v>14</v>
      </c>
      <c r="D654" t="s">
        <v>15</v>
      </c>
      <c r="E654" t="s">
        <v>33</v>
      </c>
      <c r="F654" t="s">
        <v>24</v>
      </c>
      <c r="G654" t="s">
        <v>18</v>
      </c>
      <c r="H654" t="s">
        <v>526</v>
      </c>
      <c r="I654">
        <v>8</v>
      </c>
      <c r="J654" t="s">
        <v>98</v>
      </c>
      <c r="K654" t="str">
        <f t="shared" si="10"/>
        <v>39103</v>
      </c>
      <c r="L654">
        <v>706248.64</v>
      </c>
      <c r="M654">
        <v>0</v>
      </c>
      <c r="N654">
        <v>0</v>
      </c>
      <c r="O654">
        <v>0</v>
      </c>
      <c r="P654" s="8">
        <v>706248.64</v>
      </c>
    </row>
    <row r="655" spans="1:16">
      <c r="A655" s="1">
        <v>44593</v>
      </c>
      <c r="B655" t="s">
        <v>132</v>
      </c>
      <c r="C655" t="s">
        <v>14</v>
      </c>
      <c r="D655" t="s">
        <v>15</v>
      </c>
      <c r="E655" t="s">
        <v>33</v>
      </c>
      <c r="F655" t="s">
        <v>24</v>
      </c>
      <c r="G655" t="s">
        <v>18</v>
      </c>
      <c r="H655" t="s">
        <v>526</v>
      </c>
      <c r="I655">
        <v>8</v>
      </c>
      <c r="J655" t="s">
        <v>99</v>
      </c>
      <c r="K655" t="str">
        <f t="shared" si="10"/>
        <v>39104</v>
      </c>
      <c r="L655">
        <v>14712</v>
      </c>
      <c r="M655">
        <v>0</v>
      </c>
      <c r="N655">
        <v>0</v>
      </c>
      <c r="O655">
        <v>0</v>
      </c>
      <c r="P655" s="8">
        <v>14712</v>
      </c>
    </row>
    <row r="656" spans="1:16">
      <c r="A656" s="1">
        <v>44593</v>
      </c>
      <c r="B656" t="s">
        <v>132</v>
      </c>
      <c r="C656" t="s">
        <v>14</v>
      </c>
      <c r="D656" t="s">
        <v>15</v>
      </c>
      <c r="E656" t="s">
        <v>33</v>
      </c>
      <c r="F656" t="s">
        <v>24</v>
      </c>
      <c r="G656" t="s">
        <v>18</v>
      </c>
      <c r="H656" t="s">
        <v>526</v>
      </c>
      <c r="I656">
        <v>8</v>
      </c>
      <c r="J656" t="s">
        <v>100</v>
      </c>
      <c r="K656" t="str">
        <f t="shared" si="10"/>
        <v>39105</v>
      </c>
      <c r="L656">
        <v>0</v>
      </c>
      <c r="M656">
        <v>0</v>
      </c>
      <c r="N656">
        <v>0</v>
      </c>
      <c r="O656">
        <v>0</v>
      </c>
      <c r="P656" s="8">
        <v>0</v>
      </c>
    </row>
    <row r="657" spans="1:16">
      <c r="A657" s="1">
        <v>44593</v>
      </c>
      <c r="B657" t="s">
        <v>132</v>
      </c>
      <c r="C657" t="s">
        <v>14</v>
      </c>
      <c r="D657" t="s">
        <v>15</v>
      </c>
      <c r="E657" t="s">
        <v>33</v>
      </c>
      <c r="F657" t="s">
        <v>24</v>
      </c>
      <c r="G657" t="s">
        <v>18</v>
      </c>
      <c r="H657" t="s">
        <v>526</v>
      </c>
      <c r="I657">
        <v>8</v>
      </c>
      <c r="J657" t="s">
        <v>101</v>
      </c>
      <c r="K657" t="str">
        <f t="shared" si="10"/>
        <v>39107</v>
      </c>
      <c r="L657">
        <v>0</v>
      </c>
      <c r="M657">
        <v>0</v>
      </c>
      <c r="N657">
        <v>0</v>
      </c>
      <c r="O657">
        <v>0</v>
      </c>
      <c r="P657" s="8">
        <v>0</v>
      </c>
    </row>
    <row r="658" spans="1:16">
      <c r="A658" s="1">
        <v>44593</v>
      </c>
      <c r="B658" t="s">
        <v>132</v>
      </c>
      <c r="C658" t="s">
        <v>14</v>
      </c>
      <c r="D658" t="s">
        <v>15</v>
      </c>
      <c r="E658" t="s">
        <v>33</v>
      </c>
      <c r="F658" t="s">
        <v>24</v>
      </c>
      <c r="G658" t="s">
        <v>18</v>
      </c>
      <c r="H658" t="s">
        <v>526</v>
      </c>
      <c r="I658">
        <v>8</v>
      </c>
      <c r="J658" t="s">
        <v>102</v>
      </c>
      <c r="K658" t="str">
        <f t="shared" si="10"/>
        <v>39159</v>
      </c>
      <c r="L658">
        <v>0</v>
      </c>
      <c r="M658">
        <v>0</v>
      </c>
      <c r="N658">
        <v>0</v>
      </c>
      <c r="O658">
        <v>0</v>
      </c>
      <c r="P658" s="8">
        <v>0</v>
      </c>
    </row>
    <row r="659" spans="1:16">
      <c r="A659" s="1">
        <v>44593</v>
      </c>
      <c r="B659" t="s">
        <v>132</v>
      </c>
      <c r="C659" t="s">
        <v>14</v>
      </c>
      <c r="D659" t="s">
        <v>15</v>
      </c>
      <c r="E659" t="s">
        <v>33</v>
      </c>
      <c r="F659" t="s">
        <v>24</v>
      </c>
      <c r="G659" t="s">
        <v>18</v>
      </c>
      <c r="H659" t="s">
        <v>526</v>
      </c>
      <c r="I659">
        <v>8</v>
      </c>
      <c r="J659" t="s">
        <v>103</v>
      </c>
      <c r="K659" t="str">
        <f t="shared" si="10"/>
        <v>39201</v>
      </c>
      <c r="L659">
        <v>134983.86000000002</v>
      </c>
      <c r="M659">
        <v>0</v>
      </c>
      <c r="N659">
        <v>0</v>
      </c>
      <c r="O659">
        <v>0</v>
      </c>
      <c r="P659" s="8">
        <v>134983.86000000002</v>
      </c>
    </row>
    <row r="660" spans="1:16">
      <c r="A660" s="1">
        <v>44593</v>
      </c>
      <c r="B660" t="s">
        <v>132</v>
      </c>
      <c r="C660" t="s">
        <v>14</v>
      </c>
      <c r="D660" t="s">
        <v>15</v>
      </c>
      <c r="E660" t="s">
        <v>33</v>
      </c>
      <c r="F660" t="s">
        <v>24</v>
      </c>
      <c r="G660" t="s">
        <v>18</v>
      </c>
      <c r="H660" t="s">
        <v>526</v>
      </c>
      <c r="I660">
        <v>8</v>
      </c>
      <c r="J660" t="s">
        <v>104</v>
      </c>
      <c r="K660" t="str">
        <f t="shared" si="10"/>
        <v>39202</v>
      </c>
      <c r="L660">
        <v>45525.16</v>
      </c>
      <c r="M660">
        <v>0</v>
      </c>
      <c r="N660">
        <v>0</v>
      </c>
      <c r="O660">
        <v>0</v>
      </c>
      <c r="P660" s="8">
        <v>45525.16</v>
      </c>
    </row>
    <row r="661" spans="1:16">
      <c r="A661" s="1">
        <v>44593</v>
      </c>
      <c r="B661" t="s">
        <v>132</v>
      </c>
      <c r="C661" t="s">
        <v>14</v>
      </c>
      <c r="D661" t="s">
        <v>15</v>
      </c>
      <c r="E661" t="s">
        <v>33</v>
      </c>
      <c r="F661" t="s">
        <v>24</v>
      </c>
      <c r="G661" t="s">
        <v>18</v>
      </c>
      <c r="H661" t="s">
        <v>526</v>
      </c>
      <c r="I661">
        <v>8</v>
      </c>
      <c r="J661" t="s">
        <v>105</v>
      </c>
      <c r="K661" t="str">
        <f t="shared" si="10"/>
        <v>39203</v>
      </c>
      <c r="L661">
        <v>2291867.58</v>
      </c>
      <c r="M661">
        <v>166982.17000000001</v>
      </c>
      <c r="N661">
        <v>0</v>
      </c>
      <c r="O661">
        <v>0</v>
      </c>
      <c r="P661" s="8">
        <v>2458849.75</v>
      </c>
    </row>
    <row r="662" spans="1:16">
      <c r="A662" s="1">
        <v>44593</v>
      </c>
      <c r="B662" t="s">
        <v>132</v>
      </c>
      <c r="C662" t="s">
        <v>14</v>
      </c>
      <c r="D662" t="s">
        <v>15</v>
      </c>
      <c r="E662" t="s">
        <v>33</v>
      </c>
      <c r="F662" t="s">
        <v>24</v>
      </c>
      <c r="G662" t="s">
        <v>18</v>
      </c>
      <c r="H662" t="s">
        <v>526</v>
      </c>
      <c r="I662">
        <v>8</v>
      </c>
      <c r="J662" t="s">
        <v>106</v>
      </c>
      <c r="K662" t="str">
        <f t="shared" si="10"/>
        <v>39204</v>
      </c>
      <c r="L662">
        <v>1604925.9500000002</v>
      </c>
      <c r="M662">
        <v>0</v>
      </c>
      <c r="N662">
        <v>0</v>
      </c>
      <c r="O662">
        <v>0</v>
      </c>
      <c r="P662" s="8">
        <v>1604925.9500000002</v>
      </c>
    </row>
    <row r="663" spans="1:16">
      <c r="A663" s="1">
        <v>44593</v>
      </c>
      <c r="B663" t="s">
        <v>132</v>
      </c>
      <c r="C663" t="s">
        <v>14</v>
      </c>
      <c r="D663" t="s">
        <v>15</v>
      </c>
      <c r="E663" t="s">
        <v>33</v>
      </c>
      <c r="F663" t="s">
        <v>24</v>
      </c>
      <c r="G663" t="s">
        <v>18</v>
      </c>
      <c r="H663" t="s">
        <v>526</v>
      </c>
      <c r="I663">
        <v>8</v>
      </c>
      <c r="J663" t="s">
        <v>107</v>
      </c>
      <c r="K663" t="str">
        <f t="shared" si="10"/>
        <v>39205</v>
      </c>
      <c r="L663">
        <v>8595881.1500000004</v>
      </c>
      <c r="M663">
        <v>0</v>
      </c>
      <c r="N663">
        <v>0</v>
      </c>
      <c r="O663">
        <v>0</v>
      </c>
      <c r="P663" s="8">
        <v>8595881.1500000004</v>
      </c>
    </row>
    <row r="664" spans="1:16">
      <c r="A664" s="1">
        <v>44593</v>
      </c>
      <c r="B664" t="s">
        <v>132</v>
      </c>
      <c r="C664" t="s">
        <v>14</v>
      </c>
      <c r="D664" t="s">
        <v>15</v>
      </c>
      <c r="E664" t="s">
        <v>33</v>
      </c>
      <c r="F664" t="s">
        <v>24</v>
      </c>
      <c r="G664" t="s">
        <v>18</v>
      </c>
      <c r="H664" t="s">
        <v>526</v>
      </c>
      <c r="I664">
        <v>8</v>
      </c>
      <c r="J664" t="s">
        <v>108</v>
      </c>
      <c r="K664" t="str">
        <f t="shared" si="10"/>
        <v>39206</v>
      </c>
      <c r="L664">
        <v>2241961.6</v>
      </c>
      <c r="M664">
        <v>8584.7999999999993</v>
      </c>
      <c r="N664">
        <v>0</v>
      </c>
      <c r="O664">
        <v>0</v>
      </c>
      <c r="P664" s="8">
        <v>2250546.4</v>
      </c>
    </row>
    <row r="665" spans="1:16">
      <c r="A665" s="1">
        <v>44593</v>
      </c>
      <c r="B665" t="s">
        <v>132</v>
      </c>
      <c r="C665" t="s">
        <v>14</v>
      </c>
      <c r="D665" t="s">
        <v>15</v>
      </c>
      <c r="E665" t="s">
        <v>33</v>
      </c>
      <c r="F665" t="s">
        <v>24</v>
      </c>
      <c r="G665" t="s">
        <v>18</v>
      </c>
      <c r="H665" t="s">
        <v>526</v>
      </c>
      <c r="I665">
        <v>8</v>
      </c>
      <c r="J665" t="s">
        <v>109</v>
      </c>
      <c r="K665" t="str">
        <f t="shared" si="10"/>
        <v>39300</v>
      </c>
      <c r="L665">
        <v>24905.31</v>
      </c>
      <c r="M665">
        <v>0</v>
      </c>
      <c r="N665">
        <v>0</v>
      </c>
      <c r="O665">
        <v>0</v>
      </c>
      <c r="P665" s="8">
        <v>24905.31</v>
      </c>
    </row>
    <row r="666" spans="1:16">
      <c r="A666" s="1">
        <v>44593</v>
      </c>
      <c r="B666" t="s">
        <v>132</v>
      </c>
      <c r="C666" t="s">
        <v>14</v>
      </c>
      <c r="D666" t="s">
        <v>15</v>
      </c>
      <c r="E666" t="s">
        <v>33</v>
      </c>
      <c r="F666" t="s">
        <v>24</v>
      </c>
      <c r="G666" t="s">
        <v>18</v>
      </c>
      <c r="H666" t="s">
        <v>526</v>
      </c>
      <c r="I666">
        <v>8</v>
      </c>
      <c r="J666" t="s">
        <v>110</v>
      </c>
      <c r="K666" t="str">
        <f t="shared" si="10"/>
        <v>39400</v>
      </c>
      <c r="L666">
        <v>3013172.11</v>
      </c>
      <c r="M666">
        <v>0</v>
      </c>
      <c r="N666">
        <v>-42624.68</v>
      </c>
      <c r="O666">
        <v>0</v>
      </c>
      <c r="P666" s="8">
        <v>2970547.43</v>
      </c>
    </row>
    <row r="667" spans="1:16">
      <c r="A667" s="1">
        <v>44593</v>
      </c>
      <c r="B667" t="s">
        <v>132</v>
      </c>
      <c r="C667" t="s">
        <v>14</v>
      </c>
      <c r="D667" t="s">
        <v>15</v>
      </c>
      <c r="E667" t="s">
        <v>33</v>
      </c>
      <c r="F667" t="s">
        <v>24</v>
      </c>
      <c r="G667" t="s">
        <v>18</v>
      </c>
      <c r="H667" t="s">
        <v>526</v>
      </c>
      <c r="I667">
        <v>8</v>
      </c>
      <c r="J667" t="s">
        <v>111</v>
      </c>
      <c r="K667" t="str">
        <f t="shared" si="10"/>
        <v>39410</v>
      </c>
      <c r="L667">
        <v>14177.720000000001</v>
      </c>
      <c r="M667">
        <v>0</v>
      </c>
      <c r="N667">
        <v>0</v>
      </c>
      <c r="O667">
        <v>0</v>
      </c>
      <c r="P667" s="8">
        <v>14177.720000000001</v>
      </c>
    </row>
    <row r="668" spans="1:16">
      <c r="A668" s="1">
        <v>44593</v>
      </c>
      <c r="B668" t="s">
        <v>132</v>
      </c>
      <c r="C668" t="s">
        <v>14</v>
      </c>
      <c r="D668" t="s">
        <v>15</v>
      </c>
      <c r="E668" t="s">
        <v>33</v>
      </c>
      <c r="F668" t="s">
        <v>24</v>
      </c>
      <c r="G668" t="s">
        <v>18</v>
      </c>
      <c r="H668" t="s">
        <v>526</v>
      </c>
      <c r="I668">
        <v>8</v>
      </c>
      <c r="J668" t="s">
        <v>112</v>
      </c>
      <c r="K668" t="str">
        <f t="shared" si="10"/>
        <v>39500</v>
      </c>
      <c r="L668">
        <v>400236.59</v>
      </c>
      <c r="M668">
        <v>0</v>
      </c>
      <c r="N668">
        <v>0</v>
      </c>
      <c r="O668">
        <v>0</v>
      </c>
      <c r="P668" s="8">
        <v>400236.59</v>
      </c>
    </row>
    <row r="669" spans="1:16">
      <c r="A669" s="1">
        <v>44593</v>
      </c>
      <c r="B669" t="s">
        <v>132</v>
      </c>
      <c r="C669" t="s">
        <v>14</v>
      </c>
      <c r="D669" t="s">
        <v>15</v>
      </c>
      <c r="E669" t="s">
        <v>33</v>
      </c>
      <c r="F669" t="s">
        <v>24</v>
      </c>
      <c r="G669" t="s">
        <v>18</v>
      </c>
      <c r="H669" t="s">
        <v>526</v>
      </c>
      <c r="I669">
        <v>8</v>
      </c>
      <c r="J669" t="s">
        <v>113</v>
      </c>
      <c r="K669" t="str">
        <f t="shared" si="10"/>
        <v>39601</v>
      </c>
      <c r="L669">
        <v>219977.59</v>
      </c>
      <c r="M669">
        <v>0</v>
      </c>
      <c r="N669">
        <v>0</v>
      </c>
      <c r="O669">
        <v>0</v>
      </c>
      <c r="P669" s="8">
        <v>219977.59</v>
      </c>
    </row>
    <row r="670" spans="1:16">
      <c r="A670" s="1">
        <v>44593</v>
      </c>
      <c r="B670" t="s">
        <v>132</v>
      </c>
      <c r="C670" t="s">
        <v>14</v>
      </c>
      <c r="D670" t="s">
        <v>15</v>
      </c>
      <c r="E670" t="s">
        <v>33</v>
      </c>
      <c r="F670" t="s">
        <v>24</v>
      </c>
      <c r="G670" t="s">
        <v>18</v>
      </c>
      <c r="H670" t="s">
        <v>526</v>
      </c>
      <c r="I670">
        <v>8</v>
      </c>
      <c r="J670" t="s">
        <v>114</v>
      </c>
      <c r="K670" t="str">
        <f t="shared" si="10"/>
        <v>39602</v>
      </c>
      <c r="L670">
        <v>2912814.7199999997</v>
      </c>
      <c r="M670">
        <v>56605.58</v>
      </c>
      <c r="N670">
        <v>0</v>
      </c>
      <c r="O670">
        <v>0</v>
      </c>
      <c r="P670" s="8">
        <v>2969420.3</v>
      </c>
    </row>
    <row r="671" spans="1:16">
      <c r="A671" s="1">
        <v>44593</v>
      </c>
      <c r="B671" t="s">
        <v>132</v>
      </c>
      <c r="C671" t="s">
        <v>14</v>
      </c>
      <c r="D671" t="s">
        <v>15</v>
      </c>
      <c r="E671" t="s">
        <v>33</v>
      </c>
      <c r="F671" t="s">
        <v>24</v>
      </c>
      <c r="G671" t="s">
        <v>18</v>
      </c>
      <c r="H671" t="s">
        <v>526</v>
      </c>
      <c r="I671">
        <v>8</v>
      </c>
      <c r="J671" t="s">
        <v>115</v>
      </c>
      <c r="K671" t="str">
        <f t="shared" si="10"/>
        <v>39700</v>
      </c>
      <c r="L671">
        <v>1276206.3700000001</v>
      </c>
      <c r="M671">
        <v>0</v>
      </c>
      <c r="N671">
        <v>0</v>
      </c>
      <c r="O671">
        <v>0</v>
      </c>
      <c r="P671" s="8">
        <v>1276206.3700000001</v>
      </c>
    </row>
    <row r="672" spans="1:16">
      <c r="A672" s="1">
        <v>44593</v>
      </c>
      <c r="B672" t="s">
        <v>132</v>
      </c>
      <c r="C672" t="s">
        <v>14</v>
      </c>
      <c r="D672" t="s">
        <v>15</v>
      </c>
      <c r="E672" t="s">
        <v>33</v>
      </c>
      <c r="F672" t="s">
        <v>24</v>
      </c>
      <c r="G672" t="s">
        <v>18</v>
      </c>
      <c r="H672" t="s">
        <v>526</v>
      </c>
      <c r="I672">
        <v>8</v>
      </c>
      <c r="J672" t="s">
        <v>116</v>
      </c>
      <c r="K672" t="str">
        <f t="shared" si="10"/>
        <v>39710</v>
      </c>
      <c r="L672">
        <v>1204952.6599999999</v>
      </c>
      <c r="M672">
        <v>0</v>
      </c>
      <c r="N672">
        <v>0</v>
      </c>
      <c r="O672">
        <v>0</v>
      </c>
      <c r="P672" s="8">
        <v>1204952.6599999999</v>
      </c>
    </row>
    <row r="673" spans="1:16">
      <c r="A673" s="1">
        <v>44593</v>
      </c>
      <c r="B673" t="s">
        <v>132</v>
      </c>
      <c r="C673" t="s">
        <v>14</v>
      </c>
      <c r="D673" t="s">
        <v>15</v>
      </c>
      <c r="E673" t="s">
        <v>33</v>
      </c>
      <c r="F673" t="s">
        <v>24</v>
      </c>
      <c r="G673" t="s">
        <v>18</v>
      </c>
      <c r="H673" t="s">
        <v>526</v>
      </c>
      <c r="I673">
        <v>8</v>
      </c>
      <c r="J673" t="s">
        <v>117</v>
      </c>
      <c r="K673" t="str">
        <f t="shared" si="10"/>
        <v>39800</v>
      </c>
      <c r="L673">
        <v>129693.81</v>
      </c>
      <c r="M673">
        <v>0</v>
      </c>
      <c r="N673">
        <v>0</v>
      </c>
      <c r="O673">
        <v>0</v>
      </c>
      <c r="P673" s="8">
        <v>129693.81</v>
      </c>
    </row>
    <row r="674" spans="1:16">
      <c r="A674" s="1">
        <v>44593</v>
      </c>
      <c r="B674" t="s">
        <v>132</v>
      </c>
      <c r="C674" t="s">
        <v>14</v>
      </c>
      <c r="D674" t="s">
        <v>15</v>
      </c>
      <c r="E674" t="s">
        <v>33</v>
      </c>
      <c r="F674" t="s">
        <v>119</v>
      </c>
      <c r="G674" t="s">
        <v>18</v>
      </c>
      <c r="H674" t="s">
        <v>526</v>
      </c>
      <c r="I674">
        <v>8</v>
      </c>
      <c r="J674" t="s">
        <v>94</v>
      </c>
      <c r="K674" t="str">
        <f t="shared" si="10"/>
        <v>38901</v>
      </c>
      <c r="L674">
        <v>1221463.3</v>
      </c>
      <c r="M674">
        <v>0</v>
      </c>
      <c r="N674">
        <v>0</v>
      </c>
      <c r="O674">
        <v>0</v>
      </c>
      <c r="P674" s="9">
        <v>1221463.3</v>
      </c>
    </row>
    <row r="675" spans="1:16">
      <c r="A675" s="1">
        <v>44593</v>
      </c>
      <c r="B675" t="s">
        <v>132</v>
      </c>
      <c r="C675" t="s">
        <v>14</v>
      </c>
      <c r="D675" t="s">
        <v>15</v>
      </c>
      <c r="E675" t="s">
        <v>16</v>
      </c>
      <c r="F675" t="s">
        <v>17</v>
      </c>
      <c r="G675" t="s">
        <v>18</v>
      </c>
      <c r="H675" t="s">
        <v>526</v>
      </c>
      <c r="I675">
        <v>8</v>
      </c>
      <c r="J675" t="s">
        <v>19</v>
      </c>
      <c r="K675" t="str">
        <f t="shared" si="10"/>
        <v>39001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>
      <c r="A676" s="1">
        <v>44593</v>
      </c>
      <c r="B676" t="s">
        <v>132</v>
      </c>
      <c r="C676" t="s">
        <v>14</v>
      </c>
      <c r="D676" t="s">
        <v>15</v>
      </c>
      <c r="E676" t="s">
        <v>33</v>
      </c>
      <c r="F676" t="s">
        <v>17</v>
      </c>
      <c r="G676" t="s">
        <v>18</v>
      </c>
      <c r="H676" t="s">
        <v>526</v>
      </c>
      <c r="I676">
        <v>8</v>
      </c>
      <c r="J676" t="s">
        <v>94</v>
      </c>
      <c r="K676" t="str">
        <f t="shared" si="10"/>
        <v>38901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1:16">
      <c r="A677" s="1">
        <v>44593</v>
      </c>
      <c r="B677" t="s">
        <v>132</v>
      </c>
      <c r="C677" t="s">
        <v>14</v>
      </c>
      <c r="D677" t="s">
        <v>15</v>
      </c>
      <c r="E677" t="s">
        <v>33</v>
      </c>
      <c r="F677" t="s">
        <v>17</v>
      </c>
      <c r="G677" t="s">
        <v>18</v>
      </c>
      <c r="H677" t="s">
        <v>526</v>
      </c>
      <c r="I677">
        <v>8</v>
      </c>
      <c r="J677" t="s">
        <v>19</v>
      </c>
      <c r="K677" t="str">
        <f t="shared" si="10"/>
        <v>39001</v>
      </c>
      <c r="L677">
        <v>227270.06</v>
      </c>
      <c r="M677">
        <v>0</v>
      </c>
      <c r="N677">
        <v>0</v>
      </c>
      <c r="O677">
        <v>0</v>
      </c>
      <c r="P677">
        <v>227270.06</v>
      </c>
    </row>
    <row r="678" spans="1:16">
      <c r="A678" s="1">
        <v>44593</v>
      </c>
      <c r="B678" t="s">
        <v>132</v>
      </c>
      <c r="C678" t="s">
        <v>14</v>
      </c>
      <c r="D678" t="s">
        <v>15</v>
      </c>
      <c r="E678" t="s">
        <v>33</v>
      </c>
      <c r="F678" t="s">
        <v>17</v>
      </c>
      <c r="G678" t="s">
        <v>18</v>
      </c>
      <c r="H678" t="s">
        <v>526</v>
      </c>
      <c r="I678">
        <v>8</v>
      </c>
      <c r="J678" t="s">
        <v>96</v>
      </c>
      <c r="K678" t="str">
        <f t="shared" si="10"/>
        <v>39051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1:16">
      <c r="A679" s="1">
        <v>44593</v>
      </c>
      <c r="B679" t="s">
        <v>132</v>
      </c>
      <c r="C679" t="s">
        <v>14</v>
      </c>
      <c r="D679" t="s">
        <v>15</v>
      </c>
      <c r="E679" t="s">
        <v>33</v>
      </c>
      <c r="F679" t="s">
        <v>17</v>
      </c>
      <c r="G679" t="s">
        <v>18</v>
      </c>
      <c r="H679" t="s">
        <v>526</v>
      </c>
      <c r="I679">
        <v>8</v>
      </c>
      <c r="J679" t="s">
        <v>97</v>
      </c>
      <c r="K679" t="str">
        <f t="shared" si="10"/>
        <v>39101</v>
      </c>
      <c r="L679">
        <v>447460.5</v>
      </c>
      <c r="M679">
        <v>0</v>
      </c>
      <c r="N679">
        <v>0</v>
      </c>
      <c r="O679">
        <v>0</v>
      </c>
      <c r="P679">
        <v>447460.5</v>
      </c>
    </row>
    <row r="680" spans="1:16">
      <c r="A680" s="1">
        <v>44593</v>
      </c>
      <c r="B680" t="s">
        <v>132</v>
      </c>
      <c r="C680" t="s">
        <v>14</v>
      </c>
      <c r="D680" t="s">
        <v>15</v>
      </c>
      <c r="E680" t="s">
        <v>33</v>
      </c>
      <c r="F680" t="s">
        <v>17</v>
      </c>
      <c r="G680" t="s">
        <v>18</v>
      </c>
      <c r="H680" t="s">
        <v>526</v>
      </c>
      <c r="I680">
        <v>8</v>
      </c>
      <c r="J680" t="s">
        <v>98</v>
      </c>
      <c r="K680" t="str">
        <f t="shared" si="10"/>
        <v>39103</v>
      </c>
      <c r="L680">
        <v>268057.84000000003</v>
      </c>
      <c r="M680">
        <v>0</v>
      </c>
      <c r="N680">
        <v>0</v>
      </c>
      <c r="O680">
        <v>0</v>
      </c>
      <c r="P680">
        <v>268057.84000000003</v>
      </c>
    </row>
    <row r="681" spans="1:16">
      <c r="A681" s="1">
        <v>44593</v>
      </c>
      <c r="B681" t="s">
        <v>132</v>
      </c>
      <c r="C681" t="s">
        <v>14</v>
      </c>
      <c r="D681" t="s">
        <v>15</v>
      </c>
      <c r="E681" t="s">
        <v>33</v>
      </c>
      <c r="F681" t="s">
        <v>17</v>
      </c>
      <c r="G681" t="s">
        <v>18</v>
      </c>
      <c r="H681" t="s">
        <v>526</v>
      </c>
      <c r="I681">
        <v>8</v>
      </c>
      <c r="J681" t="s">
        <v>99</v>
      </c>
      <c r="K681" t="str">
        <f t="shared" si="10"/>
        <v>39104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1:16">
      <c r="A682" s="1">
        <v>44593</v>
      </c>
      <c r="B682" t="s">
        <v>132</v>
      </c>
      <c r="C682" t="s">
        <v>14</v>
      </c>
      <c r="D682" t="s">
        <v>15</v>
      </c>
      <c r="E682" t="s">
        <v>33</v>
      </c>
      <c r="F682" t="s">
        <v>17</v>
      </c>
      <c r="G682" t="s">
        <v>18</v>
      </c>
      <c r="H682" t="s">
        <v>526</v>
      </c>
      <c r="I682">
        <v>8</v>
      </c>
      <c r="J682" t="s">
        <v>103</v>
      </c>
      <c r="K682" t="str">
        <f t="shared" si="10"/>
        <v>39201</v>
      </c>
      <c r="L682">
        <v>81941.77</v>
      </c>
      <c r="M682">
        <v>0</v>
      </c>
      <c r="N682">
        <v>0</v>
      </c>
      <c r="O682">
        <v>0</v>
      </c>
      <c r="P682">
        <v>81941.77</v>
      </c>
    </row>
    <row r="683" spans="1:16">
      <c r="A683" s="1">
        <v>44593</v>
      </c>
      <c r="B683" t="s">
        <v>132</v>
      </c>
      <c r="C683" t="s">
        <v>14</v>
      </c>
      <c r="D683" t="s">
        <v>15</v>
      </c>
      <c r="E683" t="s">
        <v>33</v>
      </c>
      <c r="F683" t="s">
        <v>17</v>
      </c>
      <c r="G683" t="s">
        <v>18</v>
      </c>
      <c r="H683" t="s">
        <v>526</v>
      </c>
      <c r="I683">
        <v>8</v>
      </c>
      <c r="J683" t="s">
        <v>104</v>
      </c>
      <c r="K683" t="str">
        <f t="shared" si="10"/>
        <v>39202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1:16">
      <c r="A684" s="1">
        <v>44593</v>
      </c>
      <c r="B684" t="s">
        <v>132</v>
      </c>
      <c r="C684" t="s">
        <v>14</v>
      </c>
      <c r="D684" t="s">
        <v>15</v>
      </c>
      <c r="E684" t="s">
        <v>33</v>
      </c>
      <c r="F684" t="s">
        <v>17</v>
      </c>
      <c r="G684" t="s">
        <v>18</v>
      </c>
      <c r="H684" t="s">
        <v>526</v>
      </c>
      <c r="I684">
        <v>8</v>
      </c>
      <c r="J684" t="s">
        <v>105</v>
      </c>
      <c r="K684" t="str">
        <f t="shared" si="10"/>
        <v>39203</v>
      </c>
      <c r="L684">
        <v>524898.52</v>
      </c>
      <c r="M684">
        <v>-159717.63</v>
      </c>
      <c r="N684">
        <v>0</v>
      </c>
      <c r="O684">
        <v>0</v>
      </c>
      <c r="P684">
        <v>365180.89</v>
      </c>
    </row>
    <row r="685" spans="1:16">
      <c r="A685" s="1">
        <v>44593</v>
      </c>
      <c r="B685" t="s">
        <v>132</v>
      </c>
      <c r="C685" t="s">
        <v>14</v>
      </c>
      <c r="D685" t="s">
        <v>15</v>
      </c>
      <c r="E685" t="s">
        <v>33</v>
      </c>
      <c r="F685" t="s">
        <v>17</v>
      </c>
      <c r="G685" t="s">
        <v>18</v>
      </c>
      <c r="H685" t="s">
        <v>526</v>
      </c>
      <c r="I685">
        <v>8</v>
      </c>
      <c r="J685" t="s">
        <v>106</v>
      </c>
      <c r="K685" t="str">
        <f t="shared" si="10"/>
        <v>39204</v>
      </c>
      <c r="L685">
        <v>487523.27</v>
      </c>
      <c r="M685">
        <v>1267.79</v>
      </c>
      <c r="N685">
        <v>0</v>
      </c>
      <c r="O685">
        <v>0</v>
      </c>
      <c r="P685">
        <v>488791.06</v>
      </c>
    </row>
    <row r="686" spans="1:16">
      <c r="A686" s="1">
        <v>44593</v>
      </c>
      <c r="B686" t="s">
        <v>132</v>
      </c>
      <c r="C686" t="s">
        <v>14</v>
      </c>
      <c r="D686" t="s">
        <v>15</v>
      </c>
      <c r="E686" t="s">
        <v>33</v>
      </c>
      <c r="F686" t="s">
        <v>17</v>
      </c>
      <c r="G686" t="s">
        <v>18</v>
      </c>
      <c r="H686" t="s">
        <v>526</v>
      </c>
      <c r="I686">
        <v>8</v>
      </c>
      <c r="J686" t="s">
        <v>107</v>
      </c>
      <c r="K686" t="str">
        <f t="shared" si="10"/>
        <v>39205</v>
      </c>
      <c r="L686">
        <v>2979731.62</v>
      </c>
      <c r="M686">
        <v>533257.76</v>
      </c>
      <c r="N686">
        <v>0</v>
      </c>
      <c r="O686">
        <v>0</v>
      </c>
      <c r="P686">
        <v>3512989.38</v>
      </c>
    </row>
    <row r="687" spans="1:16">
      <c r="A687" s="1">
        <v>44593</v>
      </c>
      <c r="B687" t="s">
        <v>132</v>
      </c>
      <c r="C687" t="s">
        <v>14</v>
      </c>
      <c r="D687" t="s">
        <v>15</v>
      </c>
      <c r="E687" t="s">
        <v>33</v>
      </c>
      <c r="F687" t="s">
        <v>17</v>
      </c>
      <c r="G687" t="s">
        <v>18</v>
      </c>
      <c r="H687" t="s">
        <v>526</v>
      </c>
      <c r="I687">
        <v>8</v>
      </c>
      <c r="J687" t="s">
        <v>108</v>
      </c>
      <c r="K687" t="str">
        <f t="shared" si="10"/>
        <v>39206</v>
      </c>
      <c r="L687">
        <v>101884.82</v>
      </c>
      <c r="M687">
        <v>-8584.7999999999993</v>
      </c>
      <c r="N687">
        <v>0</v>
      </c>
      <c r="O687">
        <v>0</v>
      </c>
      <c r="P687">
        <v>93300.02</v>
      </c>
    </row>
    <row r="688" spans="1:16">
      <c r="A688" s="1">
        <v>44593</v>
      </c>
      <c r="B688" t="s">
        <v>132</v>
      </c>
      <c r="C688" t="s">
        <v>14</v>
      </c>
      <c r="D688" t="s">
        <v>15</v>
      </c>
      <c r="E688" t="s">
        <v>33</v>
      </c>
      <c r="F688" t="s">
        <v>17</v>
      </c>
      <c r="G688" t="s">
        <v>18</v>
      </c>
      <c r="H688" t="s">
        <v>526</v>
      </c>
      <c r="I688">
        <v>8</v>
      </c>
      <c r="J688" t="s">
        <v>109</v>
      </c>
      <c r="K688" t="str">
        <f t="shared" si="10"/>
        <v>39300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1:16">
      <c r="A689" s="1">
        <v>44593</v>
      </c>
      <c r="B689" t="s">
        <v>132</v>
      </c>
      <c r="C689" t="s">
        <v>14</v>
      </c>
      <c r="D689" t="s">
        <v>15</v>
      </c>
      <c r="E689" t="s">
        <v>33</v>
      </c>
      <c r="F689" t="s">
        <v>17</v>
      </c>
      <c r="G689" t="s">
        <v>18</v>
      </c>
      <c r="H689" t="s">
        <v>526</v>
      </c>
      <c r="I689">
        <v>8</v>
      </c>
      <c r="J689" t="s">
        <v>110</v>
      </c>
      <c r="K689" t="str">
        <f t="shared" si="10"/>
        <v>39400</v>
      </c>
      <c r="L689">
        <v>94128.63</v>
      </c>
      <c r="M689">
        <v>-15864.550000000001</v>
      </c>
      <c r="N689">
        <v>0</v>
      </c>
      <c r="O689">
        <v>0</v>
      </c>
      <c r="P689">
        <v>78264.08</v>
      </c>
    </row>
    <row r="690" spans="1:16">
      <c r="A690" s="1">
        <v>44593</v>
      </c>
      <c r="B690" t="s">
        <v>132</v>
      </c>
      <c r="C690" t="s">
        <v>14</v>
      </c>
      <c r="D690" t="s">
        <v>15</v>
      </c>
      <c r="E690" t="s">
        <v>33</v>
      </c>
      <c r="F690" t="s">
        <v>17</v>
      </c>
      <c r="G690" t="s">
        <v>18</v>
      </c>
      <c r="H690" t="s">
        <v>526</v>
      </c>
      <c r="I690">
        <v>8</v>
      </c>
      <c r="J690" t="s">
        <v>111</v>
      </c>
      <c r="K690" t="str">
        <f t="shared" si="10"/>
        <v>39410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1:16">
      <c r="A691" s="1">
        <v>44593</v>
      </c>
      <c r="B691" t="s">
        <v>132</v>
      </c>
      <c r="C691" t="s">
        <v>14</v>
      </c>
      <c r="D691" t="s">
        <v>15</v>
      </c>
      <c r="E691" t="s">
        <v>33</v>
      </c>
      <c r="F691" t="s">
        <v>17</v>
      </c>
      <c r="G691" t="s">
        <v>18</v>
      </c>
      <c r="H691" t="s">
        <v>526</v>
      </c>
      <c r="I691">
        <v>8</v>
      </c>
      <c r="J691" t="s">
        <v>112</v>
      </c>
      <c r="K691" t="str">
        <f t="shared" si="10"/>
        <v>39500</v>
      </c>
      <c r="L691">
        <v>12820.27</v>
      </c>
      <c r="M691">
        <v>-520.16999999999996</v>
      </c>
      <c r="N691">
        <v>0</v>
      </c>
      <c r="O691">
        <v>0</v>
      </c>
      <c r="P691">
        <v>12300.1</v>
      </c>
    </row>
    <row r="692" spans="1:16">
      <c r="A692" s="1">
        <v>44593</v>
      </c>
      <c r="B692" t="s">
        <v>132</v>
      </c>
      <c r="C692" t="s">
        <v>14</v>
      </c>
      <c r="D692" t="s">
        <v>15</v>
      </c>
      <c r="E692" t="s">
        <v>33</v>
      </c>
      <c r="F692" t="s">
        <v>17</v>
      </c>
      <c r="G692" t="s">
        <v>18</v>
      </c>
      <c r="H692" t="s">
        <v>526</v>
      </c>
      <c r="I692">
        <v>8</v>
      </c>
      <c r="J692" t="s">
        <v>113</v>
      </c>
      <c r="K692" t="str">
        <f t="shared" si="10"/>
        <v>39601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>
      <c r="A693" s="1">
        <v>44593</v>
      </c>
      <c r="B693" t="s">
        <v>132</v>
      </c>
      <c r="C693" t="s">
        <v>14</v>
      </c>
      <c r="D693" t="s">
        <v>15</v>
      </c>
      <c r="E693" t="s">
        <v>33</v>
      </c>
      <c r="F693" t="s">
        <v>17</v>
      </c>
      <c r="G693" t="s">
        <v>18</v>
      </c>
      <c r="H693" t="s">
        <v>526</v>
      </c>
      <c r="I693">
        <v>8</v>
      </c>
      <c r="J693" t="s">
        <v>114</v>
      </c>
      <c r="K693" t="str">
        <f t="shared" si="10"/>
        <v>39602</v>
      </c>
      <c r="L693">
        <v>343055.38</v>
      </c>
      <c r="M693">
        <v>-56605.58</v>
      </c>
      <c r="N693">
        <v>0</v>
      </c>
      <c r="O693">
        <v>0</v>
      </c>
      <c r="P693">
        <v>286449.8</v>
      </c>
    </row>
    <row r="694" spans="1:16">
      <c r="A694" s="1">
        <v>44593</v>
      </c>
      <c r="B694" t="s">
        <v>132</v>
      </c>
      <c r="C694" t="s">
        <v>14</v>
      </c>
      <c r="D694" t="s">
        <v>15</v>
      </c>
      <c r="E694" t="s">
        <v>33</v>
      </c>
      <c r="F694" t="s">
        <v>17</v>
      </c>
      <c r="G694" t="s">
        <v>18</v>
      </c>
      <c r="H694" t="s">
        <v>526</v>
      </c>
      <c r="I694">
        <v>8</v>
      </c>
      <c r="J694" t="s">
        <v>115</v>
      </c>
      <c r="K694" t="str">
        <f t="shared" si="10"/>
        <v>39700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1:16">
      <c r="A695" s="1">
        <v>44593</v>
      </c>
      <c r="B695" t="s">
        <v>132</v>
      </c>
      <c r="C695" t="s">
        <v>14</v>
      </c>
      <c r="D695" t="s">
        <v>15</v>
      </c>
      <c r="E695" t="s">
        <v>33</v>
      </c>
      <c r="F695" t="s">
        <v>17</v>
      </c>
      <c r="G695" t="s">
        <v>18</v>
      </c>
      <c r="H695" t="s">
        <v>526</v>
      </c>
      <c r="I695">
        <v>8</v>
      </c>
      <c r="J695" t="s">
        <v>116</v>
      </c>
      <c r="K695" t="str">
        <f t="shared" si="10"/>
        <v>39710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1:16">
      <c r="A696" s="1">
        <v>44593</v>
      </c>
      <c r="B696" t="s">
        <v>132</v>
      </c>
      <c r="C696" t="s">
        <v>14</v>
      </c>
      <c r="D696" t="s">
        <v>15</v>
      </c>
      <c r="E696" t="s">
        <v>33</v>
      </c>
      <c r="F696" t="s">
        <v>17</v>
      </c>
      <c r="G696" t="s">
        <v>18</v>
      </c>
      <c r="H696" t="s">
        <v>526</v>
      </c>
      <c r="I696">
        <v>8</v>
      </c>
      <c r="J696" t="s">
        <v>117</v>
      </c>
      <c r="K696" t="str">
        <f t="shared" si="10"/>
        <v>39800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>
      <c r="A697" s="1">
        <v>44621</v>
      </c>
      <c r="B697" t="s">
        <v>131</v>
      </c>
      <c r="C697" t="s">
        <v>14</v>
      </c>
      <c r="D697" t="s">
        <v>15</v>
      </c>
      <c r="E697" t="s">
        <v>33</v>
      </c>
      <c r="F697" t="s">
        <v>24</v>
      </c>
      <c r="G697" t="s">
        <v>18</v>
      </c>
      <c r="H697" t="s">
        <v>526</v>
      </c>
      <c r="I697">
        <v>8</v>
      </c>
      <c r="J697" t="s">
        <v>94</v>
      </c>
      <c r="K697" t="str">
        <f t="shared" si="10"/>
        <v>38901</v>
      </c>
      <c r="L697">
        <v>261405.41</v>
      </c>
      <c r="M697">
        <v>0</v>
      </c>
      <c r="N697">
        <v>0</v>
      </c>
      <c r="O697">
        <v>0</v>
      </c>
      <c r="P697" s="8">
        <v>261405.41</v>
      </c>
    </row>
    <row r="698" spans="1:16">
      <c r="A698" s="1">
        <v>44621</v>
      </c>
      <c r="B698" t="s">
        <v>131</v>
      </c>
      <c r="C698" t="s">
        <v>14</v>
      </c>
      <c r="D698" t="s">
        <v>15</v>
      </c>
      <c r="E698" t="s">
        <v>33</v>
      </c>
      <c r="F698" t="s">
        <v>24</v>
      </c>
      <c r="G698" t="s">
        <v>18</v>
      </c>
      <c r="H698" t="s">
        <v>526</v>
      </c>
      <c r="I698">
        <v>8</v>
      </c>
      <c r="J698" t="s">
        <v>95</v>
      </c>
      <c r="K698" t="str">
        <f t="shared" si="10"/>
        <v>38902</v>
      </c>
      <c r="L698">
        <v>22532.78</v>
      </c>
      <c r="M698">
        <v>0</v>
      </c>
      <c r="N698">
        <v>0</v>
      </c>
      <c r="O698">
        <v>0</v>
      </c>
      <c r="P698" s="8">
        <v>22532.78</v>
      </c>
    </row>
    <row r="699" spans="1:16">
      <c r="A699" s="1">
        <v>44621</v>
      </c>
      <c r="B699" t="s">
        <v>131</v>
      </c>
      <c r="C699" t="s">
        <v>14</v>
      </c>
      <c r="D699" t="s">
        <v>15</v>
      </c>
      <c r="E699" t="s">
        <v>33</v>
      </c>
      <c r="F699" t="s">
        <v>24</v>
      </c>
      <c r="G699" t="s">
        <v>18</v>
      </c>
      <c r="H699" t="s">
        <v>526</v>
      </c>
      <c r="I699">
        <v>8</v>
      </c>
      <c r="J699" t="s">
        <v>19</v>
      </c>
      <c r="K699" t="str">
        <f t="shared" si="10"/>
        <v>39001</v>
      </c>
      <c r="L699">
        <v>7416309.9800000004</v>
      </c>
      <c r="M699">
        <v>15.85</v>
      </c>
      <c r="N699">
        <v>0</v>
      </c>
      <c r="O699">
        <v>0</v>
      </c>
      <c r="P699" s="8">
        <v>7416325.8300000001</v>
      </c>
    </row>
    <row r="700" spans="1:16">
      <c r="A700" s="1">
        <v>44621</v>
      </c>
      <c r="B700" t="s">
        <v>131</v>
      </c>
      <c r="C700" t="s">
        <v>14</v>
      </c>
      <c r="D700" t="s">
        <v>15</v>
      </c>
      <c r="E700" t="s">
        <v>33</v>
      </c>
      <c r="F700" t="s">
        <v>24</v>
      </c>
      <c r="G700" t="s">
        <v>18</v>
      </c>
      <c r="H700" t="s">
        <v>526</v>
      </c>
      <c r="I700">
        <v>8</v>
      </c>
      <c r="J700" t="s">
        <v>96</v>
      </c>
      <c r="K700" t="str">
        <f t="shared" si="10"/>
        <v>39051</v>
      </c>
      <c r="L700">
        <v>1426861.24</v>
      </c>
      <c r="M700">
        <v>0</v>
      </c>
      <c r="N700">
        <v>0</v>
      </c>
      <c r="O700">
        <v>0</v>
      </c>
      <c r="P700" s="8">
        <v>1426861.24</v>
      </c>
    </row>
    <row r="701" spans="1:16">
      <c r="A701" s="1">
        <v>44621</v>
      </c>
      <c r="B701" t="s">
        <v>131</v>
      </c>
      <c r="C701" t="s">
        <v>14</v>
      </c>
      <c r="D701" t="s">
        <v>15</v>
      </c>
      <c r="E701" t="s">
        <v>33</v>
      </c>
      <c r="F701" t="s">
        <v>24</v>
      </c>
      <c r="G701" t="s">
        <v>18</v>
      </c>
      <c r="H701" t="s">
        <v>526</v>
      </c>
      <c r="I701">
        <v>8</v>
      </c>
      <c r="J701" t="s">
        <v>97</v>
      </c>
      <c r="K701" t="str">
        <f t="shared" si="10"/>
        <v>39101</v>
      </c>
      <c r="L701">
        <v>1313111.22</v>
      </c>
      <c r="M701">
        <v>25989.3</v>
      </c>
      <c r="N701">
        <v>0</v>
      </c>
      <c r="O701">
        <v>0</v>
      </c>
      <c r="P701" s="8">
        <v>1339100.52</v>
      </c>
    </row>
    <row r="702" spans="1:16">
      <c r="A702" s="1">
        <v>44621</v>
      </c>
      <c r="B702" t="s">
        <v>131</v>
      </c>
      <c r="C702" t="s">
        <v>14</v>
      </c>
      <c r="D702" t="s">
        <v>15</v>
      </c>
      <c r="E702" t="s">
        <v>33</v>
      </c>
      <c r="F702" t="s">
        <v>24</v>
      </c>
      <c r="G702" t="s">
        <v>18</v>
      </c>
      <c r="H702" t="s">
        <v>526</v>
      </c>
      <c r="I702">
        <v>8</v>
      </c>
      <c r="J702" t="s">
        <v>98</v>
      </c>
      <c r="K702" t="str">
        <f t="shared" si="10"/>
        <v>39103</v>
      </c>
      <c r="L702">
        <v>706248.64</v>
      </c>
      <c r="M702">
        <v>0</v>
      </c>
      <c r="N702">
        <v>0</v>
      </c>
      <c r="O702">
        <v>0</v>
      </c>
      <c r="P702" s="8">
        <v>706248.64</v>
      </c>
    </row>
    <row r="703" spans="1:16">
      <c r="A703" s="1">
        <v>44621</v>
      </c>
      <c r="B703" t="s">
        <v>131</v>
      </c>
      <c r="C703" t="s">
        <v>14</v>
      </c>
      <c r="D703" t="s">
        <v>15</v>
      </c>
      <c r="E703" t="s">
        <v>33</v>
      </c>
      <c r="F703" t="s">
        <v>24</v>
      </c>
      <c r="G703" t="s">
        <v>18</v>
      </c>
      <c r="H703" t="s">
        <v>526</v>
      </c>
      <c r="I703">
        <v>8</v>
      </c>
      <c r="J703" t="s">
        <v>99</v>
      </c>
      <c r="K703" t="str">
        <f t="shared" si="10"/>
        <v>39104</v>
      </c>
      <c r="L703">
        <v>14712</v>
      </c>
      <c r="M703">
        <v>0</v>
      </c>
      <c r="N703">
        <v>0</v>
      </c>
      <c r="O703">
        <v>0</v>
      </c>
      <c r="P703" s="8">
        <v>14712</v>
      </c>
    </row>
    <row r="704" spans="1:16">
      <c r="A704" s="1">
        <v>44621</v>
      </c>
      <c r="B704" t="s">
        <v>131</v>
      </c>
      <c r="C704" t="s">
        <v>14</v>
      </c>
      <c r="D704" t="s">
        <v>15</v>
      </c>
      <c r="E704" t="s">
        <v>33</v>
      </c>
      <c r="F704" t="s">
        <v>24</v>
      </c>
      <c r="G704" t="s">
        <v>18</v>
      </c>
      <c r="H704" t="s">
        <v>526</v>
      </c>
      <c r="I704">
        <v>8</v>
      </c>
      <c r="J704" t="s">
        <v>100</v>
      </c>
      <c r="K704" t="str">
        <f t="shared" si="10"/>
        <v>39105</v>
      </c>
      <c r="L704">
        <v>0</v>
      </c>
      <c r="M704">
        <v>0</v>
      </c>
      <c r="N704">
        <v>0</v>
      </c>
      <c r="O704">
        <v>0</v>
      </c>
      <c r="P704" s="8">
        <v>0</v>
      </c>
    </row>
    <row r="705" spans="1:16">
      <c r="A705" s="1">
        <v>44621</v>
      </c>
      <c r="B705" t="s">
        <v>131</v>
      </c>
      <c r="C705" t="s">
        <v>14</v>
      </c>
      <c r="D705" t="s">
        <v>15</v>
      </c>
      <c r="E705" t="s">
        <v>33</v>
      </c>
      <c r="F705" t="s">
        <v>24</v>
      </c>
      <c r="G705" t="s">
        <v>18</v>
      </c>
      <c r="H705" t="s">
        <v>526</v>
      </c>
      <c r="I705">
        <v>8</v>
      </c>
      <c r="J705" t="s">
        <v>101</v>
      </c>
      <c r="K705" t="str">
        <f t="shared" si="10"/>
        <v>39107</v>
      </c>
      <c r="L705">
        <v>0</v>
      </c>
      <c r="M705">
        <v>0</v>
      </c>
      <c r="N705">
        <v>0</v>
      </c>
      <c r="O705">
        <v>0</v>
      </c>
      <c r="P705" s="8">
        <v>0</v>
      </c>
    </row>
    <row r="706" spans="1:16">
      <c r="A706" s="1">
        <v>44621</v>
      </c>
      <c r="B706" t="s">
        <v>131</v>
      </c>
      <c r="C706" t="s">
        <v>14</v>
      </c>
      <c r="D706" t="s">
        <v>15</v>
      </c>
      <c r="E706" t="s">
        <v>33</v>
      </c>
      <c r="F706" t="s">
        <v>24</v>
      </c>
      <c r="G706" t="s">
        <v>18</v>
      </c>
      <c r="H706" t="s">
        <v>526</v>
      </c>
      <c r="I706">
        <v>8</v>
      </c>
      <c r="J706" t="s">
        <v>102</v>
      </c>
      <c r="K706" t="str">
        <f t="shared" ref="K706:K769" si="11">MID(J706,2,5)</f>
        <v>39159</v>
      </c>
      <c r="L706">
        <v>0</v>
      </c>
      <c r="M706">
        <v>0</v>
      </c>
      <c r="N706">
        <v>0</v>
      </c>
      <c r="O706">
        <v>0</v>
      </c>
      <c r="P706" s="8">
        <v>0</v>
      </c>
    </row>
    <row r="707" spans="1:16">
      <c r="A707" s="1">
        <v>44621</v>
      </c>
      <c r="B707" t="s">
        <v>131</v>
      </c>
      <c r="C707" t="s">
        <v>14</v>
      </c>
      <c r="D707" t="s">
        <v>15</v>
      </c>
      <c r="E707" t="s">
        <v>33</v>
      </c>
      <c r="F707" t="s">
        <v>24</v>
      </c>
      <c r="G707" t="s">
        <v>18</v>
      </c>
      <c r="H707" t="s">
        <v>526</v>
      </c>
      <c r="I707">
        <v>8</v>
      </c>
      <c r="J707" t="s">
        <v>103</v>
      </c>
      <c r="K707" t="str">
        <f t="shared" si="11"/>
        <v>39201</v>
      </c>
      <c r="L707">
        <v>134983.86000000002</v>
      </c>
      <c r="M707">
        <v>0</v>
      </c>
      <c r="N707">
        <v>0</v>
      </c>
      <c r="O707">
        <v>0</v>
      </c>
      <c r="P707" s="8">
        <v>134983.86000000002</v>
      </c>
    </row>
    <row r="708" spans="1:16">
      <c r="A708" s="1">
        <v>44621</v>
      </c>
      <c r="B708" t="s">
        <v>131</v>
      </c>
      <c r="C708" t="s">
        <v>14</v>
      </c>
      <c r="D708" t="s">
        <v>15</v>
      </c>
      <c r="E708" t="s">
        <v>33</v>
      </c>
      <c r="F708" t="s">
        <v>24</v>
      </c>
      <c r="G708" t="s">
        <v>18</v>
      </c>
      <c r="H708" t="s">
        <v>526</v>
      </c>
      <c r="I708">
        <v>8</v>
      </c>
      <c r="J708" t="s">
        <v>104</v>
      </c>
      <c r="K708" t="str">
        <f t="shared" si="11"/>
        <v>39202</v>
      </c>
      <c r="L708">
        <v>45525.16</v>
      </c>
      <c r="M708">
        <v>0</v>
      </c>
      <c r="N708">
        <v>0</v>
      </c>
      <c r="O708">
        <v>0</v>
      </c>
      <c r="P708" s="8">
        <v>45525.16</v>
      </c>
    </row>
    <row r="709" spans="1:16">
      <c r="A709" s="1">
        <v>44621</v>
      </c>
      <c r="B709" t="s">
        <v>131</v>
      </c>
      <c r="C709" t="s">
        <v>14</v>
      </c>
      <c r="D709" t="s">
        <v>15</v>
      </c>
      <c r="E709" t="s">
        <v>33</v>
      </c>
      <c r="F709" t="s">
        <v>24</v>
      </c>
      <c r="G709" t="s">
        <v>18</v>
      </c>
      <c r="H709" t="s">
        <v>526</v>
      </c>
      <c r="I709">
        <v>8</v>
      </c>
      <c r="J709" t="s">
        <v>105</v>
      </c>
      <c r="K709" t="str">
        <f t="shared" si="11"/>
        <v>39203</v>
      </c>
      <c r="L709">
        <v>2458849.75</v>
      </c>
      <c r="M709">
        <v>0</v>
      </c>
      <c r="N709">
        <v>-16251.16</v>
      </c>
      <c r="O709">
        <v>0</v>
      </c>
      <c r="P709" s="8">
        <v>2442598.59</v>
      </c>
    </row>
    <row r="710" spans="1:16">
      <c r="A710" s="1">
        <v>44621</v>
      </c>
      <c r="B710" t="s">
        <v>131</v>
      </c>
      <c r="C710" t="s">
        <v>14</v>
      </c>
      <c r="D710" t="s">
        <v>15</v>
      </c>
      <c r="E710" t="s">
        <v>33</v>
      </c>
      <c r="F710" t="s">
        <v>24</v>
      </c>
      <c r="G710" t="s">
        <v>18</v>
      </c>
      <c r="H710" t="s">
        <v>526</v>
      </c>
      <c r="I710">
        <v>8</v>
      </c>
      <c r="J710" t="s">
        <v>106</v>
      </c>
      <c r="K710" t="str">
        <f t="shared" si="11"/>
        <v>39204</v>
      </c>
      <c r="L710">
        <v>1604925.9500000002</v>
      </c>
      <c r="M710">
        <v>0</v>
      </c>
      <c r="N710">
        <v>0</v>
      </c>
      <c r="O710">
        <v>0</v>
      </c>
      <c r="P710" s="8">
        <v>1604925.9500000002</v>
      </c>
    </row>
    <row r="711" spans="1:16">
      <c r="A711" s="1">
        <v>44621</v>
      </c>
      <c r="B711" t="s">
        <v>131</v>
      </c>
      <c r="C711" t="s">
        <v>14</v>
      </c>
      <c r="D711" t="s">
        <v>15</v>
      </c>
      <c r="E711" t="s">
        <v>33</v>
      </c>
      <c r="F711" t="s">
        <v>24</v>
      </c>
      <c r="G711" t="s">
        <v>18</v>
      </c>
      <c r="H711" t="s">
        <v>526</v>
      </c>
      <c r="I711">
        <v>8</v>
      </c>
      <c r="J711" t="s">
        <v>107</v>
      </c>
      <c r="K711" t="str">
        <f t="shared" si="11"/>
        <v>39205</v>
      </c>
      <c r="L711">
        <v>8595881.1500000004</v>
      </c>
      <c r="M711">
        <v>0</v>
      </c>
      <c r="N711">
        <v>0</v>
      </c>
      <c r="O711">
        <v>0</v>
      </c>
      <c r="P711" s="8">
        <v>8595881.1500000004</v>
      </c>
    </row>
    <row r="712" spans="1:16">
      <c r="A712" s="1">
        <v>44621</v>
      </c>
      <c r="B712" t="s">
        <v>131</v>
      </c>
      <c r="C712" t="s">
        <v>14</v>
      </c>
      <c r="D712" t="s">
        <v>15</v>
      </c>
      <c r="E712" t="s">
        <v>33</v>
      </c>
      <c r="F712" t="s">
        <v>24</v>
      </c>
      <c r="G712" t="s">
        <v>18</v>
      </c>
      <c r="H712" t="s">
        <v>526</v>
      </c>
      <c r="I712">
        <v>8</v>
      </c>
      <c r="J712" t="s">
        <v>108</v>
      </c>
      <c r="K712" t="str">
        <f t="shared" si="11"/>
        <v>39206</v>
      </c>
      <c r="L712">
        <v>2250546.4</v>
      </c>
      <c r="M712">
        <v>8475.89</v>
      </c>
      <c r="N712">
        <v>-7173.68</v>
      </c>
      <c r="O712">
        <v>0</v>
      </c>
      <c r="P712" s="8">
        <v>2251848.61</v>
      </c>
    </row>
    <row r="713" spans="1:16">
      <c r="A713" s="1">
        <v>44621</v>
      </c>
      <c r="B713" t="s">
        <v>131</v>
      </c>
      <c r="C713" t="s">
        <v>14</v>
      </c>
      <c r="D713" t="s">
        <v>15</v>
      </c>
      <c r="E713" t="s">
        <v>33</v>
      </c>
      <c r="F713" t="s">
        <v>24</v>
      </c>
      <c r="G713" t="s">
        <v>18</v>
      </c>
      <c r="H713" t="s">
        <v>526</v>
      </c>
      <c r="I713">
        <v>8</v>
      </c>
      <c r="J713" t="s">
        <v>109</v>
      </c>
      <c r="K713" t="str">
        <f t="shared" si="11"/>
        <v>39300</v>
      </c>
      <c r="L713">
        <v>24905.31</v>
      </c>
      <c r="M713">
        <v>0</v>
      </c>
      <c r="N713">
        <v>0</v>
      </c>
      <c r="O713">
        <v>0</v>
      </c>
      <c r="P713" s="8">
        <v>24905.31</v>
      </c>
    </row>
    <row r="714" spans="1:16">
      <c r="A714" s="1">
        <v>44621</v>
      </c>
      <c r="B714" t="s">
        <v>131</v>
      </c>
      <c r="C714" t="s">
        <v>14</v>
      </c>
      <c r="D714" t="s">
        <v>15</v>
      </c>
      <c r="E714" t="s">
        <v>33</v>
      </c>
      <c r="F714" t="s">
        <v>24</v>
      </c>
      <c r="G714" t="s">
        <v>18</v>
      </c>
      <c r="H714" t="s">
        <v>526</v>
      </c>
      <c r="I714">
        <v>8</v>
      </c>
      <c r="J714" t="s">
        <v>110</v>
      </c>
      <c r="K714" t="str">
        <f t="shared" si="11"/>
        <v>39400</v>
      </c>
      <c r="L714">
        <v>2970547.43</v>
      </c>
      <c r="M714">
        <v>35052.76</v>
      </c>
      <c r="N714">
        <v>0</v>
      </c>
      <c r="O714">
        <v>0</v>
      </c>
      <c r="P714" s="8">
        <v>3005600.19</v>
      </c>
    </row>
    <row r="715" spans="1:16">
      <c r="A715" s="1">
        <v>44621</v>
      </c>
      <c r="B715" t="s">
        <v>131</v>
      </c>
      <c r="C715" t="s">
        <v>14</v>
      </c>
      <c r="D715" t="s">
        <v>15</v>
      </c>
      <c r="E715" t="s">
        <v>33</v>
      </c>
      <c r="F715" t="s">
        <v>24</v>
      </c>
      <c r="G715" t="s">
        <v>18</v>
      </c>
      <c r="H715" t="s">
        <v>526</v>
      </c>
      <c r="I715">
        <v>8</v>
      </c>
      <c r="J715" t="s">
        <v>111</v>
      </c>
      <c r="K715" t="str">
        <f t="shared" si="11"/>
        <v>39410</v>
      </c>
      <c r="L715">
        <v>14177.720000000001</v>
      </c>
      <c r="M715">
        <v>0</v>
      </c>
      <c r="N715">
        <v>0</v>
      </c>
      <c r="O715">
        <v>0</v>
      </c>
      <c r="P715" s="8">
        <v>14177.720000000001</v>
      </c>
    </row>
    <row r="716" spans="1:16">
      <c r="A716" s="1">
        <v>44621</v>
      </c>
      <c r="B716" t="s">
        <v>131</v>
      </c>
      <c r="C716" t="s">
        <v>14</v>
      </c>
      <c r="D716" t="s">
        <v>15</v>
      </c>
      <c r="E716" t="s">
        <v>33</v>
      </c>
      <c r="F716" t="s">
        <v>24</v>
      </c>
      <c r="G716" t="s">
        <v>18</v>
      </c>
      <c r="H716" t="s">
        <v>526</v>
      </c>
      <c r="I716">
        <v>8</v>
      </c>
      <c r="J716" t="s">
        <v>112</v>
      </c>
      <c r="K716" t="str">
        <f t="shared" si="11"/>
        <v>39500</v>
      </c>
      <c r="L716">
        <v>400236.59</v>
      </c>
      <c r="M716">
        <v>0</v>
      </c>
      <c r="N716">
        <v>0</v>
      </c>
      <c r="O716">
        <v>0</v>
      </c>
      <c r="P716" s="8">
        <v>400236.59</v>
      </c>
    </row>
    <row r="717" spans="1:16">
      <c r="A717" s="1">
        <v>44621</v>
      </c>
      <c r="B717" t="s">
        <v>131</v>
      </c>
      <c r="C717" t="s">
        <v>14</v>
      </c>
      <c r="D717" t="s">
        <v>15</v>
      </c>
      <c r="E717" t="s">
        <v>33</v>
      </c>
      <c r="F717" t="s">
        <v>24</v>
      </c>
      <c r="G717" t="s">
        <v>18</v>
      </c>
      <c r="H717" t="s">
        <v>526</v>
      </c>
      <c r="I717">
        <v>8</v>
      </c>
      <c r="J717" t="s">
        <v>113</v>
      </c>
      <c r="K717" t="str">
        <f t="shared" si="11"/>
        <v>39601</v>
      </c>
      <c r="L717">
        <v>219977.59</v>
      </c>
      <c r="M717">
        <v>0</v>
      </c>
      <c r="N717">
        <v>0</v>
      </c>
      <c r="O717">
        <v>0</v>
      </c>
      <c r="P717" s="8">
        <v>219977.59</v>
      </c>
    </row>
    <row r="718" spans="1:16">
      <c r="A718" s="1">
        <v>44621</v>
      </c>
      <c r="B718" t="s">
        <v>131</v>
      </c>
      <c r="C718" t="s">
        <v>14</v>
      </c>
      <c r="D718" t="s">
        <v>15</v>
      </c>
      <c r="E718" t="s">
        <v>33</v>
      </c>
      <c r="F718" t="s">
        <v>24</v>
      </c>
      <c r="G718" t="s">
        <v>18</v>
      </c>
      <c r="H718" t="s">
        <v>526</v>
      </c>
      <c r="I718">
        <v>8</v>
      </c>
      <c r="J718" t="s">
        <v>114</v>
      </c>
      <c r="K718" t="str">
        <f t="shared" si="11"/>
        <v>39602</v>
      </c>
      <c r="L718">
        <v>2969420.3</v>
      </c>
      <c r="M718">
        <v>0</v>
      </c>
      <c r="N718">
        <v>0</v>
      </c>
      <c r="O718">
        <v>0</v>
      </c>
      <c r="P718" s="8">
        <v>2969420.3</v>
      </c>
    </row>
    <row r="719" spans="1:16">
      <c r="A719" s="1">
        <v>44621</v>
      </c>
      <c r="B719" t="s">
        <v>131</v>
      </c>
      <c r="C719" t="s">
        <v>14</v>
      </c>
      <c r="D719" t="s">
        <v>15</v>
      </c>
      <c r="E719" t="s">
        <v>33</v>
      </c>
      <c r="F719" t="s">
        <v>24</v>
      </c>
      <c r="G719" t="s">
        <v>18</v>
      </c>
      <c r="H719" t="s">
        <v>526</v>
      </c>
      <c r="I719">
        <v>8</v>
      </c>
      <c r="J719" t="s">
        <v>115</v>
      </c>
      <c r="K719" t="str">
        <f t="shared" si="11"/>
        <v>39700</v>
      </c>
      <c r="L719">
        <v>1276206.3700000001</v>
      </c>
      <c r="M719">
        <v>0</v>
      </c>
      <c r="N719">
        <v>-299121</v>
      </c>
      <c r="O719">
        <v>0</v>
      </c>
      <c r="P719" s="8">
        <v>977085.37</v>
      </c>
    </row>
    <row r="720" spans="1:16">
      <c r="A720" s="1">
        <v>44621</v>
      </c>
      <c r="B720" t="s">
        <v>131</v>
      </c>
      <c r="C720" t="s">
        <v>14</v>
      </c>
      <c r="D720" t="s">
        <v>15</v>
      </c>
      <c r="E720" t="s">
        <v>33</v>
      </c>
      <c r="F720" t="s">
        <v>24</v>
      </c>
      <c r="G720" t="s">
        <v>18</v>
      </c>
      <c r="H720" t="s">
        <v>526</v>
      </c>
      <c r="I720">
        <v>8</v>
      </c>
      <c r="J720" t="s">
        <v>116</v>
      </c>
      <c r="K720" t="str">
        <f t="shared" si="11"/>
        <v>39710</v>
      </c>
      <c r="L720">
        <v>1204952.6599999999</v>
      </c>
      <c r="M720">
        <v>0</v>
      </c>
      <c r="N720">
        <v>0</v>
      </c>
      <c r="O720">
        <v>0</v>
      </c>
      <c r="P720" s="8">
        <v>1204952.6599999999</v>
      </c>
    </row>
    <row r="721" spans="1:16">
      <c r="A721" s="1">
        <v>44621</v>
      </c>
      <c r="B721" t="s">
        <v>131</v>
      </c>
      <c r="C721" t="s">
        <v>14</v>
      </c>
      <c r="D721" t="s">
        <v>15</v>
      </c>
      <c r="E721" t="s">
        <v>33</v>
      </c>
      <c r="F721" t="s">
        <v>24</v>
      </c>
      <c r="G721" t="s">
        <v>18</v>
      </c>
      <c r="H721" t="s">
        <v>526</v>
      </c>
      <c r="I721">
        <v>8</v>
      </c>
      <c r="J721" t="s">
        <v>117</v>
      </c>
      <c r="K721" t="str">
        <f t="shared" si="11"/>
        <v>39800</v>
      </c>
      <c r="L721">
        <v>129693.81</v>
      </c>
      <c r="M721">
        <v>19779.990000000002</v>
      </c>
      <c r="N721">
        <v>0</v>
      </c>
      <c r="O721">
        <v>0</v>
      </c>
      <c r="P721" s="8">
        <v>149473.80000000002</v>
      </c>
    </row>
    <row r="722" spans="1:16">
      <c r="A722" s="1">
        <v>44621</v>
      </c>
      <c r="B722" t="s">
        <v>131</v>
      </c>
      <c r="C722" t="s">
        <v>14</v>
      </c>
      <c r="D722" t="s">
        <v>15</v>
      </c>
      <c r="E722" t="s">
        <v>33</v>
      </c>
      <c r="F722" t="s">
        <v>119</v>
      </c>
      <c r="G722" t="s">
        <v>18</v>
      </c>
      <c r="H722" t="s">
        <v>526</v>
      </c>
      <c r="I722">
        <v>8</v>
      </c>
      <c r="J722" t="s">
        <v>94</v>
      </c>
      <c r="K722" t="str">
        <f t="shared" si="11"/>
        <v>38901</v>
      </c>
      <c r="L722">
        <v>1221463.3</v>
      </c>
      <c r="M722">
        <v>0</v>
      </c>
      <c r="N722">
        <v>0</v>
      </c>
      <c r="O722">
        <v>0</v>
      </c>
      <c r="P722" s="9">
        <v>1221463.3</v>
      </c>
    </row>
    <row r="723" spans="1:16">
      <c r="A723" s="1">
        <v>44621</v>
      </c>
      <c r="B723" t="s">
        <v>131</v>
      </c>
      <c r="C723" t="s">
        <v>14</v>
      </c>
      <c r="D723" t="s">
        <v>15</v>
      </c>
      <c r="E723" t="s">
        <v>16</v>
      </c>
      <c r="F723" t="s">
        <v>17</v>
      </c>
      <c r="G723" t="s">
        <v>18</v>
      </c>
      <c r="H723" t="s">
        <v>526</v>
      </c>
      <c r="I723">
        <v>8</v>
      </c>
      <c r="J723" t="s">
        <v>19</v>
      </c>
      <c r="K723" t="str">
        <f t="shared" si="11"/>
        <v>39001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1:16">
      <c r="A724" s="1">
        <v>44621</v>
      </c>
      <c r="B724" t="s">
        <v>131</v>
      </c>
      <c r="C724" t="s">
        <v>14</v>
      </c>
      <c r="D724" t="s">
        <v>15</v>
      </c>
      <c r="E724" t="s">
        <v>33</v>
      </c>
      <c r="F724" t="s">
        <v>17</v>
      </c>
      <c r="G724" t="s">
        <v>18</v>
      </c>
      <c r="H724" t="s">
        <v>526</v>
      </c>
      <c r="I724">
        <v>8</v>
      </c>
      <c r="J724" t="s">
        <v>94</v>
      </c>
      <c r="K724" t="str">
        <f t="shared" si="11"/>
        <v>38901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1:16">
      <c r="A725" s="1">
        <v>44621</v>
      </c>
      <c r="B725" t="s">
        <v>131</v>
      </c>
      <c r="C725" t="s">
        <v>14</v>
      </c>
      <c r="D725" t="s">
        <v>15</v>
      </c>
      <c r="E725" t="s">
        <v>33</v>
      </c>
      <c r="F725" t="s">
        <v>17</v>
      </c>
      <c r="G725" t="s">
        <v>18</v>
      </c>
      <c r="H725" t="s">
        <v>526</v>
      </c>
      <c r="I725">
        <v>8</v>
      </c>
      <c r="J725" t="s">
        <v>19</v>
      </c>
      <c r="K725" t="str">
        <f t="shared" si="11"/>
        <v>39001</v>
      </c>
      <c r="L725">
        <v>227270.06</v>
      </c>
      <c r="M725">
        <v>-25989.3</v>
      </c>
      <c r="N725">
        <v>0</v>
      </c>
      <c r="O725">
        <v>0</v>
      </c>
      <c r="P725">
        <v>201280.76</v>
      </c>
    </row>
    <row r="726" spans="1:16">
      <c r="A726" s="1">
        <v>44621</v>
      </c>
      <c r="B726" t="s">
        <v>131</v>
      </c>
      <c r="C726" t="s">
        <v>14</v>
      </c>
      <c r="D726" t="s">
        <v>15</v>
      </c>
      <c r="E726" t="s">
        <v>33</v>
      </c>
      <c r="F726" t="s">
        <v>17</v>
      </c>
      <c r="G726" t="s">
        <v>18</v>
      </c>
      <c r="H726" t="s">
        <v>526</v>
      </c>
      <c r="I726">
        <v>8</v>
      </c>
      <c r="J726" t="s">
        <v>96</v>
      </c>
      <c r="K726" t="str">
        <f t="shared" si="11"/>
        <v>39051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>
      <c r="A727" s="1">
        <v>44621</v>
      </c>
      <c r="B727" t="s">
        <v>131</v>
      </c>
      <c r="C727" t="s">
        <v>14</v>
      </c>
      <c r="D727" t="s">
        <v>15</v>
      </c>
      <c r="E727" t="s">
        <v>33</v>
      </c>
      <c r="F727" t="s">
        <v>17</v>
      </c>
      <c r="G727" t="s">
        <v>18</v>
      </c>
      <c r="H727" t="s">
        <v>526</v>
      </c>
      <c r="I727">
        <v>8</v>
      </c>
      <c r="J727" t="s">
        <v>97</v>
      </c>
      <c r="K727" t="str">
        <f t="shared" si="11"/>
        <v>39101</v>
      </c>
      <c r="L727">
        <v>447460.5</v>
      </c>
      <c r="M727">
        <v>0</v>
      </c>
      <c r="N727">
        <v>0</v>
      </c>
      <c r="O727">
        <v>0</v>
      </c>
      <c r="P727">
        <v>447460.5</v>
      </c>
    </row>
    <row r="728" spans="1:16">
      <c r="A728" s="1">
        <v>44621</v>
      </c>
      <c r="B728" t="s">
        <v>131</v>
      </c>
      <c r="C728" t="s">
        <v>14</v>
      </c>
      <c r="D728" t="s">
        <v>15</v>
      </c>
      <c r="E728" t="s">
        <v>33</v>
      </c>
      <c r="F728" t="s">
        <v>17</v>
      </c>
      <c r="G728" t="s">
        <v>18</v>
      </c>
      <c r="H728" t="s">
        <v>526</v>
      </c>
      <c r="I728">
        <v>8</v>
      </c>
      <c r="J728" t="s">
        <v>98</v>
      </c>
      <c r="K728" t="str">
        <f t="shared" si="11"/>
        <v>39103</v>
      </c>
      <c r="L728">
        <v>268057.84000000003</v>
      </c>
      <c r="M728">
        <v>0</v>
      </c>
      <c r="N728">
        <v>0</v>
      </c>
      <c r="O728">
        <v>0</v>
      </c>
      <c r="P728">
        <v>268057.84000000003</v>
      </c>
    </row>
    <row r="729" spans="1:16">
      <c r="A729" s="1">
        <v>44621</v>
      </c>
      <c r="B729" t="s">
        <v>131</v>
      </c>
      <c r="C729" t="s">
        <v>14</v>
      </c>
      <c r="D729" t="s">
        <v>15</v>
      </c>
      <c r="E729" t="s">
        <v>33</v>
      </c>
      <c r="F729" t="s">
        <v>17</v>
      </c>
      <c r="G729" t="s">
        <v>18</v>
      </c>
      <c r="H729" t="s">
        <v>526</v>
      </c>
      <c r="I729">
        <v>8</v>
      </c>
      <c r="J729" t="s">
        <v>99</v>
      </c>
      <c r="K729" t="str">
        <f t="shared" si="11"/>
        <v>39104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1:16">
      <c r="A730" s="1">
        <v>44621</v>
      </c>
      <c r="B730" t="s">
        <v>131</v>
      </c>
      <c r="C730" t="s">
        <v>14</v>
      </c>
      <c r="D730" t="s">
        <v>15</v>
      </c>
      <c r="E730" t="s">
        <v>33</v>
      </c>
      <c r="F730" t="s">
        <v>17</v>
      </c>
      <c r="G730" t="s">
        <v>18</v>
      </c>
      <c r="H730" t="s">
        <v>526</v>
      </c>
      <c r="I730">
        <v>8</v>
      </c>
      <c r="J730" t="s">
        <v>103</v>
      </c>
      <c r="K730" t="str">
        <f t="shared" si="11"/>
        <v>39201</v>
      </c>
      <c r="L730">
        <v>81941.77</v>
      </c>
      <c r="M730">
        <v>0</v>
      </c>
      <c r="N730">
        <v>0</v>
      </c>
      <c r="O730">
        <v>0</v>
      </c>
      <c r="P730">
        <v>81941.77</v>
      </c>
    </row>
    <row r="731" spans="1:16">
      <c r="A731" s="1">
        <v>44621</v>
      </c>
      <c r="B731" t="s">
        <v>131</v>
      </c>
      <c r="C731" t="s">
        <v>14</v>
      </c>
      <c r="D731" t="s">
        <v>15</v>
      </c>
      <c r="E731" t="s">
        <v>33</v>
      </c>
      <c r="F731" t="s">
        <v>17</v>
      </c>
      <c r="G731" t="s">
        <v>18</v>
      </c>
      <c r="H731" t="s">
        <v>526</v>
      </c>
      <c r="I731">
        <v>8</v>
      </c>
      <c r="J731" t="s">
        <v>104</v>
      </c>
      <c r="K731" t="str">
        <f t="shared" si="11"/>
        <v>39202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1:16">
      <c r="A732" s="1">
        <v>44621</v>
      </c>
      <c r="B732" t="s">
        <v>131</v>
      </c>
      <c r="C732" t="s">
        <v>14</v>
      </c>
      <c r="D732" t="s">
        <v>15</v>
      </c>
      <c r="E732" t="s">
        <v>33</v>
      </c>
      <c r="F732" t="s">
        <v>17</v>
      </c>
      <c r="G732" t="s">
        <v>18</v>
      </c>
      <c r="H732" t="s">
        <v>526</v>
      </c>
      <c r="I732">
        <v>8</v>
      </c>
      <c r="J732" t="s">
        <v>105</v>
      </c>
      <c r="K732" t="str">
        <f t="shared" si="11"/>
        <v>39203</v>
      </c>
      <c r="L732">
        <v>365180.89</v>
      </c>
      <c r="M732">
        <v>0</v>
      </c>
      <c r="N732">
        <v>0</v>
      </c>
      <c r="O732">
        <v>0</v>
      </c>
      <c r="P732">
        <v>365180.89</v>
      </c>
    </row>
    <row r="733" spans="1:16">
      <c r="A733" s="1">
        <v>44621</v>
      </c>
      <c r="B733" t="s">
        <v>131</v>
      </c>
      <c r="C733" t="s">
        <v>14</v>
      </c>
      <c r="D733" t="s">
        <v>15</v>
      </c>
      <c r="E733" t="s">
        <v>33</v>
      </c>
      <c r="F733" t="s">
        <v>17</v>
      </c>
      <c r="G733" t="s">
        <v>18</v>
      </c>
      <c r="H733" t="s">
        <v>526</v>
      </c>
      <c r="I733">
        <v>8</v>
      </c>
      <c r="J733" t="s">
        <v>106</v>
      </c>
      <c r="K733" t="str">
        <f t="shared" si="11"/>
        <v>39204</v>
      </c>
      <c r="L733">
        <v>488791.06</v>
      </c>
      <c r="M733">
        <v>20032.650000000001</v>
      </c>
      <c r="N733">
        <v>0</v>
      </c>
      <c r="O733">
        <v>0</v>
      </c>
      <c r="P733">
        <v>508823.71</v>
      </c>
    </row>
    <row r="734" spans="1:16">
      <c r="A734" s="1">
        <v>44621</v>
      </c>
      <c r="B734" t="s">
        <v>131</v>
      </c>
      <c r="C734" t="s">
        <v>14</v>
      </c>
      <c r="D734" t="s">
        <v>15</v>
      </c>
      <c r="E734" t="s">
        <v>33</v>
      </c>
      <c r="F734" t="s">
        <v>17</v>
      </c>
      <c r="G734" t="s">
        <v>18</v>
      </c>
      <c r="H734" t="s">
        <v>526</v>
      </c>
      <c r="I734">
        <v>8</v>
      </c>
      <c r="J734" t="s">
        <v>107</v>
      </c>
      <c r="K734" t="str">
        <f t="shared" si="11"/>
        <v>39205</v>
      </c>
      <c r="L734">
        <v>3512989.38</v>
      </c>
      <c r="M734">
        <v>53782.35</v>
      </c>
      <c r="N734">
        <v>0</v>
      </c>
      <c r="O734">
        <v>0</v>
      </c>
      <c r="P734">
        <v>3566771.73</v>
      </c>
    </row>
    <row r="735" spans="1:16">
      <c r="A735" s="1">
        <v>44621</v>
      </c>
      <c r="B735" t="s">
        <v>131</v>
      </c>
      <c r="C735" t="s">
        <v>14</v>
      </c>
      <c r="D735" t="s">
        <v>15</v>
      </c>
      <c r="E735" t="s">
        <v>33</v>
      </c>
      <c r="F735" t="s">
        <v>17</v>
      </c>
      <c r="G735" t="s">
        <v>18</v>
      </c>
      <c r="H735" t="s">
        <v>526</v>
      </c>
      <c r="I735">
        <v>8</v>
      </c>
      <c r="J735" t="s">
        <v>108</v>
      </c>
      <c r="K735" t="str">
        <f t="shared" si="11"/>
        <v>39206</v>
      </c>
      <c r="L735">
        <v>93300.02</v>
      </c>
      <c r="M735">
        <v>-8475.89</v>
      </c>
      <c r="N735">
        <v>0</v>
      </c>
      <c r="O735">
        <v>0</v>
      </c>
      <c r="P735">
        <v>84824.13</v>
      </c>
    </row>
    <row r="736" spans="1:16">
      <c r="A736" s="1">
        <v>44621</v>
      </c>
      <c r="B736" t="s">
        <v>131</v>
      </c>
      <c r="C736" t="s">
        <v>14</v>
      </c>
      <c r="D736" t="s">
        <v>15</v>
      </c>
      <c r="E736" t="s">
        <v>33</v>
      </c>
      <c r="F736" t="s">
        <v>17</v>
      </c>
      <c r="G736" t="s">
        <v>18</v>
      </c>
      <c r="H736" t="s">
        <v>526</v>
      </c>
      <c r="I736">
        <v>8</v>
      </c>
      <c r="J736" t="s">
        <v>109</v>
      </c>
      <c r="K736" t="str">
        <f t="shared" si="11"/>
        <v>39300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1:16">
      <c r="A737" s="1">
        <v>44621</v>
      </c>
      <c r="B737" t="s">
        <v>131</v>
      </c>
      <c r="C737" t="s">
        <v>14</v>
      </c>
      <c r="D737" t="s">
        <v>15</v>
      </c>
      <c r="E737" t="s">
        <v>33</v>
      </c>
      <c r="F737" t="s">
        <v>17</v>
      </c>
      <c r="G737" t="s">
        <v>18</v>
      </c>
      <c r="H737" t="s">
        <v>526</v>
      </c>
      <c r="I737">
        <v>8</v>
      </c>
      <c r="J737" t="s">
        <v>110</v>
      </c>
      <c r="K737" t="str">
        <f t="shared" si="11"/>
        <v>39400</v>
      </c>
      <c r="L737">
        <v>78264.08</v>
      </c>
      <c r="M737">
        <v>-77190.45</v>
      </c>
      <c r="N737">
        <v>0</v>
      </c>
      <c r="O737">
        <v>0</v>
      </c>
      <c r="P737">
        <v>1073.6300000000001</v>
      </c>
    </row>
    <row r="738" spans="1:16">
      <c r="A738" s="1">
        <v>44621</v>
      </c>
      <c r="B738" t="s">
        <v>131</v>
      </c>
      <c r="C738" t="s">
        <v>14</v>
      </c>
      <c r="D738" t="s">
        <v>15</v>
      </c>
      <c r="E738" t="s">
        <v>33</v>
      </c>
      <c r="F738" t="s">
        <v>17</v>
      </c>
      <c r="G738" t="s">
        <v>18</v>
      </c>
      <c r="H738" t="s">
        <v>526</v>
      </c>
      <c r="I738">
        <v>8</v>
      </c>
      <c r="J738" t="s">
        <v>111</v>
      </c>
      <c r="K738" t="str">
        <f t="shared" si="11"/>
        <v>39410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1:16">
      <c r="A739" s="1">
        <v>44621</v>
      </c>
      <c r="B739" t="s">
        <v>131</v>
      </c>
      <c r="C739" t="s">
        <v>14</v>
      </c>
      <c r="D739" t="s">
        <v>15</v>
      </c>
      <c r="E739" t="s">
        <v>33</v>
      </c>
      <c r="F739" t="s">
        <v>17</v>
      </c>
      <c r="G739" t="s">
        <v>18</v>
      </c>
      <c r="H739" t="s">
        <v>526</v>
      </c>
      <c r="I739">
        <v>8</v>
      </c>
      <c r="J739" t="s">
        <v>112</v>
      </c>
      <c r="K739" t="str">
        <f t="shared" si="11"/>
        <v>39500</v>
      </c>
      <c r="L739">
        <v>12300.1</v>
      </c>
      <c r="M739">
        <v>0</v>
      </c>
      <c r="N739">
        <v>0</v>
      </c>
      <c r="O739">
        <v>0</v>
      </c>
      <c r="P739">
        <v>12300.1</v>
      </c>
    </row>
    <row r="740" spans="1:16">
      <c r="A740" s="1">
        <v>44621</v>
      </c>
      <c r="B740" t="s">
        <v>131</v>
      </c>
      <c r="C740" t="s">
        <v>14</v>
      </c>
      <c r="D740" t="s">
        <v>15</v>
      </c>
      <c r="E740" t="s">
        <v>33</v>
      </c>
      <c r="F740" t="s">
        <v>17</v>
      </c>
      <c r="G740" t="s">
        <v>18</v>
      </c>
      <c r="H740" t="s">
        <v>526</v>
      </c>
      <c r="I740">
        <v>8</v>
      </c>
      <c r="J740" t="s">
        <v>113</v>
      </c>
      <c r="K740" t="str">
        <f t="shared" si="11"/>
        <v>39601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1:16">
      <c r="A741" s="1">
        <v>44621</v>
      </c>
      <c r="B741" t="s">
        <v>131</v>
      </c>
      <c r="C741" t="s">
        <v>14</v>
      </c>
      <c r="D741" t="s">
        <v>15</v>
      </c>
      <c r="E741" t="s">
        <v>33</v>
      </c>
      <c r="F741" t="s">
        <v>17</v>
      </c>
      <c r="G741" t="s">
        <v>18</v>
      </c>
      <c r="H741" t="s">
        <v>526</v>
      </c>
      <c r="I741">
        <v>8</v>
      </c>
      <c r="J741" t="s">
        <v>114</v>
      </c>
      <c r="K741" t="str">
        <f t="shared" si="11"/>
        <v>39602</v>
      </c>
      <c r="L741">
        <v>286449.8</v>
      </c>
      <c r="M741">
        <v>86610.1</v>
      </c>
      <c r="N741">
        <v>0</v>
      </c>
      <c r="O741">
        <v>0</v>
      </c>
      <c r="P741">
        <v>373059.9</v>
      </c>
    </row>
    <row r="742" spans="1:16">
      <c r="A742" s="1">
        <v>44621</v>
      </c>
      <c r="B742" t="s">
        <v>131</v>
      </c>
      <c r="C742" t="s">
        <v>14</v>
      </c>
      <c r="D742" t="s">
        <v>15</v>
      </c>
      <c r="E742" t="s">
        <v>33</v>
      </c>
      <c r="F742" t="s">
        <v>17</v>
      </c>
      <c r="G742" t="s">
        <v>18</v>
      </c>
      <c r="H742" t="s">
        <v>526</v>
      </c>
      <c r="I742">
        <v>8</v>
      </c>
      <c r="J742" t="s">
        <v>115</v>
      </c>
      <c r="K742" t="str">
        <f t="shared" si="11"/>
        <v>39700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1:16">
      <c r="A743" s="1">
        <v>44621</v>
      </c>
      <c r="B743" t="s">
        <v>131</v>
      </c>
      <c r="C743" t="s">
        <v>14</v>
      </c>
      <c r="D743" t="s">
        <v>15</v>
      </c>
      <c r="E743" t="s">
        <v>33</v>
      </c>
      <c r="F743" t="s">
        <v>17</v>
      </c>
      <c r="G743" t="s">
        <v>18</v>
      </c>
      <c r="H743" t="s">
        <v>526</v>
      </c>
      <c r="I743">
        <v>8</v>
      </c>
      <c r="J743" t="s">
        <v>116</v>
      </c>
      <c r="K743" t="str">
        <f t="shared" si="11"/>
        <v>39710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1:16">
      <c r="A744" s="1">
        <v>44621</v>
      </c>
      <c r="B744" t="s">
        <v>131</v>
      </c>
      <c r="C744" t="s">
        <v>14</v>
      </c>
      <c r="D744" t="s">
        <v>15</v>
      </c>
      <c r="E744" t="s">
        <v>33</v>
      </c>
      <c r="F744" t="s">
        <v>17</v>
      </c>
      <c r="G744" t="s">
        <v>18</v>
      </c>
      <c r="H744" t="s">
        <v>526</v>
      </c>
      <c r="I744">
        <v>8</v>
      </c>
      <c r="J744" t="s">
        <v>117</v>
      </c>
      <c r="K744" t="str">
        <f t="shared" si="11"/>
        <v>39800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1:16">
      <c r="A745" s="1">
        <v>44652</v>
      </c>
      <c r="B745" t="s">
        <v>130</v>
      </c>
      <c r="C745" t="s">
        <v>14</v>
      </c>
      <c r="D745" t="s">
        <v>15</v>
      </c>
      <c r="E745" t="s">
        <v>33</v>
      </c>
      <c r="F745" t="s">
        <v>24</v>
      </c>
      <c r="G745" t="s">
        <v>18</v>
      </c>
      <c r="H745" t="s">
        <v>526</v>
      </c>
      <c r="I745">
        <v>8</v>
      </c>
      <c r="J745" t="s">
        <v>94</v>
      </c>
      <c r="K745" t="str">
        <f t="shared" si="11"/>
        <v>38901</v>
      </c>
      <c r="L745">
        <v>261405.41</v>
      </c>
      <c r="M745">
        <v>0</v>
      </c>
      <c r="N745">
        <v>0</v>
      </c>
      <c r="O745">
        <v>0</v>
      </c>
      <c r="P745" s="8">
        <v>261405.41</v>
      </c>
    </row>
    <row r="746" spans="1:16">
      <c r="A746" s="1">
        <v>44652</v>
      </c>
      <c r="B746" t="s">
        <v>130</v>
      </c>
      <c r="C746" t="s">
        <v>14</v>
      </c>
      <c r="D746" t="s">
        <v>15</v>
      </c>
      <c r="E746" t="s">
        <v>33</v>
      </c>
      <c r="F746" t="s">
        <v>24</v>
      </c>
      <c r="G746" t="s">
        <v>18</v>
      </c>
      <c r="H746" t="s">
        <v>526</v>
      </c>
      <c r="I746">
        <v>8</v>
      </c>
      <c r="J746" t="s">
        <v>95</v>
      </c>
      <c r="K746" t="str">
        <f t="shared" si="11"/>
        <v>38902</v>
      </c>
      <c r="L746">
        <v>22532.78</v>
      </c>
      <c r="M746">
        <v>0</v>
      </c>
      <c r="N746">
        <v>0</v>
      </c>
      <c r="O746">
        <v>0</v>
      </c>
      <c r="P746" s="8">
        <v>22532.78</v>
      </c>
    </row>
    <row r="747" spans="1:16">
      <c r="A747" s="1">
        <v>44652</v>
      </c>
      <c r="B747" t="s">
        <v>130</v>
      </c>
      <c r="C747" t="s">
        <v>14</v>
      </c>
      <c r="D747" t="s">
        <v>15</v>
      </c>
      <c r="E747" t="s">
        <v>33</v>
      </c>
      <c r="F747" t="s">
        <v>24</v>
      </c>
      <c r="G747" t="s">
        <v>18</v>
      </c>
      <c r="H747" t="s">
        <v>526</v>
      </c>
      <c r="I747">
        <v>8</v>
      </c>
      <c r="J747" t="s">
        <v>19</v>
      </c>
      <c r="K747" t="str">
        <f t="shared" si="11"/>
        <v>39001</v>
      </c>
      <c r="L747">
        <v>7416325.8300000001</v>
      </c>
      <c r="M747">
        <v>0</v>
      </c>
      <c r="N747">
        <v>0</v>
      </c>
      <c r="O747">
        <v>0</v>
      </c>
      <c r="P747" s="8">
        <v>7416325.8300000001</v>
      </c>
    </row>
    <row r="748" spans="1:16">
      <c r="A748" s="1">
        <v>44652</v>
      </c>
      <c r="B748" t="s">
        <v>130</v>
      </c>
      <c r="C748" t="s">
        <v>14</v>
      </c>
      <c r="D748" t="s">
        <v>15</v>
      </c>
      <c r="E748" t="s">
        <v>33</v>
      </c>
      <c r="F748" t="s">
        <v>24</v>
      </c>
      <c r="G748" t="s">
        <v>18</v>
      </c>
      <c r="H748" t="s">
        <v>526</v>
      </c>
      <c r="I748">
        <v>8</v>
      </c>
      <c r="J748" t="s">
        <v>96</v>
      </c>
      <c r="K748" t="str">
        <f t="shared" si="11"/>
        <v>39051</v>
      </c>
      <c r="L748">
        <v>1426861.24</v>
      </c>
      <c r="M748">
        <v>0</v>
      </c>
      <c r="N748">
        <v>0</v>
      </c>
      <c r="O748">
        <v>0</v>
      </c>
      <c r="P748" s="8">
        <v>1426861.24</v>
      </c>
    </row>
    <row r="749" spans="1:16">
      <c r="A749" s="1">
        <v>44652</v>
      </c>
      <c r="B749" t="s">
        <v>130</v>
      </c>
      <c r="C749" t="s">
        <v>14</v>
      </c>
      <c r="D749" t="s">
        <v>15</v>
      </c>
      <c r="E749" t="s">
        <v>33</v>
      </c>
      <c r="F749" t="s">
        <v>24</v>
      </c>
      <c r="G749" t="s">
        <v>18</v>
      </c>
      <c r="H749" t="s">
        <v>526</v>
      </c>
      <c r="I749">
        <v>8</v>
      </c>
      <c r="J749" t="s">
        <v>97</v>
      </c>
      <c r="K749" t="str">
        <f t="shared" si="11"/>
        <v>39101</v>
      </c>
      <c r="L749">
        <v>1339100.52</v>
      </c>
      <c r="M749">
        <v>0</v>
      </c>
      <c r="N749">
        <v>0</v>
      </c>
      <c r="O749">
        <v>0</v>
      </c>
      <c r="P749" s="8">
        <v>1339100.52</v>
      </c>
    </row>
    <row r="750" spans="1:16">
      <c r="A750" s="1">
        <v>44652</v>
      </c>
      <c r="B750" t="s">
        <v>130</v>
      </c>
      <c r="C750" t="s">
        <v>14</v>
      </c>
      <c r="D750" t="s">
        <v>15</v>
      </c>
      <c r="E750" t="s">
        <v>33</v>
      </c>
      <c r="F750" t="s">
        <v>24</v>
      </c>
      <c r="G750" t="s">
        <v>18</v>
      </c>
      <c r="H750" t="s">
        <v>526</v>
      </c>
      <c r="I750">
        <v>8</v>
      </c>
      <c r="J750" t="s">
        <v>98</v>
      </c>
      <c r="K750" t="str">
        <f t="shared" si="11"/>
        <v>39103</v>
      </c>
      <c r="L750">
        <v>706248.64</v>
      </c>
      <c r="M750">
        <v>0</v>
      </c>
      <c r="N750">
        <v>-28023.920000000002</v>
      </c>
      <c r="O750">
        <v>0</v>
      </c>
      <c r="P750" s="8">
        <v>678224.72</v>
      </c>
    </row>
    <row r="751" spans="1:16">
      <c r="A751" s="1">
        <v>44652</v>
      </c>
      <c r="B751" t="s">
        <v>130</v>
      </c>
      <c r="C751" t="s">
        <v>14</v>
      </c>
      <c r="D751" t="s">
        <v>15</v>
      </c>
      <c r="E751" t="s">
        <v>33</v>
      </c>
      <c r="F751" t="s">
        <v>24</v>
      </c>
      <c r="G751" t="s">
        <v>18</v>
      </c>
      <c r="H751" t="s">
        <v>526</v>
      </c>
      <c r="I751">
        <v>8</v>
      </c>
      <c r="J751" t="s">
        <v>99</v>
      </c>
      <c r="K751" t="str">
        <f t="shared" si="11"/>
        <v>39104</v>
      </c>
      <c r="L751">
        <v>14712</v>
      </c>
      <c r="M751">
        <v>0</v>
      </c>
      <c r="N751">
        <v>0</v>
      </c>
      <c r="O751">
        <v>0</v>
      </c>
      <c r="P751" s="8">
        <v>14712</v>
      </c>
    </row>
    <row r="752" spans="1:16">
      <c r="A752" s="1">
        <v>44652</v>
      </c>
      <c r="B752" t="s">
        <v>130</v>
      </c>
      <c r="C752" t="s">
        <v>14</v>
      </c>
      <c r="D752" t="s">
        <v>15</v>
      </c>
      <c r="E752" t="s">
        <v>33</v>
      </c>
      <c r="F752" t="s">
        <v>24</v>
      </c>
      <c r="G752" t="s">
        <v>18</v>
      </c>
      <c r="H752" t="s">
        <v>526</v>
      </c>
      <c r="I752">
        <v>8</v>
      </c>
      <c r="J752" t="s">
        <v>100</v>
      </c>
      <c r="K752" t="str">
        <f t="shared" si="11"/>
        <v>39105</v>
      </c>
      <c r="L752">
        <v>0</v>
      </c>
      <c r="M752">
        <v>0</v>
      </c>
      <c r="N752">
        <v>0</v>
      </c>
      <c r="O752">
        <v>0</v>
      </c>
      <c r="P752" s="8">
        <v>0</v>
      </c>
    </row>
    <row r="753" spans="1:16">
      <c r="A753" s="1">
        <v>44652</v>
      </c>
      <c r="B753" t="s">
        <v>130</v>
      </c>
      <c r="C753" t="s">
        <v>14</v>
      </c>
      <c r="D753" t="s">
        <v>15</v>
      </c>
      <c r="E753" t="s">
        <v>33</v>
      </c>
      <c r="F753" t="s">
        <v>24</v>
      </c>
      <c r="G753" t="s">
        <v>18</v>
      </c>
      <c r="H753" t="s">
        <v>526</v>
      </c>
      <c r="I753">
        <v>8</v>
      </c>
      <c r="J753" t="s">
        <v>101</v>
      </c>
      <c r="K753" t="str">
        <f t="shared" si="11"/>
        <v>39107</v>
      </c>
      <c r="L753">
        <v>0</v>
      </c>
      <c r="M753">
        <v>0</v>
      </c>
      <c r="N753">
        <v>0</v>
      </c>
      <c r="O753">
        <v>0</v>
      </c>
      <c r="P753" s="8">
        <v>0</v>
      </c>
    </row>
    <row r="754" spans="1:16">
      <c r="A754" s="1">
        <v>44652</v>
      </c>
      <c r="B754" t="s">
        <v>130</v>
      </c>
      <c r="C754" t="s">
        <v>14</v>
      </c>
      <c r="D754" t="s">
        <v>15</v>
      </c>
      <c r="E754" t="s">
        <v>33</v>
      </c>
      <c r="F754" t="s">
        <v>24</v>
      </c>
      <c r="G754" t="s">
        <v>18</v>
      </c>
      <c r="H754" t="s">
        <v>526</v>
      </c>
      <c r="I754">
        <v>8</v>
      </c>
      <c r="J754" t="s">
        <v>102</v>
      </c>
      <c r="K754" t="str">
        <f t="shared" si="11"/>
        <v>39159</v>
      </c>
      <c r="L754">
        <v>0</v>
      </c>
      <c r="M754">
        <v>0</v>
      </c>
      <c r="N754">
        <v>0</v>
      </c>
      <c r="O754">
        <v>0</v>
      </c>
      <c r="P754" s="8">
        <v>0</v>
      </c>
    </row>
    <row r="755" spans="1:16">
      <c r="A755" s="1">
        <v>44652</v>
      </c>
      <c r="B755" t="s">
        <v>130</v>
      </c>
      <c r="C755" t="s">
        <v>14</v>
      </c>
      <c r="D755" t="s">
        <v>15</v>
      </c>
      <c r="E755" t="s">
        <v>33</v>
      </c>
      <c r="F755" t="s">
        <v>24</v>
      </c>
      <c r="G755" t="s">
        <v>18</v>
      </c>
      <c r="H755" t="s">
        <v>526</v>
      </c>
      <c r="I755">
        <v>8</v>
      </c>
      <c r="J755" t="s">
        <v>103</v>
      </c>
      <c r="K755" t="str">
        <f t="shared" si="11"/>
        <v>39201</v>
      </c>
      <c r="L755">
        <v>134983.86000000002</v>
      </c>
      <c r="M755">
        <v>0</v>
      </c>
      <c r="N755">
        <v>0</v>
      </c>
      <c r="O755">
        <v>0</v>
      </c>
      <c r="P755" s="8">
        <v>134983.86000000002</v>
      </c>
    </row>
    <row r="756" spans="1:16">
      <c r="A756" s="1">
        <v>44652</v>
      </c>
      <c r="B756" t="s">
        <v>130</v>
      </c>
      <c r="C756" t="s">
        <v>14</v>
      </c>
      <c r="D756" t="s">
        <v>15</v>
      </c>
      <c r="E756" t="s">
        <v>33</v>
      </c>
      <c r="F756" t="s">
        <v>24</v>
      </c>
      <c r="G756" t="s">
        <v>18</v>
      </c>
      <c r="H756" t="s">
        <v>526</v>
      </c>
      <c r="I756">
        <v>8</v>
      </c>
      <c r="J756" t="s">
        <v>104</v>
      </c>
      <c r="K756" t="str">
        <f t="shared" si="11"/>
        <v>39202</v>
      </c>
      <c r="L756">
        <v>45525.16</v>
      </c>
      <c r="M756">
        <v>0</v>
      </c>
      <c r="N756">
        <v>0</v>
      </c>
      <c r="O756">
        <v>0</v>
      </c>
      <c r="P756" s="8">
        <v>45525.16</v>
      </c>
    </row>
    <row r="757" spans="1:16">
      <c r="A757" s="1">
        <v>44652</v>
      </c>
      <c r="B757" t="s">
        <v>130</v>
      </c>
      <c r="C757" t="s">
        <v>14</v>
      </c>
      <c r="D757" t="s">
        <v>15</v>
      </c>
      <c r="E757" t="s">
        <v>33</v>
      </c>
      <c r="F757" t="s">
        <v>24</v>
      </c>
      <c r="G757" t="s">
        <v>18</v>
      </c>
      <c r="H757" t="s">
        <v>526</v>
      </c>
      <c r="I757">
        <v>8</v>
      </c>
      <c r="J757" t="s">
        <v>105</v>
      </c>
      <c r="K757" t="str">
        <f t="shared" si="11"/>
        <v>39203</v>
      </c>
      <c r="L757">
        <v>2442598.59</v>
      </c>
      <c r="M757">
        <v>0</v>
      </c>
      <c r="N757">
        <v>-8973.17</v>
      </c>
      <c r="O757">
        <v>0</v>
      </c>
      <c r="P757" s="8">
        <v>2433625.42</v>
      </c>
    </row>
    <row r="758" spans="1:16">
      <c r="A758" s="1">
        <v>44652</v>
      </c>
      <c r="B758" t="s">
        <v>130</v>
      </c>
      <c r="C758" t="s">
        <v>14</v>
      </c>
      <c r="D758" t="s">
        <v>15</v>
      </c>
      <c r="E758" t="s">
        <v>33</v>
      </c>
      <c r="F758" t="s">
        <v>24</v>
      </c>
      <c r="G758" t="s">
        <v>18</v>
      </c>
      <c r="H758" t="s">
        <v>526</v>
      </c>
      <c r="I758">
        <v>8</v>
      </c>
      <c r="J758" t="s">
        <v>106</v>
      </c>
      <c r="K758" t="str">
        <f t="shared" si="11"/>
        <v>39204</v>
      </c>
      <c r="L758">
        <v>1604925.9500000002</v>
      </c>
      <c r="M758">
        <v>0</v>
      </c>
      <c r="N758">
        <v>0</v>
      </c>
      <c r="O758">
        <v>0</v>
      </c>
      <c r="P758" s="8">
        <v>1604925.9500000002</v>
      </c>
    </row>
    <row r="759" spans="1:16">
      <c r="A759" s="1">
        <v>44652</v>
      </c>
      <c r="B759" t="s">
        <v>130</v>
      </c>
      <c r="C759" t="s">
        <v>14</v>
      </c>
      <c r="D759" t="s">
        <v>15</v>
      </c>
      <c r="E759" t="s">
        <v>33</v>
      </c>
      <c r="F759" t="s">
        <v>24</v>
      </c>
      <c r="G759" t="s">
        <v>18</v>
      </c>
      <c r="H759" t="s">
        <v>526</v>
      </c>
      <c r="I759">
        <v>8</v>
      </c>
      <c r="J759" t="s">
        <v>107</v>
      </c>
      <c r="K759" t="str">
        <f t="shared" si="11"/>
        <v>39205</v>
      </c>
      <c r="L759">
        <v>8595881.1500000004</v>
      </c>
      <c r="M759">
        <v>0</v>
      </c>
      <c r="N759">
        <v>0</v>
      </c>
      <c r="O759">
        <v>0</v>
      </c>
      <c r="P759" s="8">
        <v>8595881.1500000004</v>
      </c>
    </row>
    <row r="760" spans="1:16">
      <c r="A760" s="1">
        <v>44652</v>
      </c>
      <c r="B760" t="s">
        <v>130</v>
      </c>
      <c r="C760" t="s">
        <v>14</v>
      </c>
      <c r="D760" t="s">
        <v>15</v>
      </c>
      <c r="E760" t="s">
        <v>33</v>
      </c>
      <c r="F760" t="s">
        <v>24</v>
      </c>
      <c r="G760" t="s">
        <v>18</v>
      </c>
      <c r="H760" t="s">
        <v>526</v>
      </c>
      <c r="I760">
        <v>8</v>
      </c>
      <c r="J760" t="s">
        <v>108</v>
      </c>
      <c r="K760" t="str">
        <f t="shared" si="11"/>
        <v>39206</v>
      </c>
      <c r="L760">
        <v>2251848.61</v>
      </c>
      <c r="M760">
        <v>0</v>
      </c>
      <c r="N760">
        <v>0</v>
      </c>
      <c r="O760">
        <v>0</v>
      </c>
      <c r="P760" s="8">
        <v>2251848.61</v>
      </c>
    </row>
    <row r="761" spans="1:16">
      <c r="A761" s="1">
        <v>44652</v>
      </c>
      <c r="B761" t="s">
        <v>130</v>
      </c>
      <c r="C761" t="s">
        <v>14</v>
      </c>
      <c r="D761" t="s">
        <v>15</v>
      </c>
      <c r="E761" t="s">
        <v>33</v>
      </c>
      <c r="F761" t="s">
        <v>24</v>
      </c>
      <c r="G761" t="s">
        <v>18</v>
      </c>
      <c r="H761" t="s">
        <v>526</v>
      </c>
      <c r="I761">
        <v>8</v>
      </c>
      <c r="J761" t="s">
        <v>109</v>
      </c>
      <c r="K761" t="str">
        <f t="shared" si="11"/>
        <v>39300</v>
      </c>
      <c r="L761">
        <v>24905.31</v>
      </c>
      <c r="M761">
        <v>0</v>
      </c>
      <c r="N761">
        <v>0</v>
      </c>
      <c r="O761">
        <v>0</v>
      </c>
      <c r="P761" s="8">
        <v>24905.31</v>
      </c>
    </row>
    <row r="762" spans="1:16">
      <c r="A762" s="1">
        <v>44652</v>
      </c>
      <c r="B762" t="s">
        <v>130</v>
      </c>
      <c r="C762" t="s">
        <v>14</v>
      </c>
      <c r="D762" t="s">
        <v>15</v>
      </c>
      <c r="E762" t="s">
        <v>33</v>
      </c>
      <c r="F762" t="s">
        <v>24</v>
      </c>
      <c r="G762" t="s">
        <v>18</v>
      </c>
      <c r="H762" t="s">
        <v>526</v>
      </c>
      <c r="I762">
        <v>8</v>
      </c>
      <c r="J762" t="s">
        <v>110</v>
      </c>
      <c r="K762" t="str">
        <f t="shared" si="11"/>
        <v>39400</v>
      </c>
      <c r="L762">
        <v>3005600.19</v>
      </c>
      <c r="M762">
        <v>0</v>
      </c>
      <c r="N762">
        <v>-2457.59</v>
      </c>
      <c r="O762">
        <v>0</v>
      </c>
      <c r="P762" s="8">
        <v>3003142.6</v>
      </c>
    </row>
    <row r="763" spans="1:16">
      <c r="A763" s="1">
        <v>44652</v>
      </c>
      <c r="B763" t="s">
        <v>130</v>
      </c>
      <c r="C763" t="s">
        <v>14</v>
      </c>
      <c r="D763" t="s">
        <v>15</v>
      </c>
      <c r="E763" t="s">
        <v>33</v>
      </c>
      <c r="F763" t="s">
        <v>24</v>
      </c>
      <c r="G763" t="s">
        <v>18</v>
      </c>
      <c r="H763" t="s">
        <v>526</v>
      </c>
      <c r="I763">
        <v>8</v>
      </c>
      <c r="J763" t="s">
        <v>111</v>
      </c>
      <c r="K763" t="str">
        <f t="shared" si="11"/>
        <v>39410</v>
      </c>
      <c r="L763">
        <v>14177.720000000001</v>
      </c>
      <c r="M763">
        <v>0</v>
      </c>
      <c r="N763">
        <v>0</v>
      </c>
      <c r="O763">
        <v>0</v>
      </c>
      <c r="P763" s="8">
        <v>14177.720000000001</v>
      </c>
    </row>
    <row r="764" spans="1:16">
      <c r="A764" s="1">
        <v>44652</v>
      </c>
      <c r="B764" t="s">
        <v>130</v>
      </c>
      <c r="C764" t="s">
        <v>14</v>
      </c>
      <c r="D764" t="s">
        <v>15</v>
      </c>
      <c r="E764" t="s">
        <v>33</v>
      </c>
      <c r="F764" t="s">
        <v>24</v>
      </c>
      <c r="G764" t="s">
        <v>18</v>
      </c>
      <c r="H764" t="s">
        <v>526</v>
      </c>
      <c r="I764">
        <v>8</v>
      </c>
      <c r="J764" t="s">
        <v>112</v>
      </c>
      <c r="K764" t="str">
        <f t="shared" si="11"/>
        <v>39500</v>
      </c>
      <c r="L764">
        <v>400236.59</v>
      </c>
      <c r="M764">
        <v>0</v>
      </c>
      <c r="N764">
        <v>-7416.74</v>
      </c>
      <c r="O764">
        <v>0</v>
      </c>
      <c r="P764" s="8">
        <v>392819.85000000003</v>
      </c>
    </row>
    <row r="765" spans="1:16">
      <c r="A765" s="1">
        <v>44652</v>
      </c>
      <c r="B765" t="s">
        <v>130</v>
      </c>
      <c r="C765" t="s">
        <v>14</v>
      </c>
      <c r="D765" t="s">
        <v>15</v>
      </c>
      <c r="E765" t="s">
        <v>33</v>
      </c>
      <c r="F765" t="s">
        <v>24</v>
      </c>
      <c r="G765" t="s">
        <v>18</v>
      </c>
      <c r="H765" t="s">
        <v>526</v>
      </c>
      <c r="I765">
        <v>8</v>
      </c>
      <c r="J765" t="s">
        <v>113</v>
      </c>
      <c r="K765" t="str">
        <f t="shared" si="11"/>
        <v>39601</v>
      </c>
      <c r="L765">
        <v>219977.59</v>
      </c>
      <c r="M765">
        <v>0</v>
      </c>
      <c r="N765">
        <v>0</v>
      </c>
      <c r="O765">
        <v>0</v>
      </c>
      <c r="P765" s="8">
        <v>219977.59</v>
      </c>
    </row>
    <row r="766" spans="1:16">
      <c r="A766" s="1">
        <v>44652</v>
      </c>
      <c r="B766" t="s">
        <v>130</v>
      </c>
      <c r="C766" t="s">
        <v>14</v>
      </c>
      <c r="D766" t="s">
        <v>15</v>
      </c>
      <c r="E766" t="s">
        <v>33</v>
      </c>
      <c r="F766" t="s">
        <v>24</v>
      </c>
      <c r="G766" t="s">
        <v>18</v>
      </c>
      <c r="H766" t="s">
        <v>526</v>
      </c>
      <c r="I766">
        <v>8</v>
      </c>
      <c r="J766" t="s">
        <v>114</v>
      </c>
      <c r="K766" t="str">
        <f t="shared" si="11"/>
        <v>39602</v>
      </c>
      <c r="L766">
        <v>2969420.3</v>
      </c>
      <c r="M766">
        <v>0</v>
      </c>
      <c r="N766">
        <v>0</v>
      </c>
      <c r="O766">
        <v>0</v>
      </c>
      <c r="P766" s="8">
        <v>2969420.3</v>
      </c>
    </row>
    <row r="767" spans="1:16">
      <c r="A767" s="1">
        <v>44652</v>
      </c>
      <c r="B767" t="s">
        <v>130</v>
      </c>
      <c r="C767" t="s">
        <v>14</v>
      </c>
      <c r="D767" t="s">
        <v>15</v>
      </c>
      <c r="E767" t="s">
        <v>33</v>
      </c>
      <c r="F767" t="s">
        <v>24</v>
      </c>
      <c r="G767" t="s">
        <v>18</v>
      </c>
      <c r="H767" t="s">
        <v>526</v>
      </c>
      <c r="I767">
        <v>8</v>
      </c>
      <c r="J767" t="s">
        <v>115</v>
      </c>
      <c r="K767" t="str">
        <f t="shared" si="11"/>
        <v>39700</v>
      </c>
      <c r="L767">
        <v>977085.37</v>
      </c>
      <c r="M767">
        <v>0</v>
      </c>
      <c r="N767">
        <v>0</v>
      </c>
      <c r="O767">
        <v>0</v>
      </c>
      <c r="P767" s="8">
        <v>977085.37</v>
      </c>
    </row>
    <row r="768" spans="1:16">
      <c r="A768" s="1">
        <v>44652</v>
      </c>
      <c r="B768" t="s">
        <v>130</v>
      </c>
      <c r="C768" t="s">
        <v>14</v>
      </c>
      <c r="D768" t="s">
        <v>15</v>
      </c>
      <c r="E768" t="s">
        <v>33</v>
      </c>
      <c r="F768" t="s">
        <v>24</v>
      </c>
      <c r="G768" t="s">
        <v>18</v>
      </c>
      <c r="H768" t="s">
        <v>526</v>
      </c>
      <c r="I768">
        <v>8</v>
      </c>
      <c r="J768" t="s">
        <v>116</v>
      </c>
      <c r="K768" t="str">
        <f t="shared" si="11"/>
        <v>39710</v>
      </c>
      <c r="L768">
        <v>1204952.6599999999</v>
      </c>
      <c r="M768">
        <v>0</v>
      </c>
      <c r="N768">
        <v>0</v>
      </c>
      <c r="O768">
        <v>0</v>
      </c>
      <c r="P768" s="8">
        <v>1204952.6599999999</v>
      </c>
    </row>
    <row r="769" spans="1:16">
      <c r="A769" s="1">
        <v>44652</v>
      </c>
      <c r="B769" t="s">
        <v>130</v>
      </c>
      <c r="C769" t="s">
        <v>14</v>
      </c>
      <c r="D769" t="s">
        <v>15</v>
      </c>
      <c r="E769" t="s">
        <v>33</v>
      </c>
      <c r="F769" t="s">
        <v>24</v>
      </c>
      <c r="G769" t="s">
        <v>18</v>
      </c>
      <c r="H769" t="s">
        <v>526</v>
      </c>
      <c r="I769">
        <v>8</v>
      </c>
      <c r="J769" t="s">
        <v>117</v>
      </c>
      <c r="K769" t="str">
        <f t="shared" si="11"/>
        <v>39800</v>
      </c>
      <c r="L769">
        <v>149473.80000000002</v>
      </c>
      <c r="M769">
        <v>0</v>
      </c>
      <c r="N769">
        <v>0</v>
      </c>
      <c r="O769">
        <v>0</v>
      </c>
      <c r="P769" s="8">
        <v>149473.80000000002</v>
      </c>
    </row>
    <row r="770" spans="1:16">
      <c r="A770" s="1">
        <v>44652</v>
      </c>
      <c r="B770" t="s">
        <v>130</v>
      </c>
      <c r="C770" t="s">
        <v>14</v>
      </c>
      <c r="D770" t="s">
        <v>15</v>
      </c>
      <c r="E770" t="s">
        <v>33</v>
      </c>
      <c r="F770" t="s">
        <v>119</v>
      </c>
      <c r="G770" t="s">
        <v>18</v>
      </c>
      <c r="H770" t="s">
        <v>526</v>
      </c>
      <c r="I770">
        <v>8</v>
      </c>
      <c r="J770" t="s">
        <v>94</v>
      </c>
      <c r="K770" t="str">
        <f t="shared" ref="K770:K833" si="12">MID(J770,2,5)</f>
        <v>38901</v>
      </c>
      <c r="L770">
        <v>1221463.3</v>
      </c>
      <c r="M770">
        <v>0</v>
      </c>
      <c r="N770">
        <v>0</v>
      </c>
      <c r="O770">
        <v>0</v>
      </c>
      <c r="P770" s="9">
        <v>1221463.3</v>
      </c>
    </row>
    <row r="771" spans="1:16">
      <c r="A771" s="1">
        <v>44652</v>
      </c>
      <c r="B771" t="s">
        <v>130</v>
      </c>
      <c r="C771" t="s">
        <v>14</v>
      </c>
      <c r="D771" t="s">
        <v>15</v>
      </c>
      <c r="E771" t="s">
        <v>16</v>
      </c>
      <c r="F771" t="s">
        <v>17</v>
      </c>
      <c r="G771" t="s">
        <v>18</v>
      </c>
      <c r="H771" t="s">
        <v>526</v>
      </c>
      <c r="I771">
        <v>8</v>
      </c>
      <c r="J771" t="s">
        <v>19</v>
      </c>
      <c r="K771" t="str">
        <f t="shared" si="12"/>
        <v>39001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1:16">
      <c r="A772" s="1">
        <v>44652</v>
      </c>
      <c r="B772" t="s">
        <v>130</v>
      </c>
      <c r="C772" t="s">
        <v>14</v>
      </c>
      <c r="D772" t="s">
        <v>15</v>
      </c>
      <c r="E772" t="s">
        <v>33</v>
      </c>
      <c r="F772" t="s">
        <v>17</v>
      </c>
      <c r="G772" t="s">
        <v>18</v>
      </c>
      <c r="H772" t="s">
        <v>526</v>
      </c>
      <c r="I772">
        <v>8</v>
      </c>
      <c r="J772" t="s">
        <v>94</v>
      </c>
      <c r="K772" t="str">
        <f t="shared" si="12"/>
        <v>38901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1:16">
      <c r="A773" s="1">
        <v>44652</v>
      </c>
      <c r="B773" t="s">
        <v>130</v>
      </c>
      <c r="C773" t="s">
        <v>14</v>
      </c>
      <c r="D773" t="s">
        <v>15</v>
      </c>
      <c r="E773" t="s">
        <v>33</v>
      </c>
      <c r="F773" t="s">
        <v>17</v>
      </c>
      <c r="G773" t="s">
        <v>18</v>
      </c>
      <c r="H773" t="s">
        <v>526</v>
      </c>
      <c r="I773">
        <v>8</v>
      </c>
      <c r="J773" t="s">
        <v>19</v>
      </c>
      <c r="K773" t="str">
        <f t="shared" si="12"/>
        <v>39001</v>
      </c>
      <c r="L773">
        <v>201280.76</v>
      </c>
      <c r="M773">
        <v>0</v>
      </c>
      <c r="N773">
        <v>0</v>
      </c>
      <c r="O773">
        <v>0</v>
      </c>
      <c r="P773">
        <v>201280.76</v>
      </c>
    </row>
    <row r="774" spans="1:16">
      <c r="A774" s="1">
        <v>44652</v>
      </c>
      <c r="B774" t="s">
        <v>130</v>
      </c>
      <c r="C774" t="s">
        <v>14</v>
      </c>
      <c r="D774" t="s">
        <v>15</v>
      </c>
      <c r="E774" t="s">
        <v>33</v>
      </c>
      <c r="F774" t="s">
        <v>17</v>
      </c>
      <c r="G774" t="s">
        <v>18</v>
      </c>
      <c r="H774" t="s">
        <v>526</v>
      </c>
      <c r="I774">
        <v>8</v>
      </c>
      <c r="J774" t="s">
        <v>96</v>
      </c>
      <c r="K774" t="str">
        <f t="shared" si="12"/>
        <v>39051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1:16">
      <c r="A775" s="1">
        <v>44652</v>
      </c>
      <c r="B775" t="s">
        <v>130</v>
      </c>
      <c r="C775" t="s">
        <v>14</v>
      </c>
      <c r="D775" t="s">
        <v>15</v>
      </c>
      <c r="E775" t="s">
        <v>33</v>
      </c>
      <c r="F775" t="s">
        <v>17</v>
      </c>
      <c r="G775" t="s">
        <v>18</v>
      </c>
      <c r="H775" t="s">
        <v>526</v>
      </c>
      <c r="I775">
        <v>8</v>
      </c>
      <c r="J775" t="s">
        <v>97</v>
      </c>
      <c r="K775" t="str">
        <f t="shared" si="12"/>
        <v>39101</v>
      </c>
      <c r="L775">
        <v>447460.5</v>
      </c>
      <c r="M775">
        <v>0</v>
      </c>
      <c r="N775">
        <v>0</v>
      </c>
      <c r="O775">
        <v>0</v>
      </c>
      <c r="P775">
        <v>447460.5</v>
      </c>
    </row>
    <row r="776" spans="1:16">
      <c r="A776" s="1">
        <v>44652</v>
      </c>
      <c r="B776" t="s">
        <v>130</v>
      </c>
      <c r="C776" t="s">
        <v>14</v>
      </c>
      <c r="D776" t="s">
        <v>15</v>
      </c>
      <c r="E776" t="s">
        <v>33</v>
      </c>
      <c r="F776" t="s">
        <v>17</v>
      </c>
      <c r="G776" t="s">
        <v>18</v>
      </c>
      <c r="H776" t="s">
        <v>526</v>
      </c>
      <c r="I776">
        <v>8</v>
      </c>
      <c r="J776" t="s">
        <v>98</v>
      </c>
      <c r="K776" t="str">
        <f t="shared" si="12"/>
        <v>39103</v>
      </c>
      <c r="L776">
        <v>268057.84000000003</v>
      </c>
      <c r="M776">
        <v>10379.32</v>
      </c>
      <c r="N776">
        <v>0</v>
      </c>
      <c r="O776">
        <v>0</v>
      </c>
      <c r="P776">
        <v>278437.16000000003</v>
      </c>
    </row>
    <row r="777" spans="1:16">
      <c r="A777" s="1">
        <v>44652</v>
      </c>
      <c r="B777" t="s">
        <v>130</v>
      </c>
      <c r="C777" t="s">
        <v>14</v>
      </c>
      <c r="D777" t="s">
        <v>15</v>
      </c>
      <c r="E777" t="s">
        <v>33</v>
      </c>
      <c r="F777" t="s">
        <v>17</v>
      </c>
      <c r="G777" t="s">
        <v>18</v>
      </c>
      <c r="H777" t="s">
        <v>526</v>
      </c>
      <c r="I777">
        <v>8</v>
      </c>
      <c r="J777" t="s">
        <v>99</v>
      </c>
      <c r="K777" t="str">
        <f t="shared" si="12"/>
        <v>39104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1:16">
      <c r="A778" s="1">
        <v>44652</v>
      </c>
      <c r="B778" t="s">
        <v>130</v>
      </c>
      <c r="C778" t="s">
        <v>14</v>
      </c>
      <c r="D778" t="s">
        <v>15</v>
      </c>
      <c r="E778" t="s">
        <v>33</v>
      </c>
      <c r="F778" t="s">
        <v>17</v>
      </c>
      <c r="G778" t="s">
        <v>18</v>
      </c>
      <c r="H778" t="s">
        <v>526</v>
      </c>
      <c r="I778">
        <v>8</v>
      </c>
      <c r="J778" t="s">
        <v>103</v>
      </c>
      <c r="K778" t="str">
        <f t="shared" si="12"/>
        <v>39201</v>
      </c>
      <c r="L778">
        <v>81941.77</v>
      </c>
      <c r="M778">
        <v>0</v>
      </c>
      <c r="N778">
        <v>0</v>
      </c>
      <c r="O778">
        <v>0</v>
      </c>
      <c r="P778">
        <v>81941.77</v>
      </c>
    </row>
    <row r="779" spans="1:16">
      <c r="A779" s="1">
        <v>44652</v>
      </c>
      <c r="B779" t="s">
        <v>130</v>
      </c>
      <c r="C779" t="s">
        <v>14</v>
      </c>
      <c r="D779" t="s">
        <v>15</v>
      </c>
      <c r="E779" t="s">
        <v>33</v>
      </c>
      <c r="F779" t="s">
        <v>17</v>
      </c>
      <c r="G779" t="s">
        <v>18</v>
      </c>
      <c r="H779" t="s">
        <v>526</v>
      </c>
      <c r="I779">
        <v>8</v>
      </c>
      <c r="J779" t="s">
        <v>104</v>
      </c>
      <c r="K779" t="str">
        <f t="shared" si="12"/>
        <v>39202</v>
      </c>
      <c r="L779">
        <v>0</v>
      </c>
      <c r="M779">
        <v>0</v>
      </c>
      <c r="N779">
        <v>0</v>
      </c>
      <c r="O779">
        <v>0</v>
      </c>
      <c r="P779">
        <v>0</v>
      </c>
    </row>
    <row r="780" spans="1:16">
      <c r="A780" s="1">
        <v>44652</v>
      </c>
      <c r="B780" t="s">
        <v>130</v>
      </c>
      <c r="C780" t="s">
        <v>14</v>
      </c>
      <c r="D780" t="s">
        <v>15</v>
      </c>
      <c r="E780" t="s">
        <v>33</v>
      </c>
      <c r="F780" t="s">
        <v>17</v>
      </c>
      <c r="G780" t="s">
        <v>18</v>
      </c>
      <c r="H780" t="s">
        <v>526</v>
      </c>
      <c r="I780">
        <v>8</v>
      </c>
      <c r="J780" t="s">
        <v>105</v>
      </c>
      <c r="K780" t="str">
        <f t="shared" si="12"/>
        <v>39203</v>
      </c>
      <c r="L780">
        <v>365180.89</v>
      </c>
      <c r="M780">
        <v>4188.7</v>
      </c>
      <c r="N780">
        <v>0</v>
      </c>
      <c r="O780">
        <v>0</v>
      </c>
      <c r="P780">
        <v>369369.59</v>
      </c>
    </row>
    <row r="781" spans="1:16">
      <c r="A781" s="1">
        <v>44652</v>
      </c>
      <c r="B781" t="s">
        <v>130</v>
      </c>
      <c r="C781" t="s">
        <v>14</v>
      </c>
      <c r="D781" t="s">
        <v>15</v>
      </c>
      <c r="E781" t="s">
        <v>33</v>
      </c>
      <c r="F781" t="s">
        <v>17</v>
      </c>
      <c r="G781" t="s">
        <v>18</v>
      </c>
      <c r="H781" t="s">
        <v>526</v>
      </c>
      <c r="I781">
        <v>8</v>
      </c>
      <c r="J781" t="s">
        <v>106</v>
      </c>
      <c r="K781" t="str">
        <f t="shared" si="12"/>
        <v>39204</v>
      </c>
      <c r="L781">
        <v>508823.71</v>
      </c>
      <c r="M781">
        <v>6264.06</v>
      </c>
      <c r="N781">
        <v>0</v>
      </c>
      <c r="O781">
        <v>0</v>
      </c>
      <c r="P781">
        <v>515087.77</v>
      </c>
    </row>
    <row r="782" spans="1:16">
      <c r="A782" s="1">
        <v>44652</v>
      </c>
      <c r="B782" t="s">
        <v>130</v>
      </c>
      <c r="C782" t="s">
        <v>14</v>
      </c>
      <c r="D782" t="s">
        <v>15</v>
      </c>
      <c r="E782" t="s">
        <v>33</v>
      </c>
      <c r="F782" t="s">
        <v>17</v>
      </c>
      <c r="G782" t="s">
        <v>18</v>
      </c>
      <c r="H782" t="s">
        <v>526</v>
      </c>
      <c r="I782">
        <v>8</v>
      </c>
      <c r="J782" t="s">
        <v>107</v>
      </c>
      <c r="K782" t="str">
        <f t="shared" si="12"/>
        <v>39205</v>
      </c>
      <c r="L782">
        <v>3566771.73</v>
      </c>
      <c r="M782">
        <v>247689.62</v>
      </c>
      <c r="N782">
        <v>0</v>
      </c>
      <c r="O782">
        <v>0</v>
      </c>
      <c r="P782">
        <v>3814461.35</v>
      </c>
    </row>
    <row r="783" spans="1:16">
      <c r="A783" s="1">
        <v>44652</v>
      </c>
      <c r="B783" t="s">
        <v>130</v>
      </c>
      <c r="C783" t="s">
        <v>14</v>
      </c>
      <c r="D783" t="s">
        <v>15</v>
      </c>
      <c r="E783" t="s">
        <v>33</v>
      </c>
      <c r="F783" t="s">
        <v>17</v>
      </c>
      <c r="G783" t="s">
        <v>18</v>
      </c>
      <c r="H783" t="s">
        <v>526</v>
      </c>
      <c r="I783">
        <v>8</v>
      </c>
      <c r="J783" t="s">
        <v>108</v>
      </c>
      <c r="K783" t="str">
        <f t="shared" si="12"/>
        <v>39206</v>
      </c>
      <c r="L783">
        <v>84824.13</v>
      </c>
      <c r="M783">
        <v>504.89</v>
      </c>
      <c r="N783">
        <v>0</v>
      </c>
      <c r="O783">
        <v>0</v>
      </c>
      <c r="P783">
        <v>85329.02</v>
      </c>
    </row>
    <row r="784" spans="1:16">
      <c r="A784" s="1">
        <v>44652</v>
      </c>
      <c r="B784" t="s">
        <v>130</v>
      </c>
      <c r="C784" t="s">
        <v>14</v>
      </c>
      <c r="D784" t="s">
        <v>15</v>
      </c>
      <c r="E784" t="s">
        <v>33</v>
      </c>
      <c r="F784" t="s">
        <v>17</v>
      </c>
      <c r="G784" t="s">
        <v>18</v>
      </c>
      <c r="H784" t="s">
        <v>526</v>
      </c>
      <c r="I784">
        <v>8</v>
      </c>
      <c r="J784" t="s">
        <v>109</v>
      </c>
      <c r="K784" t="str">
        <f t="shared" si="12"/>
        <v>39300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>
      <c r="A785" s="1">
        <v>44652</v>
      </c>
      <c r="B785" t="s">
        <v>130</v>
      </c>
      <c r="C785" t="s">
        <v>14</v>
      </c>
      <c r="D785" t="s">
        <v>15</v>
      </c>
      <c r="E785" t="s">
        <v>33</v>
      </c>
      <c r="F785" t="s">
        <v>17</v>
      </c>
      <c r="G785" t="s">
        <v>18</v>
      </c>
      <c r="H785" t="s">
        <v>526</v>
      </c>
      <c r="I785">
        <v>8</v>
      </c>
      <c r="J785" t="s">
        <v>110</v>
      </c>
      <c r="K785" t="str">
        <f t="shared" si="12"/>
        <v>39400</v>
      </c>
      <c r="L785">
        <v>1073.6300000000001</v>
      </c>
      <c r="M785">
        <v>20374.41</v>
      </c>
      <c r="N785">
        <v>0</v>
      </c>
      <c r="O785">
        <v>0</v>
      </c>
      <c r="P785">
        <v>21448.04</v>
      </c>
    </row>
    <row r="786" spans="1:16">
      <c r="A786" s="1">
        <v>44652</v>
      </c>
      <c r="B786" t="s">
        <v>130</v>
      </c>
      <c r="C786" t="s">
        <v>14</v>
      </c>
      <c r="D786" t="s">
        <v>15</v>
      </c>
      <c r="E786" t="s">
        <v>33</v>
      </c>
      <c r="F786" t="s">
        <v>17</v>
      </c>
      <c r="G786" t="s">
        <v>18</v>
      </c>
      <c r="H786" t="s">
        <v>526</v>
      </c>
      <c r="I786">
        <v>8</v>
      </c>
      <c r="J786" t="s">
        <v>111</v>
      </c>
      <c r="K786" t="str">
        <f t="shared" si="12"/>
        <v>39410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1:16">
      <c r="A787" s="1">
        <v>44652</v>
      </c>
      <c r="B787" t="s">
        <v>130</v>
      </c>
      <c r="C787" t="s">
        <v>14</v>
      </c>
      <c r="D787" t="s">
        <v>15</v>
      </c>
      <c r="E787" t="s">
        <v>33</v>
      </c>
      <c r="F787" t="s">
        <v>17</v>
      </c>
      <c r="G787" t="s">
        <v>18</v>
      </c>
      <c r="H787" t="s">
        <v>526</v>
      </c>
      <c r="I787">
        <v>8</v>
      </c>
      <c r="J787" t="s">
        <v>112</v>
      </c>
      <c r="K787" t="str">
        <f t="shared" si="12"/>
        <v>39500</v>
      </c>
      <c r="L787">
        <v>12300.1</v>
      </c>
      <c r="M787">
        <v>0</v>
      </c>
      <c r="N787">
        <v>0</v>
      </c>
      <c r="O787">
        <v>0</v>
      </c>
      <c r="P787">
        <v>12300.1</v>
      </c>
    </row>
    <row r="788" spans="1:16">
      <c r="A788" s="1">
        <v>44652</v>
      </c>
      <c r="B788" t="s">
        <v>130</v>
      </c>
      <c r="C788" t="s">
        <v>14</v>
      </c>
      <c r="D788" t="s">
        <v>15</v>
      </c>
      <c r="E788" t="s">
        <v>33</v>
      </c>
      <c r="F788" t="s">
        <v>17</v>
      </c>
      <c r="G788" t="s">
        <v>18</v>
      </c>
      <c r="H788" t="s">
        <v>526</v>
      </c>
      <c r="I788">
        <v>8</v>
      </c>
      <c r="J788" t="s">
        <v>113</v>
      </c>
      <c r="K788" t="str">
        <f t="shared" si="12"/>
        <v>39601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1:16">
      <c r="A789" s="1">
        <v>44652</v>
      </c>
      <c r="B789" t="s">
        <v>130</v>
      </c>
      <c r="C789" t="s">
        <v>14</v>
      </c>
      <c r="D789" t="s">
        <v>15</v>
      </c>
      <c r="E789" t="s">
        <v>33</v>
      </c>
      <c r="F789" t="s">
        <v>17</v>
      </c>
      <c r="G789" t="s">
        <v>18</v>
      </c>
      <c r="H789" t="s">
        <v>526</v>
      </c>
      <c r="I789">
        <v>8</v>
      </c>
      <c r="J789" t="s">
        <v>114</v>
      </c>
      <c r="K789" t="str">
        <f t="shared" si="12"/>
        <v>39602</v>
      </c>
      <c r="L789">
        <v>373059.9</v>
      </c>
      <c r="M789">
        <v>0</v>
      </c>
      <c r="N789">
        <v>0</v>
      </c>
      <c r="O789">
        <v>0</v>
      </c>
      <c r="P789">
        <v>373059.9</v>
      </c>
    </row>
    <row r="790" spans="1:16">
      <c r="A790" s="1">
        <v>44652</v>
      </c>
      <c r="B790" t="s">
        <v>130</v>
      </c>
      <c r="C790" t="s">
        <v>14</v>
      </c>
      <c r="D790" t="s">
        <v>15</v>
      </c>
      <c r="E790" t="s">
        <v>33</v>
      </c>
      <c r="F790" t="s">
        <v>17</v>
      </c>
      <c r="G790" t="s">
        <v>18</v>
      </c>
      <c r="H790" t="s">
        <v>526</v>
      </c>
      <c r="I790">
        <v>8</v>
      </c>
      <c r="J790" t="s">
        <v>115</v>
      </c>
      <c r="K790" t="str">
        <f t="shared" si="12"/>
        <v>39700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1:16">
      <c r="A791" s="1">
        <v>44652</v>
      </c>
      <c r="B791" t="s">
        <v>130</v>
      </c>
      <c r="C791" t="s">
        <v>14</v>
      </c>
      <c r="D791" t="s">
        <v>15</v>
      </c>
      <c r="E791" t="s">
        <v>33</v>
      </c>
      <c r="F791" t="s">
        <v>17</v>
      </c>
      <c r="G791" t="s">
        <v>18</v>
      </c>
      <c r="H791" t="s">
        <v>526</v>
      </c>
      <c r="I791">
        <v>8</v>
      </c>
      <c r="J791" t="s">
        <v>116</v>
      </c>
      <c r="K791" t="str">
        <f t="shared" si="12"/>
        <v>39710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1:16">
      <c r="A792" s="1">
        <v>44652</v>
      </c>
      <c r="B792" t="s">
        <v>130</v>
      </c>
      <c r="C792" t="s">
        <v>14</v>
      </c>
      <c r="D792" t="s">
        <v>15</v>
      </c>
      <c r="E792" t="s">
        <v>33</v>
      </c>
      <c r="F792" t="s">
        <v>17</v>
      </c>
      <c r="G792" t="s">
        <v>18</v>
      </c>
      <c r="H792" t="s">
        <v>526</v>
      </c>
      <c r="I792">
        <v>8</v>
      </c>
      <c r="J792" t="s">
        <v>117</v>
      </c>
      <c r="K792" t="str">
        <f t="shared" si="12"/>
        <v>39800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1:16">
      <c r="A793" s="1">
        <v>44682</v>
      </c>
      <c r="B793" t="s">
        <v>129</v>
      </c>
      <c r="C793" t="s">
        <v>14</v>
      </c>
      <c r="D793" t="s">
        <v>15</v>
      </c>
      <c r="E793" t="s">
        <v>33</v>
      </c>
      <c r="F793" t="s">
        <v>24</v>
      </c>
      <c r="G793" t="s">
        <v>18</v>
      </c>
      <c r="H793" t="s">
        <v>526</v>
      </c>
      <c r="I793">
        <v>8</v>
      </c>
      <c r="J793" t="s">
        <v>94</v>
      </c>
      <c r="K793" t="str">
        <f t="shared" si="12"/>
        <v>38901</v>
      </c>
      <c r="L793">
        <v>261405.41</v>
      </c>
      <c r="M793">
        <v>0</v>
      </c>
      <c r="N793">
        <v>0</v>
      </c>
      <c r="O793">
        <v>0</v>
      </c>
      <c r="P793" s="8">
        <v>261405.41</v>
      </c>
    </row>
    <row r="794" spans="1:16">
      <c r="A794" s="1">
        <v>44682</v>
      </c>
      <c r="B794" t="s">
        <v>129</v>
      </c>
      <c r="C794" t="s">
        <v>14</v>
      </c>
      <c r="D794" t="s">
        <v>15</v>
      </c>
      <c r="E794" t="s">
        <v>33</v>
      </c>
      <c r="F794" t="s">
        <v>24</v>
      </c>
      <c r="G794" t="s">
        <v>18</v>
      </c>
      <c r="H794" t="s">
        <v>526</v>
      </c>
      <c r="I794">
        <v>8</v>
      </c>
      <c r="J794" t="s">
        <v>95</v>
      </c>
      <c r="K794" t="str">
        <f t="shared" si="12"/>
        <v>38902</v>
      </c>
      <c r="L794">
        <v>22532.78</v>
      </c>
      <c r="M794">
        <v>0</v>
      </c>
      <c r="N794">
        <v>0</v>
      </c>
      <c r="O794">
        <v>0</v>
      </c>
      <c r="P794" s="8">
        <v>22532.78</v>
      </c>
    </row>
    <row r="795" spans="1:16">
      <c r="A795" s="1">
        <v>44682</v>
      </c>
      <c r="B795" t="s">
        <v>129</v>
      </c>
      <c r="C795" t="s">
        <v>14</v>
      </c>
      <c r="D795" t="s">
        <v>15</v>
      </c>
      <c r="E795" t="s">
        <v>33</v>
      </c>
      <c r="F795" t="s">
        <v>24</v>
      </c>
      <c r="G795" t="s">
        <v>18</v>
      </c>
      <c r="H795" t="s">
        <v>526</v>
      </c>
      <c r="I795">
        <v>8</v>
      </c>
      <c r="J795" t="s">
        <v>19</v>
      </c>
      <c r="K795" t="str">
        <f t="shared" si="12"/>
        <v>39001</v>
      </c>
      <c r="L795">
        <v>7416325.8300000001</v>
      </c>
      <c r="M795">
        <v>16.309999999999999</v>
      </c>
      <c r="N795">
        <v>0</v>
      </c>
      <c r="O795">
        <v>0</v>
      </c>
      <c r="P795" s="8">
        <v>7416342.1399999997</v>
      </c>
    </row>
    <row r="796" spans="1:16">
      <c r="A796" s="1">
        <v>44682</v>
      </c>
      <c r="B796" t="s">
        <v>129</v>
      </c>
      <c r="C796" t="s">
        <v>14</v>
      </c>
      <c r="D796" t="s">
        <v>15</v>
      </c>
      <c r="E796" t="s">
        <v>33</v>
      </c>
      <c r="F796" t="s">
        <v>24</v>
      </c>
      <c r="G796" t="s">
        <v>18</v>
      </c>
      <c r="H796" t="s">
        <v>526</v>
      </c>
      <c r="I796">
        <v>8</v>
      </c>
      <c r="J796" t="s">
        <v>96</v>
      </c>
      <c r="K796" t="str">
        <f t="shared" si="12"/>
        <v>39051</v>
      </c>
      <c r="L796">
        <v>1426861.24</v>
      </c>
      <c r="M796">
        <v>0</v>
      </c>
      <c r="N796">
        <v>0</v>
      </c>
      <c r="O796">
        <v>0</v>
      </c>
      <c r="P796" s="8">
        <v>1426861.24</v>
      </c>
    </row>
    <row r="797" spans="1:16">
      <c r="A797" s="1">
        <v>44682</v>
      </c>
      <c r="B797" t="s">
        <v>129</v>
      </c>
      <c r="C797" t="s">
        <v>14</v>
      </c>
      <c r="D797" t="s">
        <v>15</v>
      </c>
      <c r="E797" t="s">
        <v>33</v>
      </c>
      <c r="F797" t="s">
        <v>24</v>
      </c>
      <c r="G797" t="s">
        <v>18</v>
      </c>
      <c r="H797" t="s">
        <v>526</v>
      </c>
      <c r="I797">
        <v>8</v>
      </c>
      <c r="J797" t="s">
        <v>97</v>
      </c>
      <c r="K797" t="str">
        <f t="shared" si="12"/>
        <v>39101</v>
      </c>
      <c r="L797">
        <v>1339100.52</v>
      </c>
      <c r="M797">
        <v>0</v>
      </c>
      <c r="N797">
        <v>-1174.56</v>
      </c>
      <c r="O797">
        <v>0</v>
      </c>
      <c r="P797" s="8">
        <v>1337925.96</v>
      </c>
    </row>
    <row r="798" spans="1:16">
      <c r="A798" s="1">
        <v>44682</v>
      </c>
      <c r="B798" t="s">
        <v>129</v>
      </c>
      <c r="C798" t="s">
        <v>14</v>
      </c>
      <c r="D798" t="s">
        <v>15</v>
      </c>
      <c r="E798" t="s">
        <v>33</v>
      </c>
      <c r="F798" t="s">
        <v>24</v>
      </c>
      <c r="G798" t="s">
        <v>18</v>
      </c>
      <c r="H798" t="s">
        <v>526</v>
      </c>
      <c r="I798">
        <v>8</v>
      </c>
      <c r="J798" t="s">
        <v>98</v>
      </c>
      <c r="K798" t="str">
        <f t="shared" si="12"/>
        <v>39103</v>
      </c>
      <c r="L798">
        <v>678224.72</v>
      </c>
      <c r="M798">
        <v>0</v>
      </c>
      <c r="N798">
        <v>0</v>
      </c>
      <c r="O798">
        <v>0</v>
      </c>
      <c r="P798" s="8">
        <v>678224.72</v>
      </c>
    </row>
    <row r="799" spans="1:16">
      <c r="A799" s="1">
        <v>44682</v>
      </c>
      <c r="B799" t="s">
        <v>129</v>
      </c>
      <c r="C799" t="s">
        <v>14</v>
      </c>
      <c r="D799" t="s">
        <v>15</v>
      </c>
      <c r="E799" t="s">
        <v>33</v>
      </c>
      <c r="F799" t="s">
        <v>24</v>
      </c>
      <c r="G799" t="s">
        <v>18</v>
      </c>
      <c r="H799" t="s">
        <v>526</v>
      </c>
      <c r="I799">
        <v>8</v>
      </c>
      <c r="J799" t="s">
        <v>99</v>
      </c>
      <c r="K799" t="str">
        <f t="shared" si="12"/>
        <v>39104</v>
      </c>
      <c r="L799">
        <v>14712</v>
      </c>
      <c r="M799">
        <v>0</v>
      </c>
      <c r="N799">
        <v>0</v>
      </c>
      <c r="O799">
        <v>0</v>
      </c>
      <c r="P799" s="8">
        <v>14712</v>
      </c>
    </row>
    <row r="800" spans="1:16">
      <c r="A800" s="1">
        <v>44682</v>
      </c>
      <c r="B800" t="s">
        <v>129</v>
      </c>
      <c r="C800" t="s">
        <v>14</v>
      </c>
      <c r="D800" t="s">
        <v>15</v>
      </c>
      <c r="E800" t="s">
        <v>33</v>
      </c>
      <c r="F800" t="s">
        <v>24</v>
      </c>
      <c r="G800" t="s">
        <v>18</v>
      </c>
      <c r="H800" t="s">
        <v>526</v>
      </c>
      <c r="I800">
        <v>8</v>
      </c>
      <c r="J800" t="s">
        <v>100</v>
      </c>
      <c r="K800" t="str">
        <f t="shared" si="12"/>
        <v>39105</v>
      </c>
      <c r="L800">
        <v>0</v>
      </c>
      <c r="M800">
        <v>0</v>
      </c>
      <c r="N800">
        <v>0</v>
      </c>
      <c r="O800">
        <v>0</v>
      </c>
      <c r="P800" s="8">
        <v>0</v>
      </c>
    </row>
    <row r="801" spans="1:16">
      <c r="A801" s="1">
        <v>44682</v>
      </c>
      <c r="B801" t="s">
        <v>129</v>
      </c>
      <c r="C801" t="s">
        <v>14</v>
      </c>
      <c r="D801" t="s">
        <v>15</v>
      </c>
      <c r="E801" t="s">
        <v>33</v>
      </c>
      <c r="F801" t="s">
        <v>24</v>
      </c>
      <c r="G801" t="s">
        <v>18</v>
      </c>
      <c r="H801" t="s">
        <v>526</v>
      </c>
      <c r="I801">
        <v>8</v>
      </c>
      <c r="J801" t="s">
        <v>101</v>
      </c>
      <c r="K801" t="str">
        <f t="shared" si="12"/>
        <v>39107</v>
      </c>
      <c r="L801">
        <v>0</v>
      </c>
      <c r="M801">
        <v>0</v>
      </c>
      <c r="N801">
        <v>0</v>
      </c>
      <c r="O801">
        <v>0</v>
      </c>
      <c r="P801" s="8">
        <v>0</v>
      </c>
    </row>
    <row r="802" spans="1:16">
      <c r="A802" s="1">
        <v>44682</v>
      </c>
      <c r="B802" t="s">
        <v>129</v>
      </c>
      <c r="C802" t="s">
        <v>14</v>
      </c>
      <c r="D802" t="s">
        <v>15</v>
      </c>
      <c r="E802" t="s">
        <v>33</v>
      </c>
      <c r="F802" t="s">
        <v>24</v>
      </c>
      <c r="G802" t="s">
        <v>18</v>
      </c>
      <c r="H802" t="s">
        <v>526</v>
      </c>
      <c r="I802">
        <v>8</v>
      </c>
      <c r="J802" t="s">
        <v>102</v>
      </c>
      <c r="K802" t="str">
        <f t="shared" si="12"/>
        <v>39159</v>
      </c>
      <c r="L802">
        <v>0</v>
      </c>
      <c r="M802">
        <v>0</v>
      </c>
      <c r="N802">
        <v>0</v>
      </c>
      <c r="O802">
        <v>0</v>
      </c>
      <c r="P802" s="8">
        <v>0</v>
      </c>
    </row>
    <row r="803" spans="1:16">
      <c r="A803" s="1">
        <v>44682</v>
      </c>
      <c r="B803" t="s">
        <v>129</v>
      </c>
      <c r="C803" t="s">
        <v>14</v>
      </c>
      <c r="D803" t="s">
        <v>15</v>
      </c>
      <c r="E803" t="s">
        <v>33</v>
      </c>
      <c r="F803" t="s">
        <v>24</v>
      </c>
      <c r="G803" t="s">
        <v>18</v>
      </c>
      <c r="H803" t="s">
        <v>526</v>
      </c>
      <c r="I803">
        <v>8</v>
      </c>
      <c r="J803" t="s">
        <v>103</v>
      </c>
      <c r="K803" t="str">
        <f t="shared" si="12"/>
        <v>39201</v>
      </c>
      <c r="L803">
        <v>134983.86000000002</v>
      </c>
      <c r="M803">
        <v>0</v>
      </c>
      <c r="N803">
        <v>0</v>
      </c>
      <c r="O803">
        <v>0</v>
      </c>
      <c r="P803" s="8">
        <v>134983.86000000002</v>
      </c>
    </row>
    <row r="804" spans="1:16">
      <c r="A804" s="1">
        <v>44682</v>
      </c>
      <c r="B804" t="s">
        <v>129</v>
      </c>
      <c r="C804" t="s">
        <v>14</v>
      </c>
      <c r="D804" t="s">
        <v>15</v>
      </c>
      <c r="E804" t="s">
        <v>33</v>
      </c>
      <c r="F804" t="s">
        <v>24</v>
      </c>
      <c r="G804" t="s">
        <v>18</v>
      </c>
      <c r="H804" t="s">
        <v>526</v>
      </c>
      <c r="I804">
        <v>8</v>
      </c>
      <c r="J804" t="s">
        <v>104</v>
      </c>
      <c r="K804" t="str">
        <f t="shared" si="12"/>
        <v>39202</v>
      </c>
      <c r="L804">
        <v>45525.16</v>
      </c>
      <c r="M804">
        <v>0</v>
      </c>
      <c r="N804">
        <v>0</v>
      </c>
      <c r="O804">
        <v>0</v>
      </c>
      <c r="P804" s="8">
        <v>45525.16</v>
      </c>
    </row>
    <row r="805" spans="1:16">
      <c r="A805" s="1">
        <v>44682</v>
      </c>
      <c r="B805" t="s">
        <v>129</v>
      </c>
      <c r="C805" t="s">
        <v>14</v>
      </c>
      <c r="D805" t="s">
        <v>15</v>
      </c>
      <c r="E805" t="s">
        <v>33</v>
      </c>
      <c r="F805" t="s">
        <v>24</v>
      </c>
      <c r="G805" t="s">
        <v>18</v>
      </c>
      <c r="H805" t="s">
        <v>526</v>
      </c>
      <c r="I805">
        <v>8</v>
      </c>
      <c r="J805" t="s">
        <v>105</v>
      </c>
      <c r="K805" t="str">
        <f t="shared" si="12"/>
        <v>39203</v>
      </c>
      <c r="L805">
        <v>2433625.42</v>
      </c>
      <c r="M805">
        <v>0</v>
      </c>
      <c r="N805">
        <v>-19482.93</v>
      </c>
      <c r="O805">
        <v>0</v>
      </c>
      <c r="P805" s="8">
        <v>2414142.4900000002</v>
      </c>
    </row>
    <row r="806" spans="1:16">
      <c r="A806" s="1">
        <v>44682</v>
      </c>
      <c r="B806" t="s">
        <v>129</v>
      </c>
      <c r="C806" t="s">
        <v>14</v>
      </c>
      <c r="D806" t="s">
        <v>15</v>
      </c>
      <c r="E806" t="s">
        <v>33</v>
      </c>
      <c r="F806" t="s">
        <v>24</v>
      </c>
      <c r="G806" t="s">
        <v>18</v>
      </c>
      <c r="H806" t="s">
        <v>526</v>
      </c>
      <c r="I806">
        <v>8</v>
      </c>
      <c r="J806" t="s">
        <v>106</v>
      </c>
      <c r="K806" t="str">
        <f t="shared" si="12"/>
        <v>39204</v>
      </c>
      <c r="L806">
        <v>1604925.9500000002</v>
      </c>
      <c r="M806">
        <v>0</v>
      </c>
      <c r="N806">
        <v>-86956.1</v>
      </c>
      <c r="O806">
        <v>0</v>
      </c>
      <c r="P806" s="8">
        <v>1517969.85</v>
      </c>
    </row>
    <row r="807" spans="1:16">
      <c r="A807" s="1">
        <v>44682</v>
      </c>
      <c r="B807" t="s">
        <v>129</v>
      </c>
      <c r="C807" t="s">
        <v>14</v>
      </c>
      <c r="D807" t="s">
        <v>15</v>
      </c>
      <c r="E807" t="s">
        <v>33</v>
      </c>
      <c r="F807" t="s">
        <v>24</v>
      </c>
      <c r="G807" t="s">
        <v>18</v>
      </c>
      <c r="H807" t="s">
        <v>526</v>
      </c>
      <c r="I807">
        <v>8</v>
      </c>
      <c r="J807" t="s">
        <v>107</v>
      </c>
      <c r="K807" t="str">
        <f t="shared" si="12"/>
        <v>39205</v>
      </c>
      <c r="L807">
        <v>8595881.1500000004</v>
      </c>
      <c r="M807">
        <v>0</v>
      </c>
      <c r="N807">
        <v>-73696.62</v>
      </c>
      <c r="O807">
        <v>0</v>
      </c>
      <c r="P807" s="8">
        <v>8522184.5299999993</v>
      </c>
    </row>
    <row r="808" spans="1:16">
      <c r="A808" s="1">
        <v>44682</v>
      </c>
      <c r="B808" t="s">
        <v>129</v>
      </c>
      <c r="C808" t="s">
        <v>14</v>
      </c>
      <c r="D808" t="s">
        <v>15</v>
      </c>
      <c r="E808" t="s">
        <v>33</v>
      </c>
      <c r="F808" t="s">
        <v>24</v>
      </c>
      <c r="G808" t="s">
        <v>18</v>
      </c>
      <c r="H808" t="s">
        <v>526</v>
      </c>
      <c r="I808">
        <v>8</v>
      </c>
      <c r="J808" t="s">
        <v>108</v>
      </c>
      <c r="K808" t="str">
        <f t="shared" si="12"/>
        <v>39206</v>
      </c>
      <c r="L808">
        <v>2251848.61</v>
      </c>
      <c r="M808">
        <v>0</v>
      </c>
      <c r="N808">
        <v>0</v>
      </c>
      <c r="O808">
        <v>0</v>
      </c>
      <c r="P808" s="8">
        <v>2251848.61</v>
      </c>
    </row>
    <row r="809" spans="1:16">
      <c r="A809" s="1">
        <v>44682</v>
      </c>
      <c r="B809" t="s">
        <v>129</v>
      </c>
      <c r="C809" t="s">
        <v>14</v>
      </c>
      <c r="D809" t="s">
        <v>15</v>
      </c>
      <c r="E809" t="s">
        <v>33</v>
      </c>
      <c r="F809" t="s">
        <v>24</v>
      </c>
      <c r="G809" t="s">
        <v>18</v>
      </c>
      <c r="H809" t="s">
        <v>526</v>
      </c>
      <c r="I809">
        <v>8</v>
      </c>
      <c r="J809" t="s">
        <v>109</v>
      </c>
      <c r="K809" t="str">
        <f t="shared" si="12"/>
        <v>39300</v>
      </c>
      <c r="L809">
        <v>24905.31</v>
      </c>
      <c r="M809">
        <v>0</v>
      </c>
      <c r="N809">
        <v>0</v>
      </c>
      <c r="O809">
        <v>0</v>
      </c>
      <c r="P809" s="8">
        <v>24905.31</v>
      </c>
    </row>
    <row r="810" spans="1:16">
      <c r="A810" s="1">
        <v>44682</v>
      </c>
      <c r="B810" t="s">
        <v>129</v>
      </c>
      <c r="C810" t="s">
        <v>14</v>
      </c>
      <c r="D810" t="s">
        <v>15</v>
      </c>
      <c r="E810" t="s">
        <v>33</v>
      </c>
      <c r="F810" t="s">
        <v>24</v>
      </c>
      <c r="G810" t="s">
        <v>18</v>
      </c>
      <c r="H810" t="s">
        <v>526</v>
      </c>
      <c r="I810">
        <v>8</v>
      </c>
      <c r="J810" t="s">
        <v>110</v>
      </c>
      <c r="K810" t="str">
        <f t="shared" si="12"/>
        <v>39400</v>
      </c>
      <c r="L810">
        <v>3003142.6</v>
      </c>
      <c r="M810">
        <v>0</v>
      </c>
      <c r="N810">
        <v>0</v>
      </c>
      <c r="O810">
        <v>0</v>
      </c>
      <c r="P810" s="8">
        <v>3003142.6</v>
      </c>
    </row>
    <row r="811" spans="1:16">
      <c r="A811" s="1">
        <v>44682</v>
      </c>
      <c r="B811" t="s">
        <v>129</v>
      </c>
      <c r="C811" t="s">
        <v>14</v>
      </c>
      <c r="D811" t="s">
        <v>15</v>
      </c>
      <c r="E811" t="s">
        <v>33</v>
      </c>
      <c r="F811" t="s">
        <v>24</v>
      </c>
      <c r="G811" t="s">
        <v>18</v>
      </c>
      <c r="H811" t="s">
        <v>526</v>
      </c>
      <c r="I811">
        <v>8</v>
      </c>
      <c r="J811" t="s">
        <v>111</v>
      </c>
      <c r="K811" t="str">
        <f t="shared" si="12"/>
        <v>39410</v>
      </c>
      <c r="L811">
        <v>14177.720000000001</v>
      </c>
      <c r="M811">
        <v>0</v>
      </c>
      <c r="N811">
        <v>0</v>
      </c>
      <c r="O811">
        <v>0</v>
      </c>
      <c r="P811" s="8">
        <v>14177.720000000001</v>
      </c>
    </row>
    <row r="812" spans="1:16">
      <c r="A812" s="1">
        <v>44682</v>
      </c>
      <c r="B812" t="s">
        <v>129</v>
      </c>
      <c r="C812" t="s">
        <v>14</v>
      </c>
      <c r="D812" t="s">
        <v>15</v>
      </c>
      <c r="E812" t="s">
        <v>33</v>
      </c>
      <c r="F812" t="s">
        <v>24</v>
      </c>
      <c r="G812" t="s">
        <v>18</v>
      </c>
      <c r="H812" t="s">
        <v>526</v>
      </c>
      <c r="I812">
        <v>8</v>
      </c>
      <c r="J812" t="s">
        <v>112</v>
      </c>
      <c r="K812" t="str">
        <f t="shared" si="12"/>
        <v>39500</v>
      </c>
      <c r="L812">
        <v>392819.85000000003</v>
      </c>
      <c r="M812">
        <v>0</v>
      </c>
      <c r="N812">
        <v>0</v>
      </c>
      <c r="O812">
        <v>0</v>
      </c>
      <c r="P812" s="8">
        <v>392819.85000000003</v>
      </c>
    </row>
    <row r="813" spans="1:16">
      <c r="A813" s="1">
        <v>44682</v>
      </c>
      <c r="B813" t="s">
        <v>129</v>
      </c>
      <c r="C813" t="s">
        <v>14</v>
      </c>
      <c r="D813" t="s">
        <v>15</v>
      </c>
      <c r="E813" t="s">
        <v>33</v>
      </c>
      <c r="F813" t="s">
        <v>24</v>
      </c>
      <c r="G813" t="s">
        <v>18</v>
      </c>
      <c r="H813" t="s">
        <v>526</v>
      </c>
      <c r="I813">
        <v>8</v>
      </c>
      <c r="J813" t="s">
        <v>113</v>
      </c>
      <c r="K813" t="str">
        <f t="shared" si="12"/>
        <v>39601</v>
      </c>
      <c r="L813">
        <v>219977.59</v>
      </c>
      <c r="M813">
        <v>0</v>
      </c>
      <c r="N813">
        <v>0</v>
      </c>
      <c r="O813">
        <v>0</v>
      </c>
      <c r="P813" s="8">
        <v>219977.59</v>
      </c>
    </row>
    <row r="814" spans="1:16">
      <c r="A814" s="1">
        <v>44682</v>
      </c>
      <c r="B814" t="s">
        <v>129</v>
      </c>
      <c r="C814" t="s">
        <v>14</v>
      </c>
      <c r="D814" t="s">
        <v>15</v>
      </c>
      <c r="E814" t="s">
        <v>33</v>
      </c>
      <c r="F814" t="s">
        <v>24</v>
      </c>
      <c r="G814" t="s">
        <v>18</v>
      </c>
      <c r="H814" t="s">
        <v>526</v>
      </c>
      <c r="I814">
        <v>8</v>
      </c>
      <c r="J814" t="s">
        <v>114</v>
      </c>
      <c r="K814" t="str">
        <f t="shared" si="12"/>
        <v>39602</v>
      </c>
      <c r="L814">
        <v>2969420.3</v>
      </c>
      <c r="M814">
        <v>0</v>
      </c>
      <c r="N814">
        <v>0</v>
      </c>
      <c r="O814">
        <v>0</v>
      </c>
      <c r="P814" s="8">
        <v>2969420.3</v>
      </c>
    </row>
    <row r="815" spans="1:16">
      <c r="A815" s="1">
        <v>44682</v>
      </c>
      <c r="B815" t="s">
        <v>129</v>
      </c>
      <c r="C815" t="s">
        <v>14</v>
      </c>
      <c r="D815" t="s">
        <v>15</v>
      </c>
      <c r="E815" t="s">
        <v>33</v>
      </c>
      <c r="F815" t="s">
        <v>24</v>
      </c>
      <c r="G815" t="s">
        <v>18</v>
      </c>
      <c r="H815" t="s">
        <v>526</v>
      </c>
      <c r="I815">
        <v>8</v>
      </c>
      <c r="J815" t="s">
        <v>115</v>
      </c>
      <c r="K815" t="str">
        <f t="shared" si="12"/>
        <v>39700</v>
      </c>
      <c r="L815">
        <v>977085.37</v>
      </c>
      <c r="M815">
        <v>0</v>
      </c>
      <c r="N815">
        <v>0</v>
      </c>
      <c r="O815">
        <v>0</v>
      </c>
      <c r="P815" s="8">
        <v>977085.37</v>
      </c>
    </row>
    <row r="816" spans="1:16">
      <c r="A816" s="1">
        <v>44682</v>
      </c>
      <c r="B816" t="s">
        <v>129</v>
      </c>
      <c r="C816" t="s">
        <v>14</v>
      </c>
      <c r="D816" t="s">
        <v>15</v>
      </c>
      <c r="E816" t="s">
        <v>33</v>
      </c>
      <c r="F816" t="s">
        <v>24</v>
      </c>
      <c r="G816" t="s">
        <v>18</v>
      </c>
      <c r="H816" t="s">
        <v>526</v>
      </c>
      <c r="I816">
        <v>8</v>
      </c>
      <c r="J816" t="s">
        <v>116</v>
      </c>
      <c r="K816" t="str">
        <f t="shared" si="12"/>
        <v>39710</v>
      </c>
      <c r="L816">
        <v>1204952.6599999999</v>
      </c>
      <c r="M816">
        <v>0</v>
      </c>
      <c r="N816">
        <v>0</v>
      </c>
      <c r="O816">
        <v>0</v>
      </c>
      <c r="P816" s="8">
        <v>1204952.6599999999</v>
      </c>
    </row>
    <row r="817" spans="1:16">
      <c r="A817" s="1">
        <v>44682</v>
      </c>
      <c r="B817" t="s">
        <v>129</v>
      </c>
      <c r="C817" t="s">
        <v>14</v>
      </c>
      <c r="D817" t="s">
        <v>15</v>
      </c>
      <c r="E817" t="s">
        <v>33</v>
      </c>
      <c r="F817" t="s">
        <v>24</v>
      </c>
      <c r="G817" t="s">
        <v>18</v>
      </c>
      <c r="H817" t="s">
        <v>526</v>
      </c>
      <c r="I817">
        <v>8</v>
      </c>
      <c r="J817" t="s">
        <v>117</v>
      </c>
      <c r="K817" t="str">
        <f t="shared" si="12"/>
        <v>39800</v>
      </c>
      <c r="L817">
        <v>149473.80000000002</v>
      </c>
      <c r="M817">
        <v>0</v>
      </c>
      <c r="N817">
        <v>0</v>
      </c>
      <c r="O817">
        <v>0</v>
      </c>
      <c r="P817" s="8">
        <v>149473.80000000002</v>
      </c>
    </row>
    <row r="818" spans="1:16">
      <c r="A818" s="1">
        <v>44682</v>
      </c>
      <c r="B818" t="s">
        <v>129</v>
      </c>
      <c r="C818" t="s">
        <v>14</v>
      </c>
      <c r="D818" t="s">
        <v>15</v>
      </c>
      <c r="E818" t="s">
        <v>33</v>
      </c>
      <c r="F818" t="s">
        <v>119</v>
      </c>
      <c r="G818" t="s">
        <v>18</v>
      </c>
      <c r="H818" t="s">
        <v>526</v>
      </c>
      <c r="I818">
        <v>8</v>
      </c>
      <c r="J818" t="s">
        <v>94</v>
      </c>
      <c r="K818" t="str">
        <f t="shared" si="12"/>
        <v>38901</v>
      </c>
      <c r="L818">
        <v>1221463.3</v>
      </c>
      <c r="M818">
        <v>0</v>
      </c>
      <c r="N818">
        <v>0</v>
      </c>
      <c r="O818">
        <v>0</v>
      </c>
      <c r="P818" s="9">
        <v>1221463.3</v>
      </c>
    </row>
    <row r="819" spans="1:16">
      <c r="A819" s="1">
        <v>44682</v>
      </c>
      <c r="B819" t="s">
        <v>129</v>
      </c>
      <c r="C819" t="s">
        <v>14</v>
      </c>
      <c r="D819" t="s">
        <v>15</v>
      </c>
      <c r="E819" t="s">
        <v>16</v>
      </c>
      <c r="F819" t="s">
        <v>17</v>
      </c>
      <c r="G819" t="s">
        <v>18</v>
      </c>
      <c r="H819" t="s">
        <v>526</v>
      </c>
      <c r="I819">
        <v>8</v>
      </c>
      <c r="J819" t="s">
        <v>19</v>
      </c>
      <c r="K819" t="str">
        <f t="shared" si="12"/>
        <v>39001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1:16">
      <c r="A820" s="1">
        <v>44682</v>
      </c>
      <c r="B820" t="s">
        <v>129</v>
      </c>
      <c r="C820" t="s">
        <v>14</v>
      </c>
      <c r="D820" t="s">
        <v>15</v>
      </c>
      <c r="E820" t="s">
        <v>33</v>
      </c>
      <c r="F820" t="s">
        <v>17</v>
      </c>
      <c r="G820" t="s">
        <v>18</v>
      </c>
      <c r="H820" t="s">
        <v>526</v>
      </c>
      <c r="I820">
        <v>8</v>
      </c>
      <c r="J820" t="s">
        <v>94</v>
      </c>
      <c r="K820" t="str">
        <f t="shared" si="12"/>
        <v>38901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1:16">
      <c r="A821" s="1">
        <v>44682</v>
      </c>
      <c r="B821" t="s">
        <v>129</v>
      </c>
      <c r="C821" t="s">
        <v>14</v>
      </c>
      <c r="D821" t="s">
        <v>15</v>
      </c>
      <c r="E821" t="s">
        <v>33</v>
      </c>
      <c r="F821" t="s">
        <v>17</v>
      </c>
      <c r="G821" t="s">
        <v>18</v>
      </c>
      <c r="H821" t="s">
        <v>526</v>
      </c>
      <c r="I821">
        <v>8</v>
      </c>
      <c r="J821" t="s">
        <v>19</v>
      </c>
      <c r="K821" t="str">
        <f t="shared" si="12"/>
        <v>39001</v>
      </c>
      <c r="L821">
        <v>201280.76</v>
      </c>
      <c r="M821">
        <v>0</v>
      </c>
      <c r="N821">
        <v>0</v>
      </c>
      <c r="O821">
        <v>0</v>
      </c>
      <c r="P821">
        <v>201280.76</v>
      </c>
    </row>
    <row r="822" spans="1:16">
      <c r="A822" s="1">
        <v>44682</v>
      </c>
      <c r="B822" t="s">
        <v>129</v>
      </c>
      <c r="C822" t="s">
        <v>14</v>
      </c>
      <c r="D822" t="s">
        <v>15</v>
      </c>
      <c r="E822" t="s">
        <v>33</v>
      </c>
      <c r="F822" t="s">
        <v>17</v>
      </c>
      <c r="G822" t="s">
        <v>18</v>
      </c>
      <c r="H822" t="s">
        <v>526</v>
      </c>
      <c r="I822">
        <v>8</v>
      </c>
      <c r="J822" t="s">
        <v>96</v>
      </c>
      <c r="K822" t="str">
        <f t="shared" si="12"/>
        <v>39051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1:16">
      <c r="A823" s="1">
        <v>44682</v>
      </c>
      <c r="B823" t="s">
        <v>129</v>
      </c>
      <c r="C823" t="s">
        <v>14</v>
      </c>
      <c r="D823" t="s">
        <v>15</v>
      </c>
      <c r="E823" t="s">
        <v>33</v>
      </c>
      <c r="F823" t="s">
        <v>17</v>
      </c>
      <c r="G823" t="s">
        <v>18</v>
      </c>
      <c r="H823" t="s">
        <v>526</v>
      </c>
      <c r="I823">
        <v>8</v>
      </c>
      <c r="J823" t="s">
        <v>97</v>
      </c>
      <c r="K823" t="str">
        <f t="shared" si="12"/>
        <v>39101</v>
      </c>
      <c r="L823">
        <v>447460.5</v>
      </c>
      <c r="M823">
        <v>0</v>
      </c>
      <c r="N823">
        <v>0</v>
      </c>
      <c r="O823">
        <v>0</v>
      </c>
      <c r="P823">
        <v>447460.5</v>
      </c>
    </row>
    <row r="824" spans="1:16">
      <c r="A824" s="1">
        <v>44682</v>
      </c>
      <c r="B824" t="s">
        <v>129</v>
      </c>
      <c r="C824" t="s">
        <v>14</v>
      </c>
      <c r="D824" t="s">
        <v>15</v>
      </c>
      <c r="E824" t="s">
        <v>33</v>
      </c>
      <c r="F824" t="s">
        <v>17</v>
      </c>
      <c r="G824" t="s">
        <v>18</v>
      </c>
      <c r="H824" t="s">
        <v>526</v>
      </c>
      <c r="I824">
        <v>8</v>
      </c>
      <c r="J824" t="s">
        <v>98</v>
      </c>
      <c r="K824" t="str">
        <f t="shared" si="12"/>
        <v>39103</v>
      </c>
      <c r="L824">
        <v>278437.16000000003</v>
      </c>
      <c r="M824">
        <v>-100623.07</v>
      </c>
      <c r="N824">
        <v>0</v>
      </c>
      <c r="O824">
        <v>0</v>
      </c>
      <c r="P824">
        <v>177814.09</v>
      </c>
    </row>
    <row r="825" spans="1:16">
      <c r="A825" s="1">
        <v>44682</v>
      </c>
      <c r="B825" t="s">
        <v>129</v>
      </c>
      <c r="C825" t="s">
        <v>14</v>
      </c>
      <c r="D825" t="s">
        <v>15</v>
      </c>
      <c r="E825" t="s">
        <v>33</v>
      </c>
      <c r="F825" t="s">
        <v>17</v>
      </c>
      <c r="G825" t="s">
        <v>18</v>
      </c>
      <c r="H825" t="s">
        <v>526</v>
      </c>
      <c r="I825">
        <v>8</v>
      </c>
      <c r="J825" t="s">
        <v>99</v>
      </c>
      <c r="K825" t="str">
        <f t="shared" si="12"/>
        <v>39104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1:16">
      <c r="A826" s="1">
        <v>44682</v>
      </c>
      <c r="B826" t="s">
        <v>129</v>
      </c>
      <c r="C826" t="s">
        <v>14</v>
      </c>
      <c r="D826" t="s">
        <v>15</v>
      </c>
      <c r="E826" t="s">
        <v>33</v>
      </c>
      <c r="F826" t="s">
        <v>17</v>
      </c>
      <c r="G826" t="s">
        <v>18</v>
      </c>
      <c r="H826" t="s">
        <v>526</v>
      </c>
      <c r="I826">
        <v>8</v>
      </c>
      <c r="J826" t="s">
        <v>103</v>
      </c>
      <c r="K826" t="str">
        <f t="shared" si="12"/>
        <v>39201</v>
      </c>
      <c r="L826">
        <v>81941.77</v>
      </c>
      <c r="M826">
        <v>0</v>
      </c>
      <c r="N826">
        <v>0</v>
      </c>
      <c r="O826">
        <v>0</v>
      </c>
      <c r="P826">
        <v>81941.77</v>
      </c>
    </row>
    <row r="827" spans="1:16">
      <c r="A827" s="1">
        <v>44682</v>
      </c>
      <c r="B827" t="s">
        <v>129</v>
      </c>
      <c r="C827" t="s">
        <v>14</v>
      </c>
      <c r="D827" t="s">
        <v>15</v>
      </c>
      <c r="E827" t="s">
        <v>33</v>
      </c>
      <c r="F827" t="s">
        <v>17</v>
      </c>
      <c r="G827" t="s">
        <v>18</v>
      </c>
      <c r="H827" t="s">
        <v>526</v>
      </c>
      <c r="I827">
        <v>8</v>
      </c>
      <c r="J827" t="s">
        <v>104</v>
      </c>
      <c r="K827" t="str">
        <f t="shared" si="12"/>
        <v>39202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1:16">
      <c r="A828" s="1">
        <v>44682</v>
      </c>
      <c r="B828" t="s">
        <v>129</v>
      </c>
      <c r="C828" t="s">
        <v>14</v>
      </c>
      <c r="D828" t="s">
        <v>15</v>
      </c>
      <c r="E828" t="s">
        <v>33</v>
      </c>
      <c r="F828" t="s">
        <v>17</v>
      </c>
      <c r="G828" t="s">
        <v>18</v>
      </c>
      <c r="H828" t="s">
        <v>526</v>
      </c>
      <c r="I828">
        <v>8</v>
      </c>
      <c r="J828" t="s">
        <v>105</v>
      </c>
      <c r="K828" t="str">
        <f t="shared" si="12"/>
        <v>39203</v>
      </c>
      <c r="L828">
        <v>369369.59</v>
      </c>
      <c r="M828">
        <v>0</v>
      </c>
      <c r="N828">
        <v>0</v>
      </c>
      <c r="O828">
        <v>0</v>
      </c>
      <c r="P828">
        <v>369369.59</v>
      </c>
    </row>
    <row r="829" spans="1:16">
      <c r="A829" s="1">
        <v>44682</v>
      </c>
      <c r="B829" t="s">
        <v>129</v>
      </c>
      <c r="C829" t="s">
        <v>14</v>
      </c>
      <c r="D829" t="s">
        <v>15</v>
      </c>
      <c r="E829" t="s">
        <v>33</v>
      </c>
      <c r="F829" t="s">
        <v>17</v>
      </c>
      <c r="G829" t="s">
        <v>18</v>
      </c>
      <c r="H829" t="s">
        <v>526</v>
      </c>
      <c r="I829">
        <v>8</v>
      </c>
      <c r="J829" t="s">
        <v>106</v>
      </c>
      <c r="K829" t="str">
        <f t="shared" si="12"/>
        <v>39204</v>
      </c>
      <c r="L829">
        <v>515087.77</v>
      </c>
      <c r="M829">
        <v>4164.2</v>
      </c>
      <c r="N829">
        <v>0</v>
      </c>
      <c r="O829">
        <v>0</v>
      </c>
      <c r="P829">
        <v>519251.97000000003</v>
      </c>
    </row>
    <row r="830" spans="1:16">
      <c r="A830" s="1">
        <v>44682</v>
      </c>
      <c r="B830" t="s">
        <v>129</v>
      </c>
      <c r="C830" t="s">
        <v>14</v>
      </c>
      <c r="D830" t="s">
        <v>15</v>
      </c>
      <c r="E830" t="s">
        <v>33</v>
      </c>
      <c r="F830" t="s">
        <v>17</v>
      </c>
      <c r="G830" t="s">
        <v>18</v>
      </c>
      <c r="H830" t="s">
        <v>526</v>
      </c>
      <c r="I830">
        <v>8</v>
      </c>
      <c r="J830" t="s">
        <v>107</v>
      </c>
      <c r="K830" t="str">
        <f t="shared" si="12"/>
        <v>39205</v>
      </c>
      <c r="L830">
        <v>3814461.35</v>
      </c>
      <c r="M830">
        <v>86157.64</v>
      </c>
      <c r="N830">
        <v>0</v>
      </c>
      <c r="O830">
        <v>0</v>
      </c>
      <c r="P830">
        <v>3900618.99</v>
      </c>
    </row>
    <row r="831" spans="1:16">
      <c r="A831" s="1">
        <v>44682</v>
      </c>
      <c r="B831" t="s">
        <v>129</v>
      </c>
      <c r="C831" t="s">
        <v>14</v>
      </c>
      <c r="D831" t="s">
        <v>15</v>
      </c>
      <c r="E831" t="s">
        <v>33</v>
      </c>
      <c r="F831" t="s">
        <v>17</v>
      </c>
      <c r="G831" t="s">
        <v>18</v>
      </c>
      <c r="H831" t="s">
        <v>526</v>
      </c>
      <c r="I831">
        <v>8</v>
      </c>
      <c r="J831" t="s">
        <v>108</v>
      </c>
      <c r="K831" t="str">
        <f t="shared" si="12"/>
        <v>39206</v>
      </c>
      <c r="L831">
        <v>85329.02</v>
      </c>
      <c r="M831">
        <v>0</v>
      </c>
      <c r="N831">
        <v>0</v>
      </c>
      <c r="O831">
        <v>0</v>
      </c>
      <c r="P831">
        <v>85329.02</v>
      </c>
    </row>
    <row r="832" spans="1:16">
      <c r="A832" s="1">
        <v>44682</v>
      </c>
      <c r="B832" t="s">
        <v>129</v>
      </c>
      <c r="C832" t="s">
        <v>14</v>
      </c>
      <c r="D832" t="s">
        <v>15</v>
      </c>
      <c r="E832" t="s">
        <v>33</v>
      </c>
      <c r="F832" t="s">
        <v>17</v>
      </c>
      <c r="G832" t="s">
        <v>18</v>
      </c>
      <c r="H832" t="s">
        <v>526</v>
      </c>
      <c r="I832">
        <v>8</v>
      </c>
      <c r="J832" t="s">
        <v>109</v>
      </c>
      <c r="K832" t="str">
        <f t="shared" si="12"/>
        <v>39300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>
      <c r="A833" s="1">
        <v>44682</v>
      </c>
      <c r="B833" t="s">
        <v>129</v>
      </c>
      <c r="C833" t="s">
        <v>14</v>
      </c>
      <c r="D833" t="s">
        <v>15</v>
      </c>
      <c r="E833" t="s">
        <v>33</v>
      </c>
      <c r="F833" t="s">
        <v>17</v>
      </c>
      <c r="G833" t="s">
        <v>18</v>
      </c>
      <c r="H833" t="s">
        <v>526</v>
      </c>
      <c r="I833">
        <v>8</v>
      </c>
      <c r="J833" t="s">
        <v>110</v>
      </c>
      <c r="K833" t="str">
        <f t="shared" si="12"/>
        <v>39400</v>
      </c>
      <c r="L833">
        <v>21448.04</v>
      </c>
      <c r="M833">
        <v>35560.44</v>
      </c>
      <c r="N833">
        <v>0</v>
      </c>
      <c r="O833">
        <v>0</v>
      </c>
      <c r="P833">
        <v>57008.480000000003</v>
      </c>
    </row>
    <row r="834" spans="1:16">
      <c r="A834" s="1">
        <v>44682</v>
      </c>
      <c r="B834" t="s">
        <v>129</v>
      </c>
      <c r="C834" t="s">
        <v>14</v>
      </c>
      <c r="D834" t="s">
        <v>15</v>
      </c>
      <c r="E834" t="s">
        <v>33</v>
      </c>
      <c r="F834" t="s">
        <v>17</v>
      </c>
      <c r="G834" t="s">
        <v>18</v>
      </c>
      <c r="H834" t="s">
        <v>526</v>
      </c>
      <c r="I834">
        <v>8</v>
      </c>
      <c r="J834" t="s">
        <v>111</v>
      </c>
      <c r="K834" t="str">
        <f t="shared" ref="K834:K897" si="13">MID(J834,2,5)</f>
        <v>39410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1:16">
      <c r="A835" s="1">
        <v>44682</v>
      </c>
      <c r="B835" t="s">
        <v>129</v>
      </c>
      <c r="C835" t="s">
        <v>14</v>
      </c>
      <c r="D835" t="s">
        <v>15</v>
      </c>
      <c r="E835" t="s">
        <v>33</v>
      </c>
      <c r="F835" t="s">
        <v>17</v>
      </c>
      <c r="G835" t="s">
        <v>18</v>
      </c>
      <c r="H835" t="s">
        <v>526</v>
      </c>
      <c r="I835">
        <v>8</v>
      </c>
      <c r="J835" t="s">
        <v>112</v>
      </c>
      <c r="K835" t="str">
        <f t="shared" si="13"/>
        <v>39500</v>
      </c>
      <c r="L835">
        <v>12300.1</v>
      </c>
      <c r="M835">
        <v>0</v>
      </c>
      <c r="N835">
        <v>0</v>
      </c>
      <c r="O835">
        <v>0</v>
      </c>
      <c r="P835">
        <v>12300.1</v>
      </c>
    </row>
    <row r="836" spans="1:16">
      <c r="A836" s="1">
        <v>44682</v>
      </c>
      <c r="B836" t="s">
        <v>129</v>
      </c>
      <c r="C836" t="s">
        <v>14</v>
      </c>
      <c r="D836" t="s">
        <v>15</v>
      </c>
      <c r="E836" t="s">
        <v>33</v>
      </c>
      <c r="F836" t="s">
        <v>17</v>
      </c>
      <c r="G836" t="s">
        <v>18</v>
      </c>
      <c r="H836" t="s">
        <v>526</v>
      </c>
      <c r="I836">
        <v>8</v>
      </c>
      <c r="J836" t="s">
        <v>113</v>
      </c>
      <c r="K836" t="str">
        <f t="shared" si="13"/>
        <v>39601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>
      <c r="A837" s="1">
        <v>44682</v>
      </c>
      <c r="B837" t="s">
        <v>129</v>
      </c>
      <c r="C837" t="s">
        <v>14</v>
      </c>
      <c r="D837" t="s">
        <v>15</v>
      </c>
      <c r="E837" t="s">
        <v>33</v>
      </c>
      <c r="F837" t="s">
        <v>17</v>
      </c>
      <c r="G837" t="s">
        <v>18</v>
      </c>
      <c r="H837" t="s">
        <v>526</v>
      </c>
      <c r="I837">
        <v>8</v>
      </c>
      <c r="J837" t="s">
        <v>114</v>
      </c>
      <c r="K837" t="str">
        <f t="shared" si="13"/>
        <v>39602</v>
      </c>
      <c r="L837">
        <v>373059.9</v>
      </c>
      <c r="M837">
        <v>0</v>
      </c>
      <c r="N837">
        <v>0</v>
      </c>
      <c r="O837">
        <v>0</v>
      </c>
      <c r="P837">
        <v>373059.9</v>
      </c>
    </row>
    <row r="838" spans="1:16">
      <c r="A838" s="1">
        <v>44682</v>
      </c>
      <c r="B838" t="s">
        <v>129</v>
      </c>
      <c r="C838" t="s">
        <v>14</v>
      </c>
      <c r="D838" t="s">
        <v>15</v>
      </c>
      <c r="E838" t="s">
        <v>33</v>
      </c>
      <c r="F838" t="s">
        <v>17</v>
      </c>
      <c r="G838" t="s">
        <v>18</v>
      </c>
      <c r="H838" t="s">
        <v>526</v>
      </c>
      <c r="I838">
        <v>8</v>
      </c>
      <c r="J838" t="s">
        <v>115</v>
      </c>
      <c r="K838" t="str">
        <f t="shared" si="13"/>
        <v>39700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1:16">
      <c r="A839" s="1">
        <v>44682</v>
      </c>
      <c r="B839" t="s">
        <v>129</v>
      </c>
      <c r="C839" t="s">
        <v>14</v>
      </c>
      <c r="D839" t="s">
        <v>15</v>
      </c>
      <c r="E839" t="s">
        <v>33</v>
      </c>
      <c r="F839" t="s">
        <v>17</v>
      </c>
      <c r="G839" t="s">
        <v>18</v>
      </c>
      <c r="H839" t="s">
        <v>526</v>
      </c>
      <c r="I839">
        <v>8</v>
      </c>
      <c r="J839" t="s">
        <v>116</v>
      </c>
      <c r="K839" t="str">
        <f t="shared" si="13"/>
        <v>39710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1:16">
      <c r="A840" s="1">
        <v>44682</v>
      </c>
      <c r="B840" t="s">
        <v>129</v>
      </c>
      <c r="C840" t="s">
        <v>14</v>
      </c>
      <c r="D840" t="s">
        <v>15</v>
      </c>
      <c r="E840" t="s">
        <v>33</v>
      </c>
      <c r="F840" t="s">
        <v>17</v>
      </c>
      <c r="G840" t="s">
        <v>18</v>
      </c>
      <c r="H840" t="s">
        <v>526</v>
      </c>
      <c r="I840">
        <v>8</v>
      </c>
      <c r="J840" t="s">
        <v>117</v>
      </c>
      <c r="K840" t="str">
        <f t="shared" si="13"/>
        <v>39800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1:16">
      <c r="A841" s="1">
        <v>44713</v>
      </c>
      <c r="B841" t="s">
        <v>128</v>
      </c>
      <c r="C841" t="s">
        <v>14</v>
      </c>
      <c r="D841" t="s">
        <v>15</v>
      </c>
      <c r="E841" t="s">
        <v>33</v>
      </c>
      <c r="F841" t="s">
        <v>24</v>
      </c>
      <c r="G841" t="s">
        <v>18</v>
      </c>
      <c r="H841" t="s">
        <v>526</v>
      </c>
      <c r="I841">
        <v>8</v>
      </c>
      <c r="J841" t="s">
        <v>94</v>
      </c>
      <c r="K841" t="str">
        <f t="shared" si="13"/>
        <v>38901</v>
      </c>
      <c r="L841">
        <v>261405.41</v>
      </c>
      <c r="M841">
        <v>0</v>
      </c>
      <c r="N841">
        <v>-0.01</v>
      </c>
      <c r="O841">
        <v>0</v>
      </c>
      <c r="P841" s="8">
        <v>261405.4</v>
      </c>
    </row>
    <row r="842" spans="1:16">
      <c r="A842" s="1">
        <v>44713</v>
      </c>
      <c r="B842" t="s">
        <v>128</v>
      </c>
      <c r="C842" t="s">
        <v>14</v>
      </c>
      <c r="D842" t="s">
        <v>15</v>
      </c>
      <c r="E842" t="s">
        <v>33</v>
      </c>
      <c r="F842" t="s">
        <v>24</v>
      </c>
      <c r="G842" t="s">
        <v>18</v>
      </c>
      <c r="H842" t="s">
        <v>526</v>
      </c>
      <c r="I842">
        <v>8</v>
      </c>
      <c r="J842" t="s">
        <v>95</v>
      </c>
      <c r="K842" t="str">
        <f t="shared" si="13"/>
        <v>38902</v>
      </c>
      <c r="L842">
        <v>22532.78</v>
      </c>
      <c r="M842">
        <v>0</v>
      </c>
      <c r="N842">
        <v>0</v>
      </c>
      <c r="O842">
        <v>0</v>
      </c>
      <c r="P842" s="8">
        <v>22532.78</v>
      </c>
    </row>
    <row r="843" spans="1:16">
      <c r="A843" s="1">
        <v>44713</v>
      </c>
      <c r="B843" t="s">
        <v>128</v>
      </c>
      <c r="C843" t="s">
        <v>14</v>
      </c>
      <c r="D843" t="s">
        <v>15</v>
      </c>
      <c r="E843" t="s">
        <v>33</v>
      </c>
      <c r="F843" t="s">
        <v>24</v>
      </c>
      <c r="G843" t="s">
        <v>18</v>
      </c>
      <c r="H843" t="s">
        <v>526</v>
      </c>
      <c r="I843">
        <v>8</v>
      </c>
      <c r="J843" t="s">
        <v>19</v>
      </c>
      <c r="K843" t="str">
        <f t="shared" si="13"/>
        <v>39001</v>
      </c>
      <c r="L843">
        <v>7416342.1399999997</v>
      </c>
      <c r="M843">
        <v>0</v>
      </c>
      <c r="N843">
        <v>0</v>
      </c>
      <c r="O843">
        <v>0</v>
      </c>
      <c r="P843" s="8">
        <v>7416342.1399999997</v>
      </c>
    </row>
    <row r="844" spans="1:16">
      <c r="A844" s="1">
        <v>44713</v>
      </c>
      <c r="B844" t="s">
        <v>128</v>
      </c>
      <c r="C844" t="s">
        <v>14</v>
      </c>
      <c r="D844" t="s">
        <v>15</v>
      </c>
      <c r="E844" t="s">
        <v>33</v>
      </c>
      <c r="F844" t="s">
        <v>24</v>
      </c>
      <c r="G844" t="s">
        <v>18</v>
      </c>
      <c r="H844" t="s">
        <v>526</v>
      </c>
      <c r="I844">
        <v>8</v>
      </c>
      <c r="J844" t="s">
        <v>96</v>
      </c>
      <c r="K844" t="str">
        <f t="shared" si="13"/>
        <v>39051</v>
      </c>
      <c r="L844">
        <v>1426861.24</v>
      </c>
      <c r="M844">
        <v>0</v>
      </c>
      <c r="N844">
        <v>0</v>
      </c>
      <c r="O844">
        <v>0</v>
      </c>
      <c r="P844" s="8">
        <v>1426861.24</v>
      </c>
    </row>
    <row r="845" spans="1:16">
      <c r="A845" s="1">
        <v>44713</v>
      </c>
      <c r="B845" t="s">
        <v>128</v>
      </c>
      <c r="C845" t="s">
        <v>14</v>
      </c>
      <c r="D845" t="s">
        <v>15</v>
      </c>
      <c r="E845" t="s">
        <v>33</v>
      </c>
      <c r="F845" t="s">
        <v>24</v>
      </c>
      <c r="G845" t="s">
        <v>18</v>
      </c>
      <c r="H845" t="s">
        <v>526</v>
      </c>
      <c r="I845">
        <v>8</v>
      </c>
      <c r="J845" t="s">
        <v>97</v>
      </c>
      <c r="K845" t="str">
        <f t="shared" si="13"/>
        <v>39101</v>
      </c>
      <c r="L845">
        <v>1337925.96</v>
      </c>
      <c r="M845">
        <v>0</v>
      </c>
      <c r="N845">
        <v>0.01</v>
      </c>
      <c r="O845">
        <v>0</v>
      </c>
      <c r="P845" s="8">
        <v>1337925.97</v>
      </c>
    </row>
    <row r="846" spans="1:16">
      <c r="A846" s="1">
        <v>44713</v>
      </c>
      <c r="B846" t="s">
        <v>128</v>
      </c>
      <c r="C846" t="s">
        <v>14</v>
      </c>
      <c r="D846" t="s">
        <v>15</v>
      </c>
      <c r="E846" t="s">
        <v>33</v>
      </c>
      <c r="F846" t="s">
        <v>24</v>
      </c>
      <c r="G846" t="s">
        <v>18</v>
      </c>
      <c r="H846" t="s">
        <v>526</v>
      </c>
      <c r="I846">
        <v>8</v>
      </c>
      <c r="J846" t="s">
        <v>98</v>
      </c>
      <c r="K846" t="str">
        <f t="shared" si="13"/>
        <v>39103</v>
      </c>
      <c r="L846">
        <v>678224.72</v>
      </c>
      <c r="M846">
        <v>0</v>
      </c>
      <c r="N846">
        <v>0</v>
      </c>
      <c r="O846">
        <v>0</v>
      </c>
      <c r="P846" s="8">
        <v>678224.72</v>
      </c>
    </row>
    <row r="847" spans="1:16">
      <c r="A847" s="1">
        <v>44713</v>
      </c>
      <c r="B847" t="s">
        <v>128</v>
      </c>
      <c r="C847" t="s">
        <v>14</v>
      </c>
      <c r="D847" t="s">
        <v>15</v>
      </c>
      <c r="E847" t="s">
        <v>33</v>
      </c>
      <c r="F847" t="s">
        <v>24</v>
      </c>
      <c r="G847" t="s">
        <v>18</v>
      </c>
      <c r="H847" t="s">
        <v>526</v>
      </c>
      <c r="I847">
        <v>8</v>
      </c>
      <c r="J847" t="s">
        <v>99</v>
      </c>
      <c r="K847" t="str">
        <f t="shared" si="13"/>
        <v>39104</v>
      </c>
      <c r="L847">
        <v>14712</v>
      </c>
      <c r="M847">
        <v>0</v>
      </c>
      <c r="N847">
        <v>0</v>
      </c>
      <c r="O847">
        <v>0</v>
      </c>
      <c r="P847" s="8">
        <v>14712</v>
      </c>
    </row>
    <row r="848" spans="1:16">
      <c r="A848" s="1">
        <v>44713</v>
      </c>
      <c r="B848" t="s">
        <v>128</v>
      </c>
      <c r="C848" t="s">
        <v>14</v>
      </c>
      <c r="D848" t="s">
        <v>15</v>
      </c>
      <c r="E848" t="s">
        <v>33</v>
      </c>
      <c r="F848" t="s">
        <v>24</v>
      </c>
      <c r="G848" t="s">
        <v>18</v>
      </c>
      <c r="H848" t="s">
        <v>526</v>
      </c>
      <c r="I848">
        <v>8</v>
      </c>
      <c r="J848" t="s">
        <v>100</v>
      </c>
      <c r="K848" t="str">
        <f t="shared" si="13"/>
        <v>39105</v>
      </c>
      <c r="L848">
        <v>0</v>
      </c>
      <c r="M848">
        <v>0</v>
      </c>
      <c r="N848">
        <v>0</v>
      </c>
      <c r="O848">
        <v>0</v>
      </c>
      <c r="P848" s="8">
        <v>0</v>
      </c>
    </row>
    <row r="849" spans="1:16">
      <c r="A849" s="1">
        <v>44713</v>
      </c>
      <c r="B849" t="s">
        <v>128</v>
      </c>
      <c r="C849" t="s">
        <v>14</v>
      </c>
      <c r="D849" t="s">
        <v>15</v>
      </c>
      <c r="E849" t="s">
        <v>33</v>
      </c>
      <c r="F849" t="s">
        <v>24</v>
      </c>
      <c r="G849" t="s">
        <v>18</v>
      </c>
      <c r="H849" t="s">
        <v>526</v>
      </c>
      <c r="I849">
        <v>8</v>
      </c>
      <c r="J849" t="s">
        <v>101</v>
      </c>
      <c r="K849" t="str">
        <f t="shared" si="13"/>
        <v>39107</v>
      </c>
      <c r="L849">
        <v>0</v>
      </c>
      <c r="M849">
        <v>0</v>
      </c>
      <c r="N849">
        <v>0</v>
      </c>
      <c r="O849">
        <v>0</v>
      </c>
      <c r="P849" s="8">
        <v>0</v>
      </c>
    </row>
    <row r="850" spans="1:16">
      <c r="A850" s="1">
        <v>44713</v>
      </c>
      <c r="B850" t="s">
        <v>128</v>
      </c>
      <c r="C850" t="s">
        <v>14</v>
      </c>
      <c r="D850" t="s">
        <v>15</v>
      </c>
      <c r="E850" t="s">
        <v>33</v>
      </c>
      <c r="F850" t="s">
        <v>24</v>
      </c>
      <c r="G850" t="s">
        <v>18</v>
      </c>
      <c r="H850" t="s">
        <v>526</v>
      </c>
      <c r="I850">
        <v>8</v>
      </c>
      <c r="J850" t="s">
        <v>102</v>
      </c>
      <c r="K850" t="str">
        <f t="shared" si="13"/>
        <v>39159</v>
      </c>
      <c r="L850">
        <v>0</v>
      </c>
      <c r="M850">
        <v>0</v>
      </c>
      <c r="N850">
        <v>0</v>
      </c>
      <c r="O850">
        <v>0</v>
      </c>
      <c r="P850" s="8">
        <v>0</v>
      </c>
    </row>
    <row r="851" spans="1:16">
      <c r="A851" s="1">
        <v>44713</v>
      </c>
      <c r="B851" t="s">
        <v>128</v>
      </c>
      <c r="C851" t="s">
        <v>14</v>
      </c>
      <c r="D851" t="s">
        <v>15</v>
      </c>
      <c r="E851" t="s">
        <v>33</v>
      </c>
      <c r="F851" t="s">
        <v>24</v>
      </c>
      <c r="G851" t="s">
        <v>18</v>
      </c>
      <c r="H851" t="s">
        <v>526</v>
      </c>
      <c r="I851">
        <v>8</v>
      </c>
      <c r="J851" t="s">
        <v>103</v>
      </c>
      <c r="K851" t="str">
        <f t="shared" si="13"/>
        <v>39201</v>
      </c>
      <c r="L851">
        <v>134983.86000000002</v>
      </c>
      <c r="M851">
        <v>0</v>
      </c>
      <c r="N851">
        <v>0</v>
      </c>
      <c r="O851">
        <v>0</v>
      </c>
      <c r="P851" s="8">
        <v>134983.86000000002</v>
      </c>
    </row>
    <row r="852" spans="1:16">
      <c r="A852" s="1">
        <v>44713</v>
      </c>
      <c r="B852" t="s">
        <v>128</v>
      </c>
      <c r="C852" t="s">
        <v>14</v>
      </c>
      <c r="D852" t="s">
        <v>15</v>
      </c>
      <c r="E852" t="s">
        <v>33</v>
      </c>
      <c r="F852" t="s">
        <v>24</v>
      </c>
      <c r="G852" t="s">
        <v>18</v>
      </c>
      <c r="H852" t="s">
        <v>526</v>
      </c>
      <c r="I852">
        <v>8</v>
      </c>
      <c r="J852" t="s">
        <v>104</v>
      </c>
      <c r="K852" t="str">
        <f t="shared" si="13"/>
        <v>39202</v>
      </c>
      <c r="L852">
        <v>45525.16</v>
      </c>
      <c r="M852">
        <v>0</v>
      </c>
      <c r="N852">
        <v>0</v>
      </c>
      <c r="O852">
        <v>0</v>
      </c>
      <c r="P852" s="8">
        <v>45525.16</v>
      </c>
    </row>
    <row r="853" spans="1:16">
      <c r="A853" s="1">
        <v>44713</v>
      </c>
      <c r="B853" t="s">
        <v>128</v>
      </c>
      <c r="C853" t="s">
        <v>14</v>
      </c>
      <c r="D853" t="s">
        <v>15</v>
      </c>
      <c r="E853" t="s">
        <v>33</v>
      </c>
      <c r="F853" t="s">
        <v>24</v>
      </c>
      <c r="G853" t="s">
        <v>18</v>
      </c>
      <c r="H853" t="s">
        <v>526</v>
      </c>
      <c r="I853">
        <v>8</v>
      </c>
      <c r="J853" t="s">
        <v>105</v>
      </c>
      <c r="K853" t="str">
        <f t="shared" si="13"/>
        <v>39203</v>
      </c>
      <c r="L853">
        <v>2414142.4900000002</v>
      </c>
      <c r="M853">
        <v>0</v>
      </c>
      <c r="N853">
        <v>0</v>
      </c>
      <c r="O853">
        <v>0</v>
      </c>
      <c r="P853" s="8">
        <v>2414142.4900000002</v>
      </c>
    </row>
    <row r="854" spans="1:16">
      <c r="A854" s="1">
        <v>44713</v>
      </c>
      <c r="B854" t="s">
        <v>128</v>
      </c>
      <c r="C854" t="s">
        <v>14</v>
      </c>
      <c r="D854" t="s">
        <v>15</v>
      </c>
      <c r="E854" t="s">
        <v>33</v>
      </c>
      <c r="F854" t="s">
        <v>24</v>
      </c>
      <c r="G854" t="s">
        <v>18</v>
      </c>
      <c r="H854" t="s">
        <v>526</v>
      </c>
      <c r="I854">
        <v>8</v>
      </c>
      <c r="J854" t="s">
        <v>106</v>
      </c>
      <c r="K854" t="str">
        <f t="shared" si="13"/>
        <v>39204</v>
      </c>
      <c r="L854">
        <v>1517969.85</v>
      </c>
      <c r="M854">
        <v>0</v>
      </c>
      <c r="N854">
        <v>0</v>
      </c>
      <c r="O854">
        <v>0</v>
      </c>
      <c r="P854" s="8">
        <v>1517969.85</v>
      </c>
    </row>
    <row r="855" spans="1:16">
      <c r="A855" s="1">
        <v>44713</v>
      </c>
      <c r="B855" t="s">
        <v>128</v>
      </c>
      <c r="C855" t="s">
        <v>14</v>
      </c>
      <c r="D855" t="s">
        <v>15</v>
      </c>
      <c r="E855" t="s">
        <v>33</v>
      </c>
      <c r="F855" t="s">
        <v>24</v>
      </c>
      <c r="G855" t="s">
        <v>18</v>
      </c>
      <c r="H855" t="s">
        <v>526</v>
      </c>
      <c r="I855">
        <v>8</v>
      </c>
      <c r="J855" t="s">
        <v>107</v>
      </c>
      <c r="K855" t="str">
        <f t="shared" si="13"/>
        <v>39205</v>
      </c>
      <c r="L855">
        <v>8522184.5299999993</v>
      </c>
      <c r="M855">
        <v>24390.48</v>
      </c>
      <c r="N855">
        <v>0</v>
      </c>
      <c r="O855">
        <v>0</v>
      </c>
      <c r="P855" s="8">
        <v>8546575.0099999998</v>
      </c>
    </row>
    <row r="856" spans="1:16">
      <c r="A856" s="1">
        <v>44713</v>
      </c>
      <c r="B856" t="s">
        <v>128</v>
      </c>
      <c r="C856" t="s">
        <v>14</v>
      </c>
      <c r="D856" t="s">
        <v>15</v>
      </c>
      <c r="E856" t="s">
        <v>33</v>
      </c>
      <c r="F856" t="s">
        <v>24</v>
      </c>
      <c r="G856" t="s">
        <v>18</v>
      </c>
      <c r="H856" t="s">
        <v>526</v>
      </c>
      <c r="I856">
        <v>8</v>
      </c>
      <c r="J856" t="s">
        <v>108</v>
      </c>
      <c r="K856" t="str">
        <f t="shared" si="13"/>
        <v>39206</v>
      </c>
      <c r="L856">
        <v>2251848.61</v>
      </c>
      <c r="M856">
        <v>0</v>
      </c>
      <c r="N856">
        <v>0</v>
      </c>
      <c r="O856">
        <v>0</v>
      </c>
      <c r="P856" s="8">
        <v>2251848.61</v>
      </c>
    </row>
    <row r="857" spans="1:16">
      <c r="A857" s="1">
        <v>44713</v>
      </c>
      <c r="B857" t="s">
        <v>128</v>
      </c>
      <c r="C857" t="s">
        <v>14</v>
      </c>
      <c r="D857" t="s">
        <v>15</v>
      </c>
      <c r="E857" t="s">
        <v>33</v>
      </c>
      <c r="F857" t="s">
        <v>24</v>
      </c>
      <c r="G857" t="s">
        <v>18</v>
      </c>
      <c r="H857" t="s">
        <v>526</v>
      </c>
      <c r="I857">
        <v>8</v>
      </c>
      <c r="J857" t="s">
        <v>109</v>
      </c>
      <c r="K857" t="str">
        <f t="shared" si="13"/>
        <v>39300</v>
      </c>
      <c r="L857">
        <v>24905.31</v>
      </c>
      <c r="M857">
        <v>0</v>
      </c>
      <c r="N857">
        <v>0</v>
      </c>
      <c r="O857">
        <v>0</v>
      </c>
      <c r="P857" s="8">
        <v>24905.31</v>
      </c>
    </row>
    <row r="858" spans="1:16">
      <c r="A858" s="1">
        <v>44713</v>
      </c>
      <c r="B858" t="s">
        <v>128</v>
      </c>
      <c r="C858" t="s">
        <v>14</v>
      </c>
      <c r="D858" t="s">
        <v>15</v>
      </c>
      <c r="E858" t="s">
        <v>33</v>
      </c>
      <c r="F858" t="s">
        <v>24</v>
      </c>
      <c r="G858" t="s">
        <v>18</v>
      </c>
      <c r="H858" t="s">
        <v>526</v>
      </c>
      <c r="I858">
        <v>8</v>
      </c>
      <c r="J858" t="s">
        <v>110</v>
      </c>
      <c r="K858" t="str">
        <f t="shared" si="13"/>
        <v>39400</v>
      </c>
      <c r="L858">
        <v>3003142.6</v>
      </c>
      <c r="M858">
        <v>12300.1</v>
      </c>
      <c r="N858">
        <v>0</v>
      </c>
      <c r="O858">
        <v>0</v>
      </c>
      <c r="P858" s="8">
        <v>3015442.7</v>
      </c>
    </row>
    <row r="859" spans="1:16">
      <c r="A859" s="1">
        <v>44713</v>
      </c>
      <c r="B859" t="s">
        <v>128</v>
      </c>
      <c r="C859" t="s">
        <v>14</v>
      </c>
      <c r="D859" t="s">
        <v>15</v>
      </c>
      <c r="E859" t="s">
        <v>33</v>
      </c>
      <c r="F859" t="s">
        <v>24</v>
      </c>
      <c r="G859" t="s">
        <v>18</v>
      </c>
      <c r="H859" t="s">
        <v>526</v>
      </c>
      <c r="I859">
        <v>8</v>
      </c>
      <c r="J859" t="s">
        <v>111</v>
      </c>
      <c r="K859" t="str">
        <f t="shared" si="13"/>
        <v>39410</v>
      </c>
      <c r="L859">
        <v>14177.720000000001</v>
      </c>
      <c r="M859">
        <v>0</v>
      </c>
      <c r="N859">
        <v>0</v>
      </c>
      <c r="O859">
        <v>0</v>
      </c>
      <c r="P859" s="8">
        <v>14177.720000000001</v>
      </c>
    </row>
    <row r="860" spans="1:16">
      <c r="A860" s="1">
        <v>44713</v>
      </c>
      <c r="B860" t="s">
        <v>128</v>
      </c>
      <c r="C860" t="s">
        <v>14</v>
      </c>
      <c r="D860" t="s">
        <v>15</v>
      </c>
      <c r="E860" t="s">
        <v>33</v>
      </c>
      <c r="F860" t="s">
        <v>24</v>
      </c>
      <c r="G860" t="s">
        <v>18</v>
      </c>
      <c r="H860" t="s">
        <v>526</v>
      </c>
      <c r="I860">
        <v>8</v>
      </c>
      <c r="J860" t="s">
        <v>112</v>
      </c>
      <c r="K860" t="str">
        <f t="shared" si="13"/>
        <v>39500</v>
      </c>
      <c r="L860">
        <v>392819.85000000003</v>
      </c>
      <c r="M860">
        <v>0</v>
      </c>
      <c r="N860">
        <v>0</v>
      </c>
      <c r="O860">
        <v>0</v>
      </c>
      <c r="P860" s="8">
        <v>392819.85000000003</v>
      </c>
    </row>
    <row r="861" spans="1:16">
      <c r="A861" s="1">
        <v>44713</v>
      </c>
      <c r="B861" t="s">
        <v>128</v>
      </c>
      <c r="C861" t="s">
        <v>14</v>
      </c>
      <c r="D861" t="s">
        <v>15</v>
      </c>
      <c r="E861" t="s">
        <v>33</v>
      </c>
      <c r="F861" t="s">
        <v>24</v>
      </c>
      <c r="G861" t="s">
        <v>18</v>
      </c>
      <c r="H861" t="s">
        <v>526</v>
      </c>
      <c r="I861">
        <v>8</v>
      </c>
      <c r="J861" t="s">
        <v>113</v>
      </c>
      <c r="K861" t="str">
        <f t="shared" si="13"/>
        <v>39601</v>
      </c>
      <c r="L861">
        <v>219977.59</v>
      </c>
      <c r="M861">
        <v>0</v>
      </c>
      <c r="N861">
        <v>0</v>
      </c>
      <c r="O861">
        <v>0</v>
      </c>
      <c r="P861" s="8">
        <v>219977.59</v>
      </c>
    </row>
    <row r="862" spans="1:16">
      <c r="A862" s="1">
        <v>44713</v>
      </c>
      <c r="B862" t="s">
        <v>128</v>
      </c>
      <c r="C862" t="s">
        <v>14</v>
      </c>
      <c r="D862" t="s">
        <v>15</v>
      </c>
      <c r="E862" t="s">
        <v>33</v>
      </c>
      <c r="F862" t="s">
        <v>24</v>
      </c>
      <c r="G862" t="s">
        <v>18</v>
      </c>
      <c r="H862" t="s">
        <v>526</v>
      </c>
      <c r="I862">
        <v>8</v>
      </c>
      <c r="J862" t="s">
        <v>114</v>
      </c>
      <c r="K862" t="str">
        <f t="shared" si="13"/>
        <v>39602</v>
      </c>
      <c r="L862">
        <v>2969420.3</v>
      </c>
      <c r="M862">
        <v>0</v>
      </c>
      <c r="N862">
        <v>0</v>
      </c>
      <c r="O862">
        <v>0</v>
      </c>
      <c r="P862" s="8">
        <v>2969420.3</v>
      </c>
    </row>
    <row r="863" spans="1:16">
      <c r="A863" s="1">
        <v>44713</v>
      </c>
      <c r="B863" t="s">
        <v>128</v>
      </c>
      <c r="C863" t="s">
        <v>14</v>
      </c>
      <c r="D863" t="s">
        <v>15</v>
      </c>
      <c r="E863" t="s">
        <v>33</v>
      </c>
      <c r="F863" t="s">
        <v>24</v>
      </c>
      <c r="G863" t="s">
        <v>18</v>
      </c>
      <c r="H863" t="s">
        <v>526</v>
      </c>
      <c r="I863">
        <v>8</v>
      </c>
      <c r="J863" t="s">
        <v>115</v>
      </c>
      <c r="K863" t="str">
        <f t="shared" si="13"/>
        <v>39700</v>
      </c>
      <c r="L863">
        <v>977085.37</v>
      </c>
      <c r="M863">
        <v>0</v>
      </c>
      <c r="N863">
        <v>0</v>
      </c>
      <c r="O863">
        <v>0</v>
      </c>
      <c r="P863" s="8">
        <v>977085.37</v>
      </c>
    </row>
    <row r="864" spans="1:16">
      <c r="A864" s="1">
        <v>44713</v>
      </c>
      <c r="B864" t="s">
        <v>128</v>
      </c>
      <c r="C864" t="s">
        <v>14</v>
      </c>
      <c r="D864" t="s">
        <v>15</v>
      </c>
      <c r="E864" t="s">
        <v>33</v>
      </c>
      <c r="F864" t="s">
        <v>24</v>
      </c>
      <c r="G864" t="s">
        <v>18</v>
      </c>
      <c r="H864" t="s">
        <v>526</v>
      </c>
      <c r="I864">
        <v>8</v>
      </c>
      <c r="J864" t="s">
        <v>116</v>
      </c>
      <c r="K864" t="str">
        <f t="shared" si="13"/>
        <v>39710</v>
      </c>
      <c r="L864">
        <v>1204952.6599999999</v>
      </c>
      <c r="M864">
        <v>0</v>
      </c>
      <c r="N864">
        <v>0</v>
      </c>
      <c r="O864">
        <v>0</v>
      </c>
      <c r="P864" s="8">
        <v>1204952.6599999999</v>
      </c>
    </row>
    <row r="865" spans="1:16">
      <c r="A865" s="1">
        <v>44713</v>
      </c>
      <c r="B865" t="s">
        <v>128</v>
      </c>
      <c r="C865" t="s">
        <v>14</v>
      </c>
      <c r="D865" t="s">
        <v>15</v>
      </c>
      <c r="E865" t="s">
        <v>33</v>
      </c>
      <c r="F865" t="s">
        <v>24</v>
      </c>
      <c r="G865" t="s">
        <v>18</v>
      </c>
      <c r="H865" t="s">
        <v>526</v>
      </c>
      <c r="I865">
        <v>8</v>
      </c>
      <c r="J865" t="s">
        <v>117</v>
      </c>
      <c r="K865" t="str">
        <f t="shared" si="13"/>
        <v>39800</v>
      </c>
      <c r="L865">
        <v>149473.80000000002</v>
      </c>
      <c r="M865">
        <v>0</v>
      </c>
      <c r="N865">
        <v>0</v>
      </c>
      <c r="O865">
        <v>0</v>
      </c>
      <c r="P865" s="8">
        <v>149473.80000000002</v>
      </c>
    </row>
    <row r="866" spans="1:16">
      <c r="A866" s="1">
        <v>44713</v>
      </c>
      <c r="B866" t="s">
        <v>128</v>
      </c>
      <c r="C866" t="s">
        <v>14</v>
      </c>
      <c r="D866" t="s">
        <v>15</v>
      </c>
      <c r="E866" t="s">
        <v>33</v>
      </c>
      <c r="F866" t="s">
        <v>119</v>
      </c>
      <c r="G866" t="s">
        <v>18</v>
      </c>
      <c r="H866" t="s">
        <v>526</v>
      </c>
      <c r="I866">
        <v>8</v>
      </c>
      <c r="J866" t="s">
        <v>94</v>
      </c>
      <c r="K866" t="str">
        <f t="shared" si="13"/>
        <v>38901</v>
      </c>
      <c r="L866">
        <v>1221463.3</v>
      </c>
      <c r="M866">
        <v>0</v>
      </c>
      <c r="N866">
        <v>-952022.87</v>
      </c>
      <c r="O866">
        <v>0</v>
      </c>
      <c r="P866" s="9">
        <v>269440.43</v>
      </c>
    </row>
    <row r="867" spans="1:16">
      <c r="A867" s="1">
        <v>44713</v>
      </c>
      <c r="B867" t="s">
        <v>128</v>
      </c>
      <c r="C867" t="s">
        <v>14</v>
      </c>
      <c r="D867" t="s">
        <v>15</v>
      </c>
      <c r="E867" t="s">
        <v>16</v>
      </c>
      <c r="F867" t="s">
        <v>17</v>
      </c>
      <c r="G867" t="s">
        <v>18</v>
      </c>
      <c r="H867" t="s">
        <v>526</v>
      </c>
      <c r="I867">
        <v>8</v>
      </c>
      <c r="J867" t="s">
        <v>19</v>
      </c>
      <c r="K867" t="str">
        <f t="shared" si="13"/>
        <v>39001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16">
      <c r="A868" s="1">
        <v>44713</v>
      </c>
      <c r="B868" t="s">
        <v>128</v>
      </c>
      <c r="C868" t="s">
        <v>14</v>
      </c>
      <c r="D868" t="s">
        <v>15</v>
      </c>
      <c r="E868" t="s">
        <v>33</v>
      </c>
      <c r="F868" t="s">
        <v>17</v>
      </c>
      <c r="G868" t="s">
        <v>18</v>
      </c>
      <c r="H868" t="s">
        <v>526</v>
      </c>
      <c r="I868">
        <v>8</v>
      </c>
      <c r="J868" t="s">
        <v>94</v>
      </c>
      <c r="K868" t="str">
        <f t="shared" si="13"/>
        <v>38901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>
      <c r="A869" s="1">
        <v>44713</v>
      </c>
      <c r="B869" t="s">
        <v>128</v>
      </c>
      <c r="C869" t="s">
        <v>14</v>
      </c>
      <c r="D869" t="s">
        <v>15</v>
      </c>
      <c r="E869" t="s">
        <v>33</v>
      </c>
      <c r="F869" t="s">
        <v>17</v>
      </c>
      <c r="G869" t="s">
        <v>18</v>
      </c>
      <c r="H869" t="s">
        <v>526</v>
      </c>
      <c r="I869">
        <v>8</v>
      </c>
      <c r="J869" t="s">
        <v>19</v>
      </c>
      <c r="K869" t="str">
        <f t="shared" si="13"/>
        <v>39001</v>
      </c>
      <c r="L869">
        <v>201280.76</v>
      </c>
      <c r="M869">
        <v>99117.540000000008</v>
      </c>
      <c r="N869">
        <v>0</v>
      </c>
      <c r="O869">
        <v>0</v>
      </c>
      <c r="P869">
        <v>300398.3</v>
      </c>
    </row>
    <row r="870" spans="1:16">
      <c r="A870" s="1">
        <v>44713</v>
      </c>
      <c r="B870" t="s">
        <v>128</v>
      </c>
      <c r="C870" t="s">
        <v>14</v>
      </c>
      <c r="D870" t="s">
        <v>15</v>
      </c>
      <c r="E870" t="s">
        <v>33</v>
      </c>
      <c r="F870" t="s">
        <v>17</v>
      </c>
      <c r="G870" t="s">
        <v>18</v>
      </c>
      <c r="H870" t="s">
        <v>526</v>
      </c>
      <c r="I870">
        <v>8</v>
      </c>
      <c r="J870" t="s">
        <v>96</v>
      </c>
      <c r="K870" t="str">
        <f t="shared" si="13"/>
        <v>39051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1:16">
      <c r="A871" s="1">
        <v>44713</v>
      </c>
      <c r="B871" t="s">
        <v>128</v>
      </c>
      <c r="C871" t="s">
        <v>14</v>
      </c>
      <c r="D871" t="s">
        <v>15</v>
      </c>
      <c r="E871" t="s">
        <v>33</v>
      </c>
      <c r="F871" t="s">
        <v>17</v>
      </c>
      <c r="G871" t="s">
        <v>18</v>
      </c>
      <c r="H871" t="s">
        <v>526</v>
      </c>
      <c r="I871">
        <v>8</v>
      </c>
      <c r="J871" t="s">
        <v>97</v>
      </c>
      <c r="K871" t="str">
        <f t="shared" si="13"/>
        <v>39101</v>
      </c>
      <c r="L871">
        <v>447460.5</v>
      </c>
      <c r="M871">
        <v>0</v>
      </c>
      <c r="N871">
        <v>0</v>
      </c>
      <c r="O871">
        <v>0</v>
      </c>
      <c r="P871">
        <v>447460.5</v>
      </c>
    </row>
    <row r="872" spans="1:16">
      <c r="A872" s="1">
        <v>44713</v>
      </c>
      <c r="B872" t="s">
        <v>128</v>
      </c>
      <c r="C872" t="s">
        <v>14</v>
      </c>
      <c r="D872" t="s">
        <v>15</v>
      </c>
      <c r="E872" t="s">
        <v>33</v>
      </c>
      <c r="F872" t="s">
        <v>17</v>
      </c>
      <c r="G872" t="s">
        <v>18</v>
      </c>
      <c r="H872" t="s">
        <v>526</v>
      </c>
      <c r="I872">
        <v>8</v>
      </c>
      <c r="J872" t="s">
        <v>98</v>
      </c>
      <c r="K872" t="str">
        <f t="shared" si="13"/>
        <v>39103</v>
      </c>
      <c r="L872">
        <v>177814.09</v>
      </c>
      <c r="M872">
        <v>0</v>
      </c>
      <c r="N872">
        <v>0</v>
      </c>
      <c r="O872">
        <v>0</v>
      </c>
      <c r="P872">
        <v>177814.09</v>
      </c>
    </row>
    <row r="873" spans="1:16">
      <c r="A873" s="1">
        <v>44713</v>
      </c>
      <c r="B873" t="s">
        <v>128</v>
      </c>
      <c r="C873" t="s">
        <v>14</v>
      </c>
      <c r="D873" t="s">
        <v>15</v>
      </c>
      <c r="E873" t="s">
        <v>33</v>
      </c>
      <c r="F873" t="s">
        <v>17</v>
      </c>
      <c r="G873" t="s">
        <v>18</v>
      </c>
      <c r="H873" t="s">
        <v>526</v>
      </c>
      <c r="I873">
        <v>8</v>
      </c>
      <c r="J873" t="s">
        <v>99</v>
      </c>
      <c r="K873" t="str">
        <f t="shared" si="13"/>
        <v>39104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1:16">
      <c r="A874" s="1">
        <v>44713</v>
      </c>
      <c r="B874" t="s">
        <v>128</v>
      </c>
      <c r="C874" t="s">
        <v>14</v>
      </c>
      <c r="D874" t="s">
        <v>15</v>
      </c>
      <c r="E874" t="s">
        <v>33</v>
      </c>
      <c r="F874" t="s">
        <v>17</v>
      </c>
      <c r="G874" t="s">
        <v>18</v>
      </c>
      <c r="H874" t="s">
        <v>526</v>
      </c>
      <c r="I874">
        <v>8</v>
      </c>
      <c r="J874" t="s">
        <v>103</v>
      </c>
      <c r="K874" t="str">
        <f t="shared" si="13"/>
        <v>39201</v>
      </c>
      <c r="L874">
        <v>81941.77</v>
      </c>
      <c r="M874">
        <v>0</v>
      </c>
      <c r="N874">
        <v>0</v>
      </c>
      <c r="O874">
        <v>0</v>
      </c>
      <c r="P874">
        <v>81941.77</v>
      </c>
    </row>
    <row r="875" spans="1:16">
      <c r="A875" s="1">
        <v>44713</v>
      </c>
      <c r="B875" t="s">
        <v>128</v>
      </c>
      <c r="C875" t="s">
        <v>14</v>
      </c>
      <c r="D875" t="s">
        <v>15</v>
      </c>
      <c r="E875" t="s">
        <v>33</v>
      </c>
      <c r="F875" t="s">
        <v>17</v>
      </c>
      <c r="G875" t="s">
        <v>18</v>
      </c>
      <c r="H875" t="s">
        <v>526</v>
      </c>
      <c r="I875">
        <v>8</v>
      </c>
      <c r="J875" t="s">
        <v>104</v>
      </c>
      <c r="K875" t="str">
        <f t="shared" si="13"/>
        <v>39202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1:16">
      <c r="A876" s="1">
        <v>44713</v>
      </c>
      <c r="B876" t="s">
        <v>128</v>
      </c>
      <c r="C876" t="s">
        <v>14</v>
      </c>
      <c r="D876" t="s">
        <v>15</v>
      </c>
      <c r="E876" t="s">
        <v>33</v>
      </c>
      <c r="F876" t="s">
        <v>17</v>
      </c>
      <c r="G876" t="s">
        <v>18</v>
      </c>
      <c r="H876" t="s">
        <v>526</v>
      </c>
      <c r="I876">
        <v>8</v>
      </c>
      <c r="J876" t="s">
        <v>105</v>
      </c>
      <c r="K876" t="str">
        <f t="shared" si="13"/>
        <v>39203</v>
      </c>
      <c r="L876">
        <v>369369.59</v>
      </c>
      <c r="M876">
        <v>0</v>
      </c>
      <c r="N876">
        <v>0</v>
      </c>
      <c r="O876">
        <v>0</v>
      </c>
      <c r="P876">
        <v>369369.59</v>
      </c>
    </row>
    <row r="877" spans="1:16">
      <c r="A877" s="1">
        <v>44713</v>
      </c>
      <c r="B877" t="s">
        <v>128</v>
      </c>
      <c r="C877" t="s">
        <v>14</v>
      </c>
      <c r="D877" t="s">
        <v>15</v>
      </c>
      <c r="E877" t="s">
        <v>33</v>
      </c>
      <c r="F877" t="s">
        <v>17</v>
      </c>
      <c r="G877" t="s">
        <v>18</v>
      </c>
      <c r="H877" t="s">
        <v>526</v>
      </c>
      <c r="I877">
        <v>8</v>
      </c>
      <c r="J877" t="s">
        <v>106</v>
      </c>
      <c r="K877" t="str">
        <f t="shared" si="13"/>
        <v>39204</v>
      </c>
      <c r="L877">
        <v>519251.97000000003</v>
      </c>
      <c r="M877">
        <v>0</v>
      </c>
      <c r="N877">
        <v>0</v>
      </c>
      <c r="O877">
        <v>0</v>
      </c>
      <c r="P877">
        <v>519251.97000000003</v>
      </c>
    </row>
    <row r="878" spans="1:16">
      <c r="A878" s="1">
        <v>44713</v>
      </c>
      <c r="B878" t="s">
        <v>128</v>
      </c>
      <c r="C878" t="s">
        <v>14</v>
      </c>
      <c r="D878" t="s">
        <v>15</v>
      </c>
      <c r="E878" t="s">
        <v>33</v>
      </c>
      <c r="F878" t="s">
        <v>17</v>
      </c>
      <c r="G878" t="s">
        <v>18</v>
      </c>
      <c r="H878" t="s">
        <v>526</v>
      </c>
      <c r="I878">
        <v>8</v>
      </c>
      <c r="J878" t="s">
        <v>107</v>
      </c>
      <c r="K878" t="str">
        <f t="shared" si="13"/>
        <v>39205</v>
      </c>
      <c r="L878">
        <v>3900618.99</v>
      </c>
      <c r="M878">
        <v>105855.09</v>
      </c>
      <c r="N878">
        <v>0</v>
      </c>
      <c r="O878">
        <v>0</v>
      </c>
      <c r="P878">
        <v>4006474.08</v>
      </c>
    </row>
    <row r="879" spans="1:16">
      <c r="A879" s="1">
        <v>44713</v>
      </c>
      <c r="B879" t="s">
        <v>128</v>
      </c>
      <c r="C879" t="s">
        <v>14</v>
      </c>
      <c r="D879" t="s">
        <v>15</v>
      </c>
      <c r="E879" t="s">
        <v>33</v>
      </c>
      <c r="F879" t="s">
        <v>17</v>
      </c>
      <c r="G879" t="s">
        <v>18</v>
      </c>
      <c r="H879" t="s">
        <v>526</v>
      </c>
      <c r="I879">
        <v>8</v>
      </c>
      <c r="J879" t="s">
        <v>108</v>
      </c>
      <c r="K879" t="str">
        <f t="shared" si="13"/>
        <v>39206</v>
      </c>
      <c r="L879">
        <v>85329.02</v>
      </c>
      <c r="M879">
        <v>2427.42</v>
      </c>
      <c r="N879">
        <v>0</v>
      </c>
      <c r="O879">
        <v>0</v>
      </c>
      <c r="P879">
        <v>87756.44</v>
      </c>
    </row>
    <row r="880" spans="1:16">
      <c r="A880" s="1">
        <v>44713</v>
      </c>
      <c r="B880" t="s">
        <v>128</v>
      </c>
      <c r="C880" t="s">
        <v>14</v>
      </c>
      <c r="D880" t="s">
        <v>15</v>
      </c>
      <c r="E880" t="s">
        <v>33</v>
      </c>
      <c r="F880" t="s">
        <v>17</v>
      </c>
      <c r="G880" t="s">
        <v>18</v>
      </c>
      <c r="H880" t="s">
        <v>526</v>
      </c>
      <c r="I880">
        <v>8</v>
      </c>
      <c r="J880" t="s">
        <v>109</v>
      </c>
      <c r="K880" t="str">
        <f t="shared" si="13"/>
        <v>39300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1:16">
      <c r="A881" s="1">
        <v>44713</v>
      </c>
      <c r="B881" t="s">
        <v>128</v>
      </c>
      <c r="C881" t="s">
        <v>14</v>
      </c>
      <c r="D881" t="s">
        <v>15</v>
      </c>
      <c r="E881" t="s">
        <v>33</v>
      </c>
      <c r="F881" t="s">
        <v>17</v>
      </c>
      <c r="G881" t="s">
        <v>18</v>
      </c>
      <c r="H881" t="s">
        <v>526</v>
      </c>
      <c r="I881">
        <v>8</v>
      </c>
      <c r="J881" t="s">
        <v>110</v>
      </c>
      <c r="K881" t="str">
        <f t="shared" si="13"/>
        <v>39400</v>
      </c>
      <c r="L881">
        <v>57008.480000000003</v>
      </c>
      <c r="M881">
        <v>80525.81</v>
      </c>
      <c r="N881">
        <v>0</v>
      </c>
      <c r="O881">
        <v>0</v>
      </c>
      <c r="P881">
        <v>137534.29</v>
      </c>
    </row>
    <row r="882" spans="1:16">
      <c r="A882" s="1">
        <v>44713</v>
      </c>
      <c r="B882" t="s">
        <v>128</v>
      </c>
      <c r="C882" t="s">
        <v>14</v>
      </c>
      <c r="D882" t="s">
        <v>15</v>
      </c>
      <c r="E882" t="s">
        <v>33</v>
      </c>
      <c r="F882" t="s">
        <v>17</v>
      </c>
      <c r="G882" t="s">
        <v>18</v>
      </c>
      <c r="H882" t="s">
        <v>526</v>
      </c>
      <c r="I882">
        <v>8</v>
      </c>
      <c r="J882" t="s">
        <v>111</v>
      </c>
      <c r="K882" t="str">
        <f t="shared" si="13"/>
        <v>39410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1:16">
      <c r="A883" s="1">
        <v>44713</v>
      </c>
      <c r="B883" t="s">
        <v>128</v>
      </c>
      <c r="C883" t="s">
        <v>14</v>
      </c>
      <c r="D883" t="s">
        <v>15</v>
      </c>
      <c r="E883" t="s">
        <v>33</v>
      </c>
      <c r="F883" t="s">
        <v>17</v>
      </c>
      <c r="G883" t="s">
        <v>18</v>
      </c>
      <c r="H883" t="s">
        <v>526</v>
      </c>
      <c r="I883">
        <v>8</v>
      </c>
      <c r="J883" t="s">
        <v>112</v>
      </c>
      <c r="K883" t="str">
        <f t="shared" si="13"/>
        <v>39500</v>
      </c>
      <c r="L883">
        <v>12300.1</v>
      </c>
      <c r="M883">
        <v>-12300.1</v>
      </c>
      <c r="N883">
        <v>0</v>
      </c>
      <c r="O883">
        <v>0</v>
      </c>
      <c r="P883">
        <v>0</v>
      </c>
    </row>
    <row r="884" spans="1:16">
      <c r="A884" s="1">
        <v>44713</v>
      </c>
      <c r="B884" t="s">
        <v>128</v>
      </c>
      <c r="C884" t="s">
        <v>14</v>
      </c>
      <c r="D884" t="s">
        <v>15</v>
      </c>
      <c r="E884" t="s">
        <v>33</v>
      </c>
      <c r="F884" t="s">
        <v>17</v>
      </c>
      <c r="G884" t="s">
        <v>18</v>
      </c>
      <c r="H884" t="s">
        <v>526</v>
      </c>
      <c r="I884">
        <v>8</v>
      </c>
      <c r="J884" t="s">
        <v>113</v>
      </c>
      <c r="K884" t="str">
        <f t="shared" si="13"/>
        <v>39601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1:16">
      <c r="A885" s="1">
        <v>44713</v>
      </c>
      <c r="B885" t="s">
        <v>128</v>
      </c>
      <c r="C885" t="s">
        <v>14</v>
      </c>
      <c r="D885" t="s">
        <v>15</v>
      </c>
      <c r="E885" t="s">
        <v>33</v>
      </c>
      <c r="F885" t="s">
        <v>17</v>
      </c>
      <c r="G885" t="s">
        <v>18</v>
      </c>
      <c r="H885" t="s">
        <v>526</v>
      </c>
      <c r="I885">
        <v>8</v>
      </c>
      <c r="J885" t="s">
        <v>114</v>
      </c>
      <c r="K885" t="str">
        <f t="shared" si="13"/>
        <v>39602</v>
      </c>
      <c r="L885">
        <v>373059.9</v>
      </c>
      <c r="M885">
        <v>0</v>
      </c>
      <c r="N885">
        <v>0</v>
      </c>
      <c r="O885">
        <v>0</v>
      </c>
      <c r="P885">
        <v>373059.9</v>
      </c>
    </row>
    <row r="886" spans="1:16">
      <c r="A886" s="1">
        <v>44713</v>
      </c>
      <c r="B886" t="s">
        <v>128</v>
      </c>
      <c r="C886" t="s">
        <v>14</v>
      </c>
      <c r="D886" t="s">
        <v>15</v>
      </c>
      <c r="E886" t="s">
        <v>33</v>
      </c>
      <c r="F886" t="s">
        <v>17</v>
      </c>
      <c r="G886" t="s">
        <v>18</v>
      </c>
      <c r="H886" t="s">
        <v>526</v>
      </c>
      <c r="I886">
        <v>8</v>
      </c>
      <c r="J886" t="s">
        <v>115</v>
      </c>
      <c r="K886" t="str">
        <f t="shared" si="13"/>
        <v>39700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1:16">
      <c r="A887" s="1">
        <v>44713</v>
      </c>
      <c r="B887" t="s">
        <v>128</v>
      </c>
      <c r="C887" t="s">
        <v>14</v>
      </c>
      <c r="D887" t="s">
        <v>15</v>
      </c>
      <c r="E887" t="s">
        <v>33</v>
      </c>
      <c r="F887" t="s">
        <v>17</v>
      </c>
      <c r="G887" t="s">
        <v>18</v>
      </c>
      <c r="H887" t="s">
        <v>526</v>
      </c>
      <c r="I887">
        <v>8</v>
      </c>
      <c r="J887" t="s">
        <v>116</v>
      </c>
      <c r="K887" t="str">
        <f t="shared" si="13"/>
        <v>39710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>
      <c r="A888" s="1">
        <v>44713</v>
      </c>
      <c r="B888" t="s">
        <v>128</v>
      </c>
      <c r="C888" t="s">
        <v>14</v>
      </c>
      <c r="D888" t="s">
        <v>15</v>
      </c>
      <c r="E888" t="s">
        <v>33</v>
      </c>
      <c r="F888" t="s">
        <v>17</v>
      </c>
      <c r="G888" t="s">
        <v>18</v>
      </c>
      <c r="H888" t="s">
        <v>526</v>
      </c>
      <c r="I888">
        <v>8</v>
      </c>
      <c r="J888" t="s">
        <v>117</v>
      </c>
      <c r="K888" t="str">
        <f t="shared" si="13"/>
        <v>39800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1:16">
      <c r="A889" s="1">
        <v>44743</v>
      </c>
      <c r="B889" t="s">
        <v>127</v>
      </c>
      <c r="C889" t="s">
        <v>14</v>
      </c>
      <c r="D889" t="s">
        <v>15</v>
      </c>
      <c r="E889" t="s">
        <v>33</v>
      </c>
      <c r="F889" t="s">
        <v>24</v>
      </c>
      <c r="G889" t="s">
        <v>18</v>
      </c>
      <c r="H889" t="s">
        <v>526</v>
      </c>
      <c r="I889">
        <v>8</v>
      </c>
      <c r="J889" t="s">
        <v>94</v>
      </c>
      <c r="K889" t="str">
        <f t="shared" si="13"/>
        <v>38901</v>
      </c>
      <c r="L889">
        <v>261405.4</v>
      </c>
      <c r="M889">
        <v>0</v>
      </c>
      <c r="N889">
        <v>0</v>
      </c>
      <c r="O889">
        <v>0</v>
      </c>
      <c r="P889" s="8">
        <v>261405.4</v>
      </c>
    </row>
    <row r="890" spans="1:16">
      <c r="A890" s="1">
        <v>44743</v>
      </c>
      <c r="B890" t="s">
        <v>127</v>
      </c>
      <c r="C890" t="s">
        <v>14</v>
      </c>
      <c r="D890" t="s">
        <v>15</v>
      </c>
      <c r="E890" t="s">
        <v>33</v>
      </c>
      <c r="F890" t="s">
        <v>24</v>
      </c>
      <c r="G890" t="s">
        <v>18</v>
      </c>
      <c r="H890" t="s">
        <v>526</v>
      </c>
      <c r="I890">
        <v>8</v>
      </c>
      <c r="J890" t="s">
        <v>95</v>
      </c>
      <c r="K890" t="str">
        <f t="shared" si="13"/>
        <v>38902</v>
      </c>
      <c r="L890">
        <v>22532.78</v>
      </c>
      <c r="M890">
        <v>0</v>
      </c>
      <c r="N890">
        <v>0</v>
      </c>
      <c r="O890">
        <v>0</v>
      </c>
      <c r="P890" s="8">
        <v>22532.78</v>
      </c>
    </row>
    <row r="891" spans="1:16">
      <c r="A891" s="1">
        <v>44743</v>
      </c>
      <c r="B891" t="s">
        <v>127</v>
      </c>
      <c r="C891" t="s">
        <v>14</v>
      </c>
      <c r="D891" t="s">
        <v>15</v>
      </c>
      <c r="E891" t="s">
        <v>33</v>
      </c>
      <c r="F891" t="s">
        <v>24</v>
      </c>
      <c r="G891" t="s">
        <v>18</v>
      </c>
      <c r="H891" t="s">
        <v>526</v>
      </c>
      <c r="I891">
        <v>8</v>
      </c>
      <c r="J891" t="s">
        <v>19</v>
      </c>
      <c r="K891" t="str">
        <f t="shared" si="13"/>
        <v>39001</v>
      </c>
      <c r="L891">
        <v>7416342.1399999997</v>
      </c>
      <c r="M891">
        <v>457246.9</v>
      </c>
      <c r="N891">
        <v>-160897.93</v>
      </c>
      <c r="O891">
        <v>0</v>
      </c>
      <c r="P891" s="8">
        <v>7712691.1100000003</v>
      </c>
    </row>
    <row r="892" spans="1:16">
      <c r="A892" s="1">
        <v>44743</v>
      </c>
      <c r="B892" t="s">
        <v>127</v>
      </c>
      <c r="C892" t="s">
        <v>14</v>
      </c>
      <c r="D892" t="s">
        <v>15</v>
      </c>
      <c r="E892" t="s">
        <v>33</v>
      </c>
      <c r="F892" t="s">
        <v>24</v>
      </c>
      <c r="G892" t="s">
        <v>18</v>
      </c>
      <c r="H892" t="s">
        <v>526</v>
      </c>
      <c r="I892">
        <v>8</v>
      </c>
      <c r="J892" t="s">
        <v>96</v>
      </c>
      <c r="K892" t="str">
        <f t="shared" si="13"/>
        <v>39051</v>
      </c>
      <c r="L892">
        <v>1426861.24</v>
      </c>
      <c r="M892">
        <v>0</v>
      </c>
      <c r="N892">
        <v>0</v>
      </c>
      <c r="O892">
        <v>0</v>
      </c>
      <c r="P892" s="8">
        <v>1426861.24</v>
      </c>
    </row>
    <row r="893" spans="1:16">
      <c r="A893" s="1">
        <v>44743</v>
      </c>
      <c r="B893" t="s">
        <v>127</v>
      </c>
      <c r="C893" t="s">
        <v>14</v>
      </c>
      <c r="D893" t="s">
        <v>15</v>
      </c>
      <c r="E893" t="s">
        <v>33</v>
      </c>
      <c r="F893" t="s">
        <v>24</v>
      </c>
      <c r="G893" t="s">
        <v>18</v>
      </c>
      <c r="H893" t="s">
        <v>526</v>
      </c>
      <c r="I893">
        <v>8</v>
      </c>
      <c r="J893" t="s">
        <v>97</v>
      </c>
      <c r="K893" t="str">
        <f t="shared" si="13"/>
        <v>39101</v>
      </c>
      <c r="L893">
        <v>1337925.97</v>
      </c>
      <c r="M893">
        <v>0</v>
      </c>
      <c r="N893">
        <v>0</v>
      </c>
      <c r="O893">
        <v>0</v>
      </c>
      <c r="P893" s="8">
        <v>1337925.97</v>
      </c>
    </row>
    <row r="894" spans="1:16">
      <c r="A894" s="1">
        <v>44743</v>
      </c>
      <c r="B894" t="s">
        <v>127</v>
      </c>
      <c r="C894" t="s">
        <v>14</v>
      </c>
      <c r="D894" t="s">
        <v>15</v>
      </c>
      <c r="E894" t="s">
        <v>33</v>
      </c>
      <c r="F894" t="s">
        <v>24</v>
      </c>
      <c r="G894" t="s">
        <v>18</v>
      </c>
      <c r="H894" t="s">
        <v>526</v>
      </c>
      <c r="I894">
        <v>8</v>
      </c>
      <c r="J894" t="s">
        <v>98</v>
      </c>
      <c r="K894" t="str">
        <f t="shared" si="13"/>
        <v>39103</v>
      </c>
      <c r="L894">
        <v>678224.72</v>
      </c>
      <c r="M894">
        <v>177814.09</v>
      </c>
      <c r="N894">
        <v>0</v>
      </c>
      <c r="O894">
        <v>0</v>
      </c>
      <c r="P894" s="8">
        <v>856038.81</v>
      </c>
    </row>
    <row r="895" spans="1:16">
      <c r="A895" s="1">
        <v>44743</v>
      </c>
      <c r="B895" t="s">
        <v>127</v>
      </c>
      <c r="C895" t="s">
        <v>14</v>
      </c>
      <c r="D895" t="s">
        <v>15</v>
      </c>
      <c r="E895" t="s">
        <v>33</v>
      </c>
      <c r="F895" t="s">
        <v>24</v>
      </c>
      <c r="G895" t="s">
        <v>18</v>
      </c>
      <c r="H895" t="s">
        <v>526</v>
      </c>
      <c r="I895">
        <v>8</v>
      </c>
      <c r="J895" t="s">
        <v>99</v>
      </c>
      <c r="K895" t="str">
        <f t="shared" si="13"/>
        <v>39104</v>
      </c>
      <c r="L895">
        <v>14712</v>
      </c>
      <c r="M895">
        <v>0</v>
      </c>
      <c r="N895">
        <v>0</v>
      </c>
      <c r="O895">
        <v>0</v>
      </c>
      <c r="P895" s="8">
        <v>14712</v>
      </c>
    </row>
    <row r="896" spans="1:16">
      <c r="A896" s="1">
        <v>44743</v>
      </c>
      <c r="B896" t="s">
        <v>127</v>
      </c>
      <c r="C896" t="s">
        <v>14</v>
      </c>
      <c r="D896" t="s">
        <v>15</v>
      </c>
      <c r="E896" t="s">
        <v>33</v>
      </c>
      <c r="F896" t="s">
        <v>24</v>
      </c>
      <c r="G896" t="s">
        <v>18</v>
      </c>
      <c r="H896" t="s">
        <v>526</v>
      </c>
      <c r="I896">
        <v>8</v>
      </c>
      <c r="J896" t="s">
        <v>100</v>
      </c>
      <c r="K896" t="str">
        <f t="shared" si="13"/>
        <v>39105</v>
      </c>
      <c r="L896">
        <v>0</v>
      </c>
      <c r="M896">
        <v>0</v>
      </c>
      <c r="N896">
        <v>0</v>
      </c>
      <c r="O896">
        <v>0</v>
      </c>
      <c r="P896" s="8">
        <v>0</v>
      </c>
    </row>
    <row r="897" spans="1:16">
      <c r="A897" s="1">
        <v>44743</v>
      </c>
      <c r="B897" t="s">
        <v>127</v>
      </c>
      <c r="C897" t="s">
        <v>14</v>
      </c>
      <c r="D897" t="s">
        <v>15</v>
      </c>
      <c r="E897" t="s">
        <v>33</v>
      </c>
      <c r="F897" t="s">
        <v>24</v>
      </c>
      <c r="G897" t="s">
        <v>18</v>
      </c>
      <c r="H897" t="s">
        <v>526</v>
      </c>
      <c r="I897">
        <v>8</v>
      </c>
      <c r="J897" t="s">
        <v>101</v>
      </c>
      <c r="K897" t="str">
        <f t="shared" si="13"/>
        <v>39107</v>
      </c>
      <c r="L897">
        <v>0</v>
      </c>
      <c r="M897">
        <v>0</v>
      </c>
      <c r="N897">
        <v>0</v>
      </c>
      <c r="O897">
        <v>0</v>
      </c>
      <c r="P897" s="8">
        <v>0</v>
      </c>
    </row>
    <row r="898" spans="1:16">
      <c r="A898" s="1">
        <v>44743</v>
      </c>
      <c r="B898" t="s">
        <v>127</v>
      </c>
      <c r="C898" t="s">
        <v>14</v>
      </c>
      <c r="D898" t="s">
        <v>15</v>
      </c>
      <c r="E898" t="s">
        <v>33</v>
      </c>
      <c r="F898" t="s">
        <v>24</v>
      </c>
      <c r="G898" t="s">
        <v>18</v>
      </c>
      <c r="H898" t="s">
        <v>526</v>
      </c>
      <c r="I898">
        <v>8</v>
      </c>
      <c r="J898" t="s">
        <v>102</v>
      </c>
      <c r="K898" t="str">
        <f t="shared" ref="K898:K961" si="14">MID(J898,2,5)</f>
        <v>39159</v>
      </c>
      <c r="L898">
        <v>0</v>
      </c>
      <c r="M898">
        <v>0</v>
      </c>
      <c r="N898">
        <v>0</v>
      </c>
      <c r="O898">
        <v>0</v>
      </c>
      <c r="P898" s="8">
        <v>0</v>
      </c>
    </row>
    <row r="899" spans="1:16">
      <c r="A899" s="1">
        <v>44743</v>
      </c>
      <c r="B899" t="s">
        <v>127</v>
      </c>
      <c r="C899" t="s">
        <v>14</v>
      </c>
      <c r="D899" t="s">
        <v>15</v>
      </c>
      <c r="E899" t="s">
        <v>33</v>
      </c>
      <c r="F899" t="s">
        <v>24</v>
      </c>
      <c r="G899" t="s">
        <v>18</v>
      </c>
      <c r="H899" t="s">
        <v>526</v>
      </c>
      <c r="I899">
        <v>8</v>
      </c>
      <c r="J899" t="s">
        <v>103</v>
      </c>
      <c r="K899" t="str">
        <f t="shared" si="14"/>
        <v>39201</v>
      </c>
      <c r="L899">
        <v>134983.86000000002</v>
      </c>
      <c r="M899">
        <v>81941.77</v>
      </c>
      <c r="N899">
        <v>0</v>
      </c>
      <c r="O899">
        <v>0</v>
      </c>
      <c r="P899" s="8">
        <v>216925.63</v>
      </c>
    </row>
    <row r="900" spans="1:16">
      <c r="A900" s="1">
        <v>44743</v>
      </c>
      <c r="B900" t="s">
        <v>127</v>
      </c>
      <c r="C900" t="s">
        <v>14</v>
      </c>
      <c r="D900" t="s">
        <v>15</v>
      </c>
      <c r="E900" t="s">
        <v>33</v>
      </c>
      <c r="F900" t="s">
        <v>24</v>
      </c>
      <c r="G900" t="s">
        <v>18</v>
      </c>
      <c r="H900" t="s">
        <v>526</v>
      </c>
      <c r="I900">
        <v>8</v>
      </c>
      <c r="J900" t="s">
        <v>104</v>
      </c>
      <c r="K900" t="str">
        <f t="shared" si="14"/>
        <v>39202</v>
      </c>
      <c r="L900">
        <v>45525.16</v>
      </c>
      <c r="M900">
        <v>0</v>
      </c>
      <c r="N900">
        <v>0</v>
      </c>
      <c r="O900">
        <v>0</v>
      </c>
      <c r="P900" s="8">
        <v>45525.16</v>
      </c>
    </row>
    <row r="901" spans="1:16">
      <c r="A901" s="1">
        <v>44743</v>
      </c>
      <c r="B901" t="s">
        <v>127</v>
      </c>
      <c r="C901" t="s">
        <v>14</v>
      </c>
      <c r="D901" t="s">
        <v>15</v>
      </c>
      <c r="E901" t="s">
        <v>33</v>
      </c>
      <c r="F901" t="s">
        <v>24</v>
      </c>
      <c r="G901" t="s">
        <v>18</v>
      </c>
      <c r="H901" t="s">
        <v>526</v>
      </c>
      <c r="I901">
        <v>8</v>
      </c>
      <c r="J901" t="s">
        <v>105</v>
      </c>
      <c r="K901" t="str">
        <f t="shared" si="14"/>
        <v>39203</v>
      </c>
      <c r="L901">
        <v>2414142.4900000002</v>
      </c>
      <c r="M901">
        <v>146149.36000000002</v>
      </c>
      <c r="N901">
        <v>-53228.73</v>
      </c>
      <c r="O901">
        <v>0</v>
      </c>
      <c r="P901" s="8">
        <v>2507063.12</v>
      </c>
    </row>
    <row r="902" spans="1:16">
      <c r="A902" s="1">
        <v>44743</v>
      </c>
      <c r="B902" t="s">
        <v>127</v>
      </c>
      <c r="C902" t="s">
        <v>14</v>
      </c>
      <c r="D902" t="s">
        <v>15</v>
      </c>
      <c r="E902" t="s">
        <v>33</v>
      </c>
      <c r="F902" t="s">
        <v>24</v>
      </c>
      <c r="G902" t="s">
        <v>18</v>
      </c>
      <c r="H902" t="s">
        <v>526</v>
      </c>
      <c r="I902">
        <v>8</v>
      </c>
      <c r="J902" t="s">
        <v>106</v>
      </c>
      <c r="K902" t="str">
        <f t="shared" si="14"/>
        <v>39204</v>
      </c>
      <c r="L902">
        <v>1517969.85</v>
      </c>
      <c r="M902">
        <v>257326.93</v>
      </c>
      <c r="N902">
        <v>-17036.189999999999</v>
      </c>
      <c r="O902">
        <v>0</v>
      </c>
      <c r="P902" s="8">
        <v>1758260.5899999999</v>
      </c>
    </row>
    <row r="903" spans="1:16">
      <c r="A903" s="1">
        <v>44743</v>
      </c>
      <c r="B903" t="s">
        <v>127</v>
      </c>
      <c r="C903" t="s">
        <v>14</v>
      </c>
      <c r="D903" t="s">
        <v>15</v>
      </c>
      <c r="E903" t="s">
        <v>33</v>
      </c>
      <c r="F903" t="s">
        <v>24</v>
      </c>
      <c r="G903" t="s">
        <v>18</v>
      </c>
      <c r="H903" t="s">
        <v>526</v>
      </c>
      <c r="I903">
        <v>8</v>
      </c>
      <c r="J903" t="s">
        <v>107</v>
      </c>
      <c r="K903" t="str">
        <f t="shared" si="14"/>
        <v>39205</v>
      </c>
      <c r="L903">
        <v>8546575.0099999998</v>
      </c>
      <c r="M903">
        <v>535014.53</v>
      </c>
      <c r="N903">
        <v>0</v>
      </c>
      <c r="O903">
        <v>0</v>
      </c>
      <c r="P903" s="8">
        <v>9081589.5399999991</v>
      </c>
    </row>
    <row r="904" spans="1:16">
      <c r="A904" s="1">
        <v>44743</v>
      </c>
      <c r="B904" t="s">
        <v>127</v>
      </c>
      <c r="C904" t="s">
        <v>14</v>
      </c>
      <c r="D904" t="s">
        <v>15</v>
      </c>
      <c r="E904" t="s">
        <v>33</v>
      </c>
      <c r="F904" t="s">
        <v>24</v>
      </c>
      <c r="G904" t="s">
        <v>18</v>
      </c>
      <c r="H904" t="s">
        <v>526</v>
      </c>
      <c r="I904">
        <v>8</v>
      </c>
      <c r="J904" t="s">
        <v>108</v>
      </c>
      <c r="K904" t="str">
        <f t="shared" si="14"/>
        <v>39206</v>
      </c>
      <c r="L904">
        <v>2251848.61</v>
      </c>
      <c r="M904">
        <v>87251.55</v>
      </c>
      <c r="N904">
        <v>0</v>
      </c>
      <c r="O904">
        <v>0</v>
      </c>
      <c r="P904" s="8">
        <v>2339100.16</v>
      </c>
    </row>
    <row r="905" spans="1:16">
      <c r="A905" s="1">
        <v>44743</v>
      </c>
      <c r="B905" t="s">
        <v>127</v>
      </c>
      <c r="C905" t="s">
        <v>14</v>
      </c>
      <c r="D905" t="s">
        <v>15</v>
      </c>
      <c r="E905" t="s">
        <v>33</v>
      </c>
      <c r="F905" t="s">
        <v>24</v>
      </c>
      <c r="G905" t="s">
        <v>18</v>
      </c>
      <c r="H905" t="s">
        <v>526</v>
      </c>
      <c r="I905">
        <v>8</v>
      </c>
      <c r="J905" t="s">
        <v>109</v>
      </c>
      <c r="K905" t="str">
        <f t="shared" si="14"/>
        <v>39300</v>
      </c>
      <c r="L905">
        <v>24905.31</v>
      </c>
      <c r="M905">
        <v>0</v>
      </c>
      <c r="N905">
        <v>0</v>
      </c>
      <c r="O905">
        <v>0</v>
      </c>
      <c r="P905" s="8">
        <v>24905.31</v>
      </c>
    </row>
    <row r="906" spans="1:16">
      <c r="A906" s="1">
        <v>44743</v>
      </c>
      <c r="B906" t="s">
        <v>127</v>
      </c>
      <c r="C906" t="s">
        <v>14</v>
      </c>
      <c r="D906" t="s">
        <v>15</v>
      </c>
      <c r="E906" t="s">
        <v>33</v>
      </c>
      <c r="F906" t="s">
        <v>24</v>
      </c>
      <c r="G906" t="s">
        <v>18</v>
      </c>
      <c r="H906" t="s">
        <v>526</v>
      </c>
      <c r="I906">
        <v>8</v>
      </c>
      <c r="J906" t="s">
        <v>110</v>
      </c>
      <c r="K906" t="str">
        <f t="shared" si="14"/>
        <v>39400</v>
      </c>
      <c r="L906">
        <v>3015442.7</v>
      </c>
      <c r="M906">
        <v>0</v>
      </c>
      <c r="N906">
        <v>-55798.03</v>
      </c>
      <c r="O906">
        <v>0</v>
      </c>
      <c r="P906" s="8">
        <v>2959644.67</v>
      </c>
    </row>
    <row r="907" spans="1:16">
      <c r="A907" s="1">
        <v>44743</v>
      </c>
      <c r="B907" t="s">
        <v>127</v>
      </c>
      <c r="C907" t="s">
        <v>14</v>
      </c>
      <c r="D907" t="s">
        <v>15</v>
      </c>
      <c r="E907" t="s">
        <v>33</v>
      </c>
      <c r="F907" t="s">
        <v>24</v>
      </c>
      <c r="G907" t="s">
        <v>18</v>
      </c>
      <c r="H907" t="s">
        <v>526</v>
      </c>
      <c r="I907">
        <v>8</v>
      </c>
      <c r="J907" t="s">
        <v>111</v>
      </c>
      <c r="K907" t="str">
        <f t="shared" si="14"/>
        <v>39410</v>
      </c>
      <c r="L907">
        <v>14177.720000000001</v>
      </c>
      <c r="M907">
        <v>0</v>
      </c>
      <c r="N907">
        <v>0</v>
      </c>
      <c r="O907">
        <v>0</v>
      </c>
      <c r="P907" s="8">
        <v>14177.720000000001</v>
      </c>
    </row>
    <row r="908" spans="1:16">
      <c r="A908" s="1">
        <v>44743</v>
      </c>
      <c r="B908" t="s">
        <v>127</v>
      </c>
      <c r="C908" t="s">
        <v>14</v>
      </c>
      <c r="D908" t="s">
        <v>15</v>
      </c>
      <c r="E908" t="s">
        <v>33</v>
      </c>
      <c r="F908" t="s">
        <v>24</v>
      </c>
      <c r="G908" t="s">
        <v>18</v>
      </c>
      <c r="H908" t="s">
        <v>526</v>
      </c>
      <c r="I908">
        <v>8</v>
      </c>
      <c r="J908" t="s">
        <v>112</v>
      </c>
      <c r="K908" t="str">
        <f t="shared" si="14"/>
        <v>39500</v>
      </c>
      <c r="L908">
        <v>392819.85000000003</v>
      </c>
      <c r="M908">
        <v>0</v>
      </c>
      <c r="N908">
        <v>-32566.97</v>
      </c>
      <c r="O908">
        <v>0</v>
      </c>
      <c r="P908" s="8">
        <v>360252.88</v>
      </c>
    </row>
    <row r="909" spans="1:16">
      <c r="A909" s="1">
        <v>44743</v>
      </c>
      <c r="B909" t="s">
        <v>127</v>
      </c>
      <c r="C909" t="s">
        <v>14</v>
      </c>
      <c r="D909" t="s">
        <v>15</v>
      </c>
      <c r="E909" t="s">
        <v>33</v>
      </c>
      <c r="F909" t="s">
        <v>24</v>
      </c>
      <c r="G909" t="s">
        <v>18</v>
      </c>
      <c r="H909" t="s">
        <v>526</v>
      </c>
      <c r="I909">
        <v>8</v>
      </c>
      <c r="J909" t="s">
        <v>113</v>
      </c>
      <c r="K909" t="str">
        <f t="shared" si="14"/>
        <v>39601</v>
      </c>
      <c r="L909">
        <v>219977.59</v>
      </c>
      <c r="M909">
        <v>0</v>
      </c>
      <c r="N909">
        <v>0</v>
      </c>
      <c r="O909">
        <v>0</v>
      </c>
      <c r="P909" s="8">
        <v>219977.59</v>
      </c>
    </row>
    <row r="910" spans="1:16">
      <c r="A910" s="1">
        <v>44743</v>
      </c>
      <c r="B910" t="s">
        <v>127</v>
      </c>
      <c r="C910" t="s">
        <v>14</v>
      </c>
      <c r="D910" t="s">
        <v>15</v>
      </c>
      <c r="E910" t="s">
        <v>33</v>
      </c>
      <c r="F910" t="s">
        <v>24</v>
      </c>
      <c r="G910" t="s">
        <v>18</v>
      </c>
      <c r="H910" t="s">
        <v>526</v>
      </c>
      <c r="I910">
        <v>8</v>
      </c>
      <c r="J910" t="s">
        <v>114</v>
      </c>
      <c r="K910" t="str">
        <f t="shared" si="14"/>
        <v>39602</v>
      </c>
      <c r="L910">
        <v>2969420.3</v>
      </c>
      <c r="M910">
        <v>286449.8</v>
      </c>
      <c r="N910">
        <v>0</v>
      </c>
      <c r="O910">
        <v>0</v>
      </c>
      <c r="P910" s="8">
        <v>3255870.1</v>
      </c>
    </row>
    <row r="911" spans="1:16">
      <c r="A911" s="1">
        <v>44743</v>
      </c>
      <c r="B911" t="s">
        <v>127</v>
      </c>
      <c r="C911" t="s">
        <v>14</v>
      </c>
      <c r="D911" t="s">
        <v>15</v>
      </c>
      <c r="E911" t="s">
        <v>33</v>
      </c>
      <c r="F911" t="s">
        <v>24</v>
      </c>
      <c r="G911" t="s">
        <v>18</v>
      </c>
      <c r="H911" t="s">
        <v>526</v>
      </c>
      <c r="I911">
        <v>8</v>
      </c>
      <c r="J911" t="s">
        <v>115</v>
      </c>
      <c r="K911" t="str">
        <f t="shared" si="14"/>
        <v>39700</v>
      </c>
      <c r="L911">
        <v>977085.37</v>
      </c>
      <c r="M911">
        <v>0</v>
      </c>
      <c r="N911">
        <v>0</v>
      </c>
      <c r="O911">
        <v>0</v>
      </c>
      <c r="P911" s="8">
        <v>977085.37</v>
      </c>
    </row>
    <row r="912" spans="1:16">
      <c r="A912" s="1">
        <v>44743</v>
      </c>
      <c r="B912" t="s">
        <v>127</v>
      </c>
      <c r="C912" t="s">
        <v>14</v>
      </c>
      <c r="D912" t="s">
        <v>15</v>
      </c>
      <c r="E912" t="s">
        <v>33</v>
      </c>
      <c r="F912" t="s">
        <v>24</v>
      </c>
      <c r="G912" t="s">
        <v>18</v>
      </c>
      <c r="H912" t="s">
        <v>526</v>
      </c>
      <c r="I912">
        <v>8</v>
      </c>
      <c r="J912" t="s">
        <v>116</v>
      </c>
      <c r="K912" t="str">
        <f t="shared" si="14"/>
        <v>39710</v>
      </c>
      <c r="L912">
        <v>1204952.6599999999</v>
      </c>
      <c r="M912">
        <v>0</v>
      </c>
      <c r="N912">
        <v>0</v>
      </c>
      <c r="O912">
        <v>0</v>
      </c>
      <c r="P912" s="8">
        <v>1204952.6599999999</v>
      </c>
    </row>
    <row r="913" spans="1:16">
      <c r="A913" s="1">
        <v>44743</v>
      </c>
      <c r="B913" t="s">
        <v>127</v>
      </c>
      <c r="C913" t="s">
        <v>14</v>
      </c>
      <c r="D913" t="s">
        <v>15</v>
      </c>
      <c r="E913" t="s">
        <v>33</v>
      </c>
      <c r="F913" t="s">
        <v>24</v>
      </c>
      <c r="G913" t="s">
        <v>18</v>
      </c>
      <c r="H913" t="s">
        <v>526</v>
      </c>
      <c r="I913">
        <v>8</v>
      </c>
      <c r="J913" t="s">
        <v>117</v>
      </c>
      <c r="K913" t="str">
        <f t="shared" si="14"/>
        <v>39800</v>
      </c>
      <c r="L913">
        <v>149473.80000000002</v>
      </c>
      <c r="M913">
        <v>0</v>
      </c>
      <c r="N913">
        <v>0</v>
      </c>
      <c r="O913">
        <v>0</v>
      </c>
      <c r="P913" s="8">
        <v>149473.80000000002</v>
      </c>
    </row>
    <row r="914" spans="1:16">
      <c r="A914" s="1">
        <v>44743</v>
      </c>
      <c r="B914" t="s">
        <v>127</v>
      </c>
      <c r="C914" t="s">
        <v>14</v>
      </c>
      <c r="D914" t="s">
        <v>15</v>
      </c>
      <c r="E914" t="s">
        <v>33</v>
      </c>
      <c r="F914" t="s">
        <v>119</v>
      </c>
      <c r="G914" t="s">
        <v>18</v>
      </c>
      <c r="H914" t="s">
        <v>526</v>
      </c>
      <c r="I914">
        <v>8</v>
      </c>
      <c r="J914" t="s">
        <v>94</v>
      </c>
      <c r="K914" t="str">
        <f t="shared" si="14"/>
        <v>38901</v>
      </c>
      <c r="L914">
        <v>269440.43</v>
      </c>
      <c r="M914">
        <v>0</v>
      </c>
      <c r="N914">
        <v>0</v>
      </c>
      <c r="O914">
        <v>0</v>
      </c>
      <c r="P914" s="9">
        <v>269440.43</v>
      </c>
    </row>
    <row r="915" spans="1:16">
      <c r="A915" s="1">
        <v>44743</v>
      </c>
      <c r="B915" t="s">
        <v>127</v>
      </c>
      <c r="C915" t="s">
        <v>14</v>
      </c>
      <c r="D915" t="s">
        <v>15</v>
      </c>
      <c r="E915" t="s">
        <v>16</v>
      </c>
      <c r="F915" t="s">
        <v>17</v>
      </c>
      <c r="G915" t="s">
        <v>18</v>
      </c>
      <c r="H915" t="s">
        <v>526</v>
      </c>
      <c r="I915">
        <v>8</v>
      </c>
      <c r="J915" t="s">
        <v>19</v>
      </c>
      <c r="K915" t="str">
        <f t="shared" si="14"/>
        <v>39001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1:16">
      <c r="A916" s="1">
        <v>44743</v>
      </c>
      <c r="B916" t="s">
        <v>127</v>
      </c>
      <c r="C916" t="s">
        <v>14</v>
      </c>
      <c r="D916" t="s">
        <v>15</v>
      </c>
      <c r="E916" t="s">
        <v>33</v>
      </c>
      <c r="F916" t="s">
        <v>17</v>
      </c>
      <c r="G916" t="s">
        <v>18</v>
      </c>
      <c r="H916" t="s">
        <v>526</v>
      </c>
      <c r="I916">
        <v>8</v>
      </c>
      <c r="J916" t="s">
        <v>94</v>
      </c>
      <c r="K916" t="str">
        <f t="shared" si="14"/>
        <v>38901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>
      <c r="A917" s="1">
        <v>44743</v>
      </c>
      <c r="B917" t="s">
        <v>127</v>
      </c>
      <c r="C917" t="s">
        <v>14</v>
      </c>
      <c r="D917" t="s">
        <v>15</v>
      </c>
      <c r="E917" t="s">
        <v>33</v>
      </c>
      <c r="F917" t="s">
        <v>17</v>
      </c>
      <c r="G917" t="s">
        <v>18</v>
      </c>
      <c r="H917" t="s">
        <v>526</v>
      </c>
      <c r="I917">
        <v>8</v>
      </c>
      <c r="J917" t="s">
        <v>19</v>
      </c>
      <c r="K917" t="str">
        <f t="shared" si="14"/>
        <v>39001</v>
      </c>
      <c r="L917">
        <v>300398.3</v>
      </c>
      <c r="M917">
        <v>-201280.76</v>
      </c>
      <c r="N917">
        <v>0</v>
      </c>
      <c r="O917">
        <v>0</v>
      </c>
      <c r="P917">
        <v>99117.540000000008</v>
      </c>
    </row>
    <row r="918" spans="1:16">
      <c r="A918" s="1">
        <v>44743</v>
      </c>
      <c r="B918" t="s">
        <v>127</v>
      </c>
      <c r="C918" t="s">
        <v>14</v>
      </c>
      <c r="D918" t="s">
        <v>15</v>
      </c>
      <c r="E918" t="s">
        <v>33</v>
      </c>
      <c r="F918" t="s">
        <v>17</v>
      </c>
      <c r="G918" t="s">
        <v>18</v>
      </c>
      <c r="H918" t="s">
        <v>526</v>
      </c>
      <c r="I918">
        <v>8</v>
      </c>
      <c r="J918" t="s">
        <v>96</v>
      </c>
      <c r="K918" t="str">
        <f t="shared" si="14"/>
        <v>39051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1:16">
      <c r="A919" s="1">
        <v>44743</v>
      </c>
      <c r="B919" t="s">
        <v>127</v>
      </c>
      <c r="C919" t="s">
        <v>14</v>
      </c>
      <c r="D919" t="s">
        <v>15</v>
      </c>
      <c r="E919" t="s">
        <v>33</v>
      </c>
      <c r="F919" t="s">
        <v>17</v>
      </c>
      <c r="G919" t="s">
        <v>18</v>
      </c>
      <c r="H919" t="s">
        <v>526</v>
      </c>
      <c r="I919">
        <v>8</v>
      </c>
      <c r="J919" t="s">
        <v>97</v>
      </c>
      <c r="K919" t="str">
        <f t="shared" si="14"/>
        <v>39101</v>
      </c>
      <c r="L919">
        <v>447460.5</v>
      </c>
      <c r="M919">
        <v>-447460.5</v>
      </c>
      <c r="N919">
        <v>0</v>
      </c>
      <c r="O919">
        <v>0</v>
      </c>
      <c r="P919">
        <v>0</v>
      </c>
    </row>
    <row r="920" spans="1:16">
      <c r="A920" s="1">
        <v>44743</v>
      </c>
      <c r="B920" t="s">
        <v>127</v>
      </c>
      <c r="C920" t="s">
        <v>14</v>
      </c>
      <c r="D920" t="s">
        <v>15</v>
      </c>
      <c r="E920" t="s">
        <v>33</v>
      </c>
      <c r="F920" t="s">
        <v>17</v>
      </c>
      <c r="G920" t="s">
        <v>18</v>
      </c>
      <c r="H920" t="s">
        <v>526</v>
      </c>
      <c r="I920">
        <v>8</v>
      </c>
      <c r="J920" t="s">
        <v>98</v>
      </c>
      <c r="K920" t="str">
        <f t="shared" si="14"/>
        <v>39103</v>
      </c>
      <c r="L920">
        <v>177814.09</v>
      </c>
      <c r="M920">
        <v>-177814.09</v>
      </c>
      <c r="N920">
        <v>0</v>
      </c>
      <c r="O920">
        <v>0</v>
      </c>
      <c r="P920">
        <v>0</v>
      </c>
    </row>
    <row r="921" spans="1:16">
      <c r="A921" s="1">
        <v>44743</v>
      </c>
      <c r="B921" t="s">
        <v>127</v>
      </c>
      <c r="C921" t="s">
        <v>14</v>
      </c>
      <c r="D921" t="s">
        <v>15</v>
      </c>
      <c r="E921" t="s">
        <v>33</v>
      </c>
      <c r="F921" t="s">
        <v>17</v>
      </c>
      <c r="G921" t="s">
        <v>18</v>
      </c>
      <c r="H921" t="s">
        <v>526</v>
      </c>
      <c r="I921">
        <v>8</v>
      </c>
      <c r="J921" t="s">
        <v>99</v>
      </c>
      <c r="K921" t="str">
        <f t="shared" si="14"/>
        <v>39104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>
      <c r="A922" s="1">
        <v>44743</v>
      </c>
      <c r="B922" t="s">
        <v>127</v>
      </c>
      <c r="C922" t="s">
        <v>14</v>
      </c>
      <c r="D922" t="s">
        <v>15</v>
      </c>
      <c r="E922" t="s">
        <v>33</v>
      </c>
      <c r="F922" t="s">
        <v>17</v>
      </c>
      <c r="G922" t="s">
        <v>18</v>
      </c>
      <c r="H922" t="s">
        <v>526</v>
      </c>
      <c r="I922">
        <v>8</v>
      </c>
      <c r="J922" t="s">
        <v>103</v>
      </c>
      <c r="K922" t="str">
        <f t="shared" si="14"/>
        <v>39201</v>
      </c>
      <c r="L922">
        <v>81941.77</v>
      </c>
      <c r="M922">
        <v>-81941.77</v>
      </c>
      <c r="N922">
        <v>0</v>
      </c>
      <c r="O922">
        <v>0</v>
      </c>
      <c r="P922">
        <v>0</v>
      </c>
    </row>
    <row r="923" spans="1:16">
      <c r="A923" s="1">
        <v>44743</v>
      </c>
      <c r="B923" t="s">
        <v>127</v>
      </c>
      <c r="C923" t="s">
        <v>14</v>
      </c>
      <c r="D923" t="s">
        <v>15</v>
      </c>
      <c r="E923" t="s">
        <v>33</v>
      </c>
      <c r="F923" t="s">
        <v>17</v>
      </c>
      <c r="G923" t="s">
        <v>18</v>
      </c>
      <c r="H923" t="s">
        <v>526</v>
      </c>
      <c r="I923">
        <v>8</v>
      </c>
      <c r="J923" t="s">
        <v>104</v>
      </c>
      <c r="K923" t="str">
        <f t="shared" si="14"/>
        <v>39202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1:16">
      <c r="A924" s="1">
        <v>44743</v>
      </c>
      <c r="B924" t="s">
        <v>127</v>
      </c>
      <c r="C924" t="s">
        <v>14</v>
      </c>
      <c r="D924" t="s">
        <v>15</v>
      </c>
      <c r="E924" t="s">
        <v>33</v>
      </c>
      <c r="F924" t="s">
        <v>17</v>
      </c>
      <c r="G924" t="s">
        <v>18</v>
      </c>
      <c r="H924" t="s">
        <v>526</v>
      </c>
      <c r="I924">
        <v>8</v>
      </c>
      <c r="J924" t="s">
        <v>105</v>
      </c>
      <c r="K924" t="str">
        <f t="shared" si="14"/>
        <v>39203</v>
      </c>
      <c r="L924">
        <v>369369.59</v>
      </c>
      <c r="M924">
        <v>-146041.36000000002</v>
      </c>
      <c r="N924">
        <v>0</v>
      </c>
      <c r="O924">
        <v>0</v>
      </c>
      <c r="P924">
        <v>223328.23</v>
      </c>
    </row>
    <row r="925" spans="1:16">
      <c r="A925" s="1">
        <v>44743</v>
      </c>
      <c r="B925" t="s">
        <v>127</v>
      </c>
      <c r="C925" t="s">
        <v>14</v>
      </c>
      <c r="D925" t="s">
        <v>15</v>
      </c>
      <c r="E925" t="s">
        <v>33</v>
      </c>
      <c r="F925" t="s">
        <v>17</v>
      </c>
      <c r="G925" t="s">
        <v>18</v>
      </c>
      <c r="H925" t="s">
        <v>526</v>
      </c>
      <c r="I925">
        <v>8</v>
      </c>
      <c r="J925" t="s">
        <v>106</v>
      </c>
      <c r="K925" t="str">
        <f t="shared" si="14"/>
        <v>39204</v>
      </c>
      <c r="L925">
        <v>519251.97000000003</v>
      </c>
      <c r="M925">
        <v>-256990.23</v>
      </c>
      <c r="N925">
        <v>0</v>
      </c>
      <c r="O925">
        <v>0</v>
      </c>
      <c r="P925">
        <v>262261.74</v>
      </c>
    </row>
    <row r="926" spans="1:16">
      <c r="A926" s="1">
        <v>44743</v>
      </c>
      <c r="B926" t="s">
        <v>127</v>
      </c>
      <c r="C926" t="s">
        <v>14</v>
      </c>
      <c r="D926" t="s">
        <v>15</v>
      </c>
      <c r="E926" t="s">
        <v>33</v>
      </c>
      <c r="F926" t="s">
        <v>17</v>
      </c>
      <c r="G926" t="s">
        <v>18</v>
      </c>
      <c r="H926" t="s">
        <v>526</v>
      </c>
      <c r="I926">
        <v>8</v>
      </c>
      <c r="J926" t="s">
        <v>107</v>
      </c>
      <c r="K926" t="str">
        <f t="shared" si="14"/>
        <v>39205</v>
      </c>
      <c r="L926">
        <v>4006474.08</v>
      </c>
      <c r="M926">
        <v>877993.5</v>
      </c>
      <c r="N926">
        <v>0</v>
      </c>
      <c r="O926">
        <v>0</v>
      </c>
      <c r="P926">
        <v>4884467.58</v>
      </c>
    </row>
    <row r="927" spans="1:16">
      <c r="A927" s="1">
        <v>44743</v>
      </c>
      <c r="B927" t="s">
        <v>127</v>
      </c>
      <c r="C927" t="s">
        <v>14</v>
      </c>
      <c r="D927" t="s">
        <v>15</v>
      </c>
      <c r="E927" t="s">
        <v>33</v>
      </c>
      <c r="F927" t="s">
        <v>17</v>
      </c>
      <c r="G927" t="s">
        <v>18</v>
      </c>
      <c r="H927" t="s">
        <v>526</v>
      </c>
      <c r="I927">
        <v>8</v>
      </c>
      <c r="J927" t="s">
        <v>108</v>
      </c>
      <c r="K927" t="str">
        <f t="shared" si="14"/>
        <v>39206</v>
      </c>
      <c r="L927">
        <v>87756.44</v>
      </c>
      <c r="M927">
        <v>-87251.55</v>
      </c>
      <c r="N927">
        <v>0</v>
      </c>
      <c r="O927">
        <v>0</v>
      </c>
      <c r="P927">
        <v>504.89</v>
      </c>
    </row>
    <row r="928" spans="1:16">
      <c r="A928" s="1">
        <v>44743</v>
      </c>
      <c r="B928" t="s">
        <v>127</v>
      </c>
      <c r="C928" t="s">
        <v>14</v>
      </c>
      <c r="D928" t="s">
        <v>15</v>
      </c>
      <c r="E928" t="s">
        <v>33</v>
      </c>
      <c r="F928" t="s">
        <v>17</v>
      </c>
      <c r="G928" t="s">
        <v>18</v>
      </c>
      <c r="H928" t="s">
        <v>526</v>
      </c>
      <c r="I928">
        <v>8</v>
      </c>
      <c r="J928" t="s">
        <v>109</v>
      </c>
      <c r="K928" t="str">
        <f t="shared" si="14"/>
        <v>39300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>
      <c r="A929" s="1">
        <v>44743</v>
      </c>
      <c r="B929" t="s">
        <v>127</v>
      </c>
      <c r="C929" t="s">
        <v>14</v>
      </c>
      <c r="D929" t="s">
        <v>15</v>
      </c>
      <c r="E929" t="s">
        <v>33</v>
      </c>
      <c r="F929" t="s">
        <v>17</v>
      </c>
      <c r="G929" t="s">
        <v>18</v>
      </c>
      <c r="H929" t="s">
        <v>526</v>
      </c>
      <c r="I929">
        <v>8</v>
      </c>
      <c r="J929" t="s">
        <v>110</v>
      </c>
      <c r="K929" t="str">
        <f t="shared" si="14"/>
        <v>39400</v>
      </c>
      <c r="L929">
        <v>137534.29</v>
      </c>
      <c r="M929">
        <v>54076.340000000004</v>
      </c>
      <c r="N929">
        <v>0</v>
      </c>
      <c r="O929">
        <v>0</v>
      </c>
      <c r="P929">
        <v>191610.63</v>
      </c>
    </row>
    <row r="930" spans="1:16">
      <c r="A930" s="1">
        <v>44743</v>
      </c>
      <c r="B930" t="s">
        <v>127</v>
      </c>
      <c r="C930" t="s">
        <v>14</v>
      </c>
      <c r="D930" t="s">
        <v>15</v>
      </c>
      <c r="E930" t="s">
        <v>33</v>
      </c>
      <c r="F930" t="s">
        <v>17</v>
      </c>
      <c r="G930" t="s">
        <v>18</v>
      </c>
      <c r="H930" t="s">
        <v>526</v>
      </c>
      <c r="I930">
        <v>8</v>
      </c>
      <c r="J930" t="s">
        <v>111</v>
      </c>
      <c r="K930" t="str">
        <f t="shared" si="14"/>
        <v>39410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1:16">
      <c r="A931" s="1">
        <v>44743</v>
      </c>
      <c r="B931" t="s">
        <v>127</v>
      </c>
      <c r="C931" t="s">
        <v>14</v>
      </c>
      <c r="D931" t="s">
        <v>15</v>
      </c>
      <c r="E931" t="s">
        <v>33</v>
      </c>
      <c r="F931" t="s">
        <v>17</v>
      </c>
      <c r="G931" t="s">
        <v>18</v>
      </c>
      <c r="H931" t="s">
        <v>526</v>
      </c>
      <c r="I931">
        <v>8</v>
      </c>
      <c r="J931" t="s">
        <v>112</v>
      </c>
      <c r="K931" t="str">
        <f t="shared" si="14"/>
        <v>39500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>
      <c r="A932" s="1">
        <v>44743</v>
      </c>
      <c r="B932" t="s">
        <v>127</v>
      </c>
      <c r="C932" t="s">
        <v>14</v>
      </c>
      <c r="D932" t="s">
        <v>15</v>
      </c>
      <c r="E932" t="s">
        <v>33</v>
      </c>
      <c r="F932" t="s">
        <v>17</v>
      </c>
      <c r="G932" t="s">
        <v>18</v>
      </c>
      <c r="H932" t="s">
        <v>526</v>
      </c>
      <c r="I932">
        <v>8</v>
      </c>
      <c r="J932" t="s">
        <v>113</v>
      </c>
      <c r="K932" t="str">
        <f t="shared" si="14"/>
        <v>39601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1:16">
      <c r="A933" s="1">
        <v>44743</v>
      </c>
      <c r="B933" t="s">
        <v>127</v>
      </c>
      <c r="C933" t="s">
        <v>14</v>
      </c>
      <c r="D933" t="s">
        <v>15</v>
      </c>
      <c r="E933" t="s">
        <v>33</v>
      </c>
      <c r="F933" t="s">
        <v>17</v>
      </c>
      <c r="G933" t="s">
        <v>18</v>
      </c>
      <c r="H933" t="s">
        <v>526</v>
      </c>
      <c r="I933">
        <v>8</v>
      </c>
      <c r="J933" t="s">
        <v>114</v>
      </c>
      <c r="K933" t="str">
        <f t="shared" si="14"/>
        <v>39602</v>
      </c>
      <c r="L933">
        <v>373059.9</v>
      </c>
      <c r="M933">
        <v>-286449.8</v>
      </c>
      <c r="N933">
        <v>0</v>
      </c>
      <c r="O933">
        <v>0</v>
      </c>
      <c r="P933">
        <v>86610.1</v>
      </c>
    </row>
    <row r="934" spans="1:16">
      <c r="A934" s="1">
        <v>44743</v>
      </c>
      <c r="B934" t="s">
        <v>127</v>
      </c>
      <c r="C934" t="s">
        <v>14</v>
      </c>
      <c r="D934" t="s">
        <v>15</v>
      </c>
      <c r="E934" t="s">
        <v>33</v>
      </c>
      <c r="F934" t="s">
        <v>17</v>
      </c>
      <c r="G934" t="s">
        <v>18</v>
      </c>
      <c r="H934" t="s">
        <v>526</v>
      </c>
      <c r="I934">
        <v>8</v>
      </c>
      <c r="J934" t="s">
        <v>115</v>
      </c>
      <c r="K934" t="str">
        <f t="shared" si="14"/>
        <v>39700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1:16">
      <c r="A935" s="1">
        <v>44743</v>
      </c>
      <c r="B935" t="s">
        <v>127</v>
      </c>
      <c r="C935" t="s">
        <v>14</v>
      </c>
      <c r="D935" t="s">
        <v>15</v>
      </c>
      <c r="E935" t="s">
        <v>33</v>
      </c>
      <c r="F935" t="s">
        <v>17</v>
      </c>
      <c r="G935" t="s">
        <v>18</v>
      </c>
      <c r="H935" t="s">
        <v>526</v>
      </c>
      <c r="I935">
        <v>8</v>
      </c>
      <c r="J935" t="s">
        <v>116</v>
      </c>
      <c r="K935" t="str">
        <f t="shared" si="14"/>
        <v>39710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>
      <c r="A936" s="1">
        <v>44743</v>
      </c>
      <c r="B936" t="s">
        <v>127</v>
      </c>
      <c r="C936" t="s">
        <v>14</v>
      </c>
      <c r="D936" t="s">
        <v>15</v>
      </c>
      <c r="E936" t="s">
        <v>33</v>
      </c>
      <c r="F936" t="s">
        <v>17</v>
      </c>
      <c r="G936" t="s">
        <v>18</v>
      </c>
      <c r="H936" t="s">
        <v>526</v>
      </c>
      <c r="I936">
        <v>8</v>
      </c>
      <c r="J936" t="s">
        <v>117</v>
      </c>
      <c r="K936" t="str">
        <f t="shared" si="14"/>
        <v>39800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1:16">
      <c r="A937" s="1">
        <v>44774</v>
      </c>
      <c r="B937" t="s">
        <v>126</v>
      </c>
      <c r="C937" t="s">
        <v>14</v>
      </c>
      <c r="D937" t="s">
        <v>15</v>
      </c>
      <c r="E937" t="s">
        <v>33</v>
      </c>
      <c r="F937" t="s">
        <v>24</v>
      </c>
      <c r="G937" t="s">
        <v>18</v>
      </c>
      <c r="H937" t="s">
        <v>526</v>
      </c>
      <c r="I937">
        <v>8</v>
      </c>
      <c r="J937" t="s">
        <v>94</v>
      </c>
      <c r="K937" t="str">
        <f t="shared" si="14"/>
        <v>38901</v>
      </c>
      <c r="L937">
        <v>261405.4</v>
      </c>
      <c r="M937">
        <v>0</v>
      </c>
      <c r="N937">
        <v>0</v>
      </c>
      <c r="O937">
        <v>0</v>
      </c>
      <c r="P937" s="8">
        <v>261405.4</v>
      </c>
    </row>
    <row r="938" spans="1:16">
      <c r="A938" s="1">
        <v>44774</v>
      </c>
      <c r="B938" t="s">
        <v>126</v>
      </c>
      <c r="C938" t="s">
        <v>14</v>
      </c>
      <c r="D938" t="s">
        <v>15</v>
      </c>
      <c r="E938" t="s">
        <v>33</v>
      </c>
      <c r="F938" t="s">
        <v>24</v>
      </c>
      <c r="G938" t="s">
        <v>18</v>
      </c>
      <c r="H938" t="s">
        <v>526</v>
      </c>
      <c r="I938">
        <v>8</v>
      </c>
      <c r="J938" t="s">
        <v>95</v>
      </c>
      <c r="K938" t="str">
        <f t="shared" si="14"/>
        <v>38902</v>
      </c>
      <c r="L938">
        <v>22532.78</v>
      </c>
      <c r="M938">
        <v>0</v>
      </c>
      <c r="N938">
        <v>0</v>
      </c>
      <c r="O938">
        <v>0</v>
      </c>
      <c r="P938" s="8">
        <v>22532.78</v>
      </c>
    </row>
    <row r="939" spans="1:16">
      <c r="A939" s="1">
        <v>44774</v>
      </c>
      <c r="B939" t="s">
        <v>126</v>
      </c>
      <c r="C939" t="s">
        <v>14</v>
      </c>
      <c r="D939" t="s">
        <v>15</v>
      </c>
      <c r="E939" t="s">
        <v>33</v>
      </c>
      <c r="F939" t="s">
        <v>24</v>
      </c>
      <c r="G939" t="s">
        <v>18</v>
      </c>
      <c r="H939" t="s">
        <v>526</v>
      </c>
      <c r="I939">
        <v>8</v>
      </c>
      <c r="J939" t="s">
        <v>19</v>
      </c>
      <c r="K939" t="str">
        <f t="shared" si="14"/>
        <v>39001</v>
      </c>
      <c r="L939">
        <v>7712691.1100000003</v>
      </c>
      <c r="M939">
        <v>0</v>
      </c>
      <c r="N939">
        <v>0</v>
      </c>
      <c r="O939">
        <v>0</v>
      </c>
      <c r="P939" s="8">
        <v>7712691.1100000003</v>
      </c>
    </row>
    <row r="940" spans="1:16">
      <c r="A940" s="1">
        <v>44774</v>
      </c>
      <c r="B940" t="s">
        <v>126</v>
      </c>
      <c r="C940" t="s">
        <v>14</v>
      </c>
      <c r="D940" t="s">
        <v>15</v>
      </c>
      <c r="E940" t="s">
        <v>33</v>
      </c>
      <c r="F940" t="s">
        <v>24</v>
      </c>
      <c r="G940" t="s">
        <v>18</v>
      </c>
      <c r="H940" t="s">
        <v>526</v>
      </c>
      <c r="I940">
        <v>8</v>
      </c>
      <c r="J940" t="s">
        <v>96</v>
      </c>
      <c r="K940" t="str">
        <f t="shared" si="14"/>
        <v>39051</v>
      </c>
      <c r="L940">
        <v>1426861.24</v>
      </c>
      <c r="M940">
        <v>0</v>
      </c>
      <c r="N940">
        <v>0</v>
      </c>
      <c r="O940">
        <v>0</v>
      </c>
      <c r="P940" s="8">
        <v>1426861.24</v>
      </c>
    </row>
    <row r="941" spans="1:16">
      <c r="A941" s="1">
        <v>44774</v>
      </c>
      <c r="B941" t="s">
        <v>126</v>
      </c>
      <c r="C941" t="s">
        <v>14</v>
      </c>
      <c r="D941" t="s">
        <v>15</v>
      </c>
      <c r="E941" t="s">
        <v>33</v>
      </c>
      <c r="F941" t="s">
        <v>24</v>
      </c>
      <c r="G941" t="s">
        <v>18</v>
      </c>
      <c r="H941" t="s">
        <v>526</v>
      </c>
      <c r="I941">
        <v>8</v>
      </c>
      <c r="J941" t="s">
        <v>97</v>
      </c>
      <c r="K941" t="str">
        <f t="shared" si="14"/>
        <v>39101</v>
      </c>
      <c r="L941">
        <v>1337925.97</v>
      </c>
      <c r="M941">
        <v>0</v>
      </c>
      <c r="N941">
        <v>0</v>
      </c>
      <c r="O941">
        <v>0</v>
      </c>
      <c r="P941" s="8">
        <v>1337925.97</v>
      </c>
    </row>
    <row r="942" spans="1:16">
      <c r="A942" s="1">
        <v>44774</v>
      </c>
      <c r="B942" t="s">
        <v>126</v>
      </c>
      <c r="C942" t="s">
        <v>14</v>
      </c>
      <c r="D942" t="s">
        <v>15</v>
      </c>
      <c r="E942" t="s">
        <v>33</v>
      </c>
      <c r="F942" t="s">
        <v>24</v>
      </c>
      <c r="G942" t="s">
        <v>18</v>
      </c>
      <c r="H942" t="s">
        <v>526</v>
      </c>
      <c r="I942">
        <v>8</v>
      </c>
      <c r="J942" t="s">
        <v>98</v>
      </c>
      <c r="K942" t="str">
        <f t="shared" si="14"/>
        <v>39103</v>
      </c>
      <c r="L942">
        <v>856038.81</v>
      </c>
      <c r="M942">
        <v>0</v>
      </c>
      <c r="N942">
        <v>0</v>
      </c>
      <c r="O942">
        <v>0</v>
      </c>
      <c r="P942" s="8">
        <v>856038.81</v>
      </c>
    </row>
    <row r="943" spans="1:16">
      <c r="A943" s="1">
        <v>44774</v>
      </c>
      <c r="B943" t="s">
        <v>126</v>
      </c>
      <c r="C943" t="s">
        <v>14</v>
      </c>
      <c r="D943" t="s">
        <v>15</v>
      </c>
      <c r="E943" t="s">
        <v>33</v>
      </c>
      <c r="F943" t="s">
        <v>24</v>
      </c>
      <c r="G943" t="s">
        <v>18</v>
      </c>
      <c r="H943" t="s">
        <v>526</v>
      </c>
      <c r="I943">
        <v>8</v>
      </c>
      <c r="J943" t="s">
        <v>99</v>
      </c>
      <c r="K943" t="str">
        <f t="shared" si="14"/>
        <v>39104</v>
      </c>
      <c r="L943">
        <v>14712</v>
      </c>
      <c r="M943">
        <v>0</v>
      </c>
      <c r="N943">
        <v>0</v>
      </c>
      <c r="O943">
        <v>0</v>
      </c>
      <c r="P943" s="8">
        <v>14712</v>
      </c>
    </row>
    <row r="944" spans="1:16">
      <c r="A944" s="1">
        <v>44774</v>
      </c>
      <c r="B944" t="s">
        <v>126</v>
      </c>
      <c r="C944" t="s">
        <v>14</v>
      </c>
      <c r="D944" t="s">
        <v>15</v>
      </c>
      <c r="E944" t="s">
        <v>33</v>
      </c>
      <c r="F944" t="s">
        <v>24</v>
      </c>
      <c r="G944" t="s">
        <v>18</v>
      </c>
      <c r="H944" t="s">
        <v>526</v>
      </c>
      <c r="I944">
        <v>8</v>
      </c>
      <c r="J944" t="s">
        <v>100</v>
      </c>
      <c r="K944" t="str">
        <f t="shared" si="14"/>
        <v>39105</v>
      </c>
      <c r="L944">
        <v>0</v>
      </c>
      <c r="M944">
        <v>0</v>
      </c>
      <c r="N944">
        <v>0</v>
      </c>
      <c r="O944">
        <v>0</v>
      </c>
      <c r="P944" s="8">
        <v>0</v>
      </c>
    </row>
    <row r="945" spans="1:16">
      <c r="A945" s="1">
        <v>44774</v>
      </c>
      <c r="B945" t="s">
        <v>126</v>
      </c>
      <c r="C945" t="s">
        <v>14</v>
      </c>
      <c r="D945" t="s">
        <v>15</v>
      </c>
      <c r="E945" t="s">
        <v>33</v>
      </c>
      <c r="F945" t="s">
        <v>24</v>
      </c>
      <c r="G945" t="s">
        <v>18</v>
      </c>
      <c r="H945" t="s">
        <v>526</v>
      </c>
      <c r="I945">
        <v>8</v>
      </c>
      <c r="J945" t="s">
        <v>101</v>
      </c>
      <c r="K945" t="str">
        <f t="shared" si="14"/>
        <v>39107</v>
      </c>
      <c r="L945">
        <v>0</v>
      </c>
      <c r="M945">
        <v>0</v>
      </c>
      <c r="N945">
        <v>0</v>
      </c>
      <c r="O945">
        <v>0</v>
      </c>
      <c r="P945" s="8">
        <v>0</v>
      </c>
    </row>
    <row r="946" spans="1:16">
      <c r="A946" s="1">
        <v>44774</v>
      </c>
      <c r="B946" t="s">
        <v>126</v>
      </c>
      <c r="C946" t="s">
        <v>14</v>
      </c>
      <c r="D946" t="s">
        <v>15</v>
      </c>
      <c r="E946" t="s">
        <v>33</v>
      </c>
      <c r="F946" t="s">
        <v>24</v>
      </c>
      <c r="G946" t="s">
        <v>18</v>
      </c>
      <c r="H946" t="s">
        <v>526</v>
      </c>
      <c r="I946">
        <v>8</v>
      </c>
      <c r="J946" t="s">
        <v>102</v>
      </c>
      <c r="K946" t="str">
        <f t="shared" si="14"/>
        <v>39159</v>
      </c>
      <c r="L946">
        <v>0</v>
      </c>
      <c r="M946">
        <v>0</v>
      </c>
      <c r="N946">
        <v>0</v>
      </c>
      <c r="O946">
        <v>0</v>
      </c>
      <c r="P946" s="8">
        <v>0</v>
      </c>
    </row>
    <row r="947" spans="1:16">
      <c r="A947" s="1">
        <v>44774</v>
      </c>
      <c r="B947" t="s">
        <v>126</v>
      </c>
      <c r="C947" t="s">
        <v>14</v>
      </c>
      <c r="D947" t="s">
        <v>15</v>
      </c>
      <c r="E947" t="s">
        <v>33</v>
      </c>
      <c r="F947" t="s">
        <v>24</v>
      </c>
      <c r="G947" t="s">
        <v>18</v>
      </c>
      <c r="H947" t="s">
        <v>526</v>
      </c>
      <c r="I947">
        <v>8</v>
      </c>
      <c r="J947" t="s">
        <v>103</v>
      </c>
      <c r="K947" t="str">
        <f t="shared" si="14"/>
        <v>39201</v>
      </c>
      <c r="L947">
        <v>216925.63</v>
      </c>
      <c r="M947">
        <v>0</v>
      </c>
      <c r="N947">
        <v>0</v>
      </c>
      <c r="O947">
        <v>0</v>
      </c>
      <c r="P947" s="8">
        <v>216925.63</v>
      </c>
    </row>
    <row r="948" spans="1:16">
      <c r="A948" s="1">
        <v>44774</v>
      </c>
      <c r="B948" t="s">
        <v>126</v>
      </c>
      <c r="C948" t="s">
        <v>14</v>
      </c>
      <c r="D948" t="s">
        <v>15</v>
      </c>
      <c r="E948" t="s">
        <v>33</v>
      </c>
      <c r="F948" t="s">
        <v>24</v>
      </c>
      <c r="G948" t="s">
        <v>18</v>
      </c>
      <c r="H948" t="s">
        <v>526</v>
      </c>
      <c r="I948">
        <v>8</v>
      </c>
      <c r="J948" t="s">
        <v>104</v>
      </c>
      <c r="K948" t="str">
        <f t="shared" si="14"/>
        <v>39202</v>
      </c>
      <c r="L948">
        <v>45525.16</v>
      </c>
      <c r="M948">
        <v>0</v>
      </c>
      <c r="N948">
        <v>0</v>
      </c>
      <c r="O948">
        <v>0</v>
      </c>
      <c r="P948" s="8">
        <v>45525.16</v>
      </c>
    </row>
    <row r="949" spans="1:16">
      <c r="A949" s="1">
        <v>44774</v>
      </c>
      <c r="B949" t="s">
        <v>126</v>
      </c>
      <c r="C949" t="s">
        <v>14</v>
      </c>
      <c r="D949" t="s">
        <v>15</v>
      </c>
      <c r="E949" t="s">
        <v>33</v>
      </c>
      <c r="F949" t="s">
        <v>24</v>
      </c>
      <c r="G949" t="s">
        <v>18</v>
      </c>
      <c r="H949" t="s">
        <v>526</v>
      </c>
      <c r="I949">
        <v>8</v>
      </c>
      <c r="J949" t="s">
        <v>105</v>
      </c>
      <c r="K949" t="str">
        <f t="shared" si="14"/>
        <v>39203</v>
      </c>
      <c r="L949">
        <v>2507063.12</v>
      </c>
      <c r="M949">
        <v>52016.23</v>
      </c>
      <c r="N949">
        <v>0</v>
      </c>
      <c r="O949">
        <v>0</v>
      </c>
      <c r="P949" s="8">
        <v>2559079.35</v>
      </c>
    </row>
    <row r="950" spans="1:16">
      <c r="A950" s="1">
        <v>44774</v>
      </c>
      <c r="B950" t="s">
        <v>126</v>
      </c>
      <c r="C950" t="s">
        <v>14</v>
      </c>
      <c r="D950" t="s">
        <v>15</v>
      </c>
      <c r="E950" t="s">
        <v>33</v>
      </c>
      <c r="F950" t="s">
        <v>24</v>
      </c>
      <c r="G950" t="s">
        <v>18</v>
      </c>
      <c r="H950" t="s">
        <v>526</v>
      </c>
      <c r="I950">
        <v>8</v>
      </c>
      <c r="J950" t="s">
        <v>106</v>
      </c>
      <c r="K950" t="str">
        <f t="shared" si="14"/>
        <v>39204</v>
      </c>
      <c r="L950">
        <v>1758260.5899999999</v>
      </c>
      <c r="M950">
        <v>0</v>
      </c>
      <c r="N950">
        <v>0</v>
      </c>
      <c r="O950">
        <v>0</v>
      </c>
      <c r="P950" s="8">
        <v>1758260.5899999999</v>
      </c>
    </row>
    <row r="951" spans="1:16">
      <c r="A951" s="1">
        <v>44774</v>
      </c>
      <c r="B951" t="s">
        <v>126</v>
      </c>
      <c r="C951" t="s">
        <v>14</v>
      </c>
      <c r="D951" t="s">
        <v>15</v>
      </c>
      <c r="E951" t="s">
        <v>33</v>
      </c>
      <c r="F951" t="s">
        <v>24</v>
      </c>
      <c r="G951" t="s">
        <v>18</v>
      </c>
      <c r="H951" t="s">
        <v>526</v>
      </c>
      <c r="I951">
        <v>8</v>
      </c>
      <c r="J951" t="s">
        <v>107</v>
      </c>
      <c r="K951" t="str">
        <f t="shared" si="14"/>
        <v>39205</v>
      </c>
      <c r="L951">
        <v>9081589.5399999991</v>
      </c>
      <c r="M951">
        <v>556944.65</v>
      </c>
      <c r="N951">
        <v>0</v>
      </c>
      <c r="O951">
        <v>0</v>
      </c>
      <c r="P951" s="8">
        <v>9638534.1899999995</v>
      </c>
    </row>
    <row r="952" spans="1:16">
      <c r="A952" s="1">
        <v>44774</v>
      </c>
      <c r="B952" t="s">
        <v>126</v>
      </c>
      <c r="C952" t="s">
        <v>14</v>
      </c>
      <c r="D952" t="s">
        <v>15</v>
      </c>
      <c r="E952" t="s">
        <v>33</v>
      </c>
      <c r="F952" t="s">
        <v>24</v>
      </c>
      <c r="G952" t="s">
        <v>18</v>
      </c>
      <c r="H952" t="s">
        <v>526</v>
      </c>
      <c r="I952">
        <v>8</v>
      </c>
      <c r="J952" t="s">
        <v>108</v>
      </c>
      <c r="K952" t="str">
        <f t="shared" si="14"/>
        <v>39206</v>
      </c>
      <c r="L952">
        <v>2339100.16</v>
      </c>
      <c r="M952">
        <v>0</v>
      </c>
      <c r="N952">
        <v>0</v>
      </c>
      <c r="O952">
        <v>0</v>
      </c>
      <c r="P952" s="8">
        <v>2339100.16</v>
      </c>
    </row>
    <row r="953" spans="1:16">
      <c r="A953" s="1">
        <v>44774</v>
      </c>
      <c r="B953" t="s">
        <v>126</v>
      </c>
      <c r="C953" t="s">
        <v>14</v>
      </c>
      <c r="D953" t="s">
        <v>15</v>
      </c>
      <c r="E953" t="s">
        <v>33</v>
      </c>
      <c r="F953" t="s">
        <v>24</v>
      </c>
      <c r="G953" t="s">
        <v>18</v>
      </c>
      <c r="H953" t="s">
        <v>526</v>
      </c>
      <c r="I953">
        <v>8</v>
      </c>
      <c r="J953" t="s">
        <v>109</v>
      </c>
      <c r="K953" t="str">
        <f t="shared" si="14"/>
        <v>39300</v>
      </c>
      <c r="L953">
        <v>24905.31</v>
      </c>
      <c r="M953">
        <v>0</v>
      </c>
      <c r="N953">
        <v>0</v>
      </c>
      <c r="O953">
        <v>0</v>
      </c>
      <c r="P953" s="8">
        <v>24905.31</v>
      </c>
    </row>
    <row r="954" spans="1:16">
      <c r="A954" s="1">
        <v>44774</v>
      </c>
      <c r="B954" t="s">
        <v>126</v>
      </c>
      <c r="C954" t="s">
        <v>14</v>
      </c>
      <c r="D954" t="s">
        <v>15</v>
      </c>
      <c r="E954" t="s">
        <v>33</v>
      </c>
      <c r="F954" t="s">
        <v>24</v>
      </c>
      <c r="G954" t="s">
        <v>18</v>
      </c>
      <c r="H954" t="s">
        <v>526</v>
      </c>
      <c r="I954">
        <v>8</v>
      </c>
      <c r="J954" t="s">
        <v>110</v>
      </c>
      <c r="K954" t="str">
        <f t="shared" si="14"/>
        <v>39400</v>
      </c>
      <c r="L954">
        <v>2959644.67</v>
      </c>
      <c r="M954">
        <v>0</v>
      </c>
      <c r="N954">
        <v>0</v>
      </c>
      <c r="O954">
        <v>0</v>
      </c>
      <c r="P954" s="8">
        <v>2959644.67</v>
      </c>
    </row>
    <row r="955" spans="1:16">
      <c r="A955" s="1">
        <v>44774</v>
      </c>
      <c r="B955" t="s">
        <v>126</v>
      </c>
      <c r="C955" t="s">
        <v>14</v>
      </c>
      <c r="D955" t="s">
        <v>15</v>
      </c>
      <c r="E955" t="s">
        <v>33</v>
      </c>
      <c r="F955" t="s">
        <v>24</v>
      </c>
      <c r="G955" t="s">
        <v>18</v>
      </c>
      <c r="H955" t="s">
        <v>526</v>
      </c>
      <c r="I955">
        <v>8</v>
      </c>
      <c r="J955" t="s">
        <v>111</v>
      </c>
      <c r="K955" t="str">
        <f t="shared" si="14"/>
        <v>39410</v>
      </c>
      <c r="L955">
        <v>14177.720000000001</v>
      </c>
      <c r="M955">
        <v>0</v>
      </c>
      <c r="N955">
        <v>0</v>
      </c>
      <c r="O955">
        <v>0</v>
      </c>
      <c r="P955" s="8">
        <v>14177.720000000001</v>
      </c>
    </row>
    <row r="956" spans="1:16">
      <c r="A956" s="1">
        <v>44774</v>
      </c>
      <c r="B956" t="s">
        <v>126</v>
      </c>
      <c r="C956" t="s">
        <v>14</v>
      </c>
      <c r="D956" t="s">
        <v>15</v>
      </c>
      <c r="E956" t="s">
        <v>33</v>
      </c>
      <c r="F956" t="s">
        <v>24</v>
      </c>
      <c r="G956" t="s">
        <v>18</v>
      </c>
      <c r="H956" t="s">
        <v>526</v>
      </c>
      <c r="I956">
        <v>8</v>
      </c>
      <c r="J956" t="s">
        <v>112</v>
      </c>
      <c r="K956" t="str">
        <f t="shared" si="14"/>
        <v>39500</v>
      </c>
      <c r="L956">
        <v>360252.88</v>
      </c>
      <c r="M956">
        <v>0</v>
      </c>
      <c r="N956">
        <v>0</v>
      </c>
      <c r="O956">
        <v>0</v>
      </c>
      <c r="P956" s="8">
        <v>360252.88</v>
      </c>
    </row>
    <row r="957" spans="1:16">
      <c r="A957" s="1">
        <v>44774</v>
      </c>
      <c r="B957" t="s">
        <v>126</v>
      </c>
      <c r="C957" t="s">
        <v>14</v>
      </c>
      <c r="D957" t="s">
        <v>15</v>
      </c>
      <c r="E957" t="s">
        <v>33</v>
      </c>
      <c r="F957" t="s">
        <v>24</v>
      </c>
      <c r="G957" t="s">
        <v>18</v>
      </c>
      <c r="H957" t="s">
        <v>526</v>
      </c>
      <c r="I957">
        <v>8</v>
      </c>
      <c r="J957" t="s">
        <v>113</v>
      </c>
      <c r="K957" t="str">
        <f t="shared" si="14"/>
        <v>39601</v>
      </c>
      <c r="L957">
        <v>219977.59</v>
      </c>
      <c r="M957">
        <v>0</v>
      </c>
      <c r="N957">
        <v>0</v>
      </c>
      <c r="O957">
        <v>0</v>
      </c>
      <c r="P957" s="8">
        <v>219977.59</v>
      </c>
    </row>
    <row r="958" spans="1:16">
      <c r="A958" s="1">
        <v>44774</v>
      </c>
      <c r="B958" t="s">
        <v>126</v>
      </c>
      <c r="C958" t="s">
        <v>14</v>
      </c>
      <c r="D958" t="s">
        <v>15</v>
      </c>
      <c r="E958" t="s">
        <v>33</v>
      </c>
      <c r="F958" t="s">
        <v>24</v>
      </c>
      <c r="G958" t="s">
        <v>18</v>
      </c>
      <c r="H958" t="s">
        <v>526</v>
      </c>
      <c r="I958">
        <v>8</v>
      </c>
      <c r="J958" t="s">
        <v>114</v>
      </c>
      <c r="K958" t="str">
        <f t="shared" si="14"/>
        <v>39602</v>
      </c>
      <c r="L958">
        <v>3255870.1</v>
      </c>
      <c r="M958">
        <v>0</v>
      </c>
      <c r="N958">
        <v>0</v>
      </c>
      <c r="O958">
        <v>0</v>
      </c>
      <c r="P958" s="8">
        <v>3255870.1</v>
      </c>
    </row>
    <row r="959" spans="1:16">
      <c r="A959" s="1">
        <v>44774</v>
      </c>
      <c r="B959" t="s">
        <v>126</v>
      </c>
      <c r="C959" t="s">
        <v>14</v>
      </c>
      <c r="D959" t="s">
        <v>15</v>
      </c>
      <c r="E959" t="s">
        <v>33</v>
      </c>
      <c r="F959" t="s">
        <v>24</v>
      </c>
      <c r="G959" t="s">
        <v>18</v>
      </c>
      <c r="H959" t="s">
        <v>526</v>
      </c>
      <c r="I959">
        <v>8</v>
      </c>
      <c r="J959" t="s">
        <v>115</v>
      </c>
      <c r="K959" t="str">
        <f t="shared" si="14"/>
        <v>39700</v>
      </c>
      <c r="L959">
        <v>977085.37</v>
      </c>
      <c r="M959">
        <v>0</v>
      </c>
      <c r="N959">
        <v>0</v>
      </c>
      <c r="O959">
        <v>0</v>
      </c>
      <c r="P959" s="8">
        <v>977085.37</v>
      </c>
    </row>
    <row r="960" spans="1:16">
      <c r="A960" s="1">
        <v>44774</v>
      </c>
      <c r="B960" t="s">
        <v>126</v>
      </c>
      <c r="C960" t="s">
        <v>14</v>
      </c>
      <c r="D960" t="s">
        <v>15</v>
      </c>
      <c r="E960" t="s">
        <v>33</v>
      </c>
      <c r="F960" t="s">
        <v>24</v>
      </c>
      <c r="G960" t="s">
        <v>18</v>
      </c>
      <c r="H960" t="s">
        <v>526</v>
      </c>
      <c r="I960">
        <v>8</v>
      </c>
      <c r="J960" t="s">
        <v>116</v>
      </c>
      <c r="K960" t="str">
        <f t="shared" si="14"/>
        <v>39710</v>
      </c>
      <c r="L960">
        <v>1204952.6599999999</v>
      </c>
      <c r="M960">
        <v>0</v>
      </c>
      <c r="N960">
        <v>0</v>
      </c>
      <c r="O960">
        <v>0</v>
      </c>
      <c r="P960" s="8">
        <v>1204952.6599999999</v>
      </c>
    </row>
    <row r="961" spans="1:16">
      <c r="A961" s="1">
        <v>44774</v>
      </c>
      <c r="B961" t="s">
        <v>126</v>
      </c>
      <c r="C961" t="s">
        <v>14</v>
      </c>
      <c r="D961" t="s">
        <v>15</v>
      </c>
      <c r="E961" t="s">
        <v>33</v>
      </c>
      <c r="F961" t="s">
        <v>24</v>
      </c>
      <c r="G961" t="s">
        <v>18</v>
      </c>
      <c r="H961" t="s">
        <v>526</v>
      </c>
      <c r="I961">
        <v>8</v>
      </c>
      <c r="J961" t="s">
        <v>117</v>
      </c>
      <c r="K961" t="str">
        <f t="shared" si="14"/>
        <v>39800</v>
      </c>
      <c r="L961">
        <v>149473.80000000002</v>
      </c>
      <c r="M961">
        <v>0</v>
      </c>
      <c r="N961">
        <v>0</v>
      </c>
      <c r="O961">
        <v>0</v>
      </c>
      <c r="P961" s="8">
        <v>149473.80000000002</v>
      </c>
    </row>
    <row r="962" spans="1:16">
      <c r="A962" s="1">
        <v>44774</v>
      </c>
      <c r="B962" t="s">
        <v>126</v>
      </c>
      <c r="C962" t="s">
        <v>14</v>
      </c>
      <c r="D962" t="s">
        <v>15</v>
      </c>
      <c r="E962" t="s">
        <v>33</v>
      </c>
      <c r="F962" t="s">
        <v>119</v>
      </c>
      <c r="G962" t="s">
        <v>18</v>
      </c>
      <c r="H962" t="s">
        <v>526</v>
      </c>
      <c r="I962">
        <v>8</v>
      </c>
      <c r="J962" t="s">
        <v>94</v>
      </c>
      <c r="K962" t="str">
        <f t="shared" ref="K962:K1025" si="15">MID(J962,2,5)</f>
        <v>38901</v>
      </c>
      <c r="L962">
        <v>269440.43</v>
      </c>
      <c r="M962">
        <v>0</v>
      </c>
      <c r="N962">
        <v>0</v>
      </c>
      <c r="O962">
        <v>0</v>
      </c>
      <c r="P962" s="9">
        <v>269440.43</v>
      </c>
    </row>
    <row r="963" spans="1:16">
      <c r="A963" s="1">
        <v>44774</v>
      </c>
      <c r="B963" t="s">
        <v>126</v>
      </c>
      <c r="C963" t="s">
        <v>14</v>
      </c>
      <c r="D963" t="s">
        <v>15</v>
      </c>
      <c r="E963" t="s">
        <v>16</v>
      </c>
      <c r="F963" t="s">
        <v>17</v>
      </c>
      <c r="G963" t="s">
        <v>18</v>
      </c>
      <c r="H963" t="s">
        <v>526</v>
      </c>
      <c r="I963">
        <v>8</v>
      </c>
      <c r="J963" t="s">
        <v>19</v>
      </c>
      <c r="K963" t="str">
        <f t="shared" si="15"/>
        <v>39001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1:16">
      <c r="A964" s="1">
        <v>44774</v>
      </c>
      <c r="B964" t="s">
        <v>126</v>
      </c>
      <c r="C964" t="s">
        <v>14</v>
      </c>
      <c r="D964" t="s">
        <v>15</v>
      </c>
      <c r="E964" t="s">
        <v>33</v>
      </c>
      <c r="F964" t="s">
        <v>17</v>
      </c>
      <c r="G964" t="s">
        <v>18</v>
      </c>
      <c r="H964" t="s">
        <v>526</v>
      </c>
      <c r="I964">
        <v>8</v>
      </c>
      <c r="J964" t="s">
        <v>94</v>
      </c>
      <c r="K964" t="str">
        <f t="shared" si="15"/>
        <v>38901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1:16">
      <c r="A965" s="1">
        <v>44774</v>
      </c>
      <c r="B965" t="s">
        <v>126</v>
      </c>
      <c r="C965" t="s">
        <v>14</v>
      </c>
      <c r="D965" t="s">
        <v>15</v>
      </c>
      <c r="E965" t="s">
        <v>33</v>
      </c>
      <c r="F965" t="s">
        <v>17</v>
      </c>
      <c r="G965" t="s">
        <v>18</v>
      </c>
      <c r="H965" t="s">
        <v>526</v>
      </c>
      <c r="I965">
        <v>8</v>
      </c>
      <c r="J965" t="s">
        <v>19</v>
      </c>
      <c r="K965" t="str">
        <f t="shared" si="15"/>
        <v>39001</v>
      </c>
      <c r="L965">
        <v>99117.540000000008</v>
      </c>
      <c r="M965">
        <v>0</v>
      </c>
      <c r="N965">
        <v>0</v>
      </c>
      <c r="O965">
        <v>0</v>
      </c>
      <c r="P965">
        <v>99117.540000000008</v>
      </c>
    </row>
    <row r="966" spans="1:16">
      <c r="A966" s="1">
        <v>44774</v>
      </c>
      <c r="B966" t="s">
        <v>126</v>
      </c>
      <c r="C966" t="s">
        <v>14</v>
      </c>
      <c r="D966" t="s">
        <v>15</v>
      </c>
      <c r="E966" t="s">
        <v>33</v>
      </c>
      <c r="F966" t="s">
        <v>17</v>
      </c>
      <c r="G966" t="s">
        <v>18</v>
      </c>
      <c r="H966" t="s">
        <v>526</v>
      </c>
      <c r="I966">
        <v>8</v>
      </c>
      <c r="J966" t="s">
        <v>96</v>
      </c>
      <c r="K966" t="str">
        <f t="shared" si="15"/>
        <v>39051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1:16">
      <c r="A967" s="1">
        <v>44774</v>
      </c>
      <c r="B967" t="s">
        <v>126</v>
      </c>
      <c r="C967" t="s">
        <v>14</v>
      </c>
      <c r="D967" t="s">
        <v>15</v>
      </c>
      <c r="E967" t="s">
        <v>33</v>
      </c>
      <c r="F967" t="s">
        <v>17</v>
      </c>
      <c r="G967" t="s">
        <v>18</v>
      </c>
      <c r="H967" t="s">
        <v>526</v>
      </c>
      <c r="I967">
        <v>8</v>
      </c>
      <c r="J967" t="s">
        <v>97</v>
      </c>
      <c r="K967" t="str">
        <f t="shared" si="15"/>
        <v>39101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1:16">
      <c r="A968" s="1">
        <v>44774</v>
      </c>
      <c r="B968" t="s">
        <v>126</v>
      </c>
      <c r="C968" t="s">
        <v>14</v>
      </c>
      <c r="D968" t="s">
        <v>15</v>
      </c>
      <c r="E968" t="s">
        <v>33</v>
      </c>
      <c r="F968" t="s">
        <v>17</v>
      </c>
      <c r="G968" t="s">
        <v>18</v>
      </c>
      <c r="H968" t="s">
        <v>526</v>
      </c>
      <c r="I968">
        <v>8</v>
      </c>
      <c r="J968" t="s">
        <v>98</v>
      </c>
      <c r="K968" t="str">
        <f t="shared" si="15"/>
        <v>39103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>
      <c r="A969" s="1">
        <v>44774</v>
      </c>
      <c r="B969" t="s">
        <v>126</v>
      </c>
      <c r="C969" t="s">
        <v>14</v>
      </c>
      <c r="D969" t="s">
        <v>15</v>
      </c>
      <c r="E969" t="s">
        <v>33</v>
      </c>
      <c r="F969" t="s">
        <v>17</v>
      </c>
      <c r="G969" t="s">
        <v>18</v>
      </c>
      <c r="H969" t="s">
        <v>526</v>
      </c>
      <c r="I969">
        <v>8</v>
      </c>
      <c r="J969" t="s">
        <v>99</v>
      </c>
      <c r="K969" t="str">
        <f t="shared" si="15"/>
        <v>39104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1:16">
      <c r="A970" s="1">
        <v>44774</v>
      </c>
      <c r="B970" t="s">
        <v>126</v>
      </c>
      <c r="C970" t="s">
        <v>14</v>
      </c>
      <c r="D970" t="s">
        <v>15</v>
      </c>
      <c r="E970" t="s">
        <v>33</v>
      </c>
      <c r="F970" t="s">
        <v>17</v>
      </c>
      <c r="G970" t="s">
        <v>18</v>
      </c>
      <c r="H970" t="s">
        <v>526</v>
      </c>
      <c r="I970">
        <v>8</v>
      </c>
      <c r="J970" t="s">
        <v>103</v>
      </c>
      <c r="K970" t="str">
        <f t="shared" si="15"/>
        <v>39201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1:16">
      <c r="A971" s="1">
        <v>44774</v>
      </c>
      <c r="B971" t="s">
        <v>126</v>
      </c>
      <c r="C971" t="s">
        <v>14</v>
      </c>
      <c r="D971" t="s">
        <v>15</v>
      </c>
      <c r="E971" t="s">
        <v>33</v>
      </c>
      <c r="F971" t="s">
        <v>17</v>
      </c>
      <c r="G971" t="s">
        <v>18</v>
      </c>
      <c r="H971" t="s">
        <v>526</v>
      </c>
      <c r="I971">
        <v>8</v>
      </c>
      <c r="J971" t="s">
        <v>104</v>
      </c>
      <c r="K971" t="str">
        <f t="shared" si="15"/>
        <v>39202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>
      <c r="A972" s="1">
        <v>44774</v>
      </c>
      <c r="B972" t="s">
        <v>126</v>
      </c>
      <c r="C972" t="s">
        <v>14</v>
      </c>
      <c r="D972" t="s">
        <v>15</v>
      </c>
      <c r="E972" t="s">
        <v>33</v>
      </c>
      <c r="F972" t="s">
        <v>17</v>
      </c>
      <c r="G972" t="s">
        <v>18</v>
      </c>
      <c r="H972" t="s">
        <v>526</v>
      </c>
      <c r="I972">
        <v>8</v>
      </c>
      <c r="J972" t="s">
        <v>105</v>
      </c>
      <c r="K972" t="str">
        <f t="shared" si="15"/>
        <v>39203</v>
      </c>
      <c r="L972">
        <v>223328.23</v>
      </c>
      <c r="M972">
        <v>6791.7</v>
      </c>
      <c r="N972">
        <v>0</v>
      </c>
      <c r="O972">
        <v>0</v>
      </c>
      <c r="P972">
        <v>230119.93</v>
      </c>
    </row>
    <row r="973" spans="1:16">
      <c r="A973" s="1">
        <v>44774</v>
      </c>
      <c r="B973" t="s">
        <v>126</v>
      </c>
      <c r="C973" t="s">
        <v>14</v>
      </c>
      <c r="D973" t="s">
        <v>15</v>
      </c>
      <c r="E973" t="s">
        <v>33</v>
      </c>
      <c r="F973" t="s">
        <v>17</v>
      </c>
      <c r="G973" t="s">
        <v>18</v>
      </c>
      <c r="H973" t="s">
        <v>526</v>
      </c>
      <c r="I973">
        <v>8</v>
      </c>
      <c r="J973" t="s">
        <v>106</v>
      </c>
      <c r="K973" t="str">
        <f t="shared" si="15"/>
        <v>39204</v>
      </c>
      <c r="L973">
        <v>262261.74</v>
      </c>
      <c r="M973">
        <v>0</v>
      </c>
      <c r="N973">
        <v>0</v>
      </c>
      <c r="O973">
        <v>0</v>
      </c>
      <c r="P973">
        <v>262261.74</v>
      </c>
    </row>
    <row r="974" spans="1:16">
      <c r="A974" s="1">
        <v>44774</v>
      </c>
      <c r="B974" t="s">
        <v>126</v>
      </c>
      <c r="C974" t="s">
        <v>14</v>
      </c>
      <c r="D974" t="s">
        <v>15</v>
      </c>
      <c r="E974" t="s">
        <v>33</v>
      </c>
      <c r="F974" t="s">
        <v>17</v>
      </c>
      <c r="G974" t="s">
        <v>18</v>
      </c>
      <c r="H974" t="s">
        <v>526</v>
      </c>
      <c r="I974">
        <v>8</v>
      </c>
      <c r="J974" t="s">
        <v>107</v>
      </c>
      <c r="K974" t="str">
        <f t="shared" si="15"/>
        <v>39205</v>
      </c>
      <c r="L974">
        <v>4884467.58</v>
      </c>
      <c r="M974">
        <v>-450612.75</v>
      </c>
      <c r="N974">
        <v>0</v>
      </c>
      <c r="O974">
        <v>0</v>
      </c>
      <c r="P974">
        <v>4433854.83</v>
      </c>
    </row>
    <row r="975" spans="1:16">
      <c r="A975" s="1">
        <v>44774</v>
      </c>
      <c r="B975" t="s">
        <v>126</v>
      </c>
      <c r="C975" t="s">
        <v>14</v>
      </c>
      <c r="D975" t="s">
        <v>15</v>
      </c>
      <c r="E975" t="s">
        <v>33</v>
      </c>
      <c r="F975" t="s">
        <v>17</v>
      </c>
      <c r="G975" t="s">
        <v>18</v>
      </c>
      <c r="H975" t="s">
        <v>526</v>
      </c>
      <c r="I975">
        <v>8</v>
      </c>
      <c r="J975" t="s">
        <v>108</v>
      </c>
      <c r="K975" t="str">
        <f t="shared" si="15"/>
        <v>39206</v>
      </c>
      <c r="L975">
        <v>504.89</v>
      </c>
      <c r="M975">
        <v>0</v>
      </c>
      <c r="N975">
        <v>0</v>
      </c>
      <c r="O975">
        <v>0</v>
      </c>
      <c r="P975">
        <v>504.89</v>
      </c>
    </row>
    <row r="976" spans="1:16">
      <c r="A976" s="1">
        <v>44774</v>
      </c>
      <c r="B976" t="s">
        <v>126</v>
      </c>
      <c r="C976" t="s">
        <v>14</v>
      </c>
      <c r="D976" t="s">
        <v>15</v>
      </c>
      <c r="E976" t="s">
        <v>33</v>
      </c>
      <c r="F976" t="s">
        <v>17</v>
      </c>
      <c r="G976" t="s">
        <v>18</v>
      </c>
      <c r="H976" t="s">
        <v>526</v>
      </c>
      <c r="I976">
        <v>8</v>
      </c>
      <c r="J976" t="s">
        <v>109</v>
      </c>
      <c r="K976" t="str">
        <f t="shared" si="15"/>
        <v>39300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1:16">
      <c r="A977" s="1">
        <v>44774</v>
      </c>
      <c r="B977" t="s">
        <v>126</v>
      </c>
      <c r="C977" t="s">
        <v>14</v>
      </c>
      <c r="D977" t="s">
        <v>15</v>
      </c>
      <c r="E977" t="s">
        <v>33</v>
      </c>
      <c r="F977" t="s">
        <v>17</v>
      </c>
      <c r="G977" t="s">
        <v>18</v>
      </c>
      <c r="H977" t="s">
        <v>526</v>
      </c>
      <c r="I977">
        <v>8</v>
      </c>
      <c r="J977" t="s">
        <v>110</v>
      </c>
      <c r="K977" t="str">
        <f t="shared" si="15"/>
        <v>39400</v>
      </c>
      <c r="L977">
        <v>191610.63</v>
      </c>
      <c r="M977">
        <v>2583.33</v>
      </c>
      <c r="N977">
        <v>0</v>
      </c>
      <c r="O977">
        <v>0</v>
      </c>
      <c r="P977">
        <v>194193.96</v>
      </c>
    </row>
    <row r="978" spans="1:16">
      <c r="A978" s="1">
        <v>44774</v>
      </c>
      <c r="B978" t="s">
        <v>126</v>
      </c>
      <c r="C978" t="s">
        <v>14</v>
      </c>
      <c r="D978" t="s">
        <v>15</v>
      </c>
      <c r="E978" t="s">
        <v>33</v>
      </c>
      <c r="F978" t="s">
        <v>17</v>
      </c>
      <c r="G978" t="s">
        <v>18</v>
      </c>
      <c r="H978" t="s">
        <v>526</v>
      </c>
      <c r="I978">
        <v>8</v>
      </c>
      <c r="J978" t="s">
        <v>111</v>
      </c>
      <c r="K978" t="str">
        <f t="shared" si="15"/>
        <v>39410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>
      <c r="A979" s="1">
        <v>44774</v>
      </c>
      <c r="B979" t="s">
        <v>126</v>
      </c>
      <c r="C979" t="s">
        <v>14</v>
      </c>
      <c r="D979" t="s">
        <v>15</v>
      </c>
      <c r="E979" t="s">
        <v>33</v>
      </c>
      <c r="F979" t="s">
        <v>17</v>
      </c>
      <c r="G979" t="s">
        <v>18</v>
      </c>
      <c r="H979" t="s">
        <v>526</v>
      </c>
      <c r="I979">
        <v>8</v>
      </c>
      <c r="J979" t="s">
        <v>112</v>
      </c>
      <c r="K979" t="str">
        <f t="shared" si="15"/>
        <v>39500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1:16">
      <c r="A980" s="1">
        <v>44774</v>
      </c>
      <c r="B980" t="s">
        <v>126</v>
      </c>
      <c r="C980" t="s">
        <v>14</v>
      </c>
      <c r="D980" t="s">
        <v>15</v>
      </c>
      <c r="E980" t="s">
        <v>33</v>
      </c>
      <c r="F980" t="s">
        <v>17</v>
      </c>
      <c r="G980" t="s">
        <v>18</v>
      </c>
      <c r="H980" t="s">
        <v>526</v>
      </c>
      <c r="I980">
        <v>8</v>
      </c>
      <c r="J980" t="s">
        <v>113</v>
      </c>
      <c r="K980" t="str">
        <f t="shared" si="15"/>
        <v>39601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1:16">
      <c r="A981" s="1">
        <v>44774</v>
      </c>
      <c r="B981" t="s">
        <v>126</v>
      </c>
      <c r="C981" t="s">
        <v>14</v>
      </c>
      <c r="D981" t="s">
        <v>15</v>
      </c>
      <c r="E981" t="s">
        <v>33</v>
      </c>
      <c r="F981" t="s">
        <v>17</v>
      </c>
      <c r="G981" t="s">
        <v>18</v>
      </c>
      <c r="H981" t="s">
        <v>526</v>
      </c>
      <c r="I981">
        <v>8</v>
      </c>
      <c r="J981" t="s">
        <v>114</v>
      </c>
      <c r="K981" t="str">
        <f t="shared" si="15"/>
        <v>39602</v>
      </c>
      <c r="L981">
        <v>86610.1</v>
      </c>
      <c r="M981">
        <v>7746.75</v>
      </c>
      <c r="N981">
        <v>0</v>
      </c>
      <c r="O981">
        <v>0</v>
      </c>
      <c r="P981">
        <v>94356.85</v>
      </c>
    </row>
    <row r="982" spans="1:16">
      <c r="A982" s="1">
        <v>44774</v>
      </c>
      <c r="B982" t="s">
        <v>126</v>
      </c>
      <c r="C982" t="s">
        <v>14</v>
      </c>
      <c r="D982" t="s">
        <v>15</v>
      </c>
      <c r="E982" t="s">
        <v>33</v>
      </c>
      <c r="F982" t="s">
        <v>17</v>
      </c>
      <c r="G982" t="s">
        <v>18</v>
      </c>
      <c r="H982" t="s">
        <v>526</v>
      </c>
      <c r="I982">
        <v>8</v>
      </c>
      <c r="J982" t="s">
        <v>115</v>
      </c>
      <c r="K982" t="str">
        <f t="shared" si="15"/>
        <v>39700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>
      <c r="A983" s="1">
        <v>44774</v>
      </c>
      <c r="B983" t="s">
        <v>126</v>
      </c>
      <c r="C983" t="s">
        <v>14</v>
      </c>
      <c r="D983" t="s">
        <v>15</v>
      </c>
      <c r="E983" t="s">
        <v>33</v>
      </c>
      <c r="F983" t="s">
        <v>17</v>
      </c>
      <c r="G983" t="s">
        <v>18</v>
      </c>
      <c r="H983" t="s">
        <v>526</v>
      </c>
      <c r="I983">
        <v>8</v>
      </c>
      <c r="J983" t="s">
        <v>116</v>
      </c>
      <c r="K983" t="str">
        <f t="shared" si="15"/>
        <v>39710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1:16">
      <c r="A984" s="1">
        <v>44774</v>
      </c>
      <c r="B984" t="s">
        <v>126</v>
      </c>
      <c r="C984" t="s">
        <v>14</v>
      </c>
      <c r="D984" t="s">
        <v>15</v>
      </c>
      <c r="E984" t="s">
        <v>33</v>
      </c>
      <c r="F984" t="s">
        <v>17</v>
      </c>
      <c r="G984" t="s">
        <v>18</v>
      </c>
      <c r="H984" t="s">
        <v>526</v>
      </c>
      <c r="I984">
        <v>8</v>
      </c>
      <c r="J984" t="s">
        <v>117</v>
      </c>
      <c r="K984" t="str">
        <f t="shared" si="15"/>
        <v>39800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>
      <c r="A985" s="1">
        <v>44805</v>
      </c>
      <c r="B985" t="s">
        <v>125</v>
      </c>
      <c r="C985" t="s">
        <v>14</v>
      </c>
      <c r="D985" t="s">
        <v>15</v>
      </c>
      <c r="E985" t="s">
        <v>33</v>
      </c>
      <c r="F985" t="s">
        <v>24</v>
      </c>
      <c r="G985" t="s">
        <v>18</v>
      </c>
      <c r="H985" t="s">
        <v>526</v>
      </c>
      <c r="I985">
        <v>8</v>
      </c>
      <c r="J985" t="s">
        <v>94</v>
      </c>
      <c r="K985" t="str">
        <f t="shared" si="15"/>
        <v>38901</v>
      </c>
      <c r="L985">
        <v>261405.4</v>
      </c>
      <c r="M985">
        <v>0</v>
      </c>
      <c r="N985">
        <v>0</v>
      </c>
      <c r="O985">
        <v>0</v>
      </c>
      <c r="P985" s="8">
        <v>261405.4</v>
      </c>
    </row>
    <row r="986" spans="1:16">
      <c r="A986" s="1">
        <v>44805</v>
      </c>
      <c r="B986" t="s">
        <v>125</v>
      </c>
      <c r="C986" t="s">
        <v>14</v>
      </c>
      <c r="D986" t="s">
        <v>15</v>
      </c>
      <c r="E986" t="s">
        <v>33</v>
      </c>
      <c r="F986" t="s">
        <v>24</v>
      </c>
      <c r="G986" t="s">
        <v>18</v>
      </c>
      <c r="H986" t="s">
        <v>526</v>
      </c>
      <c r="I986">
        <v>8</v>
      </c>
      <c r="J986" t="s">
        <v>95</v>
      </c>
      <c r="K986" t="str">
        <f t="shared" si="15"/>
        <v>38902</v>
      </c>
      <c r="L986">
        <v>22532.78</v>
      </c>
      <c r="M986">
        <v>0</v>
      </c>
      <c r="N986">
        <v>0</v>
      </c>
      <c r="O986">
        <v>0</v>
      </c>
      <c r="P986" s="8">
        <v>22532.78</v>
      </c>
    </row>
    <row r="987" spans="1:16">
      <c r="A987" s="1">
        <v>44805</v>
      </c>
      <c r="B987" t="s">
        <v>125</v>
      </c>
      <c r="C987" t="s">
        <v>14</v>
      </c>
      <c r="D987" t="s">
        <v>15</v>
      </c>
      <c r="E987" t="s">
        <v>33</v>
      </c>
      <c r="F987" t="s">
        <v>24</v>
      </c>
      <c r="G987" t="s">
        <v>18</v>
      </c>
      <c r="H987" t="s">
        <v>526</v>
      </c>
      <c r="I987">
        <v>8</v>
      </c>
      <c r="J987" t="s">
        <v>19</v>
      </c>
      <c r="K987" t="str">
        <f t="shared" si="15"/>
        <v>39001</v>
      </c>
      <c r="L987">
        <v>7712691.1100000003</v>
      </c>
      <c r="M987">
        <v>99117.540000000008</v>
      </c>
      <c r="N987">
        <v>0</v>
      </c>
      <c r="O987">
        <v>0</v>
      </c>
      <c r="P987" s="8">
        <v>7811808.6500000004</v>
      </c>
    </row>
    <row r="988" spans="1:16">
      <c r="A988" s="1">
        <v>44805</v>
      </c>
      <c r="B988" t="s">
        <v>125</v>
      </c>
      <c r="C988" t="s">
        <v>14</v>
      </c>
      <c r="D988" t="s">
        <v>15</v>
      </c>
      <c r="E988" t="s">
        <v>33</v>
      </c>
      <c r="F988" t="s">
        <v>24</v>
      </c>
      <c r="G988" t="s">
        <v>18</v>
      </c>
      <c r="H988" t="s">
        <v>526</v>
      </c>
      <c r="I988">
        <v>8</v>
      </c>
      <c r="J988" t="s">
        <v>96</v>
      </c>
      <c r="K988" t="str">
        <f t="shared" si="15"/>
        <v>39051</v>
      </c>
      <c r="L988">
        <v>1426861.24</v>
      </c>
      <c r="M988">
        <v>0</v>
      </c>
      <c r="N988">
        <v>0</v>
      </c>
      <c r="O988">
        <v>0</v>
      </c>
      <c r="P988" s="8">
        <v>1426861.24</v>
      </c>
    </row>
    <row r="989" spans="1:16">
      <c r="A989" s="1">
        <v>44805</v>
      </c>
      <c r="B989" t="s">
        <v>125</v>
      </c>
      <c r="C989" t="s">
        <v>14</v>
      </c>
      <c r="D989" t="s">
        <v>15</v>
      </c>
      <c r="E989" t="s">
        <v>33</v>
      </c>
      <c r="F989" t="s">
        <v>24</v>
      </c>
      <c r="G989" t="s">
        <v>18</v>
      </c>
      <c r="H989" t="s">
        <v>526</v>
      </c>
      <c r="I989">
        <v>8</v>
      </c>
      <c r="J989" t="s">
        <v>97</v>
      </c>
      <c r="K989" t="str">
        <f t="shared" si="15"/>
        <v>39101</v>
      </c>
      <c r="L989">
        <v>1337925.97</v>
      </c>
      <c r="M989">
        <v>0</v>
      </c>
      <c r="N989">
        <v>0</v>
      </c>
      <c r="O989">
        <v>0</v>
      </c>
      <c r="P989" s="8">
        <v>1337925.97</v>
      </c>
    </row>
    <row r="990" spans="1:16">
      <c r="A990" s="1">
        <v>44805</v>
      </c>
      <c r="B990" t="s">
        <v>125</v>
      </c>
      <c r="C990" t="s">
        <v>14</v>
      </c>
      <c r="D990" t="s">
        <v>15</v>
      </c>
      <c r="E990" t="s">
        <v>33</v>
      </c>
      <c r="F990" t="s">
        <v>24</v>
      </c>
      <c r="G990" t="s">
        <v>18</v>
      </c>
      <c r="H990" t="s">
        <v>526</v>
      </c>
      <c r="I990">
        <v>8</v>
      </c>
      <c r="J990" t="s">
        <v>98</v>
      </c>
      <c r="K990" t="str">
        <f t="shared" si="15"/>
        <v>39103</v>
      </c>
      <c r="L990">
        <v>856038.81</v>
      </c>
      <c r="M990">
        <v>0</v>
      </c>
      <c r="N990">
        <v>0</v>
      </c>
      <c r="O990">
        <v>0</v>
      </c>
      <c r="P990" s="8">
        <v>856038.81</v>
      </c>
    </row>
    <row r="991" spans="1:16">
      <c r="A991" s="1">
        <v>44805</v>
      </c>
      <c r="B991" t="s">
        <v>125</v>
      </c>
      <c r="C991" t="s">
        <v>14</v>
      </c>
      <c r="D991" t="s">
        <v>15</v>
      </c>
      <c r="E991" t="s">
        <v>33</v>
      </c>
      <c r="F991" t="s">
        <v>24</v>
      </c>
      <c r="G991" t="s">
        <v>18</v>
      </c>
      <c r="H991" t="s">
        <v>526</v>
      </c>
      <c r="I991">
        <v>8</v>
      </c>
      <c r="J991" t="s">
        <v>99</v>
      </c>
      <c r="K991" t="str">
        <f t="shared" si="15"/>
        <v>39104</v>
      </c>
      <c r="L991">
        <v>14712</v>
      </c>
      <c r="M991">
        <v>0</v>
      </c>
      <c r="N991">
        <v>-2678</v>
      </c>
      <c r="O991">
        <v>0</v>
      </c>
      <c r="P991" s="8">
        <v>12034</v>
      </c>
    </row>
    <row r="992" spans="1:16">
      <c r="A992" s="1">
        <v>44805</v>
      </c>
      <c r="B992" t="s">
        <v>125</v>
      </c>
      <c r="C992" t="s">
        <v>14</v>
      </c>
      <c r="D992" t="s">
        <v>15</v>
      </c>
      <c r="E992" t="s">
        <v>33</v>
      </c>
      <c r="F992" t="s">
        <v>24</v>
      </c>
      <c r="G992" t="s">
        <v>18</v>
      </c>
      <c r="H992" t="s">
        <v>526</v>
      </c>
      <c r="I992">
        <v>8</v>
      </c>
      <c r="J992" t="s">
        <v>100</v>
      </c>
      <c r="K992" t="str">
        <f t="shared" si="15"/>
        <v>39105</v>
      </c>
      <c r="L992">
        <v>0</v>
      </c>
      <c r="M992">
        <v>0</v>
      </c>
      <c r="N992">
        <v>0</v>
      </c>
      <c r="O992">
        <v>0</v>
      </c>
      <c r="P992" s="8">
        <v>0</v>
      </c>
    </row>
    <row r="993" spans="1:16">
      <c r="A993" s="1">
        <v>44805</v>
      </c>
      <c r="B993" t="s">
        <v>125</v>
      </c>
      <c r="C993" t="s">
        <v>14</v>
      </c>
      <c r="D993" t="s">
        <v>15</v>
      </c>
      <c r="E993" t="s">
        <v>33</v>
      </c>
      <c r="F993" t="s">
        <v>24</v>
      </c>
      <c r="G993" t="s">
        <v>18</v>
      </c>
      <c r="H993" t="s">
        <v>526</v>
      </c>
      <c r="I993">
        <v>8</v>
      </c>
      <c r="J993" t="s">
        <v>101</v>
      </c>
      <c r="K993" t="str">
        <f t="shared" si="15"/>
        <v>39107</v>
      </c>
      <c r="L993">
        <v>0</v>
      </c>
      <c r="M993">
        <v>0</v>
      </c>
      <c r="N993">
        <v>0</v>
      </c>
      <c r="O993">
        <v>0</v>
      </c>
      <c r="P993" s="8">
        <v>0</v>
      </c>
    </row>
    <row r="994" spans="1:16">
      <c r="A994" s="1">
        <v>44805</v>
      </c>
      <c r="B994" t="s">
        <v>125</v>
      </c>
      <c r="C994" t="s">
        <v>14</v>
      </c>
      <c r="D994" t="s">
        <v>15</v>
      </c>
      <c r="E994" t="s">
        <v>33</v>
      </c>
      <c r="F994" t="s">
        <v>24</v>
      </c>
      <c r="G994" t="s">
        <v>18</v>
      </c>
      <c r="H994" t="s">
        <v>526</v>
      </c>
      <c r="I994">
        <v>8</v>
      </c>
      <c r="J994" t="s">
        <v>102</v>
      </c>
      <c r="K994" t="str">
        <f t="shared" si="15"/>
        <v>39159</v>
      </c>
      <c r="L994">
        <v>0</v>
      </c>
      <c r="M994">
        <v>0</v>
      </c>
      <c r="N994">
        <v>0</v>
      </c>
      <c r="O994">
        <v>0</v>
      </c>
      <c r="P994" s="8">
        <v>0</v>
      </c>
    </row>
    <row r="995" spans="1:16">
      <c r="A995" s="1">
        <v>44805</v>
      </c>
      <c r="B995" t="s">
        <v>125</v>
      </c>
      <c r="C995" t="s">
        <v>14</v>
      </c>
      <c r="D995" t="s">
        <v>15</v>
      </c>
      <c r="E995" t="s">
        <v>33</v>
      </c>
      <c r="F995" t="s">
        <v>24</v>
      </c>
      <c r="G995" t="s">
        <v>18</v>
      </c>
      <c r="H995" t="s">
        <v>526</v>
      </c>
      <c r="I995">
        <v>8</v>
      </c>
      <c r="J995" t="s">
        <v>103</v>
      </c>
      <c r="K995" t="str">
        <f t="shared" si="15"/>
        <v>39201</v>
      </c>
      <c r="L995">
        <v>216925.63</v>
      </c>
      <c r="M995">
        <v>0</v>
      </c>
      <c r="N995">
        <v>0</v>
      </c>
      <c r="O995">
        <v>0</v>
      </c>
      <c r="P995" s="8">
        <v>216925.63</v>
      </c>
    </row>
    <row r="996" spans="1:16">
      <c r="A996" s="1">
        <v>44805</v>
      </c>
      <c r="B996" t="s">
        <v>125</v>
      </c>
      <c r="C996" t="s">
        <v>14</v>
      </c>
      <c r="D996" t="s">
        <v>15</v>
      </c>
      <c r="E996" t="s">
        <v>33</v>
      </c>
      <c r="F996" t="s">
        <v>24</v>
      </c>
      <c r="G996" t="s">
        <v>18</v>
      </c>
      <c r="H996" t="s">
        <v>526</v>
      </c>
      <c r="I996">
        <v>8</v>
      </c>
      <c r="J996" t="s">
        <v>104</v>
      </c>
      <c r="K996" t="str">
        <f t="shared" si="15"/>
        <v>39202</v>
      </c>
      <c r="L996">
        <v>45525.16</v>
      </c>
      <c r="M996">
        <v>0</v>
      </c>
      <c r="N996">
        <v>0</v>
      </c>
      <c r="O996">
        <v>0</v>
      </c>
      <c r="P996" s="8">
        <v>45525.16</v>
      </c>
    </row>
    <row r="997" spans="1:16">
      <c r="A997" s="1">
        <v>44805</v>
      </c>
      <c r="B997" t="s">
        <v>125</v>
      </c>
      <c r="C997" t="s">
        <v>14</v>
      </c>
      <c r="D997" t="s">
        <v>15</v>
      </c>
      <c r="E997" t="s">
        <v>33</v>
      </c>
      <c r="F997" t="s">
        <v>24</v>
      </c>
      <c r="G997" t="s">
        <v>18</v>
      </c>
      <c r="H997" t="s">
        <v>526</v>
      </c>
      <c r="I997">
        <v>8</v>
      </c>
      <c r="J997" t="s">
        <v>105</v>
      </c>
      <c r="K997" t="str">
        <f t="shared" si="15"/>
        <v>39203</v>
      </c>
      <c r="L997">
        <v>2559079.35</v>
      </c>
      <c r="M997">
        <v>0</v>
      </c>
      <c r="N997">
        <v>0</v>
      </c>
      <c r="O997">
        <v>0</v>
      </c>
      <c r="P997" s="8">
        <v>2559079.35</v>
      </c>
    </row>
    <row r="998" spans="1:16">
      <c r="A998" s="1">
        <v>44805</v>
      </c>
      <c r="B998" t="s">
        <v>125</v>
      </c>
      <c r="C998" t="s">
        <v>14</v>
      </c>
      <c r="D998" t="s">
        <v>15</v>
      </c>
      <c r="E998" t="s">
        <v>33</v>
      </c>
      <c r="F998" t="s">
        <v>24</v>
      </c>
      <c r="G998" t="s">
        <v>18</v>
      </c>
      <c r="H998" t="s">
        <v>526</v>
      </c>
      <c r="I998">
        <v>8</v>
      </c>
      <c r="J998" t="s">
        <v>106</v>
      </c>
      <c r="K998" t="str">
        <f t="shared" si="15"/>
        <v>39204</v>
      </c>
      <c r="L998">
        <v>1758260.5899999999</v>
      </c>
      <c r="M998">
        <v>0</v>
      </c>
      <c r="N998">
        <v>0</v>
      </c>
      <c r="O998">
        <v>0</v>
      </c>
      <c r="P998" s="8">
        <v>1758260.5899999999</v>
      </c>
    </row>
    <row r="999" spans="1:16">
      <c r="A999" s="1">
        <v>44805</v>
      </c>
      <c r="B999" t="s">
        <v>125</v>
      </c>
      <c r="C999" t="s">
        <v>14</v>
      </c>
      <c r="D999" t="s">
        <v>15</v>
      </c>
      <c r="E999" t="s">
        <v>33</v>
      </c>
      <c r="F999" t="s">
        <v>24</v>
      </c>
      <c r="G999" t="s">
        <v>18</v>
      </c>
      <c r="H999" t="s">
        <v>526</v>
      </c>
      <c r="I999">
        <v>8</v>
      </c>
      <c r="J999" t="s">
        <v>107</v>
      </c>
      <c r="K999" t="str">
        <f t="shared" si="15"/>
        <v>39205</v>
      </c>
      <c r="L999">
        <v>9638534.1899999995</v>
      </c>
      <c r="M999">
        <v>0</v>
      </c>
      <c r="N999">
        <v>0</v>
      </c>
      <c r="O999">
        <v>0</v>
      </c>
      <c r="P999" s="8">
        <v>9638534.1899999995</v>
      </c>
    </row>
    <row r="1000" spans="1:16">
      <c r="A1000" s="1">
        <v>44805</v>
      </c>
      <c r="B1000" t="s">
        <v>125</v>
      </c>
      <c r="C1000" t="s">
        <v>14</v>
      </c>
      <c r="D1000" t="s">
        <v>15</v>
      </c>
      <c r="E1000" t="s">
        <v>33</v>
      </c>
      <c r="F1000" t="s">
        <v>24</v>
      </c>
      <c r="G1000" t="s">
        <v>18</v>
      </c>
      <c r="H1000" t="s">
        <v>526</v>
      </c>
      <c r="I1000">
        <v>8</v>
      </c>
      <c r="J1000" t="s">
        <v>108</v>
      </c>
      <c r="K1000" t="str">
        <f t="shared" si="15"/>
        <v>39206</v>
      </c>
      <c r="L1000">
        <v>2339100.16</v>
      </c>
      <c r="M1000">
        <v>0</v>
      </c>
      <c r="N1000">
        <v>0</v>
      </c>
      <c r="O1000">
        <v>0</v>
      </c>
      <c r="P1000" s="8">
        <v>2339100.16</v>
      </c>
    </row>
    <row r="1001" spans="1:16">
      <c r="A1001" s="1">
        <v>44805</v>
      </c>
      <c r="B1001" t="s">
        <v>125</v>
      </c>
      <c r="C1001" t="s">
        <v>14</v>
      </c>
      <c r="D1001" t="s">
        <v>15</v>
      </c>
      <c r="E1001" t="s">
        <v>33</v>
      </c>
      <c r="F1001" t="s">
        <v>24</v>
      </c>
      <c r="G1001" t="s">
        <v>18</v>
      </c>
      <c r="H1001" t="s">
        <v>526</v>
      </c>
      <c r="I1001">
        <v>8</v>
      </c>
      <c r="J1001" t="s">
        <v>109</v>
      </c>
      <c r="K1001" t="str">
        <f t="shared" si="15"/>
        <v>39300</v>
      </c>
      <c r="L1001">
        <v>24905.31</v>
      </c>
      <c r="M1001">
        <v>0</v>
      </c>
      <c r="N1001">
        <v>0</v>
      </c>
      <c r="O1001">
        <v>0</v>
      </c>
      <c r="P1001" s="8">
        <v>24905.31</v>
      </c>
    </row>
    <row r="1002" spans="1:16">
      <c r="A1002" s="1">
        <v>44805</v>
      </c>
      <c r="B1002" t="s">
        <v>125</v>
      </c>
      <c r="C1002" t="s">
        <v>14</v>
      </c>
      <c r="D1002" t="s">
        <v>15</v>
      </c>
      <c r="E1002" t="s">
        <v>33</v>
      </c>
      <c r="F1002" t="s">
        <v>24</v>
      </c>
      <c r="G1002" t="s">
        <v>18</v>
      </c>
      <c r="H1002" t="s">
        <v>526</v>
      </c>
      <c r="I1002">
        <v>8</v>
      </c>
      <c r="J1002" t="s">
        <v>110</v>
      </c>
      <c r="K1002" t="str">
        <f t="shared" si="15"/>
        <v>39400</v>
      </c>
      <c r="L1002">
        <v>2959644.67</v>
      </c>
      <c r="M1002">
        <v>0</v>
      </c>
      <c r="N1002">
        <v>0</v>
      </c>
      <c r="O1002">
        <v>0</v>
      </c>
      <c r="P1002" s="8">
        <v>2959644.67</v>
      </c>
    </row>
    <row r="1003" spans="1:16">
      <c r="A1003" s="1">
        <v>44805</v>
      </c>
      <c r="B1003" t="s">
        <v>125</v>
      </c>
      <c r="C1003" t="s">
        <v>14</v>
      </c>
      <c r="D1003" t="s">
        <v>15</v>
      </c>
      <c r="E1003" t="s">
        <v>33</v>
      </c>
      <c r="F1003" t="s">
        <v>24</v>
      </c>
      <c r="G1003" t="s">
        <v>18</v>
      </c>
      <c r="H1003" t="s">
        <v>526</v>
      </c>
      <c r="I1003">
        <v>8</v>
      </c>
      <c r="J1003" t="s">
        <v>111</v>
      </c>
      <c r="K1003" t="str">
        <f t="shared" si="15"/>
        <v>39410</v>
      </c>
      <c r="L1003">
        <v>14177.720000000001</v>
      </c>
      <c r="M1003">
        <v>0</v>
      </c>
      <c r="N1003">
        <v>0</v>
      </c>
      <c r="O1003">
        <v>0</v>
      </c>
      <c r="P1003" s="8">
        <v>14177.720000000001</v>
      </c>
    </row>
    <row r="1004" spans="1:16">
      <c r="A1004" s="1">
        <v>44805</v>
      </c>
      <c r="B1004" t="s">
        <v>125</v>
      </c>
      <c r="C1004" t="s">
        <v>14</v>
      </c>
      <c r="D1004" t="s">
        <v>15</v>
      </c>
      <c r="E1004" t="s">
        <v>33</v>
      </c>
      <c r="F1004" t="s">
        <v>24</v>
      </c>
      <c r="G1004" t="s">
        <v>18</v>
      </c>
      <c r="H1004" t="s">
        <v>526</v>
      </c>
      <c r="I1004">
        <v>8</v>
      </c>
      <c r="J1004" t="s">
        <v>112</v>
      </c>
      <c r="K1004" t="str">
        <f t="shared" si="15"/>
        <v>39500</v>
      </c>
      <c r="L1004">
        <v>360252.88</v>
      </c>
      <c r="M1004">
        <v>0</v>
      </c>
      <c r="N1004">
        <v>-4954.59</v>
      </c>
      <c r="O1004">
        <v>0</v>
      </c>
      <c r="P1004" s="8">
        <v>355298.29</v>
      </c>
    </row>
    <row r="1005" spans="1:16">
      <c r="A1005" s="1">
        <v>44805</v>
      </c>
      <c r="B1005" t="s">
        <v>125</v>
      </c>
      <c r="C1005" t="s">
        <v>14</v>
      </c>
      <c r="D1005" t="s">
        <v>15</v>
      </c>
      <c r="E1005" t="s">
        <v>33</v>
      </c>
      <c r="F1005" t="s">
        <v>24</v>
      </c>
      <c r="G1005" t="s">
        <v>18</v>
      </c>
      <c r="H1005" t="s">
        <v>526</v>
      </c>
      <c r="I1005">
        <v>8</v>
      </c>
      <c r="J1005" t="s">
        <v>113</v>
      </c>
      <c r="K1005" t="str">
        <f t="shared" si="15"/>
        <v>39601</v>
      </c>
      <c r="L1005">
        <v>219977.59</v>
      </c>
      <c r="M1005">
        <v>0</v>
      </c>
      <c r="N1005">
        <v>0</v>
      </c>
      <c r="O1005">
        <v>0</v>
      </c>
      <c r="P1005" s="8">
        <v>219977.59</v>
      </c>
    </row>
    <row r="1006" spans="1:16">
      <c r="A1006" s="1">
        <v>44805</v>
      </c>
      <c r="B1006" t="s">
        <v>125</v>
      </c>
      <c r="C1006" t="s">
        <v>14</v>
      </c>
      <c r="D1006" t="s">
        <v>15</v>
      </c>
      <c r="E1006" t="s">
        <v>33</v>
      </c>
      <c r="F1006" t="s">
        <v>24</v>
      </c>
      <c r="G1006" t="s">
        <v>18</v>
      </c>
      <c r="H1006" t="s">
        <v>526</v>
      </c>
      <c r="I1006">
        <v>8</v>
      </c>
      <c r="J1006" t="s">
        <v>114</v>
      </c>
      <c r="K1006" t="str">
        <f t="shared" si="15"/>
        <v>39602</v>
      </c>
      <c r="L1006">
        <v>3255870.1</v>
      </c>
      <c r="M1006">
        <v>0</v>
      </c>
      <c r="N1006">
        <v>0</v>
      </c>
      <c r="O1006">
        <v>0</v>
      </c>
      <c r="P1006" s="8">
        <v>3255870.1</v>
      </c>
    </row>
    <row r="1007" spans="1:16">
      <c r="A1007" s="1">
        <v>44805</v>
      </c>
      <c r="B1007" t="s">
        <v>125</v>
      </c>
      <c r="C1007" t="s">
        <v>14</v>
      </c>
      <c r="D1007" t="s">
        <v>15</v>
      </c>
      <c r="E1007" t="s">
        <v>33</v>
      </c>
      <c r="F1007" t="s">
        <v>24</v>
      </c>
      <c r="G1007" t="s">
        <v>18</v>
      </c>
      <c r="H1007" t="s">
        <v>526</v>
      </c>
      <c r="I1007">
        <v>8</v>
      </c>
      <c r="J1007" t="s">
        <v>115</v>
      </c>
      <c r="K1007" t="str">
        <f t="shared" si="15"/>
        <v>39700</v>
      </c>
      <c r="L1007">
        <v>977085.37</v>
      </c>
      <c r="M1007">
        <v>0</v>
      </c>
      <c r="N1007">
        <v>0</v>
      </c>
      <c r="O1007">
        <v>0</v>
      </c>
      <c r="P1007" s="8">
        <v>977085.37</v>
      </c>
    </row>
    <row r="1008" spans="1:16">
      <c r="A1008" s="1">
        <v>44805</v>
      </c>
      <c r="B1008" t="s">
        <v>125</v>
      </c>
      <c r="C1008" t="s">
        <v>14</v>
      </c>
      <c r="D1008" t="s">
        <v>15</v>
      </c>
      <c r="E1008" t="s">
        <v>33</v>
      </c>
      <c r="F1008" t="s">
        <v>24</v>
      </c>
      <c r="G1008" t="s">
        <v>18</v>
      </c>
      <c r="H1008" t="s">
        <v>526</v>
      </c>
      <c r="I1008">
        <v>8</v>
      </c>
      <c r="J1008" t="s">
        <v>116</v>
      </c>
      <c r="K1008" t="str">
        <f t="shared" si="15"/>
        <v>39710</v>
      </c>
      <c r="L1008">
        <v>1204952.6599999999</v>
      </c>
      <c r="M1008">
        <v>0</v>
      </c>
      <c r="N1008">
        <v>2197.7200000000003</v>
      </c>
      <c r="O1008">
        <v>0</v>
      </c>
      <c r="P1008" s="8">
        <v>1207150.3799999999</v>
      </c>
    </row>
    <row r="1009" spans="1:16">
      <c r="A1009" s="1">
        <v>44805</v>
      </c>
      <c r="B1009" t="s">
        <v>125</v>
      </c>
      <c r="C1009" t="s">
        <v>14</v>
      </c>
      <c r="D1009" t="s">
        <v>15</v>
      </c>
      <c r="E1009" t="s">
        <v>33</v>
      </c>
      <c r="F1009" t="s">
        <v>24</v>
      </c>
      <c r="G1009" t="s">
        <v>18</v>
      </c>
      <c r="H1009" t="s">
        <v>526</v>
      </c>
      <c r="I1009">
        <v>8</v>
      </c>
      <c r="J1009" t="s">
        <v>117</v>
      </c>
      <c r="K1009" t="str">
        <f t="shared" si="15"/>
        <v>39800</v>
      </c>
      <c r="L1009">
        <v>149473.80000000002</v>
      </c>
      <c r="M1009">
        <v>0</v>
      </c>
      <c r="N1009">
        <v>0</v>
      </c>
      <c r="O1009">
        <v>0</v>
      </c>
      <c r="P1009" s="8">
        <v>149473.80000000002</v>
      </c>
    </row>
    <row r="1010" spans="1:16">
      <c r="A1010" s="1">
        <v>44805</v>
      </c>
      <c r="B1010" t="s">
        <v>125</v>
      </c>
      <c r="C1010" t="s">
        <v>14</v>
      </c>
      <c r="D1010" t="s">
        <v>15</v>
      </c>
      <c r="E1010" t="s">
        <v>33</v>
      </c>
      <c r="F1010" t="s">
        <v>119</v>
      </c>
      <c r="G1010" t="s">
        <v>18</v>
      </c>
      <c r="H1010" t="s">
        <v>526</v>
      </c>
      <c r="I1010">
        <v>8</v>
      </c>
      <c r="J1010" t="s">
        <v>94</v>
      </c>
      <c r="K1010" t="str">
        <f t="shared" si="15"/>
        <v>38901</v>
      </c>
      <c r="L1010">
        <v>269440.43</v>
      </c>
      <c r="M1010">
        <v>0</v>
      </c>
      <c r="N1010">
        <v>0</v>
      </c>
      <c r="O1010">
        <v>0</v>
      </c>
      <c r="P1010" s="9">
        <v>269440.43</v>
      </c>
    </row>
    <row r="1011" spans="1:16">
      <c r="A1011" s="1">
        <v>44805</v>
      </c>
      <c r="B1011" t="s">
        <v>125</v>
      </c>
      <c r="C1011" t="s">
        <v>14</v>
      </c>
      <c r="D1011" t="s">
        <v>15</v>
      </c>
      <c r="E1011" t="s">
        <v>16</v>
      </c>
      <c r="F1011" t="s">
        <v>17</v>
      </c>
      <c r="G1011" t="s">
        <v>18</v>
      </c>
      <c r="H1011" t="s">
        <v>526</v>
      </c>
      <c r="I1011">
        <v>8</v>
      </c>
      <c r="J1011" t="s">
        <v>19</v>
      </c>
      <c r="K1011" t="str">
        <f t="shared" si="15"/>
        <v>39001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>
      <c r="A1012" s="1">
        <v>44805</v>
      </c>
      <c r="B1012" t="s">
        <v>125</v>
      </c>
      <c r="C1012" t="s">
        <v>14</v>
      </c>
      <c r="D1012" t="s">
        <v>15</v>
      </c>
      <c r="E1012" t="s">
        <v>33</v>
      </c>
      <c r="F1012" t="s">
        <v>17</v>
      </c>
      <c r="G1012" t="s">
        <v>18</v>
      </c>
      <c r="H1012" t="s">
        <v>526</v>
      </c>
      <c r="I1012">
        <v>8</v>
      </c>
      <c r="J1012" t="s">
        <v>94</v>
      </c>
      <c r="K1012" t="str">
        <f t="shared" si="15"/>
        <v>38901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1:16">
      <c r="A1013" s="1">
        <v>44805</v>
      </c>
      <c r="B1013" t="s">
        <v>125</v>
      </c>
      <c r="C1013" t="s">
        <v>14</v>
      </c>
      <c r="D1013" t="s">
        <v>15</v>
      </c>
      <c r="E1013" t="s">
        <v>33</v>
      </c>
      <c r="F1013" t="s">
        <v>17</v>
      </c>
      <c r="G1013" t="s">
        <v>18</v>
      </c>
      <c r="H1013" t="s">
        <v>526</v>
      </c>
      <c r="I1013">
        <v>8</v>
      </c>
      <c r="J1013" t="s">
        <v>19</v>
      </c>
      <c r="K1013" t="str">
        <f t="shared" si="15"/>
        <v>39001</v>
      </c>
      <c r="L1013">
        <v>99117.540000000008</v>
      </c>
      <c r="M1013">
        <v>-99117.540000000008</v>
      </c>
      <c r="N1013">
        <v>0</v>
      </c>
      <c r="O1013">
        <v>0</v>
      </c>
      <c r="P1013">
        <v>0</v>
      </c>
    </row>
    <row r="1014" spans="1:16">
      <c r="A1014" s="1">
        <v>44805</v>
      </c>
      <c r="B1014" t="s">
        <v>125</v>
      </c>
      <c r="C1014" t="s">
        <v>14</v>
      </c>
      <c r="D1014" t="s">
        <v>15</v>
      </c>
      <c r="E1014" t="s">
        <v>33</v>
      </c>
      <c r="F1014" t="s">
        <v>17</v>
      </c>
      <c r="G1014" t="s">
        <v>18</v>
      </c>
      <c r="H1014" t="s">
        <v>526</v>
      </c>
      <c r="I1014">
        <v>8</v>
      </c>
      <c r="J1014" t="s">
        <v>96</v>
      </c>
      <c r="K1014" t="str">
        <f t="shared" si="15"/>
        <v>39051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1:16">
      <c r="A1015" s="1">
        <v>44805</v>
      </c>
      <c r="B1015" t="s">
        <v>125</v>
      </c>
      <c r="C1015" t="s">
        <v>14</v>
      </c>
      <c r="D1015" t="s">
        <v>15</v>
      </c>
      <c r="E1015" t="s">
        <v>33</v>
      </c>
      <c r="F1015" t="s">
        <v>17</v>
      </c>
      <c r="G1015" t="s">
        <v>18</v>
      </c>
      <c r="H1015" t="s">
        <v>526</v>
      </c>
      <c r="I1015">
        <v>8</v>
      </c>
      <c r="J1015" t="s">
        <v>97</v>
      </c>
      <c r="K1015" t="str">
        <f t="shared" si="15"/>
        <v>39101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1:16">
      <c r="A1016" s="1">
        <v>44805</v>
      </c>
      <c r="B1016" t="s">
        <v>125</v>
      </c>
      <c r="C1016" t="s">
        <v>14</v>
      </c>
      <c r="D1016" t="s">
        <v>15</v>
      </c>
      <c r="E1016" t="s">
        <v>33</v>
      </c>
      <c r="F1016" t="s">
        <v>17</v>
      </c>
      <c r="G1016" t="s">
        <v>18</v>
      </c>
      <c r="H1016" t="s">
        <v>526</v>
      </c>
      <c r="I1016">
        <v>8</v>
      </c>
      <c r="J1016" t="s">
        <v>98</v>
      </c>
      <c r="K1016" t="str">
        <f t="shared" si="15"/>
        <v>39103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1:16">
      <c r="A1017" s="1">
        <v>44805</v>
      </c>
      <c r="B1017" t="s">
        <v>125</v>
      </c>
      <c r="C1017" t="s">
        <v>14</v>
      </c>
      <c r="D1017" t="s">
        <v>15</v>
      </c>
      <c r="E1017" t="s">
        <v>33</v>
      </c>
      <c r="F1017" t="s">
        <v>17</v>
      </c>
      <c r="G1017" t="s">
        <v>18</v>
      </c>
      <c r="H1017" t="s">
        <v>526</v>
      </c>
      <c r="I1017">
        <v>8</v>
      </c>
      <c r="J1017" t="s">
        <v>99</v>
      </c>
      <c r="K1017" t="str">
        <f t="shared" si="15"/>
        <v>39104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>
      <c r="A1018" s="1">
        <v>44805</v>
      </c>
      <c r="B1018" t="s">
        <v>125</v>
      </c>
      <c r="C1018" t="s">
        <v>14</v>
      </c>
      <c r="D1018" t="s">
        <v>15</v>
      </c>
      <c r="E1018" t="s">
        <v>33</v>
      </c>
      <c r="F1018" t="s">
        <v>17</v>
      </c>
      <c r="G1018" t="s">
        <v>18</v>
      </c>
      <c r="H1018" t="s">
        <v>526</v>
      </c>
      <c r="I1018">
        <v>8</v>
      </c>
      <c r="J1018" t="s">
        <v>103</v>
      </c>
      <c r="K1018" t="str">
        <f t="shared" si="15"/>
        <v>39201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1:16">
      <c r="A1019" s="1">
        <v>44805</v>
      </c>
      <c r="B1019" t="s">
        <v>125</v>
      </c>
      <c r="C1019" t="s">
        <v>14</v>
      </c>
      <c r="D1019" t="s">
        <v>15</v>
      </c>
      <c r="E1019" t="s">
        <v>33</v>
      </c>
      <c r="F1019" t="s">
        <v>17</v>
      </c>
      <c r="G1019" t="s">
        <v>18</v>
      </c>
      <c r="H1019" t="s">
        <v>526</v>
      </c>
      <c r="I1019">
        <v>8</v>
      </c>
      <c r="J1019" t="s">
        <v>104</v>
      </c>
      <c r="K1019" t="str">
        <f t="shared" si="15"/>
        <v>39202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1:16">
      <c r="A1020" s="1">
        <v>44805</v>
      </c>
      <c r="B1020" t="s">
        <v>125</v>
      </c>
      <c r="C1020" t="s">
        <v>14</v>
      </c>
      <c r="D1020" t="s">
        <v>15</v>
      </c>
      <c r="E1020" t="s">
        <v>33</v>
      </c>
      <c r="F1020" t="s">
        <v>17</v>
      </c>
      <c r="G1020" t="s">
        <v>18</v>
      </c>
      <c r="H1020" t="s">
        <v>526</v>
      </c>
      <c r="I1020">
        <v>8</v>
      </c>
      <c r="J1020" t="s">
        <v>105</v>
      </c>
      <c r="K1020" t="str">
        <f t="shared" si="15"/>
        <v>39203</v>
      </c>
      <c r="L1020">
        <v>230119.93</v>
      </c>
      <c r="M1020">
        <v>113548.78</v>
      </c>
      <c r="N1020">
        <v>0</v>
      </c>
      <c r="O1020">
        <v>0</v>
      </c>
      <c r="P1020">
        <v>343668.71</v>
      </c>
    </row>
    <row r="1021" spans="1:16">
      <c r="A1021" s="1">
        <v>44805</v>
      </c>
      <c r="B1021" t="s">
        <v>125</v>
      </c>
      <c r="C1021" t="s">
        <v>14</v>
      </c>
      <c r="D1021" t="s">
        <v>15</v>
      </c>
      <c r="E1021" t="s">
        <v>33</v>
      </c>
      <c r="F1021" t="s">
        <v>17</v>
      </c>
      <c r="G1021" t="s">
        <v>18</v>
      </c>
      <c r="H1021" t="s">
        <v>526</v>
      </c>
      <c r="I1021">
        <v>8</v>
      </c>
      <c r="J1021" t="s">
        <v>106</v>
      </c>
      <c r="K1021" t="str">
        <f t="shared" si="15"/>
        <v>39204</v>
      </c>
      <c r="L1021">
        <v>262261.74</v>
      </c>
      <c r="M1021">
        <v>0</v>
      </c>
      <c r="N1021">
        <v>0</v>
      </c>
      <c r="O1021">
        <v>0</v>
      </c>
      <c r="P1021">
        <v>262261.74</v>
      </c>
    </row>
    <row r="1022" spans="1:16">
      <c r="A1022" s="1">
        <v>44805</v>
      </c>
      <c r="B1022" t="s">
        <v>125</v>
      </c>
      <c r="C1022" t="s">
        <v>14</v>
      </c>
      <c r="D1022" t="s">
        <v>15</v>
      </c>
      <c r="E1022" t="s">
        <v>33</v>
      </c>
      <c r="F1022" t="s">
        <v>17</v>
      </c>
      <c r="G1022" t="s">
        <v>18</v>
      </c>
      <c r="H1022" t="s">
        <v>526</v>
      </c>
      <c r="I1022">
        <v>8</v>
      </c>
      <c r="J1022" t="s">
        <v>107</v>
      </c>
      <c r="K1022" t="str">
        <f t="shared" si="15"/>
        <v>39205</v>
      </c>
      <c r="L1022">
        <v>4433854.83</v>
      </c>
      <c r="M1022">
        <v>51532.53</v>
      </c>
      <c r="N1022">
        <v>0</v>
      </c>
      <c r="O1022">
        <v>0</v>
      </c>
      <c r="P1022">
        <v>4485387.3600000003</v>
      </c>
    </row>
    <row r="1023" spans="1:16">
      <c r="A1023" s="1">
        <v>44805</v>
      </c>
      <c r="B1023" t="s">
        <v>125</v>
      </c>
      <c r="C1023" t="s">
        <v>14</v>
      </c>
      <c r="D1023" t="s">
        <v>15</v>
      </c>
      <c r="E1023" t="s">
        <v>33</v>
      </c>
      <c r="F1023" t="s">
        <v>17</v>
      </c>
      <c r="G1023" t="s">
        <v>18</v>
      </c>
      <c r="H1023" t="s">
        <v>526</v>
      </c>
      <c r="I1023">
        <v>8</v>
      </c>
      <c r="J1023" t="s">
        <v>108</v>
      </c>
      <c r="K1023" t="str">
        <f t="shared" si="15"/>
        <v>39206</v>
      </c>
      <c r="L1023">
        <v>504.89</v>
      </c>
      <c r="M1023">
        <v>0</v>
      </c>
      <c r="N1023">
        <v>0</v>
      </c>
      <c r="O1023">
        <v>0</v>
      </c>
      <c r="P1023">
        <v>504.89</v>
      </c>
    </row>
    <row r="1024" spans="1:16">
      <c r="A1024" s="1">
        <v>44805</v>
      </c>
      <c r="B1024" t="s">
        <v>125</v>
      </c>
      <c r="C1024" t="s">
        <v>14</v>
      </c>
      <c r="D1024" t="s">
        <v>15</v>
      </c>
      <c r="E1024" t="s">
        <v>33</v>
      </c>
      <c r="F1024" t="s">
        <v>17</v>
      </c>
      <c r="G1024" t="s">
        <v>18</v>
      </c>
      <c r="H1024" t="s">
        <v>526</v>
      </c>
      <c r="I1024">
        <v>8</v>
      </c>
      <c r="J1024" t="s">
        <v>109</v>
      </c>
      <c r="K1024" t="str">
        <f t="shared" si="15"/>
        <v>39300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1:16">
      <c r="A1025" s="1">
        <v>44805</v>
      </c>
      <c r="B1025" t="s">
        <v>125</v>
      </c>
      <c r="C1025" t="s">
        <v>14</v>
      </c>
      <c r="D1025" t="s">
        <v>15</v>
      </c>
      <c r="E1025" t="s">
        <v>33</v>
      </c>
      <c r="F1025" t="s">
        <v>17</v>
      </c>
      <c r="G1025" t="s">
        <v>18</v>
      </c>
      <c r="H1025" t="s">
        <v>526</v>
      </c>
      <c r="I1025">
        <v>8</v>
      </c>
      <c r="J1025" t="s">
        <v>110</v>
      </c>
      <c r="K1025" t="str">
        <f t="shared" si="15"/>
        <v>39400</v>
      </c>
      <c r="L1025">
        <v>194193.96</v>
      </c>
      <c r="M1025">
        <v>8935</v>
      </c>
      <c r="N1025">
        <v>0</v>
      </c>
      <c r="O1025">
        <v>0</v>
      </c>
      <c r="P1025">
        <v>203128.95999999999</v>
      </c>
    </row>
    <row r="1026" spans="1:16">
      <c r="A1026" s="1">
        <v>44805</v>
      </c>
      <c r="B1026" t="s">
        <v>125</v>
      </c>
      <c r="C1026" t="s">
        <v>14</v>
      </c>
      <c r="D1026" t="s">
        <v>15</v>
      </c>
      <c r="E1026" t="s">
        <v>33</v>
      </c>
      <c r="F1026" t="s">
        <v>17</v>
      </c>
      <c r="G1026" t="s">
        <v>18</v>
      </c>
      <c r="H1026" t="s">
        <v>526</v>
      </c>
      <c r="I1026">
        <v>8</v>
      </c>
      <c r="J1026" t="s">
        <v>111</v>
      </c>
      <c r="K1026" t="str">
        <f t="shared" ref="K1026:K1089" si="16">MID(J1026,2,5)</f>
        <v>39410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1:16">
      <c r="A1027" s="1">
        <v>44805</v>
      </c>
      <c r="B1027" t="s">
        <v>125</v>
      </c>
      <c r="C1027" t="s">
        <v>14</v>
      </c>
      <c r="D1027" t="s">
        <v>15</v>
      </c>
      <c r="E1027" t="s">
        <v>33</v>
      </c>
      <c r="F1027" t="s">
        <v>17</v>
      </c>
      <c r="G1027" t="s">
        <v>18</v>
      </c>
      <c r="H1027" t="s">
        <v>526</v>
      </c>
      <c r="I1027">
        <v>8</v>
      </c>
      <c r="J1027" t="s">
        <v>112</v>
      </c>
      <c r="K1027" t="str">
        <f t="shared" si="16"/>
        <v>39500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1:16">
      <c r="A1028" s="1">
        <v>44805</v>
      </c>
      <c r="B1028" t="s">
        <v>125</v>
      </c>
      <c r="C1028" t="s">
        <v>14</v>
      </c>
      <c r="D1028" t="s">
        <v>15</v>
      </c>
      <c r="E1028" t="s">
        <v>33</v>
      </c>
      <c r="F1028" t="s">
        <v>17</v>
      </c>
      <c r="G1028" t="s">
        <v>18</v>
      </c>
      <c r="H1028" t="s">
        <v>526</v>
      </c>
      <c r="I1028">
        <v>8</v>
      </c>
      <c r="J1028" t="s">
        <v>113</v>
      </c>
      <c r="K1028" t="str">
        <f t="shared" si="16"/>
        <v>39601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1:16">
      <c r="A1029" s="1">
        <v>44805</v>
      </c>
      <c r="B1029" t="s">
        <v>125</v>
      </c>
      <c r="C1029" t="s">
        <v>14</v>
      </c>
      <c r="D1029" t="s">
        <v>15</v>
      </c>
      <c r="E1029" t="s">
        <v>33</v>
      </c>
      <c r="F1029" t="s">
        <v>17</v>
      </c>
      <c r="G1029" t="s">
        <v>18</v>
      </c>
      <c r="H1029" t="s">
        <v>526</v>
      </c>
      <c r="I1029">
        <v>8</v>
      </c>
      <c r="J1029" t="s">
        <v>114</v>
      </c>
      <c r="K1029" t="str">
        <f t="shared" si="16"/>
        <v>39602</v>
      </c>
      <c r="L1029">
        <v>94356.85</v>
      </c>
      <c r="M1029">
        <v>0</v>
      </c>
      <c r="N1029">
        <v>0</v>
      </c>
      <c r="O1029">
        <v>0</v>
      </c>
      <c r="P1029">
        <v>94356.85</v>
      </c>
    </row>
    <row r="1030" spans="1:16">
      <c r="A1030" s="1">
        <v>44805</v>
      </c>
      <c r="B1030" t="s">
        <v>125</v>
      </c>
      <c r="C1030" t="s">
        <v>14</v>
      </c>
      <c r="D1030" t="s">
        <v>15</v>
      </c>
      <c r="E1030" t="s">
        <v>33</v>
      </c>
      <c r="F1030" t="s">
        <v>17</v>
      </c>
      <c r="G1030" t="s">
        <v>18</v>
      </c>
      <c r="H1030" t="s">
        <v>526</v>
      </c>
      <c r="I1030">
        <v>8</v>
      </c>
      <c r="J1030" t="s">
        <v>115</v>
      </c>
      <c r="K1030" t="str">
        <f t="shared" si="16"/>
        <v>39700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16">
      <c r="A1031" s="1">
        <v>44805</v>
      </c>
      <c r="B1031" t="s">
        <v>125</v>
      </c>
      <c r="C1031" t="s">
        <v>14</v>
      </c>
      <c r="D1031" t="s">
        <v>15</v>
      </c>
      <c r="E1031" t="s">
        <v>33</v>
      </c>
      <c r="F1031" t="s">
        <v>17</v>
      </c>
      <c r="G1031" t="s">
        <v>18</v>
      </c>
      <c r="H1031" t="s">
        <v>526</v>
      </c>
      <c r="I1031">
        <v>8</v>
      </c>
      <c r="J1031" t="s">
        <v>116</v>
      </c>
      <c r="K1031" t="str">
        <f t="shared" si="16"/>
        <v>39710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1:16">
      <c r="A1032" s="1">
        <v>44805</v>
      </c>
      <c r="B1032" t="s">
        <v>125</v>
      </c>
      <c r="C1032" t="s">
        <v>14</v>
      </c>
      <c r="D1032" t="s">
        <v>15</v>
      </c>
      <c r="E1032" t="s">
        <v>33</v>
      </c>
      <c r="F1032" t="s">
        <v>17</v>
      </c>
      <c r="G1032" t="s">
        <v>18</v>
      </c>
      <c r="H1032" t="s">
        <v>526</v>
      </c>
      <c r="I1032">
        <v>8</v>
      </c>
      <c r="J1032" t="s">
        <v>117</v>
      </c>
      <c r="K1032" t="str">
        <f t="shared" si="16"/>
        <v>39800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1:16">
      <c r="A1033" s="1">
        <v>44835</v>
      </c>
      <c r="B1033" t="s">
        <v>124</v>
      </c>
      <c r="C1033" t="s">
        <v>14</v>
      </c>
      <c r="D1033" t="s">
        <v>15</v>
      </c>
      <c r="E1033" t="s">
        <v>33</v>
      </c>
      <c r="F1033" t="s">
        <v>24</v>
      </c>
      <c r="G1033" t="s">
        <v>18</v>
      </c>
      <c r="H1033" t="s">
        <v>526</v>
      </c>
      <c r="I1033">
        <v>8</v>
      </c>
      <c r="J1033" t="s">
        <v>94</v>
      </c>
      <c r="K1033" t="str">
        <f t="shared" si="16"/>
        <v>38901</v>
      </c>
      <c r="L1033">
        <v>261405.4</v>
      </c>
      <c r="M1033">
        <v>0</v>
      </c>
      <c r="N1033">
        <v>0</v>
      </c>
      <c r="O1033">
        <v>0</v>
      </c>
      <c r="P1033" s="8">
        <v>261405.4</v>
      </c>
    </row>
    <row r="1034" spans="1:16">
      <c r="A1034" s="1">
        <v>44835</v>
      </c>
      <c r="B1034" t="s">
        <v>124</v>
      </c>
      <c r="C1034" t="s">
        <v>14</v>
      </c>
      <c r="D1034" t="s">
        <v>15</v>
      </c>
      <c r="E1034" t="s">
        <v>33</v>
      </c>
      <c r="F1034" t="s">
        <v>24</v>
      </c>
      <c r="G1034" t="s">
        <v>18</v>
      </c>
      <c r="H1034" t="s">
        <v>526</v>
      </c>
      <c r="I1034">
        <v>8</v>
      </c>
      <c r="J1034" t="s">
        <v>95</v>
      </c>
      <c r="K1034" t="str">
        <f t="shared" si="16"/>
        <v>38902</v>
      </c>
      <c r="L1034">
        <v>22532.78</v>
      </c>
      <c r="M1034">
        <v>0</v>
      </c>
      <c r="N1034">
        <v>0</v>
      </c>
      <c r="O1034">
        <v>0</v>
      </c>
      <c r="P1034" s="8">
        <v>22532.78</v>
      </c>
    </row>
    <row r="1035" spans="1:16">
      <c r="A1035" s="1">
        <v>44835</v>
      </c>
      <c r="B1035" t="s">
        <v>124</v>
      </c>
      <c r="C1035" t="s">
        <v>14</v>
      </c>
      <c r="D1035" t="s">
        <v>15</v>
      </c>
      <c r="E1035" t="s">
        <v>33</v>
      </c>
      <c r="F1035" t="s">
        <v>24</v>
      </c>
      <c r="G1035" t="s">
        <v>18</v>
      </c>
      <c r="H1035" t="s">
        <v>526</v>
      </c>
      <c r="I1035">
        <v>8</v>
      </c>
      <c r="J1035" t="s">
        <v>19</v>
      </c>
      <c r="K1035" t="str">
        <f t="shared" si="16"/>
        <v>39001</v>
      </c>
      <c r="L1035">
        <v>7811808.6500000004</v>
      </c>
      <c r="M1035">
        <v>26624.48</v>
      </c>
      <c r="N1035">
        <v>0</v>
      </c>
      <c r="O1035">
        <v>0</v>
      </c>
      <c r="P1035" s="8">
        <v>7838433.1299999999</v>
      </c>
    </row>
    <row r="1036" spans="1:16">
      <c r="A1036" s="1">
        <v>44835</v>
      </c>
      <c r="B1036" t="s">
        <v>124</v>
      </c>
      <c r="C1036" t="s">
        <v>14</v>
      </c>
      <c r="D1036" t="s">
        <v>15</v>
      </c>
      <c r="E1036" t="s">
        <v>33</v>
      </c>
      <c r="F1036" t="s">
        <v>24</v>
      </c>
      <c r="G1036" t="s">
        <v>18</v>
      </c>
      <c r="H1036" t="s">
        <v>526</v>
      </c>
      <c r="I1036">
        <v>8</v>
      </c>
      <c r="J1036" t="s">
        <v>96</v>
      </c>
      <c r="K1036" t="str">
        <f t="shared" si="16"/>
        <v>39051</v>
      </c>
      <c r="L1036">
        <v>1426861.24</v>
      </c>
      <c r="M1036">
        <v>0</v>
      </c>
      <c r="N1036">
        <v>0</v>
      </c>
      <c r="O1036">
        <v>0</v>
      </c>
      <c r="P1036" s="8">
        <v>1426861.24</v>
      </c>
    </row>
    <row r="1037" spans="1:16">
      <c r="A1037" s="1">
        <v>44835</v>
      </c>
      <c r="B1037" t="s">
        <v>124</v>
      </c>
      <c r="C1037" t="s">
        <v>14</v>
      </c>
      <c r="D1037" t="s">
        <v>15</v>
      </c>
      <c r="E1037" t="s">
        <v>33</v>
      </c>
      <c r="F1037" t="s">
        <v>24</v>
      </c>
      <c r="G1037" t="s">
        <v>18</v>
      </c>
      <c r="H1037" t="s">
        <v>526</v>
      </c>
      <c r="I1037">
        <v>8</v>
      </c>
      <c r="J1037" t="s">
        <v>97</v>
      </c>
      <c r="K1037" t="str">
        <f t="shared" si="16"/>
        <v>39101</v>
      </c>
      <c r="L1037">
        <v>1337925.97</v>
      </c>
      <c r="M1037">
        <v>0</v>
      </c>
      <c r="N1037">
        <v>0</v>
      </c>
      <c r="O1037">
        <v>0</v>
      </c>
      <c r="P1037" s="8">
        <v>1337925.97</v>
      </c>
    </row>
    <row r="1038" spans="1:16">
      <c r="A1038" s="1">
        <v>44835</v>
      </c>
      <c r="B1038" t="s">
        <v>124</v>
      </c>
      <c r="C1038" t="s">
        <v>14</v>
      </c>
      <c r="D1038" t="s">
        <v>15</v>
      </c>
      <c r="E1038" t="s">
        <v>33</v>
      </c>
      <c r="F1038" t="s">
        <v>24</v>
      </c>
      <c r="G1038" t="s">
        <v>18</v>
      </c>
      <c r="H1038" t="s">
        <v>526</v>
      </c>
      <c r="I1038">
        <v>8</v>
      </c>
      <c r="J1038" t="s">
        <v>98</v>
      </c>
      <c r="K1038" t="str">
        <f t="shared" si="16"/>
        <v>39103</v>
      </c>
      <c r="L1038">
        <v>856038.81</v>
      </c>
      <c r="M1038">
        <v>0</v>
      </c>
      <c r="N1038">
        <v>0</v>
      </c>
      <c r="O1038">
        <v>0</v>
      </c>
      <c r="P1038" s="8">
        <v>856038.81</v>
      </c>
    </row>
    <row r="1039" spans="1:16">
      <c r="A1039" s="1">
        <v>44835</v>
      </c>
      <c r="B1039" t="s">
        <v>124</v>
      </c>
      <c r="C1039" t="s">
        <v>14</v>
      </c>
      <c r="D1039" t="s">
        <v>15</v>
      </c>
      <c r="E1039" t="s">
        <v>33</v>
      </c>
      <c r="F1039" t="s">
        <v>24</v>
      </c>
      <c r="G1039" t="s">
        <v>18</v>
      </c>
      <c r="H1039" t="s">
        <v>526</v>
      </c>
      <c r="I1039">
        <v>8</v>
      </c>
      <c r="J1039" t="s">
        <v>99</v>
      </c>
      <c r="K1039" t="str">
        <f t="shared" si="16"/>
        <v>39104</v>
      </c>
      <c r="L1039">
        <v>12034</v>
      </c>
      <c r="M1039">
        <v>0</v>
      </c>
      <c r="N1039">
        <v>0</v>
      </c>
      <c r="O1039">
        <v>0</v>
      </c>
      <c r="P1039" s="8">
        <v>12034</v>
      </c>
    </row>
    <row r="1040" spans="1:16">
      <c r="A1040" s="1">
        <v>44835</v>
      </c>
      <c r="B1040" t="s">
        <v>124</v>
      </c>
      <c r="C1040" t="s">
        <v>14</v>
      </c>
      <c r="D1040" t="s">
        <v>15</v>
      </c>
      <c r="E1040" t="s">
        <v>33</v>
      </c>
      <c r="F1040" t="s">
        <v>24</v>
      </c>
      <c r="G1040" t="s">
        <v>18</v>
      </c>
      <c r="H1040" t="s">
        <v>526</v>
      </c>
      <c r="I1040">
        <v>8</v>
      </c>
      <c r="J1040" t="s">
        <v>100</v>
      </c>
      <c r="K1040" t="str">
        <f t="shared" si="16"/>
        <v>39105</v>
      </c>
      <c r="L1040">
        <v>0</v>
      </c>
      <c r="M1040">
        <v>0</v>
      </c>
      <c r="N1040">
        <v>0</v>
      </c>
      <c r="O1040">
        <v>0</v>
      </c>
      <c r="P1040" s="8">
        <v>0</v>
      </c>
    </row>
    <row r="1041" spans="1:16">
      <c r="A1041" s="1">
        <v>44835</v>
      </c>
      <c r="B1041" t="s">
        <v>124</v>
      </c>
      <c r="C1041" t="s">
        <v>14</v>
      </c>
      <c r="D1041" t="s">
        <v>15</v>
      </c>
      <c r="E1041" t="s">
        <v>33</v>
      </c>
      <c r="F1041" t="s">
        <v>24</v>
      </c>
      <c r="G1041" t="s">
        <v>18</v>
      </c>
      <c r="H1041" t="s">
        <v>526</v>
      </c>
      <c r="I1041">
        <v>8</v>
      </c>
      <c r="J1041" t="s">
        <v>101</v>
      </c>
      <c r="K1041" t="str">
        <f t="shared" si="16"/>
        <v>39107</v>
      </c>
      <c r="L1041">
        <v>0</v>
      </c>
      <c r="M1041">
        <v>0</v>
      </c>
      <c r="N1041">
        <v>0</v>
      </c>
      <c r="O1041">
        <v>0</v>
      </c>
      <c r="P1041" s="8">
        <v>0</v>
      </c>
    </row>
    <row r="1042" spans="1:16">
      <c r="A1042" s="1">
        <v>44835</v>
      </c>
      <c r="B1042" t="s">
        <v>124</v>
      </c>
      <c r="C1042" t="s">
        <v>14</v>
      </c>
      <c r="D1042" t="s">
        <v>15</v>
      </c>
      <c r="E1042" t="s">
        <v>33</v>
      </c>
      <c r="F1042" t="s">
        <v>24</v>
      </c>
      <c r="G1042" t="s">
        <v>18</v>
      </c>
      <c r="H1042" t="s">
        <v>526</v>
      </c>
      <c r="I1042">
        <v>8</v>
      </c>
      <c r="J1042" t="s">
        <v>102</v>
      </c>
      <c r="K1042" t="str">
        <f t="shared" si="16"/>
        <v>39159</v>
      </c>
      <c r="L1042">
        <v>0</v>
      </c>
      <c r="M1042">
        <v>0</v>
      </c>
      <c r="N1042">
        <v>0</v>
      </c>
      <c r="O1042">
        <v>0</v>
      </c>
      <c r="P1042" s="8">
        <v>0</v>
      </c>
    </row>
    <row r="1043" spans="1:16">
      <c r="A1043" s="1">
        <v>44835</v>
      </c>
      <c r="B1043" t="s">
        <v>124</v>
      </c>
      <c r="C1043" t="s">
        <v>14</v>
      </c>
      <c r="D1043" t="s">
        <v>15</v>
      </c>
      <c r="E1043" t="s">
        <v>33</v>
      </c>
      <c r="F1043" t="s">
        <v>24</v>
      </c>
      <c r="G1043" t="s">
        <v>18</v>
      </c>
      <c r="H1043" t="s">
        <v>526</v>
      </c>
      <c r="I1043">
        <v>8</v>
      </c>
      <c r="J1043" t="s">
        <v>103</v>
      </c>
      <c r="K1043" t="str">
        <f t="shared" si="16"/>
        <v>39201</v>
      </c>
      <c r="L1043">
        <v>216925.63</v>
      </c>
      <c r="M1043">
        <v>0</v>
      </c>
      <c r="N1043">
        <v>0</v>
      </c>
      <c r="O1043">
        <v>0</v>
      </c>
      <c r="P1043" s="8">
        <v>216925.63</v>
      </c>
    </row>
    <row r="1044" spans="1:16">
      <c r="A1044" s="1">
        <v>44835</v>
      </c>
      <c r="B1044" t="s">
        <v>124</v>
      </c>
      <c r="C1044" t="s">
        <v>14</v>
      </c>
      <c r="D1044" t="s">
        <v>15</v>
      </c>
      <c r="E1044" t="s">
        <v>33</v>
      </c>
      <c r="F1044" t="s">
        <v>24</v>
      </c>
      <c r="G1044" t="s">
        <v>18</v>
      </c>
      <c r="H1044" t="s">
        <v>526</v>
      </c>
      <c r="I1044">
        <v>8</v>
      </c>
      <c r="J1044" t="s">
        <v>104</v>
      </c>
      <c r="K1044" t="str">
        <f t="shared" si="16"/>
        <v>39202</v>
      </c>
      <c r="L1044">
        <v>45525.16</v>
      </c>
      <c r="M1044">
        <v>0</v>
      </c>
      <c r="N1044">
        <v>0</v>
      </c>
      <c r="O1044">
        <v>0</v>
      </c>
      <c r="P1044" s="8">
        <v>45525.16</v>
      </c>
    </row>
    <row r="1045" spans="1:16">
      <c r="A1045" s="1">
        <v>44835</v>
      </c>
      <c r="B1045" t="s">
        <v>124</v>
      </c>
      <c r="C1045" t="s">
        <v>14</v>
      </c>
      <c r="D1045" t="s">
        <v>15</v>
      </c>
      <c r="E1045" t="s">
        <v>33</v>
      </c>
      <c r="F1045" t="s">
        <v>24</v>
      </c>
      <c r="G1045" t="s">
        <v>18</v>
      </c>
      <c r="H1045" t="s">
        <v>526</v>
      </c>
      <c r="I1045">
        <v>8</v>
      </c>
      <c r="J1045" t="s">
        <v>105</v>
      </c>
      <c r="K1045" t="str">
        <f t="shared" si="16"/>
        <v>39203</v>
      </c>
      <c r="L1045">
        <v>2559079.35</v>
      </c>
      <c r="M1045">
        <v>0</v>
      </c>
      <c r="N1045">
        <v>0</v>
      </c>
      <c r="O1045">
        <v>0</v>
      </c>
      <c r="P1045" s="8">
        <v>2559079.35</v>
      </c>
    </row>
    <row r="1046" spans="1:16">
      <c r="A1046" s="1">
        <v>44835</v>
      </c>
      <c r="B1046" t="s">
        <v>124</v>
      </c>
      <c r="C1046" t="s">
        <v>14</v>
      </c>
      <c r="D1046" t="s">
        <v>15</v>
      </c>
      <c r="E1046" t="s">
        <v>33</v>
      </c>
      <c r="F1046" t="s">
        <v>24</v>
      </c>
      <c r="G1046" t="s">
        <v>18</v>
      </c>
      <c r="H1046" t="s">
        <v>526</v>
      </c>
      <c r="I1046">
        <v>8</v>
      </c>
      <c r="J1046" t="s">
        <v>106</v>
      </c>
      <c r="K1046" t="str">
        <f t="shared" si="16"/>
        <v>39204</v>
      </c>
      <c r="L1046">
        <v>1758260.5899999999</v>
      </c>
      <c r="M1046">
        <v>0</v>
      </c>
      <c r="N1046">
        <v>0</v>
      </c>
      <c r="O1046">
        <v>0</v>
      </c>
      <c r="P1046" s="8">
        <v>1758260.5899999999</v>
      </c>
    </row>
    <row r="1047" spans="1:16">
      <c r="A1047" s="1">
        <v>44835</v>
      </c>
      <c r="B1047" t="s">
        <v>124</v>
      </c>
      <c r="C1047" t="s">
        <v>14</v>
      </c>
      <c r="D1047" t="s">
        <v>15</v>
      </c>
      <c r="E1047" t="s">
        <v>33</v>
      </c>
      <c r="F1047" t="s">
        <v>24</v>
      </c>
      <c r="G1047" t="s">
        <v>18</v>
      </c>
      <c r="H1047" t="s">
        <v>526</v>
      </c>
      <c r="I1047">
        <v>8</v>
      </c>
      <c r="J1047" t="s">
        <v>107</v>
      </c>
      <c r="K1047" t="str">
        <f t="shared" si="16"/>
        <v>39205</v>
      </c>
      <c r="L1047">
        <v>9638534.1899999995</v>
      </c>
      <c r="M1047">
        <v>0</v>
      </c>
      <c r="N1047">
        <v>0</v>
      </c>
      <c r="O1047">
        <v>0</v>
      </c>
      <c r="P1047" s="8">
        <v>9638534.1899999995</v>
      </c>
    </row>
    <row r="1048" spans="1:16">
      <c r="A1048" s="1">
        <v>44835</v>
      </c>
      <c r="B1048" t="s">
        <v>124</v>
      </c>
      <c r="C1048" t="s">
        <v>14</v>
      </c>
      <c r="D1048" t="s">
        <v>15</v>
      </c>
      <c r="E1048" t="s">
        <v>33</v>
      </c>
      <c r="F1048" t="s">
        <v>24</v>
      </c>
      <c r="G1048" t="s">
        <v>18</v>
      </c>
      <c r="H1048" t="s">
        <v>526</v>
      </c>
      <c r="I1048">
        <v>8</v>
      </c>
      <c r="J1048" t="s">
        <v>108</v>
      </c>
      <c r="K1048" t="str">
        <f t="shared" si="16"/>
        <v>39206</v>
      </c>
      <c r="L1048">
        <v>2339100.16</v>
      </c>
      <c r="M1048">
        <v>0</v>
      </c>
      <c r="N1048">
        <v>0</v>
      </c>
      <c r="O1048">
        <v>0</v>
      </c>
      <c r="P1048" s="8">
        <v>2339100.16</v>
      </c>
    </row>
    <row r="1049" spans="1:16">
      <c r="A1049" s="1">
        <v>44835</v>
      </c>
      <c r="B1049" t="s">
        <v>124</v>
      </c>
      <c r="C1049" t="s">
        <v>14</v>
      </c>
      <c r="D1049" t="s">
        <v>15</v>
      </c>
      <c r="E1049" t="s">
        <v>33</v>
      </c>
      <c r="F1049" t="s">
        <v>24</v>
      </c>
      <c r="G1049" t="s">
        <v>18</v>
      </c>
      <c r="H1049" t="s">
        <v>526</v>
      </c>
      <c r="I1049">
        <v>8</v>
      </c>
      <c r="J1049" t="s">
        <v>109</v>
      </c>
      <c r="K1049" t="str">
        <f t="shared" si="16"/>
        <v>39300</v>
      </c>
      <c r="L1049">
        <v>24905.31</v>
      </c>
      <c r="M1049">
        <v>0</v>
      </c>
      <c r="N1049">
        <v>0</v>
      </c>
      <c r="O1049">
        <v>0</v>
      </c>
      <c r="P1049" s="8">
        <v>24905.31</v>
      </c>
    </row>
    <row r="1050" spans="1:16">
      <c r="A1050" s="1">
        <v>44835</v>
      </c>
      <c r="B1050" t="s">
        <v>124</v>
      </c>
      <c r="C1050" t="s">
        <v>14</v>
      </c>
      <c r="D1050" t="s">
        <v>15</v>
      </c>
      <c r="E1050" t="s">
        <v>33</v>
      </c>
      <c r="F1050" t="s">
        <v>24</v>
      </c>
      <c r="G1050" t="s">
        <v>18</v>
      </c>
      <c r="H1050" t="s">
        <v>526</v>
      </c>
      <c r="I1050">
        <v>8</v>
      </c>
      <c r="J1050" t="s">
        <v>110</v>
      </c>
      <c r="K1050" t="str">
        <f t="shared" si="16"/>
        <v>39400</v>
      </c>
      <c r="L1050">
        <v>2959644.67</v>
      </c>
      <c r="M1050">
        <v>0</v>
      </c>
      <c r="N1050">
        <v>0</v>
      </c>
      <c r="O1050">
        <v>0</v>
      </c>
      <c r="P1050" s="8">
        <v>2959644.67</v>
      </c>
    </row>
    <row r="1051" spans="1:16">
      <c r="A1051" s="1">
        <v>44835</v>
      </c>
      <c r="B1051" t="s">
        <v>124</v>
      </c>
      <c r="C1051" t="s">
        <v>14</v>
      </c>
      <c r="D1051" t="s">
        <v>15</v>
      </c>
      <c r="E1051" t="s">
        <v>33</v>
      </c>
      <c r="F1051" t="s">
        <v>24</v>
      </c>
      <c r="G1051" t="s">
        <v>18</v>
      </c>
      <c r="H1051" t="s">
        <v>526</v>
      </c>
      <c r="I1051">
        <v>8</v>
      </c>
      <c r="J1051" t="s">
        <v>111</v>
      </c>
      <c r="K1051" t="str">
        <f t="shared" si="16"/>
        <v>39410</v>
      </c>
      <c r="L1051">
        <v>14177.720000000001</v>
      </c>
      <c r="M1051">
        <v>0</v>
      </c>
      <c r="N1051">
        <v>0</v>
      </c>
      <c r="O1051">
        <v>0</v>
      </c>
      <c r="P1051" s="8">
        <v>14177.720000000001</v>
      </c>
    </row>
    <row r="1052" spans="1:16">
      <c r="A1052" s="1">
        <v>44835</v>
      </c>
      <c r="B1052" t="s">
        <v>124</v>
      </c>
      <c r="C1052" t="s">
        <v>14</v>
      </c>
      <c r="D1052" t="s">
        <v>15</v>
      </c>
      <c r="E1052" t="s">
        <v>33</v>
      </c>
      <c r="F1052" t="s">
        <v>24</v>
      </c>
      <c r="G1052" t="s">
        <v>18</v>
      </c>
      <c r="H1052" t="s">
        <v>526</v>
      </c>
      <c r="I1052">
        <v>8</v>
      </c>
      <c r="J1052" t="s">
        <v>112</v>
      </c>
      <c r="K1052" t="str">
        <f t="shared" si="16"/>
        <v>39500</v>
      </c>
      <c r="L1052">
        <v>355298.29</v>
      </c>
      <c r="M1052">
        <v>0</v>
      </c>
      <c r="N1052">
        <v>0</v>
      </c>
      <c r="O1052">
        <v>0</v>
      </c>
      <c r="P1052" s="8">
        <v>355298.29</v>
      </c>
    </row>
    <row r="1053" spans="1:16">
      <c r="A1053" s="1">
        <v>44835</v>
      </c>
      <c r="B1053" t="s">
        <v>124</v>
      </c>
      <c r="C1053" t="s">
        <v>14</v>
      </c>
      <c r="D1053" t="s">
        <v>15</v>
      </c>
      <c r="E1053" t="s">
        <v>33</v>
      </c>
      <c r="F1053" t="s">
        <v>24</v>
      </c>
      <c r="G1053" t="s">
        <v>18</v>
      </c>
      <c r="H1053" t="s">
        <v>526</v>
      </c>
      <c r="I1053">
        <v>8</v>
      </c>
      <c r="J1053" t="s">
        <v>113</v>
      </c>
      <c r="K1053" t="str">
        <f t="shared" si="16"/>
        <v>39601</v>
      </c>
      <c r="L1053">
        <v>219977.59</v>
      </c>
      <c r="M1053">
        <v>0</v>
      </c>
      <c r="N1053">
        <v>0</v>
      </c>
      <c r="O1053">
        <v>0</v>
      </c>
      <c r="P1053" s="8">
        <v>219977.59</v>
      </c>
    </row>
    <row r="1054" spans="1:16">
      <c r="A1054" s="1">
        <v>44835</v>
      </c>
      <c r="B1054" t="s">
        <v>124</v>
      </c>
      <c r="C1054" t="s">
        <v>14</v>
      </c>
      <c r="D1054" t="s">
        <v>15</v>
      </c>
      <c r="E1054" t="s">
        <v>33</v>
      </c>
      <c r="F1054" t="s">
        <v>24</v>
      </c>
      <c r="G1054" t="s">
        <v>18</v>
      </c>
      <c r="H1054" t="s">
        <v>526</v>
      </c>
      <c r="I1054">
        <v>8</v>
      </c>
      <c r="J1054" t="s">
        <v>114</v>
      </c>
      <c r="K1054" t="str">
        <f t="shared" si="16"/>
        <v>39602</v>
      </c>
      <c r="L1054">
        <v>3255870.1</v>
      </c>
      <c r="M1054">
        <v>0</v>
      </c>
      <c r="N1054">
        <v>0</v>
      </c>
      <c r="O1054">
        <v>0</v>
      </c>
      <c r="P1054" s="8">
        <v>3255870.1</v>
      </c>
    </row>
    <row r="1055" spans="1:16">
      <c r="A1055" s="1">
        <v>44835</v>
      </c>
      <c r="B1055" t="s">
        <v>124</v>
      </c>
      <c r="C1055" t="s">
        <v>14</v>
      </c>
      <c r="D1055" t="s">
        <v>15</v>
      </c>
      <c r="E1055" t="s">
        <v>33</v>
      </c>
      <c r="F1055" t="s">
        <v>24</v>
      </c>
      <c r="G1055" t="s">
        <v>18</v>
      </c>
      <c r="H1055" t="s">
        <v>526</v>
      </c>
      <c r="I1055">
        <v>8</v>
      </c>
      <c r="J1055" t="s">
        <v>115</v>
      </c>
      <c r="K1055" t="str">
        <f t="shared" si="16"/>
        <v>39700</v>
      </c>
      <c r="L1055">
        <v>977085.37</v>
      </c>
      <c r="M1055">
        <v>0</v>
      </c>
      <c r="N1055">
        <v>0</v>
      </c>
      <c r="O1055">
        <v>0</v>
      </c>
      <c r="P1055" s="8">
        <v>977085.37</v>
      </c>
    </row>
    <row r="1056" spans="1:16">
      <c r="A1056" s="1">
        <v>44835</v>
      </c>
      <c r="B1056" t="s">
        <v>124</v>
      </c>
      <c r="C1056" t="s">
        <v>14</v>
      </c>
      <c r="D1056" t="s">
        <v>15</v>
      </c>
      <c r="E1056" t="s">
        <v>33</v>
      </c>
      <c r="F1056" t="s">
        <v>24</v>
      </c>
      <c r="G1056" t="s">
        <v>18</v>
      </c>
      <c r="H1056" t="s">
        <v>526</v>
      </c>
      <c r="I1056">
        <v>8</v>
      </c>
      <c r="J1056" t="s">
        <v>116</v>
      </c>
      <c r="K1056" t="str">
        <f t="shared" si="16"/>
        <v>39710</v>
      </c>
      <c r="L1056">
        <v>1207150.3799999999</v>
      </c>
      <c r="M1056">
        <v>0</v>
      </c>
      <c r="N1056">
        <v>0</v>
      </c>
      <c r="O1056">
        <v>0</v>
      </c>
      <c r="P1056" s="8">
        <v>1207150.3799999999</v>
      </c>
    </row>
    <row r="1057" spans="1:16">
      <c r="A1057" s="1">
        <v>44835</v>
      </c>
      <c r="B1057" t="s">
        <v>124</v>
      </c>
      <c r="C1057" t="s">
        <v>14</v>
      </c>
      <c r="D1057" t="s">
        <v>15</v>
      </c>
      <c r="E1057" t="s">
        <v>33</v>
      </c>
      <c r="F1057" t="s">
        <v>24</v>
      </c>
      <c r="G1057" t="s">
        <v>18</v>
      </c>
      <c r="H1057" t="s">
        <v>526</v>
      </c>
      <c r="I1057">
        <v>8</v>
      </c>
      <c r="J1057" t="s">
        <v>117</v>
      </c>
      <c r="K1057" t="str">
        <f t="shared" si="16"/>
        <v>39800</v>
      </c>
      <c r="L1057">
        <v>149473.80000000002</v>
      </c>
      <c r="M1057">
        <v>0</v>
      </c>
      <c r="N1057">
        <v>0</v>
      </c>
      <c r="O1057">
        <v>0</v>
      </c>
      <c r="P1057" s="8">
        <v>149473.80000000002</v>
      </c>
    </row>
    <row r="1058" spans="1:16">
      <c r="A1058" s="1">
        <v>44835</v>
      </c>
      <c r="B1058" t="s">
        <v>124</v>
      </c>
      <c r="C1058" t="s">
        <v>14</v>
      </c>
      <c r="D1058" t="s">
        <v>15</v>
      </c>
      <c r="E1058" t="s">
        <v>33</v>
      </c>
      <c r="F1058" t="s">
        <v>119</v>
      </c>
      <c r="G1058" t="s">
        <v>18</v>
      </c>
      <c r="H1058" t="s">
        <v>526</v>
      </c>
      <c r="I1058">
        <v>8</v>
      </c>
      <c r="J1058" t="s">
        <v>94</v>
      </c>
      <c r="K1058" t="str">
        <f t="shared" si="16"/>
        <v>38901</v>
      </c>
      <c r="L1058">
        <v>269440.43</v>
      </c>
      <c r="M1058">
        <v>0</v>
      </c>
      <c r="N1058">
        <v>0</v>
      </c>
      <c r="O1058">
        <v>0</v>
      </c>
      <c r="P1058" s="9">
        <v>269440.43</v>
      </c>
    </row>
    <row r="1059" spans="1:16">
      <c r="A1059" s="1">
        <v>44835</v>
      </c>
      <c r="B1059" t="s">
        <v>124</v>
      </c>
      <c r="C1059" t="s">
        <v>14</v>
      </c>
      <c r="D1059" t="s">
        <v>15</v>
      </c>
      <c r="E1059" t="s">
        <v>16</v>
      </c>
      <c r="F1059" t="s">
        <v>17</v>
      </c>
      <c r="G1059" t="s">
        <v>18</v>
      </c>
      <c r="H1059" t="s">
        <v>526</v>
      </c>
      <c r="I1059">
        <v>8</v>
      </c>
      <c r="J1059" t="s">
        <v>19</v>
      </c>
      <c r="K1059" t="str">
        <f t="shared" si="16"/>
        <v>39001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1:16">
      <c r="A1060" s="1">
        <v>44835</v>
      </c>
      <c r="B1060" t="s">
        <v>124</v>
      </c>
      <c r="C1060" t="s">
        <v>14</v>
      </c>
      <c r="D1060" t="s">
        <v>15</v>
      </c>
      <c r="E1060" t="s">
        <v>33</v>
      </c>
      <c r="F1060" t="s">
        <v>17</v>
      </c>
      <c r="G1060" t="s">
        <v>18</v>
      </c>
      <c r="H1060" t="s">
        <v>526</v>
      </c>
      <c r="I1060">
        <v>8</v>
      </c>
      <c r="J1060" t="s">
        <v>94</v>
      </c>
      <c r="K1060" t="str">
        <f t="shared" si="16"/>
        <v>38901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1:16">
      <c r="A1061" s="1">
        <v>44835</v>
      </c>
      <c r="B1061" t="s">
        <v>124</v>
      </c>
      <c r="C1061" t="s">
        <v>14</v>
      </c>
      <c r="D1061" t="s">
        <v>15</v>
      </c>
      <c r="E1061" t="s">
        <v>33</v>
      </c>
      <c r="F1061" t="s">
        <v>17</v>
      </c>
      <c r="G1061" t="s">
        <v>18</v>
      </c>
      <c r="H1061" t="s">
        <v>526</v>
      </c>
      <c r="I1061">
        <v>8</v>
      </c>
      <c r="J1061" t="s">
        <v>19</v>
      </c>
      <c r="K1061" t="str">
        <f t="shared" si="16"/>
        <v>39001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>
      <c r="A1062" s="1">
        <v>44835</v>
      </c>
      <c r="B1062" t="s">
        <v>124</v>
      </c>
      <c r="C1062" t="s">
        <v>14</v>
      </c>
      <c r="D1062" t="s">
        <v>15</v>
      </c>
      <c r="E1062" t="s">
        <v>33</v>
      </c>
      <c r="F1062" t="s">
        <v>17</v>
      </c>
      <c r="G1062" t="s">
        <v>18</v>
      </c>
      <c r="H1062" t="s">
        <v>526</v>
      </c>
      <c r="I1062">
        <v>8</v>
      </c>
      <c r="J1062" t="s">
        <v>96</v>
      </c>
      <c r="K1062" t="str">
        <f t="shared" si="16"/>
        <v>39051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1:16">
      <c r="A1063" s="1">
        <v>44835</v>
      </c>
      <c r="B1063" t="s">
        <v>124</v>
      </c>
      <c r="C1063" t="s">
        <v>14</v>
      </c>
      <c r="D1063" t="s">
        <v>15</v>
      </c>
      <c r="E1063" t="s">
        <v>33</v>
      </c>
      <c r="F1063" t="s">
        <v>17</v>
      </c>
      <c r="G1063" t="s">
        <v>18</v>
      </c>
      <c r="H1063" t="s">
        <v>526</v>
      </c>
      <c r="I1063">
        <v>8</v>
      </c>
      <c r="J1063" t="s">
        <v>97</v>
      </c>
      <c r="K1063" t="str">
        <f t="shared" si="16"/>
        <v>39101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1:16">
      <c r="A1064" s="1">
        <v>44835</v>
      </c>
      <c r="B1064" t="s">
        <v>124</v>
      </c>
      <c r="C1064" t="s">
        <v>14</v>
      </c>
      <c r="D1064" t="s">
        <v>15</v>
      </c>
      <c r="E1064" t="s">
        <v>33</v>
      </c>
      <c r="F1064" t="s">
        <v>17</v>
      </c>
      <c r="G1064" t="s">
        <v>18</v>
      </c>
      <c r="H1064" t="s">
        <v>526</v>
      </c>
      <c r="I1064">
        <v>8</v>
      </c>
      <c r="J1064" t="s">
        <v>98</v>
      </c>
      <c r="K1064" t="str">
        <f t="shared" si="16"/>
        <v>39103</v>
      </c>
      <c r="L1064">
        <v>0</v>
      </c>
      <c r="M1064">
        <v>44818.16</v>
      </c>
      <c r="N1064">
        <v>0</v>
      </c>
      <c r="O1064">
        <v>0</v>
      </c>
      <c r="P1064">
        <v>44818.16</v>
      </c>
    </row>
    <row r="1065" spans="1:16">
      <c r="A1065" s="1">
        <v>44835</v>
      </c>
      <c r="B1065" t="s">
        <v>124</v>
      </c>
      <c r="C1065" t="s">
        <v>14</v>
      </c>
      <c r="D1065" t="s">
        <v>15</v>
      </c>
      <c r="E1065" t="s">
        <v>33</v>
      </c>
      <c r="F1065" t="s">
        <v>17</v>
      </c>
      <c r="G1065" t="s">
        <v>18</v>
      </c>
      <c r="H1065" t="s">
        <v>526</v>
      </c>
      <c r="I1065">
        <v>8</v>
      </c>
      <c r="J1065" t="s">
        <v>99</v>
      </c>
      <c r="K1065" t="str">
        <f t="shared" si="16"/>
        <v>39104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1:16">
      <c r="A1066" s="1">
        <v>44835</v>
      </c>
      <c r="B1066" t="s">
        <v>124</v>
      </c>
      <c r="C1066" t="s">
        <v>14</v>
      </c>
      <c r="D1066" t="s">
        <v>15</v>
      </c>
      <c r="E1066" t="s">
        <v>33</v>
      </c>
      <c r="F1066" t="s">
        <v>17</v>
      </c>
      <c r="G1066" t="s">
        <v>18</v>
      </c>
      <c r="H1066" t="s">
        <v>526</v>
      </c>
      <c r="I1066">
        <v>8</v>
      </c>
      <c r="J1066" t="s">
        <v>103</v>
      </c>
      <c r="K1066" t="str">
        <f t="shared" si="16"/>
        <v>39201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1:16">
      <c r="A1067" s="1">
        <v>44835</v>
      </c>
      <c r="B1067" t="s">
        <v>124</v>
      </c>
      <c r="C1067" t="s">
        <v>14</v>
      </c>
      <c r="D1067" t="s">
        <v>15</v>
      </c>
      <c r="E1067" t="s">
        <v>33</v>
      </c>
      <c r="F1067" t="s">
        <v>17</v>
      </c>
      <c r="G1067" t="s">
        <v>18</v>
      </c>
      <c r="H1067" t="s">
        <v>526</v>
      </c>
      <c r="I1067">
        <v>8</v>
      </c>
      <c r="J1067" t="s">
        <v>104</v>
      </c>
      <c r="K1067" t="str">
        <f t="shared" si="16"/>
        <v>39202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1:16">
      <c r="A1068" s="1">
        <v>44835</v>
      </c>
      <c r="B1068" t="s">
        <v>124</v>
      </c>
      <c r="C1068" t="s">
        <v>14</v>
      </c>
      <c r="D1068" t="s">
        <v>15</v>
      </c>
      <c r="E1068" t="s">
        <v>33</v>
      </c>
      <c r="F1068" t="s">
        <v>17</v>
      </c>
      <c r="G1068" t="s">
        <v>18</v>
      </c>
      <c r="H1068" t="s">
        <v>526</v>
      </c>
      <c r="I1068">
        <v>8</v>
      </c>
      <c r="J1068" t="s">
        <v>105</v>
      </c>
      <c r="K1068" t="str">
        <f t="shared" si="16"/>
        <v>39203</v>
      </c>
      <c r="L1068">
        <v>343668.71</v>
      </c>
      <c r="M1068">
        <v>2424.27</v>
      </c>
      <c r="N1068">
        <v>0</v>
      </c>
      <c r="O1068">
        <v>0</v>
      </c>
      <c r="P1068">
        <v>346092.98</v>
      </c>
    </row>
    <row r="1069" spans="1:16">
      <c r="A1069" s="1">
        <v>44835</v>
      </c>
      <c r="B1069" t="s">
        <v>124</v>
      </c>
      <c r="C1069" t="s">
        <v>14</v>
      </c>
      <c r="D1069" t="s">
        <v>15</v>
      </c>
      <c r="E1069" t="s">
        <v>33</v>
      </c>
      <c r="F1069" t="s">
        <v>17</v>
      </c>
      <c r="G1069" t="s">
        <v>18</v>
      </c>
      <c r="H1069" t="s">
        <v>526</v>
      </c>
      <c r="I1069">
        <v>8</v>
      </c>
      <c r="J1069" t="s">
        <v>106</v>
      </c>
      <c r="K1069" t="str">
        <f t="shared" si="16"/>
        <v>39204</v>
      </c>
      <c r="L1069">
        <v>262261.74</v>
      </c>
      <c r="M1069">
        <v>15.75</v>
      </c>
      <c r="N1069">
        <v>0</v>
      </c>
      <c r="O1069">
        <v>0</v>
      </c>
      <c r="P1069">
        <v>262277.49</v>
      </c>
    </row>
    <row r="1070" spans="1:16">
      <c r="A1070" s="1">
        <v>44835</v>
      </c>
      <c r="B1070" t="s">
        <v>124</v>
      </c>
      <c r="C1070" t="s">
        <v>14</v>
      </c>
      <c r="D1070" t="s">
        <v>15</v>
      </c>
      <c r="E1070" t="s">
        <v>33</v>
      </c>
      <c r="F1070" t="s">
        <v>17</v>
      </c>
      <c r="G1070" t="s">
        <v>18</v>
      </c>
      <c r="H1070" t="s">
        <v>526</v>
      </c>
      <c r="I1070">
        <v>8</v>
      </c>
      <c r="J1070" t="s">
        <v>107</v>
      </c>
      <c r="K1070" t="str">
        <f t="shared" si="16"/>
        <v>39205</v>
      </c>
      <c r="L1070">
        <v>4485387.3600000003</v>
      </c>
      <c r="M1070">
        <v>16151.53</v>
      </c>
      <c r="N1070">
        <v>0</v>
      </c>
      <c r="O1070">
        <v>0</v>
      </c>
      <c r="P1070">
        <v>4501538.8899999997</v>
      </c>
    </row>
    <row r="1071" spans="1:16">
      <c r="A1071" s="1">
        <v>44835</v>
      </c>
      <c r="B1071" t="s">
        <v>124</v>
      </c>
      <c r="C1071" t="s">
        <v>14</v>
      </c>
      <c r="D1071" t="s">
        <v>15</v>
      </c>
      <c r="E1071" t="s">
        <v>33</v>
      </c>
      <c r="F1071" t="s">
        <v>17</v>
      </c>
      <c r="G1071" t="s">
        <v>18</v>
      </c>
      <c r="H1071" t="s">
        <v>526</v>
      </c>
      <c r="I1071">
        <v>8</v>
      </c>
      <c r="J1071" t="s">
        <v>108</v>
      </c>
      <c r="K1071" t="str">
        <f t="shared" si="16"/>
        <v>39206</v>
      </c>
      <c r="L1071">
        <v>504.89</v>
      </c>
      <c r="M1071">
        <v>198099.25</v>
      </c>
      <c r="N1071">
        <v>0</v>
      </c>
      <c r="O1071">
        <v>0</v>
      </c>
      <c r="P1071">
        <v>198604.14</v>
      </c>
    </row>
    <row r="1072" spans="1:16">
      <c r="A1072" s="1">
        <v>44835</v>
      </c>
      <c r="B1072" t="s">
        <v>124</v>
      </c>
      <c r="C1072" t="s">
        <v>14</v>
      </c>
      <c r="D1072" t="s">
        <v>15</v>
      </c>
      <c r="E1072" t="s">
        <v>33</v>
      </c>
      <c r="F1072" t="s">
        <v>17</v>
      </c>
      <c r="G1072" t="s">
        <v>18</v>
      </c>
      <c r="H1072" t="s">
        <v>526</v>
      </c>
      <c r="I1072">
        <v>8</v>
      </c>
      <c r="J1072" t="s">
        <v>109</v>
      </c>
      <c r="K1072" t="str">
        <f t="shared" si="16"/>
        <v>39300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1:16">
      <c r="A1073" s="1">
        <v>44835</v>
      </c>
      <c r="B1073" t="s">
        <v>124</v>
      </c>
      <c r="C1073" t="s">
        <v>14</v>
      </c>
      <c r="D1073" t="s">
        <v>15</v>
      </c>
      <c r="E1073" t="s">
        <v>33</v>
      </c>
      <c r="F1073" t="s">
        <v>17</v>
      </c>
      <c r="G1073" t="s">
        <v>18</v>
      </c>
      <c r="H1073" t="s">
        <v>526</v>
      </c>
      <c r="I1073">
        <v>8</v>
      </c>
      <c r="J1073" t="s">
        <v>110</v>
      </c>
      <c r="K1073" t="str">
        <f t="shared" si="16"/>
        <v>39400</v>
      </c>
      <c r="L1073">
        <v>203128.95999999999</v>
      </c>
      <c r="M1073">
        <v>6882.26</v>
      </c>
      <c r="N1073">
        <v>0</v>
      </c>
      <c r="O1073">
        <v>0</v>
      </c>
      <c r="P1073">
        <v>210011.22</v>
      </c>
    </row>
    <row r="1074" spans="1:16">
      <c r="A1074" s="1">
        <v>44835</v>
      </c>
      <c r="B1074" t="s">
        <v>124</v>
      </c>
      <c r="C1074" t="s">
        <v>14</v>
      </c>
      <c r="D1074" t="s">
        <v>15</v>
      </c>
      <c r="E1074" t="s">
        <v>33</v>
      </c>
      <c r="F1074" t="s">
        <v>17</v>
      </c>
      <c r="G1074" t="s">
        <v>18</v>
      </c>
      <c r="H1074" t="s">
        <v>526</v>
      </c>
      <c r="I1074">
        <v>8</v>
      </c>
      <c r="J1074" t="s">
        <v>111</v>
      </c>
      <c r="K1074" t="str">
        <f t="shared" si="16"/>
        <v>39410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1:16">
      <c r="A1075" s="1">
        <v>44835</v>
      </c>
      <c r="B1075" t="s">
        <v>124</v>
      </c>
      <c r="C1075" t="s">
        <v>14</v>
      </c>
      <c r="D1075" t="s">
        <v>15</v>
      </c>
      <c r="E1075" t="s">
        <v>33</v>
      </c>
      <c r="F1075" t="s">
        <v>17</v>
      </c>
      <c r="G1075" t="s">
        <v>18</v>
      </c>
      <c r="H1075" t="s">
        <v>526</v>
      </c>
      <c r="I1075">
        <v>8</v>
      </c>
      <c r="J1075" t="s">
        <v>112</v>
      </c>
      <c r="K1075" t="str">
        <f t="shared" si="16"/>
        <v>39500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>
      <c r="A1076" s="1">
        <v>44835</v>
      </c>
      <c r="B1076" t="s">
        <v>124</v>
      </c>
      <c r="C1076" t="s">
        <v>14</v>
      </c>
      <c r="D1076" t="s">
        <v>15</v>
      </c>
      <c r="E1076" t="s">
        <v>33</v>
      </c>
      <c r="F1076" t="s">
        <v>17</v>
      </c>
      <c r="G1076" t="s">
        <v>18</v>
      </c>
      <c r="H1076" t="s">
        <v>526</v>
      </c>
      <c r="I1076">
        <v>8</v>
      </c>
      <c r="J1076" t="s">
        <v>113</v>
      </c>
      <c r="K1076" t="str">
        <f t="shared" si="16"/>
        <v>39601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1:16">
      <c r="A1077" s="1">
        <v>44835</v>
      </c>
      <c r="B1077" t="s">
        <v>124</v>
      </c>
      <c r="C1077" t="s">
        <v>14</v>
      </c>
      <c r="D1077" t="s">
        <v>15</v>
      </c>
      <c r="E1077" t="s">
        <v>33</v>
      </c>
      <c r="F1077" t="s">
        <v>17</v>
      </c>
      <c r="G1077" t="s">
        <v>18</v>
      </c>
      <c r="H1077" t="s">
        <v>526</v>
      </c>
      <c r="I1077">
        <v>8</v>
      </c>
      <c r="J1077" t="s">
        <v>114</v>
      </c>
      <c r="K1077" t="str">
        <f t="shared" si="16"/>
        <v>39602</v>
      </c>
      <c r="L1077">
        <v>94356.85</v>
      </c>
      <c r="M1077">
        <v>0</v>
      </c>
      <c r="N1077">
        <v>0</v>
      </c>
      <c r="O1077">
        <v>0</v>
      </c>
      <c r="P1077">
        <v>94356.85</v>
      </c>
    </row>
    <row r="1078" spans="1:16">
      <c r="A1078" s="1">
        <v>44835</v>
      </c>
      <c r="B1078" t="s">
        <v>124</v>
      </c>
      <c r="C1078" t="s">
        <v>14</v>
      </c>
      <c r="D1078" t="s">
        <v>15</v>
      </c>
      <c r="E1078" t="s">
        <v>33</v>
      </c>
      <c r="F1078" t="s">
        <v>17</v>
      </c>
      <c r="G1078" t="s">
        <v>18</v>
      </c>
      <c r="H1078" t="s">
        <v>526</v>
      </c>
      <c r="I1078">
        <v>8</v>
      </c>
      <c r="J1078" t="s">
        <v>115</v>
      </c>
      <c r="K1078" t="str">
        <f t="shared" si="16"/>
        <v>39700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1:16">
      <c r="A1079" s="1">
        <v>44835</v>
      </c>
      <c r="B1079" t="s">
        <v>124</v>
      </c>
      <c r="C1079" t="s">
        <v>14</v>
      </c>
      <c r="D1079" t="s">
        <v>15</v>
      </c>
      <c r="E1079" t="s">
        <v>33</v>
      </c>
      <c r="F1079" t="s">
        <v>17</v>
      </c>
      <c r="G1079" t="s">
        <v>18</v>
      </c>
      <c r="H1079" t="s">
        <v>526</v>
      </c>
      <c r="I1079">
        <v>8</v>
      </c>
      <c r="J1079" t="s">
        <v>116</v>
      </c>
      <c r="K1079" t="str">
        <f t="shared" si="16"/>
        <v>39710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1:16">
      <c r="A1080" s="1">
        <v>44835</v>
      </c>
      <c r="B1080" t="s">
        <v>124</v>
      </c>
      <c r="C1080" t="s">
        <v>14</v>
      </c>
      <c r="D1080" t="s">
        <v>15</v>
      </c>
      <c r="E1080" t="s">
        <v>33</v>
      </c>
      <c r="F1080" t="s">
        <v>17</v>
      </c>
      <c r="G1080" t="s">
        <v>18</v>
      </c>
      <c r="H1080" t="s">
        <v>526</v>
      </c>
      <c r="I1080">
        <v>8</v>
      </c>
      <c r="J1080" t="s">
        <v>117</v>
      </c>
      <c r="K1080" t="str">
        <f t="shared" si="16"/>
        <v>39800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1:16">
      <c r="A1081" s="1">
        <v>44866</v>
      </c>
      <c r="B1081" t="s">
        <v>123</v>
      </c>
      <c r="C1081" t="s">
        <v>14</v>
      </c>
      <c r="D1081" t="s">
        <v>15</v>
      </c>
      <c r="E1081" t="s">
        <v>33</v>
      </c>
      <c r="F1081" t="s">
        <v>24</v>
      </c>
      <c r="G1081" t="s">
        <v>18</v>
      </c>
      <c r="H1081" t="s">
        <v>526</v>
      </c>
      <c r="I1081">
        <v>8</v>
      </c>
      <c r="J1081" t="s">
        <v>94</v>
      </c>
      <c r="K1081" t="str">
        <f t="shared" si="16"/>
        <v>38901</v>
      </c>
      <c r="L1081">
        <v>261405.4</v>
      </c>
      <c r="M1081">
        <v>0</v>
      </c>
      <c r="N1081">
        <v>0</v>
      </c>
      <c r="O1081">
        <v>0</v>
      </c>
      <c r="P1081" s="8">
        <v>261405.4</v>
      </c>
    </row>
    <row r="1082" spans="1:16">
      <c r="A1082" s="1">
        <v>44866</v>
      </c>
      <c r="B1082" t="s">
        <v>123</v>
      </c>
      <c r="C1082" t="s">
        <v>14</v>
      </c>
      <c r="D1082" t="s">
        <v>15</v>
      </c>
      <c r="E1082" t="s">
        <v>33</v>
      </c>
      <c r="F1082" t="s">
        <v>24</v>
      </c>
      <c r="G1082" t="s">
        <v>18</v>
      </c>
      <c r="H1082" t="s">
        <v>526</v>
      </c>
      <c r="I1082">
        <v>8</v>
      </c>
      <c r="J1082" t="s">
        <v>95</v>
      </c>
      <c r="K1082" t="str">
        <f t="shared" si="16"/>
        <v>38902</v>
      </c>
      <c r="L1082">
        <v>22532.78</v>
      </c>
      <c r="M1082">
        <v>0</v>
      </c>
      <c r="N1082">
        <v>0</v>
      </c>
      <c r="O1082">
        <v>0</v>
      </c>
      <c r="P1082" s="8">
        <v>22532.78</v>
      </c>
    </row>
    <row r="1083" spans="1:16">
      <c r="A1083" s="1">
        <v>44866</v>
      </c>
      <c r="B1083" t="s">
        <v>123</v>
      </c>
      <c r="C1083" t="s">
        <v>14</v>
      </c>
      <c r="D1083" t="s">
        <v>15</v>
      </c>
      <c r="E1083" t="s">
        <v>33</v>
      </c>
      <c r="F1083" t="s">
        <v>24</v>
      </c>
      <c r="G1083" t="s">
        <v>18</v>
      </c>
      <c r="H1083" t="s">
        <v>526</v>
      </c>
      <c r="I1083">
        <v>8</v>
      </c>
      <c r="J1083" t="s">
        <v>19</v>
      </c>
      <c r="K1083" t="str">
        <f t="shared" si="16"/>
        <v>39001</v>
      </c>
      <c r="L1083">
        <v>7838433.1299999999</v>
      </c>
      <c r="M1083">
        <v>0</v>
      </c>
      <c r="N1083">
        <v>0</v>
      </c>
      <c r="O1083">
        <v>0</v>
      </c>
      <c r="P1083" s="8">
        <v>7838433.1299999999</v>
      </c>
    </row>
    <row r="1084" spans="1:16">
      <c r="A1084" s="1">
        <v>44866</v>
      </c>
      <c r="B1084" t="s">
        <v>123</v>
      </c>
      <c r="C1084" t="s">
        <v>14</v>
      </c>
      <c r="D1084" t="s">
        <v>15</v>
      </c>
      <c r="E1084" t="s">
        <v>33</v>
      </c>
      <c r="F1084" t="s">
        <v>24</v>
      </c>
      <c r="G1084" t="s">
        <v>18</v>
      </c>
      <c r="H1084" t="s">
        <v>526</v>
      </c>
      <c r="I1084">
        <v>8</v>
      </c>
      <c r="J1084" t="s">
        <v>96</v>
      </c>
      <c r="K1084" t="str">
        <f t="shared" si="16"/>
        <v>39051</v>
      </c>
      <c r="L1084">
        <v>1426861.24</v>
      </c>
      <c r="M1084">
        <v>0</v>
      </c>
      <c r="N1084">
        <v>0</v>
      </c>
      <c r="O1084">
        <v>0</v>
      </c>
      <c r="P1084" s="8">
        <v>1426861.24</v>
      </c>
    </row>
    <row r="1085" spans="1:16">
      <c r="A1085" s="1">
        <v>44866</v>
      </c>
      <c r="B1085" t="s">
        <v>123</v>
      </c>
      <c r="C1085" t="s">
        <v>14</v>
      </c>
      <c r="D1085" t="s">
        <v>15</v>
      </c>
      <c r="E1085" t="s">
        <v>33</v>
      </c>
      <c r="F1085" t="s">
        <v>24</v>
      </c>
      <c r="G1085" t="s">
        <v>18</v>
      </c>
      <c r="H1085" t="s">
        <v>526</v>
      </c>
      <c r="I1085">
        <v>8</v>
      </c>
      <c r="J1085" t="s">
        <v>97</v>
      </c>
      <c r="K1085" t="str">
        <f t="shared" si="16"/>
        <v>39101</v>
      </c>
      <c r="L1085">
        <v>1337925.97</v>
      </c>
      <c r="M1085">
        <v>0</v>
      </c>
      <c r="N1085">
        <v>0</v>
      </c>
      <c r="O1085">
        <v>0</v>
      </c>
      <c r="P1085" s="8">
        <v>1337925.97</v>
      </c>
    </row>
    <row r="1086" spans="1:16">
      <c r="A1086" s="1">
        <v>44866</v>
      </c>
      <c r="B1086" t="s">
        <v>123</v>
      </c>
      <c r="C1086" t="s">
        <v>14</v>
      </c>
      <c r="D1086" t="s">
        <v>15</v>
      </c>
      <c r="E1086" t="s">
        <v>33</v>
      </c>
      <c r="F1086" t="s">
        <v>24</v>
      </c>
      <c r="G1086" t="s">
        <v>18</v>
      </c>
      <c r="H1086" t="s">
        <v>526</v>
      </c>
      <c r="I1086">
        <v>8</v>
      </c>
      <c r="J1086" t="s">
        <v>98</v>
      </c>
      <c r="K1086" t="str">
        <f t="shared" si="16"/>
        <v>39103</v>
      </c>
      <c r="L1086">
        <v>856038.81</v>
      </c>
      <c r="M1086">
        <v>0</v>
      </c>
      <c r="N1086">
        <v>0</v>
      </c>
      <c r="O1086">
        <v>0</v>
      </c>
      <c r="P1086" s="8">
        <v>856038.81</v>
      </c>
    </row>
    <row r="1087" spans="1:16">
      <c r="A1087" s="1">
        <v>44866</v>
      </c>
      <c r="B1087" t="s">
        <v>123</v>
      </c>
      <c r="C1087" t="s">
        <v>14</v>
      </c>
      <c r="D1087" t="s">
        <v>15</v>
      </c>
      <c r="E1087" t="s">
        <v>33</v>
      </c>
      <c r="F1087" t="s">
        <v>24</v>
      </c>
      <c r="G1087" t="s">
        <v>18</v>
      </c>
      <c r="H1087" t="s">
        <v>526</v>
      </c>
      <c r="I1087">
        <v>8</v>
      </c>
      <c r="J1087" t="s">
        <v>99</v>
      </c>
      <c r="K1087" t="str">
        <f t="shared" si="16"/>
        <v>39104</v>
      </c>
      <c r="L1087">
        <v>12034</v>
      </c>
      <c r="M1087">
        <v>0</v>
      </c>
      <c r="N1087">
        <v>0</v>
      </c>
      <c r="O1087">
        <v>0</v>
      </c>
      <c r="P1087" s="8">
        <v>12034</v>
      </c>
    </row>
    <row r="1088" spans="1:16">
      <c r="A1088" s="1">
        <v>44866</v>
      </c>
      <c r="B1088" t="s">
        <v>123</v>
      </c>
      <c r="C1088" t="s">
        <v>14</v>
      </c>
      <c r="D1088" t="s">
        <v>15</v>
      </c>
      <c r="E1088" t="s">
        <v>33</v>
      </c>
      <c r="F1088" t="s">
        <v>24</v>
      </c>
      <c r="G1088" t="s">
        <v>18</v>
      </c>
      <c r="H1088" t="s">
        <v>526</v>
      </c>
      <c r="I1088">
        <v>8</v>
      </c>
      <c r="J1088" t="s">
        <v>100</v>
      </c>
      <c r="K1088" t="str">
        <f t="shared" si="16"/>
        <v>39105</v>
      </c>
      <c r="L1088">
        <v>0</v>
      </c>
      <c r="M1088">
        <v>0</v>
      </c>
      <c r="N1088">
        <v>0</v>
      </c>
      <c r="O1088">
        <v>0</v>
      </c>
      <c r="P1088" s="8">
        <v>0</v>
      </c>
    </row>
    <row r="1089" spans="1:16">
      <c r="A1089" s="1">
        <v>44866</v>
      </c>
      <c r="B1089" t="s">
        <v>123</v>
      </c>
      <c r="C1089" t="s">
        <v>14</v>
      </c>
      <c r="D1089" t="s">
        <v>15</v>
      </c>
      <c r="E1089" t="s">
        <v>33</v>
      </c>
      <c r="F1089" t="s">
        <v>24</v>
      </c>
      <c r="G1089" t="s">
        <v>18</v>
      </c>
      <c r="H1089" t="s">
        <v>526</v>
      </c>
      <c r="I1089">
        <v>8</v>
      </c>
      <c r="J1089" t="s">
        <v>101</v>
      </c>
      <c r="K1089" t="str">
        <f t="shared" si="16"/>
        <v>39107</v>
      </c>
      <c r="L1089">
        <v>0</v>
      </c>
      <c r="M1089">
        <v>0</v>
      </c>
      <c r="N1089">
        <v>0</v>
      </c>
      <c r="O1089">
        <v>0</v>
      </c>
      <c r="P1089" s="8">
        <v>0</v>
      </c>
    </row>
    <row r="1090" spans="1:16">
      <c r="A1090" s="1">
        <v>44866</v>
      </c>
      <c r="B1090" t="s">
        <v>123</v>
      </c>
      <c r="C1090" t="s">
        <v>14</v>
      </c>
      <c r="D1090" t="s">
        <v>15</v>
      </c>
      <c r="E1090" t="s">
        <v>33</v>
      </c>
      <c r="F1090" t="s">
        <v>24</v>
      </c>
      <c r="G1090" t="s">
        <v>18</v>
      </c>
      <c r="H1090" t="s">
        <v>526</v>
      </c>
      <c r="I1090">
        <v>8</v>
      </c>
      <c r="J1090" t="s">
        <v>102</v>
      </c>
      <c r="K1090" t="str">
        <f t="shared" ref="K1090:K1153" si="17">MID(J1090,2,5)</f>
        <v>39159</v>
      </c>
      <c r="L1090">
        <v>0</v>
      </c>
      <c r="M1090">
        <v>0</v>
      </c>
      <c r="N1090">
        <v>0</v>
      </c>
      <c r="O1090">
        <v>0</v>
      </c>
      <c r="P1090" s="8">
        <v>0</v>
      </c>
    </row>
    <row r="1091" spans="1:16">
      <c r="A1091" s="1">
        <v>44866</v>
      </c>
      <c r="B1091" t="s">
        <v>123</v>
      </c>
      <c r="C1091" t="s">
        <v>14</v>
      </c>
      <c r="D1091" t="s">
        <v>15</v>
      </c>
      <c r="E1091" t="s">
        <v>33</v>
      </c>
      <c r="F1091" t="s">
        <v>24</v>
      </c>
      <c r="G1091" t="s">
        <v>18</v>
      </c>
      <c r="H1091" t="s">
        <v>526</v>
      </c>
      <c r="I1091">
        <v>8</v>
      </c>
      <c r="J1091" t="s">
        <v>103</v>
      </c>
      <c r="K1091" t="str">
        <f t="shared" si="17"/>
        <v>39201</v>
      </c>
      <c r="L1091">
        <v>216925.63</v>
      </c>
      <c r="M1091">
        <v>0</v>
      </c>
      <c r="N1091">
        <v>0</v>
      </c>
      <c r="O1091">
        <v>0</v>
      </c>
      <c r="P1091" s="8">
        <v>216925.63</v>
      </c>
    </row>
    <row r="1092" spans="1:16">
      <c r="A1092" s="1">
        <v>44866</v>
      </c>
      <c r="B1092" t="s">
        <v>123</v>
      </c>
      <c r="C1092" t="s">
        <v>14</v>
      </c>
      <c r="D1092" t="s">
        <v>15</v>
      </c>
      <c r="E1092" t="s">
        <v>33</v>
      </c>
      <c r="F1092" t="s">
        <v>24</v>
      </c>
      <c r="G1092" t="s">
        <v>18</v>
      </c>
      <c r="H1092" t="s">
        <v>526</v>
      </c>
      <c r="I1092">
        <v>8</v>
      </c>
      <c r="J1092" t="s">
        <v>104</v>
      </c>
      <c r="K1092" t="str">
        <f t="shared" si="17"/>
        <v>39202</v>
      </c>
      <c r="L1092">
        <v>45525.16</v>
      </c>
      <c r="M1092">
        <v>0</v>
      </c>
      <c r="N1092">
        <v>0</v>
      </c>
      <c r="O1092">
        <v>0</v>
      </c>
      <c r="P1092" s="8">
        <v>45525.16</v>
      </c>
    </row>
    <row r="1093" spans="1:16">
      <c r="A1093" s="1">
        <v>44866</v>
      </c>
      <c r="B1093" t="s">
        <v>123</v>
      </c>
      <c r="C1093" t="s">
        <v>14</v>
      </c>
      <c r="D1093" t="s">
        <v>15</v>
      </c>
      <c r="E1093" t="s">
        <v>33</v>
      </c>
      <c r="F1093" t="s">
        <v>24</v>
      </c>
      <c r="G1093" t="s">
        <v>18</v>
      </c>
      <c r="H1093" t="s">
        <v>526</v>
      </c>
      <c r="I1093">
        <v>8</v>
      </c>
      <c r="J1093" t="s">
        <v>105</v>
      </c>
      <c r="K1093" t="str">
        <f t="shared" si="17"/>
        <v>39203</v>
      </c>
      <c r="L1093">
        <v>2559079.35</v>
      </c>
      <c r="M1093">
        <v>0</v>
      </c>
      <c r="N1093">
        <v>0</v>
      </c>
      <c r="O1093">
        <v>0</v>
      </c>
      <c r="P1093" s="8">
        <v>2559079.35</v>
      </c>
    </row>
    <row r="1094" spans="1:16">
      <c r="A1094" s="1">
        <v>44866</v>
      </c>
      <c r="B1094" t="s">
        <v>123</v>
      </c>
      <c r="C1094" t="s">
        <v>14</v>
      </c>
      <c r="D1094" t="s">
        <v>15</v>
      </c>
      <c r="E1094" t="s">
        <v>33</v>
      </c>
      <c r="F1094" t="s">
        <v>24</v>
      </c>
      <c r="G1094" t="s">
        <v>18</v>
      </c>
      <c r="H1094" t="s">
        <v>526</v>
      </c>
      <c r="I1094">
        <v>8</v>
      </c>
      <c r="J1094" t="s">
        <v>106</v>
      </c>
      <c r="K1094" t="str">
        <f t="shared" si="17"/>
        <v>39204</v>
      </c>
      <c r="L1094">
        <v>1758260.5899999999</v>
      </c>
      <c r="M1094">
        <v>0</v>
      </c>
      <c r="N1094">
        <v>0</v>
      </c>
      <c r="O1094">
        <v>0</v>
      </c>
      <c r="P1094" s="8">
        <v>1758260.5899999999</v>
      </c>
    </row>
    <row r="1095" spans="1:16">
      <c r="A1095" s="1">
        <v>44866</v>
      </c>
      <c r="B1095" t="s">
        <v>123</v>
      </c>
      <c r="C1095" t="s">
        <v>14</v>
      </c>
      <c r="D1095" t="s">
        <v>15</v>
      </c>
      <c r="E1095" t="s">
        <v>33</v>
      </c>
      <c r="F1095" t="s">
        <v>24</v>
      </c>
      <c r="G1095" t="s">
        <v>18</v>
      </c>
      <c r="H1095" t="s">
        <v>526</v>
      </c>
      <c r="I1095">
        <v>8</v>
      </c>
      <c r="J1095" t="s">
        <v>107</v>
      </c>
      <c r="K1095" t="str">
        <f t="shared" si="17"/>
        <v>39205</v>
      </c>
      <c r="L1095">
        <v>9638534.1899999995</v>
      </c>
      <c r="M1095">
        <v>0</v>
      </c>
      <c r="N1095">
        <v>0</v>
      </c>
      <c r="O1095">
        <v>0</v>
      </c>
      <c r="P1095" s="8">
        <v>9638534.1899999995</v>
      </c>
    </row>
    <row r="1096" spans="1:16">
      <c r="A1096" s="1">
        <v>44866</v>
      </c>
      <c r="B1096" t="s">
        <v>123</v>
      </c>
      <c r="C1096" t="s">
        <v>14</v>
      </c>
      <c r="D1096" t="s">
        <v>15</v>
      </c>
      <c r="E1096" t="s">
        <v>33</v>
      </c>
      <c r="F1096" t="s">
        <v>24</v>
      </c>
      <c r="G1096" t="s">
        <v>18</v>
      </c>
      <c r="H1096" t="s">
        <v>526</v>
      </c>
      <c r="I1096">
        <v>8</v>
      </c>
      <c r="J1096" t="s">
        <v>108</v>
      </c>
      <c r="K1096" t="str">
        <f t="shared" si="17"/>
        <v>39206</v>
      </c>
      <c r="L1096">
        <v>2339100.16</v>
      </c>
      <c r="M1096">
        <v>0</v>
      </c>
      <c r="N1096">
        <v>0</v>
      </c>
      <c r="O1096">
        <v>0</v>
      </c>
      <c r="P1096" s="8">
        <v>2339100.16</v>
      </c>
    </row>
    <row r="1097" spans="1:16">
      <c r="A1097" s="1">
        <v>44866</v>
      </c>
      <c r="B1097" t="s">
        <v>123</v>
      </c>
      <c r="C1097" t="s">
        <v>14</v>
      </c>
      <c r="D1097" t="s">
        <v>15</v>
      </c>
      <c r="E1097" t="s">
        <v>33</v>
      </c>
      <c r="F1097" t="s">
        <v>24</v>
      </c>
      <c r="G1097" t="s">
        <v>18</v>
      </c>
      <c r="H1097" t="s">
        <v>526</v>
      </c>
      <c r="I1097">
        <v>8</v>
      </c>
      <c r="J1097" t="s">
        <v>109</v>
      </c>
      <c r="K1097" t="str">
        <f t="shared" si="17"/>
        <v>39300</v>
      </c>
      <c r="L1097">
        <v>24905.31</v>
      </c>
      <c r="M1097">
        <v>0</v>
      </c>
      <c r="N1097">
        <v>0</v>
      </c>
      <c r="O1097">
        <v>0</v>
      </c>
      <c r="P1097" s="8">
        <v>24905.31</v>
      </c>
    </row>
    <row r="1098" spans="1:16">
      <c r="A1098" s="1">
        <v>44866</v>
      </c>
      <c r="B1098" t="s">
        <v>123</v>
      </c>
      <c r="C1098" t="s">
        <v>14</v>
      </c>
      <c r="D1098" t="s">
        <v>15</v>
      </c>
      <c r="E1098" t="s">
        <v>33</v>
      </c>
      <c r="F1098" t="s">
        <v>24</v>
      </c>
      <c r="G1098" t="s">
        <v>18</v>
      </c>
      <c r="H1098" t="s">
        <v>526</v>
      </c>
      <c r="I1098">
        <v>8</v>
      </c>
      <c r="J1098" t="s">
        <v>110</v>
      </c>
      <c r="K1098" t="str">
        <f t="shared" si="17"/>
        <v>39400</v>
      </c>
      <c r="L1098">
        <v>2959644.67</v>
      </c>
      <c r="M1098">
        <v>0</v>
      </c>
      <c r="N1098">
        <v>0</v>
      </c>
      <c r="O1098">
        <v>0</v>
      </c>
      <c r="P1098" s="8">
        <v>2959644.67</v>
      </c>
    </row>
    <row r="1099" spans="1:16">
      <c r="A1099" s="1">
        <v>44866</v>
      </c>
      <c r="B1099" t="s">
        <v>123</v>
      </c>
      <c r="C1099" t="s">
        <v>14</v>
      </c>
      <c r="D1099" t="s">
        <v>15</v>
      </c>
      <c r="E1099" t="s">
        <v>33</v>
      </c>
      <c r="F1099" t="s">
        <v>24</v>
      </c>
      <c r="G1099" t="s">
        <v>18</v>
      </c>
      <c r="H1099" t="s">
        <v>526</v>
      </c>
      <c r="I1099">
        <v>8</v>
      </c>
      <c r="J1099" t="s">
        <v>111</v>
      </c>
      <c r="K1099" t="str">
        <f t="shared" si="17"/>
        <v>39410</v>
      </c>
      <c r="L1099">
        <v>14177.720000000001</v>
      </c>
      <c r="M1099">
        <v>0</v>
      </c>
      <c r="N1099">
        <v>0</v>
      </c>
      <c r="O1099">
        <v>0</v>
      </c>
      <c r="P1099" s="8">
        <v>14177.720000000001</v>
      </c>
    </row>
    <row r="1100" spans="1:16">
      <c r="A1100" s="1">
        <v>44866</v>
      </c>
      <c r="B1100" t="s">
        <v>123</v>
      </c>
      <c r="C1100" t="s">
        <v>14</v>
      </c>
      <c r="D1100" t="s">
        <v>15</v>
      </c>
      <c r="E1100" t="s">
        <v>33</v>
      </c>
      <c r="F1100" t="s">
        <v>24</v>
      </c>
      <c r="G1100" t="s">
        <v>18</v>
      </c>
      <c r="H1100" t="s">
        <v>526</v>
      </c>
      <c r="I1100">
        <v>8</v>
      </c>
      <c r="J1100" t="s">
        <v>112</v>
      </c>
      <c r="K1100" t="str">
        <f t="shared" si="17"/>
        <v>39500</v>
      </c>
      <c r="L1100">
        <v>355298.29</v>
      </c>
      <c r="M1100">
        <v>0</v>
      </c>
      <c r="N1100">
        <v>0</v>
      </c>
      <c r="O1100">
        <v>0</v>
      </c>
      <c r="P1100" s="8">
        <v>355298.29</v>
      </c>
    </row>
    <row r="1101" spans="1:16">
      <c r="A1101" s="1">
        <v>44866</v>
      </c>
      <c r="B1101" t="s">
        <v>123</v>
      </c>
      <c r="C1101" t="s">
        <v>14</v>
      </c>
      <c r="D1101" t="s">
        <v>15</v>
      </c>
      <c r="E1101" t="s">
        <v>33</v>
      </c>
      <c r="F1101" t="s">
        <v>24</v>
      </c>
      <c r="G1101" t="s">
        <v>18</v>
      </c>
      <c r="H1101" t="s">
        <v>526</v>
      </c>
      <c r="I1101">
        <v>8</v>
      </c>
      <c r="J1101" t="s">
        <v>113</v>
      </c>
      <c r="K1101" t="str">
        <f t="shared" si="17"/>
        <v>39601</v>
      </c>
      <c r="L1101">
        <v>219977.59</v>
      </c>
      <c r="M1101">
        <v>0</v>
      </c>
      <c r="N1101">
        <v>0</v>
      </c>
      <c r="O1101">
        <v>0</v>
      </c>
      <c r="P1101" s="8">
        <v>219977.59</v>
      </c>
    </row>
    <row r="1102" spans="1:16">
      <c r="A1102" s="1">
        <v>44866</v>
      </c>
      <c r="B1102" t="s">
        <v>123</v>
      </c>
      <c r="C1102" t="s">
        <v>14</v>
      </c>
      <c r="D1102" t="s">
        <v>15</v>
      </c>
      <c r="E1102" t="s">
        <v>33</v>
      </c>
      <c r="F1102" t="s">
        <v>24</v>
      </c>
      <c r="G1102" t="s">
        <v>18</v>
      </c>
      <c r="H1102" t="s">
        <v>526</v>
      </c>
      <c r="I1102">
        <v>8</v>
      </c>
      <c r="J1102" t="s">
        <v>114</v>
      </c>
      <c r="K1102" t="str">
        <f t="shared" si="17"/>
        <v>39602</v>
      </c>
      <c r="L1102">
        <v>3255870.1</v>
      </c>
      <c r="M1102">
        <v>0</v>
      </c>
      <c r="N1102">
        <v>0</v>
      </c>
      <c r="O1102">
        <v>0</v>
      </c>
      <c r="P1102" s="8">
        <v>3255870.1</v>
      </c>
    </row>
    <row r="1103" spans="1:16">
      <c r="A1103" s="1">
        <v>44866</v>
      </c>
      <c r="B1103" t="s">
        <v>123</v>
      </c>
      <c r="C1103" t="s">
        <v>14</v>
      </c>
      <c r="D1103" t="s">
        <v>15</v>
      </c>
      <c r="E1103" t="s">
        <v>33</v>
      </c>
      <c r="F1103" t="s">
        <v>24</v>
      </c>
      <c r="G1103" t="s">
        <v>18</v>
      </c>
      <c r="H1103" t="s">
        <v>526</v>
      </c>
      <c r="I1103">
        <v>8</v>
      </c>
      <c r="J1103" t="s">
        <v>115</v>
      </c>
      <c r="K1103" t="str">
        <f t="shared" si="17"/>
        <v>39700</v>
      </c>
      <c r="L1103">
        <v>977085.37</v>
      </c>
      <c r="M1103">
        <v>0</v>
      </c>
      <c r="N1103">
        <v>-131387.79999999999</v>
      </c>
      <c r="O1103">
        <v>0</v>
      </c>
      <c r="P1103" s="8">
        <v>845697.57000000007</v>
      </c>
    </row>
    <row r="1104" spans="1:16">
      <c r="A1104" s="1">
        <v>44866</v>
      </c>
      <c r="B1104" t="s">
        <v>123</v>
      </c>
      <c r="C1104" t="s">
        <v>14</v>
      </c>
      <c r="D1104" t="s">
        <v>15</v>
      </c>
      <c r="E1104" t="s">
        <v>33</v>
      </c>
      <c r="F1104" t="s">
        <v>24</v>
      </c>
      <c r="G1104" t="s">
        <v>18</v>
      </c>
      <c r="H1104" t="s">
        <v>526</v>
      </c>
      <c r="I1104">
        <v>8</v>
      </c>
      <c r="J1104" t="s">
        <v>116</v>
      </c>
      <c r="K1104" t="str">
        <f t="shared" si="17"/>
        <v>39710</v>
      </c>
      <c r="L1104">
        <v>1207150.3799999999</v>
      </c>
      <c r="M1104">
        <v>0</v>
      </c>
      <c r="N1104">
        <v>0</v>
      </c>
      <c r="O1104">
        <v>0</v>
      </c>
      <c r="P1104" s="8">
        <v>1207150.3799999999</v>
      </c>
    </row>
    <row r="1105" spans="1:16">
      <c r="A1105" s="1">
        <v>44866</v>
      </c>
      <c r="B1105" t="s">
        <v>123</v>
      </c>
      <c r="C1105" t="s">
        <v>14</v>
      </c>
      <c r="D1105" t="s">
        <v>15</v>
      </c>
      <c r="E1105" t="s">
        <v>33</v>
      </c>
      <c r="F1105" t="s">
        <v>24</v>
      </c>
      <c r="G1105" t="s">
        <v>18</v>
      </c>
      <c r="H1105" t="s">
        <v>526</v>
      </c>
      <c r="I1105">
        <v>8</v>
      </c>
      <c r="J1105" t="s">
        <v>117</v>
      </c>
      <c r="K1105" t="str">
        <f t="shared" si="17"/>
        <v>39800</v>
      </c>
      <c r="L1105">
        <v>149473.80000000002</v>
      </c>
      <c r="M1105">
        <v>0</v>
      </c>
      <c r="N1105">
        <v>0</v>
      </c>
      <c r="O1105">
        <v>0</v>
      </c>
      <c r="P1105" s="8">
        <v>149473.80000000002</v>
      </c>
    </row>
    <row r="1106" spans="1:16">
      <c r="A1106" s="1">
        <v>44866</v>
      </c>
      <c r="B1106" t="s">
        <v>123</v>
      </c>
      <c r="C1106" t="s">
        <v>14</v>
      </c>
      <c r="D1106" t="s">
        <v>15</v>
      </c>
      <c r="E1106" t="s">
        <v>33</v>
      </c>
      <c r="F1106" t="s">
        <v>119</v>
      </c>
      <c r="G1106" t="s">
        <v>18</v>
      </c>
      <c r="H1106" t="s">
        <v>526</v>
      </c>
      <c r="I1106">
        <v>8</v>
      </c>
      <c r="J1106" t="s">
        <v>94</v>
      </c>
      <c r="K1106" t="str">
        <f t="shared" si="17"/>
        <v>38901</v>
      </c>
      <c r="L1106">
        <v>269440.43</v>
      </c>
      <c r="M1106">
        <v>0</v>
      </c>
      <c r="N1106">
        <v>0</v>
      </c>
      <c r="O1106">
        <v>0</v>
      </c>
      <c r="P1106" s="9">
        <v>269440.43</v>
      </c>
    </row>
    <row r="1107" spans="1:16">
      <c r="A1107" s="1">
        <v>44866</v>
      </c>
      <c r="B1107" t="s">
        <v>123</v>
      </c>
      <c r="C1107" t="s">
        <v>14</v>
      </c>
      <c r="D1107" t="s">
        <v>15</v>
      </c>
      <c r="E1107" t="s">
        <v>16</v>
      </c>
      <c r="F1107" t="s">
        <v>17</v>
      </c>
      <c r="G1107" t="s">
        <v>18</v>
      </c>
      <c r="H1107" t="s">
        <v>526</v>
      </c>
      <c r="I1107">
        <v>8</v>
      </c>
      <c r="J1107" t="s">
        <v>19</v>
      </c>
      <c r="K1107" t="str">
        <f t="shared" si="17"/>
        <v>39001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1:16">
      <c r="A1108" s="1">
        <v>44866</v>
      </c>
      <c r="B1108" t="s">
        <v>123</v>
      </c>
      <c r="C1108" t="s">
        <v>14</v>
      </c>
      <c r="D1108" t="s">
        <v>15</v>
      </c>
      <c r="E1108" t="s">
        <v>33</v>
      </c>
      <c r="F1108" t="s">
        <v>17</v>
      </c>
      <c r="G1108" t="s">
        <v>18</v>
      </c>
      <c r="H1108" t="s">
        <v>526</v>
      </c>
      <c r="I1108">
        <v>8</v>
      </c>
      <c r="J1108" t="s">
        <v>94</v>
      </c>
      <c r="K1108" t="str">
        <f t="shared" si="17"/>
        <v>38901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1:16">
      <c r="A1109" s="1">
        <v>44866</v>
      </c>
      <c r="B1109" t="s">
        <v>123</v>
      </c>
      <c r="C1109" t="s">
        <v>14</v>
      </c>
      <c r="D1109" t="s">
        <v>15</v>
      </c>
      <c r="E1109" t="s">
        <v>33</v>
      </c>
      <c r="F1109" t="s">
        <v>17</v>
      </c>
      <c r="G1109" t="s">
        <v>18</v>
      </c>
      <c r="H1109" t="s">
        <v>526</v>
      </c>
      <c r="I1109">
        <v>8</v>
      </c>
      <c r="J1109" t="s">
        <v>19</v>
      </c>
      <c r="K1109" t="str">
        <f t="shared" si="17"/>
        <v>39001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1:16">
      <c r="A1110" s="1">
        <v>44866</v>
      </c>
      <c r="B1110" t="s">
        <v>123</v>
      </c>
      <c r="C1110" t="s">
        <v>14</v>
      </c>
      <c r="D1110" t="s">
        <v>15</v>
      </c>
      <c r="E1110" t="s">
        <v>33</v>
      </c>
      <c r="F1110" t="s">
        <v>17</v>
      </c>
      <c r="G1110" t="s">
        <v>18</v>
      </c>
      <c r="H1110" t="s">
        <v>526</v>
      </c>
      <c r="I1110">
        <v>8</v>
      </c>
      <c r="J1110" t="s">
        <v>96</v>
      </c>
      <c r="K1110" t="str">
        <f t="shared" si="17"/>
        <v>39051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1:16">
      <c r="A1111" s="1">
        <v>44866</v>
      </c>
      <c r="B1111" t="s">
        <v>123</v>
      </c>
      <c r="C1111" t="s">
        <v>14</v>
      </c>
      <c r="D1111" t="s">
        <v>15</v>
      </c>
      <c r="E1111" t="s">
        <v>33</v>
      </c>
      <c r="F1111" t="s">
        <v>17</v>
      </c>
      <c r="G1111" t="s">
        <v>18</v>
      </c>
      <c r="H1111" t="s">
        <v>526</v>
      </c>
      <c r="I1111">
        <v>8</v>
      </c>
      <c r="J1111" t="s">
        <v>97</v>
      </c>
      <c r="K1111" t="str">
        <f t="shared" si="17"/>
        <v>39101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1:16">
      <c r="A1112" s="1">
        <v>44866</v>
      </c>
      <c r="B1112" t="s">
        <v>123</v>
      </c>
      <c r="C1112" t="s">
        <v>14</v>
      </c>
      <c r="D1112" t="s">
        <v>15</v>
      </c>
      <c r="E1112" t="s">
        <v>33</v>
      </c>
      <c r="F1112" t="s">
        <v>17</v>
      </c>
      <c r="G1112" t="s">
        <v>18</v>
      </c>
      <c r="H1112" t="s">
        <v>526</v>
      </c>
      <c r="I1112">
        <v>8</v>
      </c>
      <c r="J1112" t="s">
        <v>98</v>
      </c>
      <c r="K1112" t="str">
        <f t="shared" si="17"/>
        <v>39103</v>
      </c>
      <c r="L1112">
        <v>44818.16</v>
      </c>
      <c r="M1112">
        <v>0</v>
      </c>
      <c r="N1112">
        <v>0</v>
      </c>
      <c r="O1112">
        <v>0</v>
      </c>
      <c r="P1112">
        <v>44818.16</v>
      </c>
    </row>
    <row r="1113" spans="1:16">
      <c r="A1113" s="1">
        <v>44866</v>
      </c>
      <c r="B1113" t="s">
        <v>123</v>
      </c>
      <c r="C1113" t="s">
        <v>14</v>
      </c>
      <c r="D1113" t="s">
        <v>15</v>
      </c>
      <c r="E1113" t="s">
        <v>33</v>
      </c>
      <c r="F1113" t="s">
        <v>17</v>
      </c>
      <c r="G1113" t="s">
        <v>18</v>
      </c>
      <c r="H1113" t="s">
        <v>526</v>
      </c>
      <c r="I1113">
        <v>8</v>
      </c>
      <c r="J1113" t="s">
        <v>99</v>
      </c>
      <c r="K1113" t="str">
        <f t="shared" si="17"/>
        <v>39104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>
      <c r="A1114" s="1">
        <v>44866</v>
      </c>
      <c r="B1114" t="s">
        <v>123</v>
      </c>
      <c r="C1114" t="s">
        <v>14</v>
      </c>
      <c r="D1114" t="s">
        <v>15</v>
      </c>
      <c r="E1114" t="s">
        <v>33</v>
      </c>
      <c r="F1114" t="s">
        <v>17</v>
      </c>
      <c r="G1114" t="s">
        <v>18</v>
      </c>
      <c r="H1114" t="s">
        <v>526</v>
      </c>
      <c r="I1114">
        <v>8</v>
      </c>
      <c r="J1114" t="s">
        <v>103</v>
      </c>
      <c r="K1114" t="str">
        <f t="shared" si="17"/>
        <v>39201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1:16">
      <c r="A1115" s="1">
        <v>44866</v>
      </c>
      <c r="B1115" t="s">
        <v>123</v>
      </c>
      <c r="C1115" t="s">
        <v>14</v>
      </c>
      <c r="D1115" t="s">
        <v>15</v>
      </c>
      <c r="E1115" t="s">
        <v>33</v>
      </c>
      <c r="F1115" t="s">
        <v>17</v>
      </c>
      <c r="G1115" t="s">
        <v>18</v>
      </c>
      <c r="H1115" t="s">
        <v>526</v>
      </c>
      <c r="I1115">
        <v>8</v>
      </c>
      <c r="J1115" t="s">
        <v>104</v>
      </c>
      <c r="K1115" t="str">
        <f t="shared" si="17"/>
        <v>39202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1:16">
      <c r="A1116" s="1">
        <v>44866</v>
      </c>
      <c r="B1116" t="s">
        <v>123</v>
      </c>
      <c r="C1116" t="s">
        <v>14</v>
      </c>
      <c r="D1116" t="s">
        <v>15</v>
      </c>
      <c r="E1116" t="s">
        <v>33</v>
      </c>
      <c r="F1116" t="s">
        <v>17</v>
      </c>
      <c r="G1116" t="s">
        <v>18</v>
      </c>
      <c r="H1116" t="s">
        <v>526</v>
      </c>
      <c r="I1116">
        <v>8</v>
      </c>
      <c r="J1116" t="s">
        <v>105</v>
      </c>
      <c r="K1116" t="str">
        <f t="shared" si="17"/>
        <v>39203</v>
      </c>
      <c r="L1116">
        <v>346092.98</v>
      </c>
      <c r="M1116">
        <v>83046.34</v>
      </c>
      <c r="N1116">
        <v>0</v>
      </c>
      <c r="O1116">
        <v>0</v>
      </c>
      <c r="P1116">
        <v>429139.32</v>
      </c>
    </row>
    <row r="1117" spans="1:16">
      <c r="A1117" s="1">
        <v>44866</v>
      </c>
      <c r="B1117" t="s">
        <v>123</v>
      </c>
      <c r="C1117" t="s">
        <v>14</v>
      </c>
      <c r="D1117" t="s">
        <v>15</v>
      </c>
      <c r="E1117" t="s">
        <v>33</v>
      </c>
      <c r="F1117" t="s">
        <v>17</v>
      </c>
      <c r="G1117" t="s">
        <v>18</v>
      </c>
      <c r="H1117" t="s">
        <v>526</v>
      </c>
      <c r="I1117">
        <v>8</v>
      </c>
      <c r="J1117" t="s">
        <v>106</v>
      </c>
      <c r="K1117" t="str">
        <f t="shared" si="17"/>
        <v>39204</v>
      </c>
      <c r="L1117">
        <v>262277.49</v>
      </c>
      <c r="M1117">
        <v>0</v>
      </c>
      <c r="N1117">
        <v>0</v>
      </c>
      <c r="O1117">
        <v>0</v>
      </c>
      <c r="P1117">
        <v>262277.49</v>
      </c>
    </row>
    <row r="1118" spans="1:16">
      <c r="A1118" s="1">
        <v>44866</v>
      </c>
      <c r="B1118" t="s">
        <v>123</v>
      </c>
      <c r="C1118" t="s">
        <v>14</v>
      </c>
      <c r="D1118" t="s">
        <v>15</v>
      </c>
      <c r="E1118" t="s">
        <v>33</v>
      </c>
      <c r="F1118" t="s">
        <v>17</v>
      </c>
      <c r="G1118" t="s">
        <v>18</v>
      </c>
      <c r="H1118" t="s">
        <v>526</v>
      </c>
      <c r="I1118">
        <v>8</v>
      </c>
      <c r="J1118" t="s">
        <v>107</v>
      </c>
      <c r="K1118" t="str">
        <f t="shared" si="17"/>
        <v>39205</v>
      </c>
      <c r="L1118">
        <v>4501538.8899999997</v>
      </c>
      <c r="M1118">
        <v>0</v>
      </c>
      <c r="N1118">
        <v>0</v>
      </c>
      <c r="O1118">
        <v>0</v>
      </c>
      <c r="P1118">
        <v>4501538.8899999997</v>
      </c>
    </row>
    <row r="1119" spans="1:16">
      <c r="A1119" s="1">
        <v>44866</v>
      </c>
      <c r="B1119" t="s">
        <v>123</v>
      </c>
      <c r="C1119" t="s">
        <v>14</v>
      </c>
      <c r="D1119" t="s">
        <v>15</v>
      </c>
      <c r="E1119" t="s">
        <v>33</v>
      </c>
      <c r="F1119" t="s">
        <v>17</v>
      </c>
      <c r="G1119" t="s">
        <v>18</v>
      </c>
      <c r="H1119" t="s">
        <v>526</v>
      </c>
      <c r="I1119">
        <v>8</v>
      </c>
      <c r="J1119" t="s">
        <v>108</v>
      </c>
      <c r="K1119" t="str">
        <f t="shared" si="17"/>
        <v>39206</v>
      </c>
      <c r="L1119">
        <v>198604.14</v>
      </c>
      <c r="M1119">
        <v>26464.260000000002</v>
      </c>
      <c r="N1119">
        <v>0</v>
      </c>
      <c r="O1119">
        <v>0</v>
      </c>
      <c r="P1119">
        <v>225068.4</v>
      </c>
    </row>
    <row r="1120" spans="1:16">
      <c r="A1120" s="1">
        <v>44866</v>
      </c>
      <c r="B1120" t="s">
        <v>123</v>
      </c>
      <c r="C1120" t="s">
        <v>14</v>
      </c>
      <c r="D1120" t="s">
        <v>15</v>
      </c>
      <c r="E1120" t="s">
        <v>33</v>
      </c>
      <c r="F1120" t="s">
        <v>17</v>
      </c>
      <c r="G1120" t="s">
        <v>18</v>
      </c>
      <c r="H1120" t="s">
        <v>526</v>
      </c>
      <c r="I1120">
        <v>8</v>
      </c>
      <c r="J1120" t="s">
        <v>109</v>
      </c>
      <c r="K1120" t="str">
        <f t="shared" si="17"/>
        <v>39300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1:16">
      <c r="A1121" s="1">
        <v>44866</v>
      </c>
      <c r="B1121" t="s">
        <v>123</v>
      </c>
      <c r="C1121" t="s">
        <v>14</v>
      </c>
      <c r="D1121" t="s">
        <v>15</v>
      </c>
      <c r="E1121" t="s">
        <v>33</v>
      </c>
      <c r="F1121" t="s">
        <v>17</v>
      </c>
      <c r="G1121" t="s">
        <v>18</v>
      </c>
      <c r="H1121" t="s">
        <v>526</v>
      </c>
      <c r="I1121">
        <v>8</v>
      </c>
      <c r="J1121" t="s">
        <v>110</v>
      </c>
      <c r="K1121" t="str">
        <f t="shared" si="17"/>
        <v>39400</v>
      </c>
      <c r="L1121">
        <v>210011.22</v>
      </c>
      <c r="M1121">
        <v>73095.87</v>
      </c>
      <c r="N1121">
        <v>0</v>
      </c>
      <c r="O1121">
        <v>0</v>
      </c>
      <c r="P1121">
        <v>283107.09000000003</v>
      </c>
    </row>
    <row r="1122" spans="1:16">
      <c r="A1122" s="1">
        <v>44866</v>
      </c>
      <c r="B1122" t="s">
        <v>123</v>
      </c>
      <c r="C1122" t="s">
        <v>14</v>
      </c>
      <c r="D1122" t="s">
        <v>15</v>
      </c>
      <c r="E1122" t="s">
        <v>33</v>
      </c>
      <c r="F1122" t="s">
        <v>17</v>
      </c>
      <c r="G1122" t="s">
        <v>18</v>
      </c>
      <c r="H1122" t="s">
        <v>526</v>
      </c>
      <c r="I1122">
        <v>8</v>
      </c>
      <c r="J1122" t="s">
        <v>111</v>
      </c>
      <c r="K1122" t="str">
        <f t="shared" si="17"/>
        <v>39410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1:16">
      <c r="A1123" s="1">
        <v>44866</v>
      </c>
      <c r="B1123" t="s">
        <v>123</v>
      </c>
      <c r="C1123" t="s">
        <v>14</v>
      </c>
      <c r="D1123" t="s">
        <v>15</v>
      </c>
      <c r="E1123" t="s">
        <v>33</v>
      </c>
      <c r="F1123" t="s">
        <v>17</v>
      </c>
      <c r="G1123" t="s">
        <v>18</v>
      </c>
      <c r="H1123" t="s">
        <v>526</v>
      </c>
      <c r="I1123">
        <v>8</v>
      </c>
      <c r="J1123" t="s">
        <v>112</v>
      </c>
      <c r="K1123" t="str">
        <f t="shared" si="17"/>
        <v>39500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1:16">
      <c r="A1124" s="1">
        <v>44866</v>
      </c>
      <c r="B1124" t="s">
        <v>123</v>
      </c>
      <c r="C1124" t="s">
        <v>14</v>
      </c>
      <c r="D1124" t="s">
        <v>15</v>
      </c>
      <c r="E1124" t="s">
        <v>33</v>
      </c>
      <c r="F1124" t="s">
        <v>17</v>
      </c>
      <c r="G1124" t="s">
        <v>18</v>
      </c>
      <c r="H1124" t="s">
        <v>526</v>
      </c>
      <c r="I1124">
        <v>8</v>
      </c>
      <c r="J1124" t="s">
        <v>113</v>
      </c>
      <c r="K1124" t="str">
        <f t="shared" si="17"/>
        <v>39601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1:16">
      <c r="A1125" s="1">
        <v>44866</v>
      </c>
      <c r="B1125" t="s">
        <v>123</v>
      </c>
      <c r="C1125" t="s">
        <v>14</v>
      </c>
      <c r="D1125" t="s">
        <v>15</v>
      </c>
      <c r="E1125" t="s">
        <v>33</v>
      </c>
      <c r="F1125" t="s">
        <v>17</v>
      </c>
      <c r="G1125" t="s">
        <v>18</v>
      </c>
      <c r="H1125" t="s">
        <v>526</v>
      </c>
      <c r="I1125">
        <v>8</v>
      </c>
      <c r="J1125" t="s">
        <v>114</v>
      </c>
      <c r="K1125" t="str">
        <f t="shared" si="17"/>
        <v>39602</v>
      </c>
      <c r="L1125">
        <v>94356.85</v>
      </c>
      <c r="M1125">
        <v>0</v>
      </c>
      <c r="N1125">
        <v>0</v>
      </c>
      <c r="O1125">
        <v>0</v>
      </c>
      <c r="P1125">
        <v>94356.85</v>
      </c>
    </row>
    <row r="1126" spans="1:16">
      <c r="A1126" s="1">
        <v>44866</v>
      </c>
      <c r="B1126" t="s">
        <v>123</v>
      </c>
      <c r="C1126" t="s">
        <v>14</v>
      </c>
      <c r="D1126" t="s">
        <v>15</v>
      </c>
      <c r="E1126" t="s">
        <v>33</v>
      </c>
      <c r="F1126" t="s">
        <v>17</v>
      </c>
      <c r="G1126" t="s">
        <v>18</v>
      </c>
      <c r="H1126" t="s">
        <v>526</v>
      </c>
      <c r="I1126">
        <v>8</v>
      </c>
      <c r="J1126" t="s">
        <v>115</v>
      </c>
      <c r="K1126" t="str">
        <f t="shared" si="17"/>
        <v>39700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>
      <c r="A1127" s="1">
        <v>44866</v>
      </c>
      <c r="B1127" t="s">
        <v>123</v>
      </c>
      <c r="C1127" t="s">
        <v>14</v>
      </c>
      <c r="D1127" t="s">
        <v>15</v>
      </c>
      <c r="E1127" t="s">
        <v>33</v>
      </c>
      <c r="F1127" t="s">
        <v>17</v>
      </c>
      <c r="G1127" t="s">
        <v>18</v>
      </c>
      <c r="H1127" t="s">
        <v>526</v>
      </c>
      <c r="I1127">
        <v>8</v>
      </c>
      <c r="J1127" t="s">
        <v>116</v>
      </c>
      <c r="K1127" t="str">
        <f t="shared" si="17"/>
        <v>39710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1:16">
      <c r="A1128" s="1">
        <v>44866</v>
      </c>
      <c r="B1128" t="s">
        <v>123</v>
      </c>
      <c r="C1128" t="s">
        <v>14</v>
      </c>
      <c r="D1128" t="s">
        <v>15</v>
      </c>
      <c r="E1128" t="s">
        <v>33</v>
      </c>
      <c r="F1128" t="s">
        <v>17</v>
      </c>
      <c r="G1128" t="s">
        <v>18</v>
      </c>
      <c r="H1128" t="s">
        <v>526</v>
      </c>
      <c r="I1128">
        <v>8</v>
      </c>
      <c r="J1128" t="s">
        <v>117</v>
      </c>
      <c r="K1128" t="str">
        <f t="shared" si="17"/>
        <v>39800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1:16">
      <c r="A1129" s="1">
        <v>44896</v>
      </c>
      <c r="B1129" t="s">
        <v>122</v>
      </c>
      <c r="C1129" t="s">
        <v>14</v>
      </c>
      <c r="D1129" t="s">
        <v>15</v>
      </c>
      <c r="E1129" t="s">
        <v>33</v>
      </c>
      <c r="F1129" t="s">
        <v>24</v>
      </c>
      <c r="G1129" t="s">
        <v>18</v>
      </c>
      <c r="H1129" t="s">
        <v>526</v>
      </c>
      <c r="I1129">
        <v>8</v>
      </c>
      <c r="J1129" t="s">
        <v>94</v>
      </c>
      <c r="K1129" t="str">
        <f t="shared" si="17"/>
        <v>38901</v>
      </c>
      <c r="L1129">
        <v>261405.4</v>
      </c>
      <c r="M1129">
        <v>0</v>
      </c>
      <c r="N1129">
        <v>0</v>
      </c>
      <c r="O1129">
        <v>0</v>
      </c>
      <c r="P1129" s="8">
        <v>261405.4</v>
      </c>
    </row>
    <row r="1130" spans="1:16">
      <c r="A1130" s="1">
        <v>44896</v>
      </c>
      <c r="B1130" t="s">
        <v>122</v>
      </c>
      <c r="C1130" t="s">
        <v>14</v>
      </c>
      <c r="D1130" t="s">
        <v>15</v>
      </c>
      <c r="E1130" t="s">
        <v>33</v>
      </c>
      <c r="F1130" t="s">
        <v>24</v>
      </c>
      <c r="G1130" t="s">
        <v>18</v>
      </c>
      <c r="H1130" t="s">
        <v>526</v>
      </c>
      <c r="I1130">
        <v>8</v>
      </c>
      <c r="J1130" t="s">
        <v>95</v>
      </c>
      <c r="K1130" t="str">
        <f t="shared" si="17"/>
        <v>38902</v>
      </c>
      <c r="L1130">
        <v>22532.78</v>
      </c>
      <c r="M1130">
        <v>0</v>
      </c>
      <c r="N1130">
        <v>0</v>
      </c>
      <c r="O1130">
        <v>0</v>
      </c>
      <c r="P1130" s="8">
        <v>22532.78</v>
      </c>
    </row>
    <row r="1131" spans="1:16">
      <c r="A1131" s="1">
        <v>44896</v>
      </c>
      <c r="B1131" t="s">
        <v>122</v>
      </c>
      <c r="C1131" t="s">
        <v>14</v>
      </c>
      <c r="D1131" t="s">
        <v>15</v>
      </c>
      <c r="E1131" t="s">
        <v>33</v>
      </c>
      <c r="F1131" t="s">
        <v>24</v>
      </c>
      <c r="G1131" t="s">
        <v>18</v>
      </c>
      <c r="H1131" t="s">
        <v>526</v>
      </c>
      <c r="I1131">
        <v>8</v>
      </c>
      <c r="J1131" t="s">
        <v>19</v>
      </c>
      <c r="K1131" t="str">
        <f t="shared" si="17"/>
        <v>39001</v>
      </c>
      <c r="L1131">
        <v>7838433.1299999999</v>
      </c>
      <c r="M1131">
        <v>0</v>
      </c>
      <c r="N1131">
        <v>0</v>
      </c>
      <c r="O1131">
        <v>0</v>
      </c>
      <c r="P1131" s="8">
        <v>7838433.1299999999</v>
      </c>
    </row>
    <row r="1132" spans="1:16">
      <c r="A1132" s="1">
        <v>44896</v>
      </c>
      <c r="B1132" t="s">
        <v>122</v>
      </c>
      <c r="C1132" t="s">
        <v>14</v>
      </c>
      <c r="D1132" t="s">
        <v>15</v>
      </c>
      <c r="E1132" t="s">
        <v>33</v>
      </c>
      <c r="F1132" t="s">
        <v>24</v>
      </c>
      <c r="G1132" t="s">
        <v>18</v>
      </c>
      <c r="H1132" t="s">
        <v>526</v>
      </c>
      <c r="I1132">
        <v>8</v>
      </c>
      <c r="J1132" t="s">
        <v>96</v>
      </c>
      <c r="K1132" t="str">
        <f t="shared" si="17"/>
        <v>39051</v>
      </c>
      <c r="L1132">
        <v>1426861.24</v>
      </c>
      <c r="M1132">
        <v>0</v>
      </c>
      <c r="N1132">
        <v>0</v>
      </c>
      <c r="O1132">
        <v>0</v>
      </c>
      <c r="P1132" s="8">
        <v>1426861.24</v>
      </c>
    </row>
    <row r="1133" spans="1:16">
      <c r="A1133" s="1">
        <v>44896</v>
      </c>
      <c r="B1133" t="s">
        <v>122</v>
      </c>
      <c r="C1133" t="s">
        <v>14</v>
      </c>
      <c r="D1133" t="s">
        <v>15</v>
      </c>
      <c r="E1133" t="s">
        <v>33</v>
      </c>
      <c r="F1133" t="s">
        <v>24</v>
      </c>
      <c r="G1133" t="s">
        <v>18</v>
      </c>
      <c r="H1133" t="s">
        <v>526</v>
      </c>
      <c r="I1133">
        <v>8</v>
      </c>
      <c r="J1133" t="s">
        <v>97</v>
      </c>
      <c r="K1133" t="str">
        <f t="shared" si="17"/>
        <v>39101</v>
      </c>
      <c r="L1133">
        <v>1337925.97</v>
      </c>
      <c r="M1133">
        <v>0</v>
      </c>
      <c r="N1133">
        <v>0</v>
      </c>
      <c r="O1133">
        <v>0</v>
      </c>
      <c r="P1133" s="8">
        <v>1337925.97</v>
      </c>
    </row>
    <row r="1134" spans="1:16">
      <c r="A1134" s="1">
        <v>44896</v>
      </c>
      <c r="B1134" t="s">
        <v>122</v>
      </c>
      <c r="C1134" t="s">
        <v>14</v>
      </c>
      <c r="D1134" t="s">
        <v>15</v>
      </c>
      <c r="E1134" t="s">
        <v>33</v>
      </c>
      <c r="F1134" t="s">
        <v>24</v>
      </c>
      <c r="G1134" t="s">
        <v>18</v>
      </c>
      <c r="H1134" t="s">
        <v>526</v>
      </c>
      <c r="I1134">
        <v>8</v>
      </c>
      <c r="J1134" t="s">
        <v>98</v>
      </c>
      <c r="K1134" t="str">
        <f t="shared" si="17"/>
        <v>39103</v>
      </c>
      <c r="L1134">
        <v>856038.81</v>
      </c>
      <c r="M1134">
        <v>0</v>
      </c>
      <c r="N1134">
        <v>0</v>
      </c>
      <c r="O1134">
        <v>0</v>
      </c>
      <c r="P1134" s="8">
        <v>856038.81</v>
      </c>
    </row>
    <row r="1135" spans="1:16">
      <c r="A1135" s="1">
        <v>44896</v>
      </c>
      <c r="B1135" t="s">
        <v>122</v>
      </c>
      <c r="C1135" t="s">
        <v>14</v>
      </c>
      <c r="D1135" t="s">
        <v>15</v>
      </c>
      <c r="E1135" t="s">
        <v>33</v>
      </c>
      <c r="F1135" t="s">
        <v>24</v>
      </c>
      <c r="G1135" t="s">
        <v>18</v>
      </c>
      <c r="H1135" t="s">
        <v>526</v>
      </c>
      <c r="I1135">
        <v>8</v>
      </c>
      <c r="J1135" t="s">
        <v>99</v>
      </c>
      <c r="K1135" t="str">
        <f t="shared" si="17"/>
        <v>39104</v>
      </c>
      <c r="L1135">
        <v>12034</v>
      </c>
      <c r="M1135">
        <v>0</v>
      </c>
      <c r="N1135">
        <v>0</v>
      </c>
      <c r="O1135">
        <v>0</v>
      </c>
      <c r="P1135" s="8">
        <v>12034</v>
      </c>
    </row>
    <row r="1136" spans="1:16">
      <c r="A1136" s="1">
        <v>44896</v>
      </c>
      <c r="B1136" t="s">
        <v>122</v>
      </c>
      <c r="C1136" t="s">
        <v>14</v>
      </c>
      <c r="D1136" t="s">
        <v>15</v>
      </c>
      <c r="E1136" t="s">
        <v>33</v>
      </c>
      <c r="F1136" t="s">
        <v>24</v>
      </c>
      <c r="G1136" t="s">
        <v>18</v>
      </c>
      <c r="H1136" t="s">
        <v>526</v>
      </c>
      <c r="I1136">
        <v>8</v>
      </c>
      <c r="J1136" t="s">
        <v>100</v>
      </c>
      <c r="K1136" t="str">
        <f t="shared" si="17"/>
        <v>39105</v>
      </c>
      <c r="L1136">
        <v>0</v>
      </c>
      <c r="M1136">
        <v>0</v>
      </c>
      <c r="N1136">
        <v>0</v>
      </c>
      <c r="O1136">
        <v>0</v>
      </c>
      <c r="P1136" s="8">
        <v>0</v>
      </c>
    </row>
    <row r="1137" spans="1:16">
      <c r="A1137" s="1">
        <v>44896</v>
      </c>
      <c r="B1137" t="s">
        <v>122</v>
      </c>
      <c r="C1137" t="s">
        <v>14</v>
      </c>
      <c r="D1137" t="s">
        <v>15</v>
      </c>
      <c r="E1137" t="s">
        <v>33</v>
      </c>
      <c r="F1137" t="s">
        <v>24</v>
      </c>
      <c r="G1137" t="s">
        <v>18</v>
      </c>
      <c r="H1137" t="s">
        <v>526</v>
      </c>
      <c r="I1137">
        <v>8</v>
      </c>
      <c r="J1137" t="s">
        <v>101</v>
      </c>
      <c r="K1137" t="str">
        <f t="shared" si="17"/>
        <v>39107</v>
      </c>
      <c r="L1137">
        <v>0</v>
      </c>
      <c r="M1137">
        <v>0</v>
      </c>
      <c r="N1137">
        <v>0</v>
      </c>
      <c r="O1137">
        <v>0</v>
      </c>
      <c r="P1137" s="8">
        <v>0</v>
      </c>
    </row>
    <row r="1138" spans="1:16">
      <c r="A1138" s="1">
        <v>44896</v>
      </c>
      <c r="B1138" t="s">
        <v>122</v>
      </c>
      <c r="C1138" t="s">
        <v>14</v>
      </c>
      <c r="D1138" t="s">
        <v>15</v>
      </c>
      <c r="E1138" t="s">
        <v>33</v>
      </c>
      <c r="F1138" t="s">
        <v>24</v>
      </c>
      <c r="G1138" t="s">
        <v>18</v>
      </c>
      <c r="H1138" t="s">
        <v>526</v>
      </c>
      <c r="I1138">
        <v>8</v>
      </c>
      <c r="J1138" t="s">
        <v>102</v>
      </c>
      <c r="K1138" t="str">
        <f t="shared" si="17"/>
        <v>39159</v>
      </c>
      <c r="L1138">
        <v>0</v>
      </c>
      <c r="M1138">
        <v>0</v>
      </c>
      <c r="N1138">
        <v>0</v>
      </c>
      <c r="O1138">
        <v>0</v>
      </c>
      <c r="P1138" s="8">
        <v>0</v>
      </c>
    </row>
    <row r="1139" spans="1:16">
      <c r="A1139" s="1">
        <v>44896</v>
      </c>
      <c r="B1139" t="s">
        <v>122</v>
      </c>
      <c r="C1139" t="s">
        <v>14</v>
      </c>
      <c r="D1139" t="s">
        <v>15</v>
      </c>
      <c r="E1139" t="s">
        <v>33</v>
      </c>
      <c r="F1139" t="s">
        <v>24</v>
      </c>
      <c r="G1139" t="s">
        <v>18</v>
      </c>
      <c r="H1139" t="s">
        <v>526</v>
      </c>
      <c r="I1139">
        <v>8</v>
      </c>
      <c r="J1139" t="s">
        <v>103</v>
      </c>
      <c r="K1139" t="str">
        <f t="shared" si="17"/>
        <v>39201</v>
      </c>
      <c r="L1139">
        <v>216925.63</v>
      </c>
      <c r="M1139">
        <v>0</v>
      </c>
      <c r="N1139">
        <v>0</v>
      </c>
      <c r="O1139">
        <v>0</v>
      </c>
      <c r="P1139" s="8">
        <v>216925.63</v>
      </c>
    </row>
    <row r="1140" spans="1:16">
      <c r="A1140" s="1">
        <v>44896</v>
      </c>
      <c r="B1140" t="s">
        <v>122</v>
      </c>
      <c r="C1140" t="s">
        <v>14</v>
      </c>
      <c r="D1140" t="s">
        <v>15</v>
      </c>
      <c r="E1140" t="s">
        <v>33</v>
      </c>
      <c r="F1140" t="s">
        <v>24</v>
      </c>
      <c r="G1140" t="s">
        <v>18</v>
      </c>
      <c r="H1140" t="s">
        <v>526</v>
      </c>
      <c r="I1140">
        <v>8</v>
      </c>
      <c r="J1140" t="s">
        <v>104</v>
      </c>
      <c r="K1140" t="str">
        <f t="shared" si="17"/>
        <v>39202</v>
      </c>
      <c r="L1140">
        <v>45525.16</v>
      </c>
      <c r="M1140">
        <v>0</v>
      </c>
      <c r="N1140">
        <v>0</v>
      </c>
      <c r="O1140">
        <v>0</v>
      </c>
      <c r="P1140" s="8">
        <v>45525.16</v>
      </c>
    </row>
    <row r="1141" spans="1:16">
      <c r="A1141" s="1">
        <v>44896</v>
      </c>
      <c r="B1141" t="s">
        <v>122</v>
      </c>
      <c r="C1141" t="s">
        <v>14</v>
      </c>
      <c r="D1141" t="s">
        <v>15</v>
      </c>
      <c r="E1141" t="s">
        <v>33</v>
      </c>
      <c r="F1141" t="s">
        <v>24</v>
      </c>
      <c r="G1141" t="s">
        <v>18</v>
      </c>
      <c r="H1141" t="s">
        <v>526</v>
      </c>
      <c r="I1141">
        <v>8</v>
      </c>
      <c r="J1141" t="s">
        <v>105</v>
      </c>
      <c r="K1141" t="str">
        <f t="shared" si="17"/>
        <v>39203</v>
      </c>
      <c r="L1141">
        <v>2559079.35</v>
      </c>
      <c r="M1141">
        <v>118379.83</v>
      </c>
      <c r="N1141">
        <v>0</v>
      </c>
      <c r="O1141">
        <v>0</v>
      </c>
      <c r="P1141" s="8">
        <v>2677459.1800000002</v>
      </c>
    </row>
    <row r="1142" spans="1:16">
      <c r="A1142" s="1">
        <v>44896</v>
      </c>
      <c r="B1142" t="s">
        <v>122</v>
      </c>
      <c r="C1142" t="s">
        <v>14</v>
      </c>
      <c r="D1142" t="s">
        <v>15</v>
      </c>
      <c r="E1142" t="s">
        <v>33</v>
      </c>
      <c r="F1142" t="s">
        <v>24</v>
      </c>
      <c r="G1142" t="s">
        <v>18</v>
      </c>
      <c r="H1142" t="s">
        <v>526</v>
      </c>
      <c r="I1142">
        <v>8</v>
      </c>
      <c r="J1142" t="s">
        <v>106</v>
      </c>
      <c r="K1142" t="str">
        <f t="shared" si="17"/>
        <v>39204</v>
      </c>
      <c r="L1142">
        <v>1758260.5899999999</v>
      </c>
      <c r="M1142">
        <v>380581.81</v>
      </c>
      <c r="N1142">
        <v>0</v>
      </c>
      <c r="O1142">
        <v>0</v>
      </c>
      <c r="P1142" s="8">
        <v>2138842.4</v>
      </c>
    </row>
    <row r="1143" spans="1:16">
      <c r="A1143" s="1">
        <v>44896</v>
      </c>
      <c r="B1143" t="s">
        <v>122</v>
      </c>
      <c r="C1143" t="s">
        <v>14</v>
      </c>
      <c r="D1143" t="s">
        <v>15</v>
      </c>
      <c r="E1143" t="s">
        <v>33</v>
      </c>
      <c r="F1143" t="s">
        <v>24</v>
      </c>
      <c r="G1143" t="s">
        <v>18</v>
      </c>
      <c r="H1143" t="s">
        <v>526</v>
      </c>
      <c r="I1143">
        <v>8</v>
      </c>
      <c r="J1143" t="s">
        <v>107</v>
      </c>
      <c r="K1143" t="str">
        <f t="shared" si="17"/>
        <v>39205</v>
      </c>
      <c r="L1143">
        <v>9638534.1899999995</v>
      </c>
      <c r="M1143">
        <v>3504661.45</v>
      </c>
      <c r="N1143">
        <v>0</v>
      </c>
      <c r="O1143">
        <v>0</v>
      </c>
      <c r="P1143" s="8">
        <v>13143195.640000001</v>
      </c>
    </row>
    <row r="1144" spans="1:16">
      <c r="A1144" s="1">
        <v>44896</v>
      </c>
      <c r="B1144" t="s">
        <v>122</v>
      </c>
      <c r="C1144" t="s">
        <v>14</v>
      </c>
      <c r="D1144" t="s">
        <v>15</v>
      </c>
      <c r="E1144" t="s">
        <v>33</v>
      </c>
      <c r="F1144" t="s">
        <v>24</v>
      </c>
      <c r="G1144" t="s">
        <v>18</v>
      </c>
      <c r="H1144" t="s">
        <v>526</v>
      </c>
      <c r="I1144">
        <v>8</v>
      </c>
      <c r="J1144" t="s">
        <v>108</v>
      </c>
      <c r="K1144" t="str">
        <f t="shared" si="17"/>
        <v>39206</v>
      </c>
      <c r="L1144">
        <v>2339100.16</v>
      </c>
      <c r="M1144">
        <v>26464.260000000002</v>
      </c>
      <c r="N1144">
        <v>0</v>
      </c>
      <c r="O1144">
        <v>0</v>
      </c>
      <c r="P1144" s="8">
        <v>2365564.42</v>
      </c>
    </row>
    <row r="1145" spans="1:16">
      <c r="A1145" s="1">
        <v>44896</v>
      </c>
      <c r="B1145" t="s">
        <v>122</v>
      </c>
      <c r="C1145" t="s">
        <v>14</v>
      </c>
      <c r="D1145" t="s">
        <v>15</v>
      </c>
      <c r="E1145" t="s">
        <v>33</v>
      </c>
      <c r="F1145" t="s">
        <v>24</v>
      </c>
      <c r="G1145" t="s">
        <v>18</v>
      </c>
      <c r="H1145" t="s">
        <v>526</v>
      </c>
      <c r="I1145">
        <v>8</v>
      </c>
      <c r="J1145" t="s">
        <v>109</v>
      </c>
      <c r="K1145" t="str">
        <f t="shared" si="17"/>
        <v>39300</v>
      </c>
      <c r="L1145">
        <v>24905.31</v>
      </c>
      <c r="M1145">
        <v>0</v>
      </c>
      <c r="N1145">
        <v>0</v>
      </c>
      <c r="O1145">
        <v>0</v>
      </c>
      <c r="P1145" s="8">
        <v>24905.31</v>
      </c>
    </row>
    <row r="1146" spans="1:16">
      <c r="A1146" s="1">
        <v>44896</v>
      </c>
      <c r="B1146" t="s">
        <v>122</v>
      </c>
      <c r="C1146" t="s">
        <v>14</v>
      </c>
      <c r="D1146" t="s">
        <v>15</v>
      </c>
      <c r="E1146" t="s">
        <v>33</v>
      </c>
      <c r="F1146" t="s">
        <v>24</v>
      </c>
      <c r="G1146" t="s">
        <v>18</v>
      </c>
      <c r="H1146" t="s">
        <v>526</v>
      </c>
      <c r="I1146">
        <v>8</v>
      </c>
      <c r="J1146" t="s">
        <v>110</v>
      </c>
      <c r="K1146" t="str">
        <f t="shared" si="17"/>
        <v>39400</v>
      </c>
      <c r="L1146">
        <v>2959644.67</v>
      </c>
      <c r="M1146">
        <v>226256.15</v>
      </c>
      <c r="N1146">
        <v>-2020.16</v>
      </c>
      <c r="O1146">
        <v>0</v>
      </c>
      <c r="P1146" s="8">
        <v>3183880.66</v>
      </c>
    </row>
    <row r="1147" spans="1:16">
      <c r="A1147" s="1">
        <v>44896</v>
      </c>
      <c r="B1147" t="s">
        <v>122</v>
      </c>
      <c r="C1147" t="s">
        <v>14</v>
      </c>
      <c r="D1147" t="s">
        <v>15</v>
      </c>
      <c r="E1147" t="s">
        <v>33</v>
      </c>
      <c r="F1147" t="s">
        <v>24</v>
      </c>
      <c r="G1147" t="s">
        <v>18</v>
      </c>
      <c r="H1147" t="s">
        <v>526</v>
      </c>
      <c r="I1147">
        <v>8</v>
      </c>
      <c r="J1147" t="s">
        <v>111</v>
      </c>
      <c r="K1147" t="str">
        <f t="shared" si="17"/>
        <v>39410</v>
      </c>
      <c r="L1147">
        <v>14177.720000000001</v>
      </c>
      <c r="M1147">
        <v>0</v>
      </c>
      <c r="N1147">
        <v>0</v>
      </c>
      <c r="O1147">
        <v>0</v>
      </c>
      <c r="P1147" s="8">
        <v>14177.720000000001</v>
      </c>
    </row>
    <row r="1148" spans="1:16">
      <c r="A1148" s="1">
        <v>44896</v>
      </c>
      <c r="B1148" t="s">
        <v>122</v>
      </c>
      <c r="C1148" t="s">
        <v>14</v>
      </c>
      <c r="D1148" t="s">
        <v>15</v>
      </c>
      <c r="E1148" t="s">
        <v>33</v>
      </c>
      <c r="F1148" t="s">
        <v>24</v>
      </c>
      <c r="G1148" t="s">
        <v>18</v>
      </c>
      <c r="H1148" t="s">
        <v>526</v>
      </c>
      <c r="I1148">
        <v>8</v>
      </c>
      <c r="J1148" t="s">
        <v>112</v>
      </c>
      <c r="K1148" t="str">
        <f t="shared" si="17"/>
        <v>39500</v>
      </c>
      <c r="L1148">
        <v>355298.29</v>
      </c>
      <c r="M1148">
        <v>0</v>
      </c>
      <c r="N1148">
        <v>0</v>
      </c>
      <c r="O1148">
        <v>0</v>
      </c>
      <c r="P1148" s="8">
        <v>355298.29</v>
      </c>
    </row>
    <row r="1149" spans="1:16">
      <c r="A1149" s="1">
        <v>44896</v>
      </c>
      <c r="B1149" t="s">
        <v>122</v>
      </c>
      <c r="C1149" t="s">
        <v>14</v>
      </c>
      <c r="D1149" t="s">
        <v>15</v>
      </c>
      <c r="E1149" t="s">
        <v>33</v>
      </c>
      <c r="F1149" t="s">
        <v>24</v>
      </c>
      <c r="G1149" t="s">
        <v>18</v>
      </c>
      <c r="H1149" t="s">
        <v>526</v>
      </c>
      <c r="I1149">
        <v>8</v>
      </c>
      <c r="J1149" t="s">
        <v>113</v>
      </c>
      <c r="K1149" t="str">
        <f t="shared" si="17"/>
        <v>39601</v>
      </c>
      <c r="L1149">
        <v>219977.59</v>
      </c>
      <c r="M1149">
        <v>0</v>
      </c>
      <c r="N1149">
        <v>0</v>
      </c>
      <c r="O1149">
        <v>0</v>
      </c>
      <c r="P1149" s="8">
        <v>219977.59</v>
      </c>
    </row>
    <row r="1150" spans="1:16">
      <c r="A1150" s="1">
        <v>44896</v>
      </c>
      <c r="B1150" t="s">
        <v>122</v>
      </c>
      <c r="C1150" t="s">
        <v>14</v>
      </c>
      <c r="D1150" t="s">
        <v>15</v>
      </c>
      <c r="E1150" t="s">
        <v>33</v>
      </c>
      <c r="F1150" t="s">
        <v>24</v>
      </c>
      <c r="G1150" t="s">
        <v>18</v>
      </c>
      <c r="H1150" t="s">
        <v>526</v>
      </c>
      <c r="I1150">
        <v>8</v>
      </c>
      <c r="J1150" t="s">
        <v>114</v>
      </c>
      <c r="K1150" t="str">
        <f t="shared" si="17"/>
        <v>39602</v>
      </c>
      <c r="L1150">
        <v>3255870.1</v>
      </c>
      <c r="M1150">
        <v>94356.85</v>
      </c>
      <c r="N1150">
        <v>0</v>
      </c>
      <c r="O1150">
        <v>0</v>
      </c>
      <c r="P1150" s="8">
        <v>3350226.95</v>
      </c>
    </row>
    <row r="1151" spans="1:16">
      <c r="A1151" s="1">
        <v>44896</v>
      </c>
      <c r="B1151" t="s">
        <v>122</v>
      </c>
      <c r="C1151" t="s">
        <v>14</v>
      </c>
      <c r="D1151" t="s">
        <v>15</v>
      </c>
      <c r="E1151" t="s">
        <v>33</v>
      </c>
      <c r="F1151" t="s">
        <v>24</v>
      </c>
      <c r="G1151" t="s">
        <v>18</v>
      </c>
      <c r="H1151" t="s">
        <v>526</v>
      </c>
      <c r="I1151">
        <v>8</v>
      </c>
      <c r="J1151" t="s">
        <v>115</v>
      </c>
      <c r="K1151" t="str">
        <f t="shared" si="17"/>
        <v>39700</v>
      </c>
      <c r="L1151">
        <v>845697.57000000007</v>
      </c>
      <c r="M1151">
        <v>0</v>
      </c>
      <c r="N1151">
        <v>0</v>
      </c>
      <c r="O1151">
        <v>0</v>
      </c>
      <c r="P1151" s="8">
        <v>845697.57000000007</v>
      </c>
    </row>
    <row r="1152" spans="1:16">
      <c r="A1152" s="1">
        <v>44896</v>
      </c>
      <c r="B1152" t="s">
        <v>122</v>
      </c>
      <c r="C1152" t="s">
        <v>14</v>
      </c>
      <c r="D1152" t="s">
        <v>15</v>
      </c>
      <c r="E1152" t="s">
        <v>33</v>
      </c>
      <c r="F1152" t="s">
        <v>24</v>
      </c>
      <c r="G1152" t="s">
        <v>18</v>
      </c>
      <c r="H1152" t="s">
        <v>526</v>
      </c>
      <c r="I1152">
        <v>8</v>
      </c>
      <c r="J1152" t="s">
        <v>116</v>
      </c>
      <c r="K1152" t="str">
        <f t="shared" si="17"/>
        <v>39710</v>
      </c>
      <c r="L1152">
        <v>1207150.3799999999</v>
      </c>
      <c r="M1152">
        <v>0</v>
      </c>
      <c r="N1152">
        <v>0</v>
      </c>
      <c r="O1152">
        <v>0</v>
      </c>
      <c r="P1152" s="8">
        <v>1207150.3799999999</v>
      </c>
    </row>
    <row r="1153" spans="1:16">
      <c r="A1153" s="1">
        <v>44896</v>
      </c>
      <c r="B1153" t="s">
        <v>122</v>
      </c>
      <c r="C1153" t="s">
        <v>14</v>
      </c>
      <c r="D1153" t="s">
        <v>15</v>
      </c>
      <c r="E1153" t="s">
        <v>33</v>
      </c>
      <c r="F1153" t="s">
        <v>24</v>
      </c>
      <c r="G1153" t="s">
        <v>18</v>
      </c>
      <c r="H1153" t="s">
        <v>526</v>
      </c>
      <c r="I1153">
        <v>8</v>
      </c>
      <c r="J1153" t="s">
        <v>117</v>
      </c>
      <c r="K1153" t="str">
        <f t="shared" si="17"/>
        <v>39800</v>
      </c>
      <c r="L1153">
        <v>149473.80000000002</v>
      </c>
      <c r="M1153">
        <v>0</v>
      </c>
      <c r="N1153">
        <v>0</v>
      </c>
      <c r="O1153">
        <v>0</v>
      </c>
      <c r="P1153" s="8">
        <v>149473.80000000002</v>
      </c>
    </row>
    <row r="1154" spans="1:16">
      <c r="A1154" s="1">
        <v>44896</v>
      </c>
      <c r="B1154" t="s">
        <v>122</v>
      </c>
      <c r="C1154" t="s">
        <v>14</v>
      </c>
      <c r="D1154" t="s">
        <v>15</v>
      </c>
      <c r="E1154" t="s">
        <v>33</v>
      </c>
      <c r="F1154" t="s">
        <v>119</v>
      </c>
      <c r="G1154" t="s">
        <v>18</v>
      </c>
      <c r="H1154" t="s">
        <v>526</v>
      </c>
      <c r="I1154">
        <v>8</v>
      </c>
      <c r="J1154" t="s">
        <v>94</v>
      </c>
      <c r="K1154" t="str">
        <f t="shared" ref="K1154:K1217" si="18">MID(J1154,2,5)</f>
        <v>38901</v>
      </c>
      <c r="L1154">
        <v>269440.43</v>
      </c>
      <c r="M1154">
        <v>0</v>
      </c>
      <c r="N1154">
        <v>0</v>
      </c>
      <c r="O1154">
        <v>0</v>
      </c>
      <c r="P1154" s="9">
        <v>269440.43</v>
      </c>
    </row>
    <row r="1155" spans="1:16">
      <c r="A1155" s="1">
        <v>44896</v>
      </c>
      <c r="B1155" t="s">
        <v>122</v>
      </c>
      <c r="C1155" t="s">
        <v>14</v>
      </c>
      <c r="D1155" t="s">
        <v>15</v>
      </c>
      <c r="E1155" t="s">
        <v>16</v>
      </c>
      <c r="F1155" t="s">
        <v>17</v>
      </c>
      <c r="G1155" t="s">
        <v>18</v>
      </c>
      <c r="H1155" t="s">
        <v>526</v>
      </c>
      <c r="I1155">
        <v>8</v>
      </c>
      <c r="J1155" t="s">
        <v>19</v>
      </c>
      <c r="K1155" t="str">
        <f t="shared" si="18"/>
        <v>39001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1:16">
      <c r="A1156" s="1">
        <v>44896</v>
      </c>
      <c r="B1156" t="s">
        <v>122</v>
      </c>
      <c r="C1156" t="s">
        <v>14</v>
      </c>
      <c r="D1156" t="s">
        <v>15</v>
      </c>
      <c r="E1156" t="s">
        <v>33</v>
      </c>
      <c r="F1156" t="s">
        <v>17</v>
      </c>
      <c r="G1156" t="s">
        <v>18</v>
      </c>
      <c r="H1156" t="s">
        <v>526</v>
      </c>
      <c r="I1156">
        <v>8</v>
      </c>
      <c r="J1156" t="s">
        <v>94</v>
      </c>
      <c r="K1156" t="str">
        <f t="shared" si="18"/>
        <v>38901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1:16">
      <c r="A1157" s="1">
        <v>44896</v>
      </c>
      <c r="B1157" t="s">
        <v>122</v>
      </c>
      <c r="C1157" t="s">
        <v>14</v>
      </c>
      <c r="D1157" t="s">
        <v>15</v>
      </c>
      <c r="E1157" t="s">
        <v>33</v>
      </c>
      <c r="F1157" t="s">
        <v>17</v>
      </c>
      <c r="G1157" t="s">
        <v>18</v>
      </c>
      <c r="H1157" t="s">
        <v>526</v>
      </c>
      <c r="I1157">
        <v>8</v>
      </c>
      <c r="J1157" t="s">
        <v>19</v>
      </c>
      <c r="K1157" t="str">
        <f t="shared" si="18"/>
        <v>39001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1:16">
      <c r="A1158" s="1">
        <v>44896</v>
      </c>
      <c r="B1158" t="s">
        <v>122</v>
      </c>
      <c r="C1158" t="s">
        <v>14</v>
      </c>
      <c r="D1158" t="s">
        <v>15</v>
      </c>
      <c r="E1158" t="s">
        <v>33</v>
      </c>
      <c r="F1158" t="s">
        <v>17</v>
      </c>
      <c r="G1158" t="s">
        <v>18</v>
      </c>
      <c r="H1158" t="s">
        <v>526</v>
      </c>
      <c r="I1158">
        <v>8</v>
      </c>
      <c r="J1158" t="s">
        <v>96</v>
      </c>
      <c r="K1158" t="str">
        <f t="shared" si="18"/>
        <v>39051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>
      <c r="A1159" s="1">
        <v>44896</v>
      </c>
      <c r="B1159" t="s">
        <v>122</v>
      </c>
      <c r="C1159" t="s">
        <v>14</v>
      </c>
      <c r="D1159" t="s">
        <v>15</v>
      </c>
      <c r="E1159" t="s">
        <v>33</v>
      </c>
      <c r="F1159" t="s">
        <v>17</v>
      </c>
      <c r="G1159" t="s">
        <v>18</v>
      </c>
      <c r="H1159" t="s">
        <v>526</v>
      </c>
      <c r="I1159">
        <v>8</v>
      </c>
      <c r="J1159" t="s">
        <v>97</v>
      </c>
      <c r="K1159" t="str">
        <f t="shared" si="18"/>
        <v>39101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1:16">
      <c r="A1160" s="1">
        <v>44896</v>
      </c>
      <c r="B1160" t="s">
        <v>122</v>
      </c>
      <c r="C1160" t="s">
        <v>14</v>
      </c>
      <c r="D1160" t="s">
        <v>15</v>
      </c>
      <c r="E1160" t="s">
        <v>33</v>
      </c>
      <c r="F1160" t="s">
        <v>17</v>
      </c>
      <c r="G1160" t="s">
        <v>18</v>
      </c>
      <c r="H1160" t="s">
        <v>526</v>
      </c>
      <c r="I1160">
        <v>8</v>
      </c>
      <c r="J1160" t="s">
        <v>98</v>
      </c>
      <c r="K1160" t="str">
        <f t="shared" si="18"/>
        <v>39103</v>
      </c>
      <c r="L1160">
        <v>44818.16</v>
      </c>
      <c r="M1160">
        <v>330385.57</v>
      </c>
      <c r="N1160">
        <v>0</v>
      </c>
      <c r="O1160">
        <v>0</v>
      </c>
      <c r="P1160">
        <v>375203.73</v>
      </c>
    </row>
    <row r="1161" spans="1:16">
      <c r="A1161" s="1">
        <v>44896</v>
      </c>
      <c r="B1161" t="s">
        <v>122</v>
      </c>
      <c r="C1161" t="s">
        <v>14</v>
      </c>
      <c r="D1161" t="s">
        <v>15</v>
      </c>
      <c r="E1161" t="s">
        <v>33</v>
      </c>
      <c r="F1161" t="s">
        <v>17</v>
      </c>
      <c r="G1161" t="s">
        <v>18</v>
      </c>
      <c r="H1161" t="s">
        <v>526</v>
      </c>
      <c r="I1161">
        <v>8</v>
      </c>
      <c r="J1161" t="s">
        <v>99</v>
      </c>
      <c r="K1161" t="str">
        <f t="shared" si="18"/>
        <v>39104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1:16">
      <c r="A1162" s="1">
        <v>44896</v>
      </c>
      <c r="B1162" t="s">
        <v>122</v>
      </c>
      <c r="C1162" t="s">
        <v>14</v>
      </c>
      <c r="D1162" t="s">
        <v>15</v>
      </c>
      <c r="E1162" t="s">
        <v>33</v>
      </c>
      <c r="F1162" t="s">
        <v>17</v>
      </c>
      <c r="G1162" t="s">
        <v>18</v>
      </c>
      <c r="H1162" t="s">
        <v>526</v>
      </c>
      <c r="I1162">
        <v>8</v>
      </c>
      <c r="J1162" t="s">
        <v>103</v>
      </c>
      <c r="K1162" t="str">
        <f t="shared" si="18"/>
        <v>39201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1:16">
      <c r="A1163" s="1">
        <v>44896</v>
      </c>
      <c r="B1163" t="s">
        <v>122</v>
      </c>
      <c r="C1163" t="s">
        <v>14</v>
      </c>
      <c r="D1163" t="s">
        <v>15</v>
      </c>
      <c r="E1163" t="s">
        <v>33</v>
      </c>
      <c r="F1163" t="s">
        <v>17</v>
      </c>
      <c r="G1163" t="s">
        <v>18</v>
      </c>
      <c r="H1163" t="s">
        <v>526</v>
      </c>
      <c r="I1163">
        <v>8</v>
      </c>
      <c r="J1163" t="s">
        <v>104</v>
      </c>
      <c r="K1163" t="str">
        <f t="shared" si="18"/>
        <v>39202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1:16">
      <c r="A1164" s="1">
        <v>44896</v>
      </c>
      <c r="B1164" t="s">
        <v>122</v>
      </c>
      <c r="C1164" t="s">
        <v>14</v>
      </c>
      <c r="D1164" t="s">
        <v>15</v>
      </c>
      <c r="E1164" t="s">
        <v>33</v>
      </c>
      <c r="F1164" t="s">
        <v>17</v>
      </c>
      <c r="G1164" t="s">
        <v>18</v>
      </c>
      <c r="H1164" t="s">
        <v>526</v>
      </c>
      <c r="I1164">
        <v>8</v>
      </c>
      <c r="J1164" t="s">
        <v>105</v>
      </c>
      <c r="K1164" t="str">
        <f t="shared" si="18"/>
        <v>39203</v>
      </c>
      <c r="L1164">
        <v>429139.32</v>
      </c>
      <c r="M1164">
        <v>-223791.32</v>
      </c>
      <c r="N1164">
        <v>0</v>
      </c>
      <c r="O1164">
        <v>0</v>
      </c>
      <c r="P1164">
        <v>205348</v>
      </c>
    </row>
    <row r="1165" spans="1:16">
      <c r="A1165" s="1">
        <v>44896</v>
      </c>
      <c r="B1165" t="s">
        <v>122</v>
      </c>
      <c r="C1165" t="s">
        <v>14</v>
      </c>
      <c r="D1165" t="s">
        <v>15</v>
      </c>
      <c r="E1165" t="s">
        <v>33</v>
      </c>
      <c r="F1165" t="s">
        <v>17</v>
      </c>
      <c r="G1165" t="s">
        <v>18</v>
      </c>
      <c r="H1165" t="s">
        <v>526</v>
      </c>
      <c r="I1165">
        <v>8</v>
      </c>
      <c r="J1165" t="s">
        <v>106</v>
      </c>
      <c r="K1165" t="str">
        <f t="shared" si="18"/>
        <v>39204</v>
      </c>
      <c r="L1165">
        <v>262277.49</v>
      </c>
      <c r="M1165">
        <v>-244156.78</v>
      </c>
      <c r="N1165">
        <v>0</v>
      </c>
      <c r="O1165">
        <v>0</v>
      </c>
      <c r="P1165">
        <v>18120.71</v>
      </c>
    </row>
    <row r="1166" spans="1:16">
      <c r="A1166" s="1">
        <v>44896</v>
      </c>
      <c r="B1166" t="s">
        <v>122</v>
      </c>
      <c r="C1166" t="s">
        <v>14</v>
      </c>
      <c r="D1166" t="s">
        <v>15</v>
      </c>
      <c r="E1166" t="s">
        <v>33</v>
      </c>
      <c r="F1166" t="s">
        <v>17</v>
      </c>
      <c r="G1166" t="s">
        <v>18</v>
      </c>
      <c r="H1166" t="s">
        <v>526</v>
      </c>
      <c r="I1166">
        <v>8</v>
      </c>
      <c r="J1166" t="s">
        <v>107</v>
      </c>
      <c r="K1166" t="str">
        <f t="shared" si="18"/>
        <v>39205</v>
      </c>
      <c r="L1166">
        <v>4501538.8899999997</v>
      </c>
      <c r="M1166">
        <v>-3406265.92</v>
      </c>
      <c r="N1166">
        <v>0</v>
      </c>
      <c r="O1166">
        <v>0</v>
      </c>
      <c r="P1166">
        <v>1095272.97</v>
      </c>
    </row>
    <row r="1167" spans="1:16">
      <c r="A1167" s="1">
        <v>44896</v>
      </c>
      <c r="B1167" t="s">
        <v>122</v>
      </c>
      <c r="C1167" t="s">
        <v>14</v>
      </c>
      <c r="D1167" t="s">
        <v>15</v>
      </c>
      <c r="E1167" t="s">
        <v>33</v>
      </c>
      <c r="F1167" t="s">
        <v>17</v>
      </c>
      <c r="G1167" t="s">
        <v>18</v>
      </c>
      <c r="H1167" t="s">
        <v>526</v>
      </c>
      <c r="I1167">
        <v>8</v>
      </c>
      <c r="J1167" t="s">
        <v>108</v>
      </c>
      <c r="K1167" t="str">
        <f t="shared" si="18"/>
        <v>39206</v>
      </c>
      <c r="L1167">
        <v>225068.4</v>
      </c>
      <c r="M1167">
        <v>-8696.9</v>
      </c>
      <c r="N1167">
        <v>0</v>
      </c>
      <c r="O1167">
        <v>0</v>
      </c>
      <c r="P1167">
        <v>216371.5</v>
      </c>
    </row>
    <row r="1168" spans="1:16">
      <c r="A1168" s="1">
        <v>44896</v>
      </c>
      <c r="B1168" t="s">
        <v>122</v>
      </c>
      <c r="C1168" t="s">
        <v>14</v>
      </c>
      <c r="D1168" t="s">
        <v>15</v>
      </c>
      <c r="E1168" t="s">
        <v>33</v>
      </c>
      <c r="F1168" t="s">
        <v>17</v>
      </c>
      <c r="G1168" t="s">
        <v>18</v>
      </c>
      <c r="H1168" t="s">
        <v>526</v>
      </c>
      <c r="I1168">
        <v>8</v>
      </c>
      <c r="J1168" t="s">
        <v>109</v>
      </c>
      <c r="K1168" t="str">
        <f t="shared" si="18"/>
        <v>39300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1:16">
      <c r="A1169" s="1">
        <v>44896</v>
      </c>
      <c r="B1169" t="s">
        <v>122</v>
      </c>
      <c r="C1169" t="s">
        <v>14</v>
      </c>
      <c r="D1169" t="s">
        <v>15</v>
      </c>
      <c r="E1169" t="s">
        <v>33</v>
      </c>
      <c r="F1169" t="s">
        <v>17</v>
      </c>
      <c r="G1169" t="s">
        <v>18</v>
      </c>
      <c r="H1169" t="s">
        <v>526</v>
      </c>
      <c r="I1169">
        <v>8</v>
      </c>
      <c r="J1169" t="s">
        <v>110</v>
      </c>
      <c r="K1169" t="str">
        <f t="shared" si="18"/>
        <v>39400</v>
      </c>
      <c r="L1169">
        <v>283107.09000000003</v>
      </c>
      <c r="M1169">
        <v>-177418.47</v>
      </c>
      <c r="N1169">
        <v>0</v>
      </c>
      <c r="O1169">
        <v>0</v>
      </c>
      <c r="P1169">
        <v>105688.62</v>
      </c>
    </row>
    <row r="1170" spans="1:16">
      <c r="A1170" s="1">
        <v>44896</v>
      </c>
      <c r="B1170" t="s">
        <v>122</v>
      </c>
      <c r="C1170" t="s">
        <v>14</v>
      </c>
      <c r="D1170" t="s">
        <v>15</v>
      </c>
      <c r="E1170" t="s">
        <v>33</v>
      </c>
      <c r="F1170" t="s">
        <v>17</v>
      </c>
      <c r="G1170" t="s">
        <v>18</v>
      </c>
      <c r="H1170" t="s">
        <v>526</v>
      </c>
      <c r="I1170">
        <v>8</v>
      </c>
      <c r="J1170" t="s">
        <v>111</v>
      </c>
      <c r="K1170" t="str">
        <f t="shared" si="18"/>
        <v>39410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1:16">
      <c r="A1171" s="1">
        <v>44896</v>
      </c>
      <c r="B1171" t="s">
        <v>122</v>
      </c>
      <c r="C1171" t="s">
        <v>14</v>
      </c>
      <c r="D1171" t="s">
        <v>15</v>
      </c>
      <c r="E1171" t="s">
        <v>33</v>
      </c>
      <c r="F1171" t="s">
        <v>17</v>
      </c>
      <c r="G1171" t="s">
        <v>18</v>
      </c>
      <c r="H1171" t="s">
        <v>526</v>
      </c>
      <c r="I1171">
        <v>8</v>
      </c>
      <c r="J1171" t="s">
        <v>112</v>
      </c>
      <c r="K1171" t="str">
        <f t="shared" si="18"/>
        <v>39500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>
      <c r="A1172" s="1">
        <v>44896</v>
      </c>
      <c r="B1172" t="s">
        <v>122</v>
      </c>
      <c r="C1172" t="s">
        <v>14</v>
      </c>
      <c r="D1172" t="s">
        <v>15</v>
      </c>
      <c r="E1172" t="s">
        <v>33</v>
      </c>
      <c r="F1172" t="s">
        <v>17</v>
      </c>
      <c r="G1172" t="s">
        <v>18</v>
      </c>
      <c r="H1172" t="s">
        <v>526</v>
      </c>
      <c r="I1172">
        <v>8</v>
      </c>
      <c r="J1172" t="s">
        <v>113</v>
      </c>
      <c r="K1172" t="str">
        <f t="shared" si="18"/>
        <v>39601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1:16">
      <c r="A1173" s="1">
        <v>44896</v>
      </c>
      <c r="B1173" t="s">
        <v>122</v>
      </c>
      <c r="C1173" t="s">
        <v>14</v>
      </c>
      <c r="D1173" t="s">
        <v>15</v>
      </c>
      <c r="E1173" t="s">
        <v>33</v>
      </c>
      <c r="F1173" t="s">
        <v>17</v>
      </c>
      <c r="G1173" t="s">
        <v>18</v>
      </c>
      <c r="H1173" t="s">
        <v>526</v>
      </c>
      <c r="I1173">
        <v>8</v>
      </c>
      <c r="J1173" t="s">
        <v>114</v>
      </c>
      <c r="K1173" t="str">
        <f t="shared" si="18"/>
        <v>39602</v>
      </c>
      <c r="L1173">
        <v>94356.85</v>
      </c>
      <c r="M1173">
        <v>-94356.85</v>
      </c>
      <c r="N1173">
        <v>0</v>
      </c>
      <c r="O1173">
        <v>0</v>
      </c>
      <c r="P1173">
        <v>0</v>
      </c>
    </row>
    <row r="1174" spans="1:16">
      <c r="A1174" s="1">
        <v>44896</v>
      </c>
      <c r="B1174" t="s">
        <v>122</v>
      </c>
      <c r="C1174" t="s">
        <v>14</v>
      </c>
      <c r="D1174" t="s">
        <v>15</v>
      </c>
      <c r="E1174" t="s">
        <v>33</v>
      </c>
      <c r="F1174" t="s">
        <v>17</v>
      </c>
      <c r="G1174" t="s">
        <v>18</v>
      </c>
      <c r="H1174" t="s">
        <v>526</v>
      </c>
      <c r="I1174">
        <v>8</v>
      </c>
      <c r="J1174" t="s">
        <v>115</v>
      </c>
      <c r="K1174" t="str">
        <f t="shared" si="18"/>
        <v>39700</v>
      </c>
      <c r="L1174">
        <v>0</v>
      </c>
      <c r="M1174">
        <v>65881.430000000008</v>
      </c>
      <c r="N1174">
        <v>0</v>
      </c>
      <c r="O1174">
        <v>0</v>
      </c>
      <c r="P1174">
        <v>65881.430000000008</v>
      </c>
    </row>
    <row r="1175" spans="1:16">
      <c r="A1175" s="1">
        <v>44896</v>
      </c>
      <c r="B1175" t="s">
        <v>122</v>
      </c>
      <c r="C1175" t="s">
        <v>14</v>
      </c>
      <c r="D1175" t="s">
        <v>15</v>
      </c>
      <c r="E1175" t="s">
        <v>33</v>
      </c>
      <c r="F1175" t="s">
        <v>17</v>
      </c>
      <c r="G1175" t="s">
        <v>18</v>
      </c>
      <c r="H1175" t="s">
        <v>526</v>
      </c>
      <c r="I1175">
        <v>8</v>
      </c>
      <c r="J1175" t="s">
        <v>116</v>
      </c>
      <c r="K1175" t="str">
        <f t="shared" si="18"/>
        <v>39710</v>
      </c>
      <c r="L1175">
        <v>0</v>
      </c>
      <c r="M1175">
        <v>30744.63</v>
      </c>
      <c r="N1175">
        <v>0</v>
      </c>
      <c r="O1175">
        <v>0</v>
      </c>
      <c r="P1175">
        <v>30744.63</v>
      </c>
    </row>
    <row r="1176" spans="1:16">
      <c r="A1176" s="1">
        <v>44896</v>
      </c>
      <c r="B1176" t="s">
        <v>122</v>
      </c>
      <c r="C1176" t="s">
        <v>14</v>
      </c>
      <c r="D1176" t="s">
        <v>15</v>
      </c>
      <c r="E1176" t="s">
        <v>33</v>
      </c>
      <c r="F1176" t="s">
        <v>17</v>
      </c>
      <c r="G1176" t="s">
        <v>18</v>
      </c>
      <c r="H1176" t="s">
        <v>526</v>
      </c>
      <c r="I1176">
        <v>8</v>
      </c>
      <c r="J1176" t="s">
        <v>117</v>
      </c>
      <c r="K1176" t="str">
        <f t="shared" si="18"/>
        <v>39800</v>
      </c>
      <c r="L1176">
        <v>0</v>
      </c>
      <c r="M1176">
        <v>39199.879999999997</v>
      </c>
      <c r="N1176">
        <v>0</v>
      </c>
      <c r="O1176">
        <v>0</v>
      </c>
      <c r="P1176">
        <v>39199.879999999997</v>
      </c>
    </row>
    <row r="1177" spans="1:16">
      <c r="A1177" s="1">
        <v>44531</v>
      </c>
      <c r="B1177" t="s">
        <v>13</v>
      </c>
      <c r="C1177" t="s">
        <v>14</v>
      </c>
      <c r="D1177" t="s">
        <v>15</v>
      </c>
      <c r="E1177" t="s">
        <v>33</v>
      </c>
      <c r="F1177" t="s">
        <v>24</v>
      </c>
      <c r="G1177" t="s">
        <v>18</v>
      </c>
      <c r="H1177" t="s">
        <v>526</v>
      </c>
      <c r="I1177">
        <v>8</v>
      </c>
      <c r="J1177" t="s">
        <v>94</v>
      </c>
      <c r="K1177" t="str">
        <f t="shared" si="18"/>
        <v>38901</v>
      </c>
      <c r="L1177">
        <v>261405.41</v>
      </c>
      <c r="M1177">
        <v>0</v>
      </c>
      <c r="N1177">
        <v>0</v>
      </c>
      <c r="O1177">
        <v>0</v>
      </c>
      <c r="P1177" s="8">
        <v>261405.41</v>
      </c>
    </row>
    <row r="1178" spans="1:16">
      <c r="A1178" s="1">
        <v>44531</v>
      </c>
      <c r="B1178" t="s">
        <v>13</v>
      </c>
      <c r="C1178" t="s">
        <v>14</v>
      </c>
      <c r="D1178" t="s">
        <v>15</v>
      </c>
      <c r="E1178" t="s">
        <v>33</v>
      </c>
      <c r="F1178" t="s">
        <v>24</v>
      </c>
      <c r="G1178" t="s">
        <v>18</v>
      </c>
      <c r="H1178" t="s">
        <v>526</v>
      </c>
      <c r="I1178">
        <v>8</v>
      </c>
      <c r="J1178" t="s">
        <v>95</v>
      </c>
      <c r="K1178" t="str">
        <f t="shared" si="18"/>
        <v>38902</v>
      </c>
      <c r="L1178">
        <v>22532.78</v>
      </c>
      <c r="M1178">
        <v>0</v>
      </c>
      <c r="N1178">
        <v>0</v>
      </c>
      <c r="O1178">
        <v>0</v>
      </c>
      <c r="P1178" s="8">
        <v>22532.78</v>
      </c>
    </row>
    <row r="1179" spans="1:16">
      <c r="A1179" s="1">
        <v>44531</v>
      </c>
      <c r="B1179" t="s">
        <v>13</v>
      </c>
      <c r="C1179" t="s">
        <v>14</v>
      </c>
      <c r="D1179" t="s">
        <v>15</v>
      </c>
      <c r="E1179" t="s">
        <v>33</v>
      </c>
      <c r="F1179" t="s">
        <v>24</v>
      </c>
      <c r="G1179" t="s">
        <v>18</v>
      </c>
      <c r="H1179" t="s">
        <v>526</v>
      </c>
      <c r="I1179">
        <v>8</v>
      </c>
      <c r="J1179" t="s">
        <v>19</v>
      </c>
      <c r="K1179" t="str">
        <f t="shared" si="18"/>
        <v>39001</v>
      </c>
      <c r="L1179">
        <v>7405332.2300000004</v>
      </c>
      <c r="M1179">
        <v>0</v>
      </c>
      <c r="N1179">
        <v>0</v>
      </c>
      <c r="O1179">
        <v>10977.75</v>
      </c>
      <c r="P1179" s="8">
        <v>7416309.9800000004</v>
      </c>
    </row>
    <row r="1180" spans="1:16">
      <c r="A1180" s="1">
        <v>44531</v>
      </c>
      <c r="B1180" t="s">
        <v>13</v>
      </c>
      <c r="C1180" t="s">
        <v>14</v>
      </c>
      <c r="D1180" t="s">
        <v>15</v>
      </c>
      <c r="E1180" t="s">
        <v>33</v>
      </c>
      <c r="F1180" t="s">
        <v>24</v>
      </c>
      <c r="G1180" t="s">
        <v>18</v>
      </c>
      <c r="H1180" t="s">
        <v>526</v>
      </c>
      <c r="I1180">
        <v>8</v>
      </c>
      <c r="J1180" t="s">
        <v>96</v>
      </c>
      <c r="K1180" t="str">
        <f t="shared" si="18"/>
        <v>39051</v>
      </c>
      <c r="L1180">
        <v>1426861.24</v>
      </c>
      <c r="M1180">
        <v>0</v>
      </c>
      <c r="N1180">
        <v>0</v>
      </c>
      <c r="O1180">
        <v>0</v>
      </c>
      <c r="P1180" s="8">
        <v>1426861.24</v>
      </c>
    </row>
    <row r="1181" spans="1:16">
      <c r="A1181" s="1">
        <v>44531</v>
      </c>
      <c r="B1181" t="s">
        <v>13</v>
      </c>
      <c r="C1181" t="s">
        <v>14</v>
      </c>
      <c r="D1181" t="s">
        <v>15</v>
      </c>
      <c r="E1181" t="s">
        <v>33</v>
      </c>
      <c r="F1181" t="s">
        <v>24</v>
      </c>
      <c r="G1181" t="s">
        <v>18</v>
      </c>
      <c r="H1181" t="s">
        <v>526</v>
      </c>
      <c r="I1181">
        <v>8</v>
      </c>
      <c r="J1181" t="s">
        <v>97</v>
      </c>
      <c r="K1181" t="str">
        <f t="shared" si="18"/>
        <v>39101</v>
      </c>
      <c r="L1181">
        <v>1313111.22</v>
      </c>
      <c r="M1181">
        <v>0</v>
      </c>
      <c r="N1181">
        <v>0</v>
      </c>
      <c r="O1181">
        <v>0</v>
      </c>
      <c r="P1181" s="8">
        <v>1313111.22</v>
      </c>
    </row>
    <row r="1182" spans="1:16">
      <c r="A1182" s="1">
        <v>44531</v>
      </c>
      <c r="B1182" t="s">
        <v>13</v>
      </c>
      <c r="C1182" t="s">
        <v>14</v>
      </c>
      <c r="D1182" t="s">
        <v>15</v>
      </c>
      <c r="E1182" t="s">
        <v>33</v>
      </c>
      <c r="F1182" t="s">
        <v>24</v>
      </c>
      <c r="G1182" t="s">
        <v>18</v>
      </c>
      <c r="H1182" t="s">
        <v>526</v>
      </c>
      <c r="I1182">
        <v>8</v>
      </c>
      <c r="J1182" t="s">
        <v>98</v>
      </c>
      <c r="K1182" t="str">
        <f t="shared" si="18"/>
        <v>39103</v>
      </c>
      <c r="L1182">
        <v>706248.64</v>
      </c>
      <c r="M1182">
        <v>0</v>
      </c>
      <c r="N1182">
        <v>0</v>
      </c>
      <c r="O1182">
        <v>0</v>
      </c>
      <c r="P1182" s="8">
        <v>706248.64</v>
      </c>
    </row>
    <row r="1183" spans="1:16">
      <c r="A1183" s="1">
        <v>44531</v>
      </c>
      <c r="B1183" t="s">
        <v>13</v>
      </c>
      <c r="C1183" t="s">
        <v>14</v>
      </c>
      <c r="D1183" t="s">
        <v>15</v>
      </c>
      <c r="E1183" t="s">
        <v>33</v>
      </c>
      <c r="F1183" t="s">
        <v>24</v>
      </c>
      <c r="G1183" t="s">
        <v>18</v>
      </c>
      <c r="H1183" t="s">
        <v>526</v>
      </c>
      <c r="I1183">
        <v>8</v>
      </c>
      <c r="J1183" t="s">
        <v>99</v>
      </c>
      <c r="K1183" t="str">
        <f t="shared" si="18"/>
        <v>39104</v>
      </c>
      <c r="L1183">
        <v>14712</v>
      </c>
      <c r="M1183">
        <v>0</v>
      </c>
      <c r="N1183">
        <v>0</v>
      </c>
      <c r="O1183">
        <v>0</v>
      </c>
      <c r="P1183" s="8">
        <v>14712</v>
      </c>
    </row>
    <row r="1184" spans="1:16">
      <c r="A1184" s="1">
        <v>44531</v>
      </c>
      <c r="B1184" t="s">
        <v>13</v>
      </c>
      <c r="C1184" t="s">
        <v>14</v>
      </c>
      <c r="D1184" t="s">
        <v>15</v>
      </c>
      <c r="E1184" t="s">
        <v>33</v>
      </c>
      <c r="F1184" t="s">
        <v>24</v>
      </c>
      <c r="G1184" t="s">
        <v>18</v>
      </c>
      <c r="H1184" t="s">
        <v>526</v>
      </c>
      <c r="I1184">
        <v>8</v>
      </c>
      <c r="J1184" t="s">
        <v>100</v>
      </c>
      <c r="K1184" t="str">
        <f t="shared" si="18"/>
        <v>39105</v>
      </c>
      <c r="L1184">
        <v>0</v>
      </c>
      <c r="M1184">
        <v>0</v>
      </c>
      <c r="N1184">
        <v>0</v>
      </c>
      <c r="O1184">
        <v>0</v>
      </c>
      <c r="P1184" s="8">
        <v>0</v>
      </c>
    </row>
    <row r="1185" spans="1:16">
      <c r="A1185" s="1">
        <v>44531</v>
      </c>
      <c r="B1185" t="s">
        <v>13</v>
      </c>
      <c r="C1185" t="s">
        <v>14</v>
      </c>
      <c r="D1185" t="s">
        <v>15</v>
      </c>
      <c r="E1185" t="s">
        <v>33</v>
      </c>
      <c r="F1185" t="s">
        <v>24</v>
      </c>
      <c r="G1185" t="s">
        <v>18</v>
      </c>
      <c r="H1185" t="s">
        <v>526</v>
      </c>
      <c r="I1185">
        <v>8</v>
      </c>
      <c r="J1185" t="s">
        <v>101</v>
      </c>
      <c r="K1185" t="str">
        <f t="shared" si="18"/>
        <v>39107</v>
      </c>
      <c r="L1185">
        <v>0</v>
      </c>
      <c r="M1185">
        <v>0</v>
      </c>
      <c r="N1185">
        <v>0</v>
      </c>
      <c r="O1185">
        <v>0</v>
      </c>
      <c r="P1185" s="8">
        <v>0</v>
      </c>
    </row>
    <row r="1186" spans="1:16">
      <c r="A1186" s="1">
        <v>44531</v>
      </c>
      <c r="B1186" t="s">
        <v>13</v>
      </c>
      <c r="C1186" t="s">
        <v>14</v>
      </c>
      <c r="D1186" t="s">
        <v>15</v>
      </c>
      <c r="E1186" t="s">
        <v>33</v>
      </c>
      <c r="F1186" t="s">
        <v>24</v>
      </c>
      <c r="G1186" t="s">
        <v>18</v>
      </c>
      <c r="H1186" t="s">
        <v>526</v>
      </c>
      <c r="I1186">
        <v>8</v>
      </c>
      <c r="J1186" t="s">
        <v>102</v>
      </c>
      <c r="K1186" t="str">
        <f t="shared" si="18"/>
        <v>39159</v>
      </c>
      <c r="L1186">
        <v>0</v>
      </c>
      <c r="M1186">
        <v>0</v>
      </c>
      <c r="N1186">
        <v>0</v>
      </c>
      <c r="O1186">
        <v>0</v>
      </c>
      <c r="P1186" s="8">
        <v>0</v>
      </c>
    </row>
    <row r="1187" spans="1:16">
      <c r="A1187" s="1">
        <v>44531</v>
      </c>
      <c r="B1187" t="s">
        <v>13</v>
      </c>
      <c r="C1187" t="s">
        <v>14</v>
      </c>
      <c r="D1187" t="s">
        <v>15</v>
      </c>
      <c r="E1187" t="s">
        <v>33</v>
      </c>
      <c r="F1187" t="s">
        <v>24</v>
      </c>
      <c r="G1187" t="s">
        <v>18</v>
      </c>
      <c r="H1187" t="s">
        <v>526</v>
      </c>
      <c r="I1187">
        <v>8</v>
      </c>
      <c r="J1187" t="s">
        <v>103</v>
      </c>
      <c r="K1187" t="str">
        <f t="shared" si="18"/>
        <v>39201</v>
      </c>
      <c r="L1187">
        <v>134983.86000000002</v>
      </c>
      <c r="M1187">
        <v>0</v>
      </c>
      <c r="N1187">
        <v>0</v>
      </c>
      <c r="O1187">
        <v>0</v>
      </c>
      <c r="P1187" s="8">
        <v>134983.86000000002</v>
      </c>
    </row>
    <row r="1188" spans="1:16">
      <c r="A1188" s="1">
        <v>44531</v>
      </c>
      <c r="B1188" t="s">
        <v>13</v>
      </c>
      <c r="C1188" t="s">
        <v>14</v>
      </c>
      <c r="D1188" t="s">
        <v>15</v>
      </c>
      <c r="E1188" t="s">
        <v>33</v>
      </c>
      <c r="F1188" t="s">
        <v>24</v>
      </c>
      <c r="G1188" t="s">
        <v>18</v>
      </c>
      <c r="H1188" t="s">
        <v>526</v>
      </c>
      <c r="I1188">
        <v>8</v>
      </c>
      <c r="J1188" t="s">
        <v>104</v>
      </c>
      <c r="K1188" t="str">
        <f t="shared" si="18"/>
        <v>39202</v>
      </c>
      <c r="L1188">
        <v>45525.16</v>
      </c>
      <c r="M1188">
        <v>0</v>
      </c>
      <c r="N1188">
        <v>0</v>
      </c>
      <c r="O1188">
        <v>0</v>
      </c>
      <c r="P1188" s="8">
        <v>45525.16</v>
      </c>
    </row>
    <row r="1189" spans="1:16">
      <c r="A1189" s="1">
        <v>44531</v>
      </c>
      <c r="B1189" t="s">
        <v>13</v>
      </c>
      <c r="C1189" t="s">
        <v>14</v>
      </c>
      <c r="D1189" t="s">
        <v>15</v>
      </c>
      <c r="E1189" t="s">
        <v>33</v>
      </c>
      <c r="F1189" t="s">
        <v>24</v>
      </c>
      <c r="G1189" t="s">
        <v>18</v>
      </c>
      <c r="H1189" t="s">
        <v>526</v>
      </c>
      <c r="I1189">
        <v>8</v>
      </c>
      <c r="J1189" t="s">
        <v>105</v>
      </c>
      <c r="K1189" t="str">
        <f t="shared" si="18"/>
        <v>39203</v>
      </c>
      <c r="L1189">
        <v>2291867.58</v>
      </c>
      <c r="M1189">
        <v>0</v>
      </c>
      <c r="N1189">
        <v>0</v>
      </c>
      <c r="O1189">
        <v>0</v>
      </c>
      <c r="P1189" s="8">
        <v>2291867.58</v>
      </c>
    </row>
    <row r="1190" spans="1:16">
      <c r="A1190" s="1">
        <v>44531</v>
      </c>
      <c r="B1190" t="s">
        <v>13</v>
      </c>
      <c r="C1190" t="s">
        <v>14</v>
      </c>
      <c r="D1190" t="s">
        <v>15</v>
      </c>
      <c r="E1190" t="s">
        <v>33</v>
      </c>
      <c r="F1190" t="s">
        <v>24</v>
      </c>
      <c r="G1190" t="s">
        <v>18</v>
      </c>
      <c r="H1190" t="s">
        <v>526</v>
      </c>
      <c r="I1190">
        <v>8</v>
      </c>
      <c r="J1190" t="s">
        <v>106</v>
      </c>
      <c r="K1190" t="str">
        <f t="shared" si="18"/>
        <v>39204</v>
      </c>
      <c r="L1190">
        <v>1604925.9500000002</v>
      </c>
      <c r="M1190">
        <v>0</v>
      </c>
      <c r="N1190">
        <v>0</v>
      </c>
      <c r="O1190">
        <v>0</v>
      </c>
      <c r="P1190" s="8">
        <v>1604925.9500000002</v>
      </c>
    </row>
    <row r="1191" spans="1:16">
      <c r="A1191" s="1">
        <v>44531</v>
      </c>
      <c r="B1191" t="s">
        <v>13</v>
      </c>
      <c r="C1191" t="s">
        <v>14</v>
      </c>
      <c r="D1191" t="s">
        <v>15</v>
      </c>
      <c r="E1191" t="s">
        <v>33</v>
      </c>
      <c r="F1191" t="s">
        <v>24</v>
      </c>
      <c r="G1191" t="s">
        <v>18</v>
      </c>
      <c r="H1191" t="s">
        <v>526</v>
      </c>
      <c r="I1191">
        <v>8</v>
      </c>
      <c r="J1191" t="s">
        <v>107</v>
      </c>
      <c r="K1191" t="str">
        <f t="shared" si="18"/>
        <v>39205</v>
      </c>
      <c r="L1191">
        <v>8595881.1500000004</v>
      </c>
      <c r="M1191">
        <v>0</v>
      </c>
      <c r="N1191">
        <v>0</v>
      </c>
      <c r="O1191">
        <v>0</v>
      </c>
      <c r="P1191" s="8">
        <v>8595881.1500000004</v>
      </c>
    </row>
    <row r="1192" spans="1:16">
      <c r="A1192" s="1">
        <v>44531</v>
      </c>
      <c r="B1192" t="s">
        <v>13</v>
      </c>
      <c r="C1192" t="s">
        <v>14</v>
      </c>
      <c r="D1192" t="s">
        <v>15</v>
      </c>
      <c r="E1192" t="s">
        <v>33</v>
      </c>
      <c r="F1192" t="s">
        <v>24</v>
      </c>
      <c r="G1192" t="s">
        <v>18</v>
      </c>
      <c r="H1192" t="s">
        <v>526</v>
      </c>
      <c r="I1192">
        <v>8</v>
      </c>
      <c r="J1192" t="s">
        <v>108</v>
      </c>
      <c r="K1192" t="str">
        <f t="shared" si="18"/>
        <v>39206</v>
      </c>
      <c r="L1192">
        <v>2276686.4700000002</v>
      </c>
      <c r="M1192">
        <v>0</v>
      </c>
      <c r="N1192">
        <v>-34724.870000000003</v>
      </c>
      <c r="O1192">
        <v>0</v>
      </c>
      <c r="P1192" s="8">
        <v>2241961.6</v>
      </c>
    </row>
    <row r="1193" spans="1:16">
      <c r="A1193" s="1">
        <v>44531</v>
      </c>
      <c r="B1193" t="s">
        <v>13</v>
      </c>
      <c r="C1193" t="s">
        <v>14</v>
      </c>
      <c r="D1193" t="s">
        <v>15</v>
      </c>
      <c r="E1193" t="s">
        <v>33</v>
      </c>
      <c r="F1193" t="s">
        <v>24</v>
      </c>
      <c r="G1193" t="s">
        <v>18</v>
      </c>
      <c r="H1193" t="s">
        <v>526</v>
      </c>
      <c r="I1193">
        <v>8</v>
      </c>
      <c r="J1193" t="s">
        <v>109</v>
      </c>
      <c r="K1193" t="str">
        <f t="shared" si="18"/>
        <v>39300</v>
      </c>
      <c r="L1193">
        <v>24905.31</v>
      </c>
      <c r="M1193">
        <v>0</v>
      </c>
      <c r="N1193">
        <v>0</v>
      </c>
      <c r="O1193">
        <v>0</v>
      </c>
      <c r="P1193" s="8">
        <v>24905.31</v>
      </c>
    </row>
    <row r="1194" spans="1:16">
      <c r="A1194" s="1">
        <v>44531</v>
      </c>
      <c r="B1194" t="s">
        <v>13</v>
      </c>
      <c r="C1194" t="s">
        <v>14</v>
      </c>
      <c r="D1194" t="s">
        <v>15</v>
      </c>
      <c r="E1194" t="s">
        <v>33</v>
      </c>
      <c r="F1194" t="s">
        <v>24</v>
      </c>
      <c r="G1194" t="s">
        <v>18</v>
      </c>
      <c r="H1194" t="s">
        <v>526</v>
      </c>
      <c r="I1194">
        <v>8</v>
      </c>
      <c r="J1194" t="s">
        <v>110</v>
      </c>
      <c r="K1194" t="str">
        <f t="shared" si="18"/>
        <v>39400</v>
      </c>
      <c r="L1194">
        <v>2991398.55</v>
      </c>
      <c r="M1194">
        <v>4413.62</v>
      </c>
      <c r="N1194">
        <v>0</v>
      </c>
      <c r="O1194">
        <v>0</v>
      </c>
      <c r="P1194" s="8">
        <v>2995812.17</v>
      </c>
    </row>
    <row r="1195" spans="1:16">
      <c r="A1195" s="1">
        <v>44531</v>
      </c>
      <c r="B1195" t="s">
        <v>13</v>
      </c>
      <c r="C1195" t="s">
        <v>14</v>
      </c>
      <c r="D1195" t="s">
        <v>15</v>
      </c>
      <c r="E1195" t="s">
        <v>33</v>
      </c>
      <c r="F1195" t="s">
        <v>24</v>
      </c>
      <c r="G1195" t="s">
        <v>18</v>
      </c>
      <c r="H1195" t="s">
        <v>526</v>
      </c>
      <c r="I1195">
        <v>8</v>
      </c>
      <c r="J1195" t="s">
        <v>111</v>
      </c>
      <c r="K1195" t="str">
        <f t="shared" si="18"/>
        <v>39410</v>
      </c>
      <c r="L1195">
        <v>14177.720000000001</v>
      </c>
      <c r="M1195">
        <v>0</v>
      </c>
      <c r="N1195">
        <v>0</v>
      </c>
      <c r="O1195">
        <v>0</v>
      </c>
      <c r="P1195" s="8">
        <v>14177.720000000001</v>
      </c>
    </row>
    <row r="1196" spans="1:16">
      <c r="A1196" s="1">
        <v>44531</v>
      </c>
      <c r="B1196" t="s">
        <v>13</v>
      </c>
      <c r="C1196" t="s">
        <v>14</v>
      </c>
      <c r="D1196" t="s">
        <v>15</v>
      </c>
      <c r="E1196" t="s">
        <v>33</v>
      </c>
      <c r="F1196" t="s">
        <v>24</v>
      </c>
      <c r="G1196" t="s">
        <v>18</v>
      </c>
      <c r="H1196" t="s">
        <v>526</v>
      </c>
      <c r="I1196">
        <v>8</v>
      </c>
      <c r="J1196" t="s">
        <v>112</v>
      </c>
      <c r="K1196" t="str">
        <f t="shared" si="18"/>
        <v>39500</v>
      </c>
      <c r="L1196">
        <v>481852.68</v>
      </c>
      <c r="M1196">
        <v>2775.83</v>
      </c>
      <c r="N1196">
        <v>-84391.92</v>
      </c>
      <c r="O1196">
        <v>0</v>
      </c>
      <c r="P1196" s="8">
        <v>400236.59</v>
      </c>
    </row>
    <row r="1197" spans="1:16">
      <c r="A1197" s="1">
        <v>44531</v>
      </c>
      <c r="B1197" t="s">
        <v>13</v>
      </c>
      <c r="C1197" t="s">
        <v>14</v>
      </c>
      <c r="D1197" t="s">
        <v>15</v>
      </c>
      <c r="E1197" t="s">
        <v>33</v>
      </c>
      <c r="F1197" t="s">
        <v>24</v>
      </c>
      <c r="G1197" t="s">
        <v>18</v>
      </c>
      <c r="H1197" t="s">
        <v>526</v>
      </c>
      <c r="I1197">
        <v>8</v>
      </c>
      <c r="J1197" t="s">
        <v>113</v>
      </c>
      <c r="K1197" t="str">
        <f t="shared" si="18"/>
        <v>39601</v>
      </c>
      <c r="L1197">
        <v>219977.59</v>
      </c>
      <c r="M1197">
        <v>0</v>
      </c>
      <c r="N1197">
        <v>0</v>
      </c>
      <c r="O1197">
        <v>0</v>
      </c>
      <c r="P1197" s="8">
        <v>219977.59</v>
      </c>
    </row>
    <row r="1198" spans="1:16">
      <c r="A1198" s="1">
        <v>44531</v>
      </c>
      <c r="B1198" t="s">
        <v>13</v>
      </c>
      <c r="C1198" t="s">
        <v>14</v>
      </c>
      <c r="D1198" t="s">
        <v>15</v>
      </c>
      <c r="E1198" t="s">
        <v>33</v>
      </c>
      <c r="F1198" t="s">
        <v>24</v>
      </c>
      <c r="G1198" t="s">
        <v>18</v>
      </c>
      <c r="H1198" t="s">
        <v>526</v>
      </c>
      <c r="I1198">
        <v>8</v>
      </c>
      <c r="J1198" t="s">
        <v>114</v>
      </c>
      <c r="K1198" t="str">
        <f t="shared" si="18"/>
        <v>39602</v>
      </c>
      <c r="L1198">
        <v>2912814.7199999997</v>
      </c>
      <c r="M1198">
        <v>0</v>
      </c>
      <c r="N1198">
        <v>0</v>
      </c>
      <c r="O1198">
        <v>0</v>
      </c>
      <c r="P1198" s="8">
        <v>2912814.7199999997</v>
      </c>
    </row>
    <row r="1199" spans="1:16">
      <c r="A1199" s="1">
        <v>44531</v>
      </c>
      <c r="B1199" t="s">
        <v>13</v>
      </c>
      <c r="C1199" t="s">
        <v>14</v>
      </c>
      <c r="D1199" t="s">
        <v>15</v>
      </c>
      <c r="E1199" t="s">
        <v>33</v>
      </c>
      <c r="F1199" t="s">
        <v>24</v>
      </c>
      <c r="G1199" t="s">
        <v>18</v>
      </c>
      <c r="H1199" t="s">
        <v>526</v>
      </c>
      <c r="I1199">
        <v>8</v>
      </c>
      <c r="J1199" t="s">
        <v>115</v>
      </c>
      <c r="K1199" t="str">
        <f t="shared" si="18"/>
        <v>39700</v>
      </c>
      <c r="L1199">
        <v>1276206.3700000001</v>
      </c>
      <c r="M1199">
        <v>0</v>
      </c>
      <c r="N1199">
        <v>0</v>
      </c>
      <c r="O1199">
        <v>0</v>
      </c>
      <c r="P1199" s="8">
        <v>1276206.3700000001</v>
      </c>
    </row>
    <row r="1200" spans="1:16">
      <c r="A1200" s="1">
        <v>44531</v>
      </c>
      <c r="B1200" t="s">
        <v>13</v>
      </c>
      <c r="C1200" t="s">
        <v>14</v>
      </c>
      <c r="D1200" t="s">
        <v>15</v>
      </c>
      <c r="E1200" t="s">
        <v>33</v>
      </c>
      <c r="F1200" t="s">
        <v>24</v>
      </c>
      <c r="G1200" t="s">
        <v>18</v>
      </c>
      <c r="H1200" t="s">
        <v>526</v>
      </c>
      <c r="I1200">
        <v>8</v>
      </c>
      <c r="J1200" t="s">
        <v>116</v>
      </c>
      <c r="K1200" t="str">
        <f t="shared" si="18"/>
        <v>39710</v>
      </c>
      <c r="L1200">
        <v>1204952.6599999999</v>
      </c>
      <c r="M1200">
        <v>0</v>
      </c>
      <c r="N1200">
        <v>0</v>
      </c>
      <c r="O1200">
        <v>0</v>
      </c>
      <c r="P1200" s="8">
        <v>1204952.6599999999</v>
      </c>
    </row>
    <row r="1201" spans="1:16">
      <c r="A1201" s="1">
        <v>44531</v>
      </c>
      <c r="B1201" t="s">
        <v>13</v>
      </c>
      <c r="C1201" t="s">
        <v>14</v>
      </c>
      <c r="D1201" t="s">
        <v>15</v>
      </c>
      <c r="E1201" t="s">
        <v>33</v>
      </c>
      <c r="F1201" t="s">
        <v>24</v>
      </c>
      <c r="G1201" t="s">
        <v>18</v>
      </c>
      <c r="H1201" t="s">
        <v>526</v>
      </c>
      <c r="I1201">
        <v>8</v>
      </c>
      <c r="J1201" t="s">
        <v>117</v>
      </c>
      <c r="K1201" t="str">
        <f t="shared" si="18"/>
        <v>39800</v>
      </c>
      <c r="L1201">
        <v>129693.81</v>
      </c>
      <c r="M1201">
        <v>0</v>
      </c>
      <c r="N1201">
        <v>0</v>
      </c>
      <c r="O1201">
        <v>0</v>
      </c>
      <c r="P1201" s="8">
        <v>129693.81</v>
      </c>
    </row>
    <row r="1202" spans="1:16">
      <c r="A1202" s="1">
        <v>44531</v>
      </c>
      <c r="B1202" t="s">
        <v>13</v>
      </c>
      <c r="C1202" t="s">
        <v>14</v>
      </c>
      <c r="D1202" t="s">
        <v>15</v>
      </c>
      <c r="E1202" t="s">
        <v>33</v>
      </c>
      <c r="F1202" t="s">
        <v>119</v>
      </c>
      <c r="G1202" t="s">
        <v>18</v>
      </c>
      <c r="H1202" t="s">
        <v>526</v>
      </c>
      <c r="I1202">
        <v>8</v>
      </c>
      <c r="J1202" t="s">
        <v>94</v>
      </c>
      <c r="K1202" t="str">
        <f t="shared" si="18"/>
        <v>38901</v>
      </c>
      <c r="L1202">
        <v>1221463.3</v>
      </c>
      <c r="M1202">
        <v>0</v>
      </c>
      <c r="N1202">
        <v>0</v>
      </c>
      <c r="O1202">
        <v>0</v>
      </c>
      <c r="P1202" s="9">
        <v>1221463.3</v>
      </c>
    </row>
    <row r="1203" spans="1:16">
      <c r="A1203" s="1">
        <v>44531</v>
      </c>
      <c r="B1203" t="s">
        <v>13</v>
      </c>
      <c r="C1203" t="s">
        <v>14</v>
      </c>
      <c r="D1203" t="s">
        <v>15</v>
      </c>
      <c r="E1203" t="s">
        <v>16</v>
      </c>
      <c r="F1203" t="s">
        <v>17</v>
      </c>
      <c r="G1203" t="s">
        <v>18</v>
      </c>
      <c r="H1203" t="s">
        <v>526</v>
      </c>
      <c r="I1203">
        <v>8</v>
      </c>
      <c r="J1203" t="s">
        <v>19</v>
      </c>
      <c r="K1203" t="str">
        <f t="shared" si="18"/>
        <v>39001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>
      <c r="A1204" s="1">
        <v>44531</v>
      </c>
      <c r="B1204" t="s">
        <v>13</v>
      </c>
      <c r="C1204" t="s">
        <v>14</v>
      </c>
      <c r="D1204" t="s">
        <v>15</v>
      </c>
      <c r="E1204" t="s">
        <v>33</v>
      </c>
      <c r="F1204" t="s">
        <v>17</v>
      </c>
      <c r="G1204" t="s">
        <v>18</v>
      </c>
      <c r="H1204" t="s">
        <v>526</v>
      </c>
      <c r="I1204">
        <v>8</v>
      </c>
      <c r="J1204" t="s">
        <v>94</v>
      </c>
      <c r="K1204" t="str">
        <f t="shared" si="18"/>
        <v>38901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>
      <c r="A1205" s="1">
        <v>44531</v>
      </c>
      <c r="B1205" t="s">
        <v>13</v>
      </c>
      <c r="C1205" t="s">
        <v>14</v>
      </c>
      <c r="D1205" t="s">
        <v>15</v>
      </c>
      <c r="E1205" t="s">
        <v>33</v>
      </c>
      <c r="F1205" t="s">
        <v>17</v>
      </c>
      <c r="G1205" t="s">
        <v>18</v>
      </c>
      <c r="H1205" t="s">
        <v>526</v>
      </c>
      <c r="I1205">
        <v>8</v>
      </c>
      <c r="J1205" t="s">
        <v>19</v>
      </c>
      <c r="K1205" t="str">
        <f t="shared" si="18"/>
        <v>39001</v>
      </c>
      <c r="L1205">
        <v>201280.76</v>
      </c>
      <c r="M1205">
        <v>25989.3</v>
      </c>
      <c r="N1205">
        <v>0</v>
      </c>
      <c r="O1205">
        <v>0</v>
      </c>
      <c r="P1205">
        <v>227270.06</v>
      </c>
    </row>
    <row r="1206" spans="1:16">
      <c r="A1206" s="1">
        <v>44531</v>
      </c>
      <c r="B1206" t="s">
        <v>13</v>
      </c>
      <c r="C1206" t="s">
        <v>14</v>
      </c>
      <c r="D1206" t="s">
        <v>15</v>
      </c>
      <c r="E1206" t="s">
        <v>33</v>
      </c>
      <c r="F1206" t="s">
        <v>17</v>
      </c>
      <c r="G1206" t="s">
        <v>18</v>
      </c>
      <c r="H1206" t="s">
        <v>526</v>
      </c>
      <c r="I1206">
        <v>8</v>
      </c>
      <c r="J1206" t="s">
        <v>96</v>
      </c>
      <c r="K1206" t="str">
        <f t="shared" si="18"/>
        <v>39051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>
      <c r="A1207" s="1">
        <v>44531</v>
      </c>
      <c r="B1207" t="s">
        <v>13</v>
      </c>
      <c r="C1207" t="s">
        <v>14</v>
      </c>
      <c r="D1207" t="s">
        <v>15</v>
      </c>
      <c r="E1207" t="s">
        <v>33</v>
      </c>
      <c r="F1207" t="s">
        <v>17</v>
      </c>
      <c r="G1207" t="s">
        <v>18</v>
      </c>
      <c r="H1207" t="s">
        <v>526</v>
      </c>
      <c r="I1207">
        <v>8</v>
      </c>
      <c r="J1207" t="s">
        <v>97</v>
      </c>
      <c r="K1207" t="str">
        <f t="shared" si="18"/>
        <v>39101</v>
      </c>
      <c r="L1207">
        <v>447460.5</v>
      </c>
      <c r="M1207">
        <v>0</v>
      </c>
      <c r="N1207">
        <v>0</v>
      </c>
      <c r="O1207">
        <v>0</v>
      </c>
      <c r="P1207">
        <v>447460.5</v>
      </c>
    </row>
    <row r="1208" spans="1:16">
      <c r="A1208" s="1">
        <v>44531</v>
      </c>
      <c r="B1208" t="s">
        <v>13</v>
      </c>
      <c r="C1208" t="s">
        <v>14</v>
      </c>
      <c r="D1208" t="s">
        <v>15</v>
      </c>
      <c r="E1208" t="s">
        <v>33</v>
      </c>
      <c r="F1208" t="s">
        <v>17</v>
      </c>
      <c r="G1208" t="s">
        <v>18</v>
      </c>
      <c r="H1208" t="s">
        <v>526</v>
      </c>
      <c r="I1208">
        <v>8</v>
      </c>
      <c r="J1208" t="s">
        <v>98</v>
      </c>
      <c r="K1208" t="str">
        <f t="shared" si="18"/>
        <v>39103</v>
      </c>
      <c r="L1208">
        <v>177814.09</v>
      </c>
      <c r="M1208">
        <v>56307.41</v>
      </c>
      <c r="N1208">
        <v>0</v>
      </c>
      <c r="O1208">
        <v>0</v>
      </c>
      <c r="P1208">
        <v>234121.5</v>
      </c>
    </row>
    <row r="1209" spans="1:16">
      <c r="A1209" s="1">
        <v>44531</v>
      </c>
      <c r="B1209" t="s">
        <v>13</v>
      </c>
      <c r="C1209" t="s">
        <v>14</v>
      </c>
      <c r="D1209" t="s">
        <v>15</v>
      </c>
      <c r="E1209" t="s">
        <v>33</v>
      </c>
      <c r="F1209" t="s">
        <v>17</v>
      </c>
      <c r="G1209" t="s">
        <v>18</v>
      </c>
      <c r="H1209" t="s">
        <v>526</v>
      </c>
      <c r="I1209">
        <v>8</v>
      </c>
      <c r="J1209" t="s">
        <v>99</v>
      </c>
      <c r="K1209" t="str">
        <f t="shared" si="18"/>
        <v>39104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>
      <c r="A1210" s="1">
        <v>44531</v>
      </c>
      <c r="B1210" t="s">
        <v>13</v>
      </c>
      <c r="C1210" t="s">
        <v>14</v>
      </c>
      <c r="D1210" t="s">
        <v>15</v>
      </c>
      <c r="E1210" t="s">
        <v>33</v>
      </c>
      <c r="F1210" t="s">
        <v>17</v>
      </c>
      <c r="G1210" t="s">
        <v>18</v>
      </c>
      <c r="H1210" t="s">
        <v>526</v>
      </c>
      <c r="I1210">
        <v>8</v>
      </c>
      <c r="J1210" t="s">
        <v>103</v>
      </c>
      <c r="K1210" t="str">
        <f t="shared" si="18"/>
        <v>39201</v>
      </c>
      <c r="L1210">
        <v>81941.77</v>
      </c>
      <c r="M1210">
        <v>0</v>
      </c>
      <c r="N1210">
        <v>0</v>
      </c>
      <c r="O1210">
        <v>0</v>
      </c>
      <c r="P1210">
        <v>81941.77</v>
      </c>
    </row>
    <row r="1211" spans="1:16">
      <c r="A1211" s="1">
        <v>44531</v>
      </c>
      <c r="B1211" t="s">
        <v>13</v>
      </c>
      <c r="C1211" t="s">
        <v>14</v>
      </c>
      <c r="D1211" t="s">
        <v>15</v>
      </c>
      <c r="E1211" t="s">
        <v>33</v>
      </c>
      <c r="F1211" t="s">
        <v>17</v>
      </c>
      <c r="G1211" t="s">
        <v>18</v>
      </c>
      <c r="H1211" t="s">
        <v>526</v>
      </c>
      <c r="I1211">
        <v>8</v>
      </c>
      <c r="J1211" t="s">
        <v>104</v>
      </c>
      <c r="K1211" t="str">
        <f t="shared" si="18"/>
        <v>39202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>
      <c r="A1212" s="1">
        <v>44531</v>
      </c>
      <c r="B1212" t="s">
        <v>13</v>
      </c>
      <c r="C1212" t="s">
        <v>14</v>
      </c>
      <c r="D1212" t="s">
        <v>15</v>
      </c>
      <c r="E1212" t="s">
        <v>33</v>
      </c>
      <c r="F1212" t="s">
        <v>17</v>
      </c>
      <c r="G1212" t="s">
        <v>18</v>
      </c>
      <c r="H1212" t="s">
        <v>526</v>
      </c>
      <c r="I1212">
        <v>8</v>
      </c>
      <c r="J1212" t="s">
        <v>105</v>
      </c>
      <c r="K1212" t="str">
        <f t="shared" si="18"/>
        <v>39203</v>
      </c>
      <c r="L1212">
        <v>424111.44</v>
      </c>
      <c r="M1212">
        <v>104189.08</v>
      </c>
      <c r="N1212">
        <v>0</v>
      </c>
      <c r="O1212">
        <v>0</v>
      </c>
      <c r="P1212">
        <v>528300.52</v>
      </c>
    </row>
    <row r="1213" spans="1:16">
      <c r="A1213" s="1">
        <v>44531</v>
      </c>
      <c r="B1213" t="s">
        <v>13</v>
      </c>
      <c r="C1213" t="s">
        <v>14</v>
      </c>
      <c r="D1213" t="s">
        <v>15</v>
      </c>
      <c r="E1213" t="s">
        <v>33</v>
      </c>
      <c r="F1213" t="s">
        <v>17</v>
      </c>
      <c r="G1213" t="s">
        <v>18</v>
      </c>
      <c r="H1213" t="s">
        <v>526</v>
      </c>
      <c r="I1213">
        <v>8</v>
      </c>
      <c r="J1213" t="s">
        <v>106</v>
      </c>
      <c r="K1213" t="str">
        <f t="shared" si="18"/>
        <v>39204</v>
      </c>
      <c r="L1213">
        <v>373491.47000000003</v>
      </c>
      <c r="M1213">
        <v>109614.86</v>
      </c>
      <c r="N1213">
        <v>0</v>
      </c>
      <c r="O1213">
        <v>0</v>
      </c>
      <c r="P1213">
        <v>483106.33</v>
      </c>
    </row>
    <row r="1214" spans="1:16">
      <c r="A1214" s="1">
        <v>44531</v>
      </c>
      <c r="B1214" t="s">
        <v>13</v>
      </c>
      <c r="C1214" t="s">
        <v>14</v>
      </c>
      <c r="D1214" t="s">
        <v>15</v>
      </c>
      <c r="E1214" t="s">
        <v>33</v>
      </c>
      <c r="F1214" t="s">
        <v>17</v>
      </c>
      <c r="G1214" t="s">
        <v>18</v>
      </c>
      <c r="H1214" t="s">
        <v>526</v>
      </c>
      <c r="I1214">
        <v>8</v>
      </c>
      <c r="J1214" t="s">
        <v>107</v>
      </c>
      <c r="K1214" t="str">
        <f t="shared" si="18"/>
        <v>39205</v>
      </c>
      <c r="L1214">
        <v>802310.85</v>
      </c>
      <c r="M1214">
        <v>193994.62</v>
      </c>
      <c r="N1214">
        <v>0</v>
      </c>
      <c r="O1214">
        <v>0</v>
      </c>
      <c r="P1214">
        <v>996305.47</v>
      </c>
    </row>
    <row r="1215" spans="1:16">
      <c r="A1215" s="1">
        <v>44531</v>
      </c>
      <c r="B1215" t="s">
        <v>13</v>
      </c>
      <c r="C1215" t="s">
        <v>14</v>
      </c>
      <c r="D1215" t="s">
        <v>15</v>
      </c>
      <c r="E1215" t="s">
        <v>33</v>
      </c>
      <c r="F1215" t="s">
        <v>17</v>
      </c>
      <c r="G1215" t="s">
        <v>18</v>
      </c>
      <c r="H1215" t="s">
        <v>526</v>
      </c>
      <c r="I1215">
        <v>8</v>
      </c>
      <c r="J1215" t="s">
        <v>108</v>
      </c>
      <c r="K1215" t="str">
        <f t="shared" si="18"/>
        <v>39206</v>
      </c>
      <c r="L1215">
        <v>101884.82</v>
      </c>
      <c r="M1215">
        <v>0</v>
      </c>
      <c r="N1215">
        <v>0</v>
      </c>
      <c r="O1215">
        <v>0</v>
      </c>
      <c r="P1215">
        <v>101884.82</v>
      </c>
    </row>
    <row r="1216" spans="1:16">
      <c r="A1216" s="1">
        <v>44531</v>
      </c>
      <c r="B1216" t="s">
        <v>13</v>
      </c>
      <c r="C1216" t="s">
        <v>14</v>
      </c>
      <c r="D1216" t="s">
        <v>15</v>
      </c>
      <c r="E1216" t="s">
        <v>33</v>
      </c>
      <c r="F1216" t="s">
        <v>17</v>
      </c>
      <c r="G1216" t="s">
        <v>18</v>
      </c>
      <c r="H1216" t="s">
        <v>526</v>
      </c>
      <c r="I1216">
        <v>8</v>
      </c>
      <c r="J1216" t="s">
        <v>109</v>
      </c>
      <c r="K1216" t="str">
        <f t="shared" si="18"/>
        <v>39300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>
      <c r="A1217" s="1">
        <v>44531</v>
      </c>
      <c r="B1217" t="s">
        <v>13</v>
      </c>
      <c r="C1217" t="s">
        <v>14</v>
      </c>
      <c r="D1217" t="s">
        <v>15</v>
      </c>
      <c r="E1217" t="s">
        <v>33</v>
      </c>
      <c r="F1217" t="s">
        <v>17</v>
      </c>
      <c r="G1217" t="s">
        <v>18</v>
      </c>
      <c r="H1217" t="s">
        <v>526</v>
      </c>
      <c r="I1217">
        <v>8</v>
      </c>
      <c r="J1217" t="s">
        <v>110</v>
      </c>
      <c r="K1217" t="str">
        <f t="shared" si="18"/>
        <v>39400</v>
      </c>
      <c r="L1217">
        <v>6076.9000000000005</v>
      </c>
      <c r="M1217">
        <v>-2948.86</v>
      </c>
      <c r="N1217">
        <v>0</v>
      </c>
      <c r="O1217">
        <v>0</v>
      </c>
      <c r="P1217">
        <v>3128.04</v>
      </c>
    </row>
    <row r="1218" spans="1:16">
      <c r="A1218" s="1">
        <v>44531</v>
      </c>
      <c r="B1218" t="s">
        <v>13</v>
      </c>
      <c r="C1218" t="s">
        <v>14</v>
      </c>
      <c r="D1218" t="s">
        <v>15</v>
      </c>
      <c r="E1218" t="s">
        <v>33</v>
      </c>
      <c r="F1218" t="s">
        <v>17</v>
      </c>
      <c r="G1218" t="s">
        <v>18</v>
      </c>
      <c r="H1218" t="s">
        <v>526</v>
      </c>
      <c r="I1218">
        <v>8</v>
      </c>
      <c r="J1218" t="s">
        <v>111</v>
      </c>
      <c r="K1218" t="str">
        <f t="shared" ref="K1218:K1281" si="19">MID(J1218,2,5)</f>
        <v>39410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>
      <c r="A1219" s="1">
        <v>44531</v>
      </c>
      <c r="B1219" t="s">
        <v>13</v>
      </c>
      <c r="C1219" t="s">
        <v>14</v>
      </c>
      <c r="D1219" t="s">
        <v>15</v>
      </c>
      <c r="E1219" t="s">
        <v>33</v>
      </c>
      <c r="F1219" t="s">
        <v>17</v>
      </c>
      <c r="G1219" t="s">
        <v>18</v>
      </c>
      <c r="H1219" t="s">
        <v>526</v>
      </c>
      <c r="I1219">
        <v>8</v>
      </c>
      <c r="J1219" t="s">
        <v>112</v>
      </c>
      <c r="K1219" t="str">
        <f t="shared" si="19"/>
        <v>39500</v>
      </c>
      <c r="L1219">
        <v>0</v>
      </c>
      <c r="M1219">
        <v>10732.800000000001</v>
      </c>
      <c r="N1219">
        <v>0</v>
      </c>
      <c r="O1219">
        <v>0</v>
      </c>
      <c r="P1219">
        <v>10732.800000000001</v>
      </c>
    </row>
    <row r="1220" spans="1:16">
      <c r="A1220" s="1">
        <v>44531</v>
      </c>
      <c r="B1220" t="s">
        <v>13</v>
      </c>
      <c r="C1220" t="s">
        <v>14</v>
      </c>
      <c r="D1220" t="s">
        <v>15</v>
      </c>
      <c r="E1220" t="s">
        <v>33</v>
      </c>
      <c r="F1220" t="s">
        <v>17</v>
      </c>
      <c r="G1220" t="s">
        <v>18</v>
      </c>
      <c r="H1220" t="s">
        <v>526</v>
      </c>
      <c r="I1220">
        <v>8</v>
      </c>
      <c r="J1220" t="s">
        <v>113</v>
      </c>
      <c r="K1220" t="str">
        <f t="shared" si="19"/>
        <v>39601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>
      <c r="A1221" s="1">
        <v>44531</v>
      </c>
      <c r="B1221" t="s">
        <v>13</v>
      </c>
      <c r="C1221" t="s">
        <v>14</v>
      </c>
      <c r="D1221" t="s">
        <v>15</v>
      </c>
      <c r="E1221" t="s">
        <v>33</v>
      </c>
      <c r="F1221" t="s">
        <v>17</v>
      </c>
      <c r="G1221" t="s">
        <v>18</v>
      </c>
      <c r="H1221" t="s">
        <v>526</v>
      </c>
      <c r="I1221">
        <v>8</v>
      </c>
      <c r="J1221" t="s">
        <v>114</v>
      </c>
      <c r="K1221" t="str">
        <f t="shared" si="19"/>
        <v>39602</v>
      </c>
      <c r="L1221">
        <v>343055.38</v>
      </c>
      <c r="M1221">
        <v>0</v>
      </c>
      <c r="N1221">
        <v>0</v>
      </c>
      <c r="O1221">
        <v>0</v>
      </c>
      <c r="P1221">
        <v>343055.38</v>
      </c>
    </row>
    <row r="1222" spans="1:16">
      <c r="A1222" s="1">
        <v>44531</v>
      </c>
      <c r="B1222" t="s">
        <v>13</v>
      </c>
      <c r="C1222" t="s">
        <v>14</v>
      </c>
      <c r="D1222" t="s">
        <v>15</v>
      </c>
      <c r="E1222" t="s">
        <v>33</v>
      </c>
      <c r="F1222" t="s">
        <v>17</v>
      </c>
      <c r="G1222" t="s">
        <v>18</v>
      </c>
      <c r="H1222" t="s">
        <v>526</v>
      </c>
      <c r="I1222">
        <v>8</v>
      </c>
      <c r="J1222" t="s">
        <v>115</v>
      </c>
      <c r="K1222" t="str">
        <f t="shared" si="19"/>
        <v>39700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>
      <c r="A1223" s="1">
        <v>44531</v>
      </c>
      <c r="B1223" t="s">
        <v>13</v>
      </c>
      <c r="C1223" t="s">
        <v>14</v>
      </c>
      <c r="D1223" t="s">
        <v>15</v>
      </c>
      <c r="E1223" t="s">
        <v>33</v>
      </c>
      <c r="F1223" t="s">
        <v>17</v>
      </c>
      <c r="G1223" t="s">
        <v>18</v>
      </c>
      <c r="H1223" t="s">
        <v>526</v>
      </c>
      <c r="I1223">
        <v>8</v>
      </c>
      <c r="J1223" t="s">
        <v>116</v>
      </c>
      <c r="K1223" t="str">
        <f t="shared" si="19"/>
        <v>39710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>
      <c r="A1224" s="1">
        <v>44531</v>
      </c>
      <c r="B1224" t="s">
        <v>13</v>
      </c>
      <c r="C1224" t="s">
        <v>14</v>
      </c>
      <c r="D1224" t="s">
        <v>15</v>
      </c>
      <c r="E1224" t="s">
        <v>33</v>
      </c>
      <c r="F1224" t="s">
        <v>17</v>
      </c>
      <c r="G1224" t="s">
        <v>18</v>
      </c>
      <c r="H1224" t="s">
        <v>526</v>
      </c>
      <c r="I1224">
        <v>8</v>
      </c>
      <c r="J1224" t="s">
        <v>117</v>
      </c>
      <c r="K1224" t="str">
        <f t="shared" si="19"/>
        <v>39800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>
      <c r="A1225" s="1">
        <v>44562</v>
      </c>
      <c r="B1225" t="s">
        <v>133</v>
      </c>
      <c r="C1225" t="s">
        <v>14</v>
      </c>
      <c r="D1225" t="s">
        <v>15</v>
      </c>
      <c r="E1225" t="s">
        <v>33</v>
      </c>
      <c r="F1225" t="s">
        <v>24</v>
      </c>
      <c r="G1225" t="s">
        <v>34</v>
      </c>
      <c r="H1225" t="s">
        <v>838</v>
      </c>
      <c r="I1225">
        <v>1</v>
      </c>
      <c r="J1225" t="s">
        <v>35</v>
      </c>
      <c r="K1225" t="str">
        <f t="shared" si="19"/>
        <v>30100</v>
      </c>
      <c r="L1225">
        <v>0</v>
      </c>
      <c r="M1225">
        <v>0</v>
      </c>
      <c r="N1225">
        <v>0</v>
      </c>
      <c r="O1225">
        <v>0</v>
      </c>
      <c r="P1225" s="8">
        <v>0</v>
      </c>
    </row>
    <row r="1226" spans="1:16">
      <c r="A1226" s="1">
        <v>44562</v>
      </c>
      <c r="B1226" t="s">
        <v>133</v>
      </c>
      <c r="C1226" t="s">
        <v>14</v>
      </c>
      <c r="D1226" t="s">
        <v>15</v>
      </c>
      <c r="E1226" t="s">
        <v>33</v>
      </c>
      <c r="F1226" t="s">
        <v>24</v>
      </c>
      <c r="G1226" t="s">
        <v>34</v>
      </c>
      <c r="H1226" t="s">
        <v>838</v>
      </c>
      <c r="I1226">
        <v>1</v>
      </c>
      <c r="J1226" t="s">
        <v>36</v>
      </c>
      <c r="K1226" t="str">
        <f t="shared" si="19"/>
        <v>30201</v>
      </c>
      <c r="L1226">
        <v>0</v>
      </c>
      <c r="M1226">
        <v>0</v>
      </c>
      <c r="N1226">
        <v>0</v>
      </c>
      <c r="O1226">
        <v>0</v>
      </c>
      <c r="P1226" s="8">
        <v>0</v>
      </c>
    </row>
    <row r="1227" spans="1:16">
      <c r="A1227" s="1">
        <v>44562</v>
      </c>
      <c r="B1227" t="s">
        <v>133</v>
      </c>
      <c r="C1227" t="s">
        <v>14</v>
      </c>
      <c r="D1227" t="s">
        <v>15</v>
      </c>
      <c r="E1227" t="s">
        <v>33</v>
      </c>
      <c r="F1227" t="s">
        <v>24</v>
      </c>
      <c r="G1227" t="s">
        <v>34</v>
      </c>
      <c r="H1227" t="s">
        <v>838</v>
      </c>
      <c r="I1227">
        <v>1</v>
      </c>
      <c r="J1227" t="s">
        <v>37</v>
      </c>
      <c r="K1227" t="str">
        <f t="shared" si="19"/>
        <v>30301</v>
      </c>
      <c r="L1227">
        <v>0</v>
      </c>
      <c r="M1227">
        <v>0</v>
      </c>
      <c r="N1227">
        <v>0</v>
      </c>
      <c r="O1227">
        <v>0</v>
      </c>
      <c r="P1227" s="8">
        <v>0</v>
      </c>
    </row>
    <row r="1228" spans="1:16">
      <c r="A1228" s="1">
        <v>44562</v>
      </c>
      <c r="B1228" t="s">
        <v>133</v>
      </c>
      <c r="C1228" t="s">
        <v>14</v>
      </c>
      <c r="D1228" t="s">
        <v>15</v>
      </c>
      <c r="E1228" t="s">
        <v>33</v>
      </c>
      <c r="F1228" t="s">
        <v>24</v>
      </c>
      <c r="G1228" t="s">
        <v>34</v>
      </c>
      <c r="H1228" t="s">
        <v>838</v>
      </c>
      <c r="I1228">
        <v>1</v>
      </c>
      <c r="J1228" t="s">
        <v>38</v>
      </c>
      <c r="K1228" t="str">
        <f t="shared" si="19"/>
        <v>30302</v>
      </c>
      <c r="L1228">
        <v>0</v>
      </c>
      <c r="M1228">
        <v>0</v>
      </c>
      <c r="N1228">
        <v>0</v>
      </c>
      <c r="O1228">
        <v>0</v>
      </c>
      <c r="P1228" s="8">
        <v>0</v>
      </c>
    </row>
    <row r="1229" spans="1:16">
      <c r="A1229" s="1">
        <v>44562</v>
      </c>
      <c r="B1229" t="s">
        <v>133</v>
      </c>
      <c r="C1229" t="s">
        <v>14</v>
      </c>
      <c r="D1229" t="s">
        <v>15</v>
      </c>
      <c r="E1229" t="s">
        <v>33</v>
      </c>
      <c r="F1229" t="s">
        <v>24</v>
      </c>
      <c r="G1229" t="s">
        <v>34</v>
      </c>
      <c r="H1229" t="s">
        <v>838</v>
      </c>
      <c r="I1229">
        <v>1</v>
      </c>
      <c r="J1229" t="s">
        <v>39</v>
      </c>
      <c r="K1229" t="str">
        <f t="shared" si="19"/>
        <v>30303</v>
      </c>
      <c r="L1229">
        <v>0</v>
      </c>
      <c r="M1229">
        <v>0</v>
      </c>
      <c r="N1229">
        <v>0</v>
      </c>
      <c r="O1229">
        <v>0</v>
      </c>
      <c r="P1229" s="8">
        <v>0</v>
      </c>
    </row>
    <row r="1230" spans="1:16">
      <c r="A1230" s="1">
        <v>44562</v>
      </c>
      <c r="B1230" t="s">
        <v>133</v>
      </c>
      <c r="C1230" t="s">
        <v>14</v>
      </c>
      <c r="D1230" t="s">
        <v>15</v>
      </c>
      <c r="E1230" t="s">
        <v>33</v>
      </c>
      <c r="F1230" t="s">
        <v>118</v>
      </c>
      <c r="G1230" t="s">
        <v>34</v>
      </c>
      <c r="H1230" t="s">
        <v>838</v>
      </c>
      <c r="I1230">
        <v>1</v>
      </c>
      <c r="J1230" t="s">
        <v>35</v>
      </c>
      <c r="K1230" t="str">
        <f t="shared" si="19"/>
        <v>30100</v>
      </c>
      <c r="L1230">
        <v>200900.31</v>
      </c>
      <c r="M1230">
        <v>0</v>
      </c>
      <c r="N1230">
        <v>0</v>
      </c>
      <c r="O1230">
        <v>0</v>
      </c>
      <c r="P1230">
        <v>200900.31</v>
      </c>
    </row>
    <row r="1231" spans="1:16">
      <c r="A1231" s="1">
        <v>44562</v>
      </c>
      <c r="B1231" t="s">
        <v>133</v>
      </c>
      <c r="C1231" t="s">
        <v>14</v>
      </c>
      <c r="D1231" t="s">
        <v>15</v>
      </c>
      <c r="E1231" t="s">
        <v>33</v>
      </c>
      <c r="F1231" t="s">
        <v>118</v>
      </c>
      <c r="G1231" t="s">
        <v>34</v>
      </c>
      <c r="H1231" t="s">
        <v>838</v>
      </c>
      <c r="I1231">
        <v>1</v>
      </c>
      <c r="J1231" t="s">
        <v>37</v>
      </c>
      <c r="K1231" t="str">
        <f t="shared" si="19"/>
        <v>30301</v>
      </c>
      <c r="L1231">
        <v>310000</v>
      </c>
      <c r="M1231">
        <v>0</v>
      </c>
      <c r="N1231">
        <v>0</v>
      </c>
      <c r="O1231">
        <v>0</v>
      </c>
      <c r="P1231">
        <v>310000</v>
      </c>
    </row>
    <row r="1232" spans="1:16">
      <c r="A1232" s="1">
        <v>44562</v>
      </c>
      <c r="B1232" t="s">
        <v>133</v>
      </c>
      <c r="C1232" t="s">
        <v>14</v>
      </c>
      <c r="D1232" t="s">
        <v>15</v>
      </c>
      <c r="E1232" t="s">
        <v>33</v>
      </c>
      <c r="F1232" t="s">
        <v>118</v>
      </c>
      <c r="G1232" t="s">
        <v>34</v>
      </c>
      <c r="H1232" t="s">
        <v>838</v>
      </c>
      <c r="I1232">
        <v>1</v>
      </c>
      <c r="J1232" t="s">
        <v>38</v>
      </c>
      <c r="K1232" t="str">
        <f t="shared" si="19"/>
        <v>30302</v>
      </c>
      <c r="L1232">
        <v>19000</v>
      </c>
      <c r="M1232">
        <v>0</v>
      </c>
      <c r="N1232">
        <v>0</v>
      </c>
      <c r="O1232">
        <v>0</v>
      </c>
      <c r="P1232">
        <v>19000</v>
      </c>
    </row>
    <row r="1233" spans="1:16">
      <c r="A1233" s="1">
        <v>44593</v>
      </c>
      <c r="B1233" t="s">
        <v>132</v>
      </c>
      <c r="C1233" t="s">
        <v>14</v>
      </c>
      <c r="D1233" t="s">
        <v>15</v>
      </c>
      <c r="E1233" t="s">
        <v>33</v>
      </c>
      <c r="F1233" t="s">
        <v>24</v>
      </c>
      <c r="G1233" t="s">
        <v>34</v>
      </c>
      <c r="H1233" t="s">
        <v>838</v>
      </c>
      <c r="I1233">
        <v>1</v>
      </c>
      <c r="J1233" t="s">
        <v>35</v>
      </c>
      <c r="K1233" t="str">
        <f t="shared" si="19"/>
        <v>30100</v>
      </c>
      <c r="L1233">
        <v>0</v>
      </c>
      <c r="M1233">
        <v>0</v>
      </c>
      <c r="N1233">
        <v>0</v>
      </c>
      <c r="O1233">
        <v>0</v>
      </c>
      <c r="P1233" s="8">
        <v>0</v>
      </c>
    </row>
    <row r="1234" spans="1:16">
      <c r="A1234" s="1">
        <v>44593</v>
      </c>
      <c r="B1234" t="s">
        <v>132</v>
      </c>
      <c r="C1234" t="s">
        <v>14</v>
      </c>
      <c r="D1234" t="s">
        <v>15</v>
      </c>
      <c r="E1234" t="s">
        <v>33</v>
      </c>
      <c r="F1234" t="s">
        <v>24</v>
      </c>
      <c r="G1234" t="s">
        <v>34</v>
      </c>
      <c r="H1234" t="s">
        <v>838</v>
      </c>
      <c r="I1234">
        <v>1</v>
      </c>
      <c r="J1234" t="s">
        <v>36</v>
      </c>
      <c r="K1234" t="str">
        <f t="shared" si="19"/>
        <v>30201</v>
      </c>
      <c r="L1234">
        <v>0</v>
      </c>
      <c r="M1234">
        <v>0</v>
      </c>
      <c r="N1234">
        <v>0</v>
      </c>
      <c r="O1234">
        <v>0</v>
      </c>
      <c r="P1234" s="8">
        <v>0</v>
      </c>
    </row>
    <row r="1235" spans="1:16">
      <c r="A1235" s="1">
        <v>44593</v>
      </c>
      <c r="B1235" t="s">
        <v>132</v>
      </c>
      <c r="C1235" t="s">
        <v>14</v>
      </c>
      <c r="D1235" t="s">
        <v>15</v>
      </c>
      <c r="E1235" t="s">
        <v>33</v>
      </c>
      <c r="F1235" t="s">
        <v>24</v>
      </c>
      <c r="G1235" t="s">
        <v>34</v>
      </c>
      <c r="H1235" t="s">
        <v>838</v>
      </c>
      <c r="I1235">
        <v>1</v>
      </c>
      <c r="J1235" t="s">
        <v>37</v>
      </c>
      <c r="K1235" t="str">
        <f t="shared" si="19"/>
        <v>30301</v>
      </c>
      <c r="L1235">
        <v>0</v>
      </c>
      <c r="M1235">
        <v>0</v>
      </c>
      <c r="N1235">
        <v>0</v>
      </c>
      <c r="O1235">
        <v>0</v>
      </c>
      <c r="P1235" s="8">
        <v>0</v>
      </c>
    </row>
    <row r="1236" spans="1:16">
      <c r="A1236" s="1">
        <v>44593</v>
      </c>
      <c r="B1236" t="s">
        <v>132</v>
      </c>
      <c r="C1236" t="s">
        <v>14</v>
      </c>
      <c r="D1236" t="s">
        <v>15</v>
      </c>
      <c r="E1236" t="s">
        <v>33</v>
      </c>
      <c r="F1236" t="s">
        <v>24</v>
      </c>
      <c r="G1236" t="s">
        <v>34</v>
      </c>
      <c r="H1236" t="s">
        <v>838</v>
      </c>
      <c r="I1236">
        <v>1</v>
      </c>
      <c r="J1236" t="s">
        <v>38</v>
      </c>
      <c r="K1236" t="str">
        <f t="shared" si="19"/>
        <v>30302</v>
      </c>
      <c r="L1236">
        <v>0</v>
      </c>
      <c r="M1236">
        <v>0</v>
      </c>
      <c r="N1236">
        <v>0</v>
      </c>
      <c r="O1236">
        <v>0</v>
      </c>
      <c r="P1236" s="8">
        <v>0</v>
      </c>
    </row>
    <row r="1237" spans="1:16">
      <c r="A1237" s="1">
        <v>44593</v>
      </c>
      <c r="B1237" t="s">
        <v>132</v>
      </c>
      <c r="C1237" t="s">
        <v>14</v>
      </c>
      <c r="D1237" t="s">
        <v>15</v>
      </c>
      <c r="E1237" t="s">
        <v>33</v>
      </c>
      <c r="F1237" t="s">
        <v>24</v>
      </c>
      <c r="G1237" t="s">
        <v>34</v>
      </c>
      <c r="H1237" t="s">
        <v>838</v>
      </c>
      <c r="I1237">
        <v>1</v>
      </c>
      <c r="J1237" t="s">
        <v>39</v>
      </c>
      <c r="K1237" t="str">
        <f t="shared" si="19"/>
        <v>30303</v>
      </c>
      <c r="L1237">
        <v>0</v>
      </c>
      <c r="M1237">
        <v>0</v>
      </c>
      <c r="N1237">
        <v>0</v>
      </c>
      <c r="O1237">
        <v>0</v>
      </c>
      <c r="P1237" s="8">
        <v>0</v>
      </c>
    </row>
    <row r="1238" spans="1:16">
      <c r="A1238" s="1">
        <v>44593</v>
      </c>
      <c r="B1238" t="s">
        <v>132</v>
      </c>
      <c r="C1238" t="s">
        <v>14</v>
      </c>
      <c r="D1238" t="s">
        <v>15</v>
      </c>
      <c r="E1238" t="s">
        <v>33</v>
      </c>
      <c r="F1238" t="s">
        <v>118</v>
      </c>
      <c r="G1238" t="s">
        <v>34</v>
      </c>
      <c r="H1238" t="s">
        <v>838</v>
      </c>
      <c r="I1238">
        <v>1</v>
      </c>
      <c r="J1238" t="s">
        <v>35</v>
      </c>
      <c r="K1238" t="str">
        <f t="shared" si="19"/>
        <v>30100</v>
      </c>
      <c r="L1238">
        <v>200900.31</v>
      </c>
      <c r="M1238">
        <v>0</v>
      </c>
      <c r="N1238">
        <v>0</v>
      </c>
      <c r="O1238">
        <v>0</v>
      </c>
      <c r="P1238">
        <v>200900.31</v>
      </c>
    </row>
    <row r="1239" spans="1:16">
      <c r="A1239" s="1">
        <v>44593</v>
      </c>
      <c r="B1239" t="s">
        <v>132</v>
      </c>
      <c r="C1239" t="s">
        <v>14</v>
      </c>
      <c r="D1239" t="s">
        <v>15</v>
      </c>
      <c r="E1239" t="s">
        <v>33</v>
      </c>
      <c r="F1239" t="s">
        <v>118</v>
      </c>
      <c r="G1239" t="s">
        <v>34</v>
      </c>
      <c r="H1239" t="s">
        <v>838</v>
      </c>
      <c r="I1239">
        <v>1</v>
      </c>
      <c r="J1239" t="s">
        <v>37</v>
      </c>
      <c r="K1239" t="str">
        <f t="shared" si="19"/>
        <v>30301</v>
      </c>
      <c r="L1239">
        <v>310000</v>
      </c>
      <c r="M1239">
        <v>0</v>
      </c>
      <c r="N1239">
        <v>0</v>
      </c>
      <c r="O1239">
        <v>0</v>
      </c>
      <c r="P1239">
        <v>310000</v>
      </c>
    </row>
    <row r="1240" spans="1:16">
      <c r="A1240" s="1">
        <v>44593</v>
      </c>
      <c r="B1240" t="s">
        <v>132</v>
      </c>
      <c r="C1240" t="s">
        <v>14</v>
      </c>
      <c r="D1240" t="s">
        <v>15</v>
      </c>
      <c r="E1240" t="s">
        <v>33</v>
      </c>
      <c r="F1240" t="s">
        <v>118</v>
      </c>
      <c r="G1240" t="s">
        <v>34</v>
      </c>
      <c r="H1240" t="s">
        <v>838</v>
      </c>
      <c r="I1240">
        <v>1</v>
      </c>
      <c r="J1240" t="s">
        <v>38</v>
      </c>
      <c r="K1240" t="str">
        <f t="shared" si="19"/>
        <v>30302</v>
      </c>
      <c r="L1240">
        <v>19000</v>
      </c>
      <c r="M1240">
        <v>0</v>
      </c>
      <c r="N1240">
        <v>0</v>
      </c>
      <c r="O1240">
        <v>0</v>
      </c>
      <c r="P1240">
        <v>19000</v>
      </c>
    </row>
    <row r="1241" spans="1:16">
      <c r="A1241" s="1">
        <v>44621</v>
      </c>
      <c r="B1241" t="s">
        <v>131</v>
      </c>
      <c r="C1241" t="s">
        <v>14</v>
      </c>
      <c r="D1241" t="s">
        <v>15</v>
      </c>
      <c r="E1241" t="s">
        <v>33</v>
      </c>
      <c r="F1241" t="s">
        <v>24</v>
      </c>
      <c r="G1241" t="s">
        <v>34</v>
      </c>
      <c r="H1241" t="s">
        <v>838</v>
      </c>
      <c r="I1241">
        <v>1</v>
      </c>
      <c r="J1241" t="s">
        <v>35</v>
      </c>
      <c r="K1241" t="str">
        <f t="shared" si="19"/>
        <v>30100</v>
      </c>
      <c r="L1241">
        <v>0</v>
      </c>
      <c r="M1241">
        <v>0</v>
      </c>
      <c r="N1241">
        <v>0</v>
      </c>
      <c r="O1241">
        <v>0</v>
      </c>
      <c r="P1241" s="8">
        <v>0</v>
      </c>
    </row>
    <row r="1242" spans="1:16">
      <c r="A1242" s="1">
        <v>44621</v>
      </c>
      <c r="B1242" t="s">
        <v>131</v>
      </c>
      <c r="C1242" t="s">
        <v>14</v>
      </c>
      <c r="D1242" t="s">
        <v>15</v>
      </c>
      <c r="E1242" t="s">
        <v>33</v>
      </c>
      <c r="F1242" t="s">
        <v>24</v>
      </c>
      <c r="G1242" t="s">
        <v>34</v>
      </c>
      <c r="H1242" t="s">
        <v>838</v>
      </c>
      <c r="I1242">
        <v>1</v>
      </c>
      <c r="J1242" t="s">
        <v>36</v>
      </c>
      <c r="K1242" t="str">
        <f t="shared" si="19"/>
        <v>30201</v>
      </c>
      <c r="L1242">
        <v>0</v>
      </c>
      <c r="M1242">
        <v>0</v>
      </c>
      <c r="N1242">
        <v>0</v>
      </c>
      <c r="O1242">
        <v>0</v>
      </c>
      <c r="P1242" s="8">
        <v>0</v>
      </c>
    </row>
    <row r="1243" spans="1:16">
      <c r="A1243" s="1">
        <v>44621</v>
      </c>
      <c r="B1243" t="s">
        <v>131</v>
      </c>
      <c r="C1243" t="s">
        <v>14</v>
      </c>
      <c r="D1243" t="s">
        <v>15</v>
      </c>
      <c r="E1243" t="s">
        <v>33</v>
      </c>
      <c r="F1243" t="s">
        <v>24</v>
      </c>
      <c r="G1243" t="s">
        <v>34</v>
      </c>
      <c r="H1243" t="s">
        <v>838</v>
      </c>
      <c r="I1243">
        <v>1</v>
      </c>
      <c r="J1243" t="s">
        <v>37</v>
      </c>
      <c r="K1243" t="str">
        <f t="shared" si="19"/>
        <v>30301</v>
      </c>
      <c r="L1243">
        <v>0</v>
      </c>
      <c r="M1243">
        <v>0</v>
      </c>
      <c r="N1243">
        <v>0</v>
      </c>
      <c r="O1243">
        <v>0</v>
      </c>
      <c r="P1243" s="8">
        <v>0</v>
      </c>
    </row>
    <row r="1244" spans="1:16">
      <c r="A1244" s="1">
        <v>44621</v>
      </c>
      <c r="B1244" t="s">
        <v>131</v>
      </c>
      <c r="C1244" t="s">
        <v>14</v>
      </c>
      <c r="D1244" t="s">
        <v>15</v>
      </c>
      <c r="E1244" t="s">
        <v>33</v>
      </c>
      <c r="F1244" t="s">
        <v>24</v>
      </c>
      <c r="G1244" t="s">
        <v>34</v>
      </c>
      <c r="H1244" t="s">
        <v>838</v>
      </c>
      <c r="I1244">
        <v>1</v>
      </c>
      <c r="J1244" t="s">
        <v>38</v>
      </c>
      <c r="K1244" t="str">
        <f t="shared" si="19"/>
        <v>30302</v>
      </c>
      <c r="L1244">
        <v>0</v>
      </c>
      <c r="M1244">
        <v>0</v>
      </c>
      <c r="N1244">
        <v>0</v>
      </c>
      <c r="O1244">
        <v>0</v>
      </c>
      <c r="P1244" s="8">
        <v>0</v>
      </c>
    </row>
    <row r="1245" spans="1:16">
      <c r="A1245" s="1">
        <v>44621</v>
      </c>
      <c r="B1245" t="s">
        <v>131</v>
      </c>
      <c r="C1245" t="s">
        <v>14</v>
      </c>
      <c r="D1245" t="s">
        <v>15</v>
      </c>
      <c r="E1245" t="s">
        <v>33</v>
      </c>
      <c r="F1245" t="s">
        <v>24</v>
      </c>
      <c r="G1245" t="s">
        <v>34</v>
      </c>
      <c r="H1245" t="s">
        <v>838</v>
      </c>
      <c r="I1245">
        <v>1</v>
      </c>
      <c r="J1245" t="s">
        <v>39</v>
      </c>
      <c r="K1245" t="str">
        <f t="shared" si="19"/>
        <v>30303</v>
      </c>
      <c r="L1245">
        <v>0</v>
      </c>
      <c r="M1245">
        <v>0</v>
      </c>
      <c r="N1245">
        <v>0</v>
      </c>
      <c r="O1245">
        <v>0</v>
      </c>
      <c r="P1245" s="8">
        <v>0</v>
      </c>
    </row>
    <row r="1246" spans="1:16">
      <c r="A1246" s="1">
        <v>44621</v>
      </c>
      <c r="B1246" t="s">
        <v>131</v>
      </c>
      <c r="C1246" t="s">
        <v>14</v>
      </c>
      <c r="D1246" t="s">
        <v>15</v>
      </c>
      <c r="E1246" t="s">
        <v>33</v>
      </c>
      <c r="F1246" t="s">
        <v>118</v>
      </c>
      <c r="G1246" t="s">
        <v>34</v>
      </c>
      <c r="H1246" t="s">
        <v>838</v>
      </c>
      <c r="I1246">
        <v>1</v>
      </c>
      <c r="J1246" t="s">
        <v>35</v>
      </c>
      <c r="K1246" t="str">
        <f t="shared" si="19"/>
        <v>30100</v>
      </c>
      <c r="L1246">
        <v>200900.31</v>
      </c>
      <c r="M1246">
        <v>0</v>
      </c>
      <c r="N1246">
        <v>0</v>
      </c>
      <c r="O1246">
        <v>0</v>
      </c>
      <c r="P1246">
        <v>200900.31</v>
      </c>
    </row>
    <row r="1247" spans="1:16">
      <c r="A1247" s="1">
        <v>44621</v>
      </c>
      <c r="B1247" t="s">
        <v>131</v>
      </c>
      <c r="C1247" t="s">
        <v>14</v>
      </c>
      <c r="D1247" t="s">
        <v>15</v>
      </c>
      <c r="E1247" t="s">
        <v>33</v>
      </c>
      <c r="F1247" t="s">
        <v>118</v>
      </c>
      <c r="G1247" t="s">
        <v>34</v>
      </c>
      <c r="H1247" t="s">
        <v>838</v>
      </c>
      <c r="I1247">
        <v>1</v>
      </c>
      <c r="J1247" t="s">
        <v>37</v>
      </c>
      <c r="K1247" t="str">
        <f t="shared" si="19"/>
        <v>30301</v>
      </c>
      <c r="L1247">
        <v>310000</v>
      </c>
      <c r="M1247">
        <v>0</v>
      </c>
      <c r="N1247">
        <v>0</v>
      </c>
      <c r="O1247">
        <v>0</v>
      </c>
      <c r="P1247">
        <v>310000</v>
      </c>
    </row>
    <row r="1248" spans="1:16">
      <c r="A1248" s="1">
        <v>44621</v>
      </c>
      <c r="B1248" t="s">
        <v>131</v>
      </c>
      <c r="C1248" t="s">
        <v>14</v>
      </c>
      <c r="D1248" t="s">
        <v>15</v>
      </c>
      <c r="E1248" t="s">
        <v>33</v>
      </c>
      <c r="F1248" t="s">
        <v>118</v>
      </c>
      <c r="G1248" t="s">
        <v>34</v>
      </c>
      <c r="H1248" t="s">
        <v>838</v>
      </c>
      <c r="I1248">
        <v>1</v>
      </c>
      <c r="J1248" t="s">
        <v>38</v>
      </c>
      <c r="K1248" t="str">
        <f t="shared" si="19"/>
        <v>30302</v>
      </c>
      <c r="L1248">
        <v>19000</v>
      </c>
      <c r="M1248">
        <v>0</v>
      </c>
      <c r="N1248">
        <v>0</v>
      </c>
      <c r="O1248">
        <v>0</v>
      </c>
      <c r="P1248">
        <v>19000</v>
      </c>
    </row>
    <row r="1249" spans="1:16">
      <c r="A1249" s="1">
        <v>44652</v>
      </c>
      <c r="B1249" t="s">
        <v>130</v>
      </c>
      <c r="C1249" t="s">
        <v>14</v>
      </c>
      <c r="D1249" t="s">
        <v>15</v>
      </c>
      <c r="E1249" t="s">
        <v>33</v>
      </c>
      <c r="F1249" t="s">
        <v>24</v>
      </c>
      <c r="G1249" t="s">
        <v>34</v>
      </c>
      <c r="H1249" t="s">
        <v>838</v>
      </c>
      <c r="I1249">
        <v>1</v>
      </c>
      <c r="J1249" t="s">
        <v>35</v>
      </c>
      <c r="K1249" t="str">
        <f t="shared" si="19"/>
        <v>30100</v>
      </c>
      <c r="L1249">
        <v>0</v>
      </c>
      <c r="M1249">
        <v>0</v>
      </c>
      <c r="N1249">
        <v>0</v>
      </c>
      <c r="O1249">
        <v>0</v>
      </c>
      <c r="P1249" s="8">
        <v>0</v>
      </c>
    </row>
    <row r="1250" spans="1:16">
      <c r="A1250" s="1">
        <v>44652</v>
      </c>
      <c r="B1250" t="s">
        <v>130</v>
      </c>
      <c r="C1250" t="s">
        <v>14</v>
      </c>
      <c r="D1250" t="s">
        <v>15</v>
      </c>
      <c r="E1250" t="s">
        <v>33</v>
      </c>
      <c r="F1250" t="s">
        <v>24</v>
      </c>
      <c r="G1250" t="s">
        <v>34</v>
      </c>
      <c r="H1250" t="s">
        <v>838</v>
      </c>
      <c r="I1250">
        <v>1</v>
      </c>
      <c r="J1250" t="s">
        <v>36</v>
      </c>
      <c r="K1250" t="str">
        <f t="shared" si="19"/>
        <v>30201</v>
      </c>
      <c r="L1250">
        <v>0</v>
      </c>
      <c r="M1250">
        <v>0</v>
      </c>
      <c r="N1250">
        <v>0</v>
      </c>
      <c r="O1250">
        <v>0</v>
      </c>
      <c r="P1250" s="8">
        <v>0</v>
      </c>
    </row>
    <row r="1251" spans="1:16">
      <c r="A1251" s="1">
        <v>44652</v>
      </c>
      <c r="B1251" t="s">
        <v>130</v>
      </c>
      <c r="C1251" t="s">
        <v>14</v>
      </c>
      <c r="D1251" t="s">
        <v>15</v>
      </c>
      <c r="E1251" t="s">
        <v>33</v>
      </c>
      <c r="F1251" t="s">
        <v>24</v>
      </c>
      <c r="G1251" t="s">
        <v>34</v>
      </c>
      <c r="H1251" t="s">
        <v>838</v>
      </c>
      <c r="I1251">
        <v>1</v>
      </c>
      <c r="J1251" t="s">
        <v>37</v>
      </c>
      <c r="K1251" t="str">
        <f t="shared" si="19"/>
        <v>30301</v>
      </c>
      <c r="L1251">
        <v>0</v>
      </c>
      <c r="M1251">
        <v>0</v>
      </c>
      <c r="N1251">
        <v>0</v>
      </c>
      <c r="O1251">
        <v>0</v>
      </c>
      <c r="P1251" s="8">
        <v>0</v>
      </c>
    </row>
    <row r="1252" spans="1:16">
      <c r="A1252" s="1">
        <v>44652</v>
      </c>
      <c r="B1252" t="s">
        <v>130</v>
      </c>
      <c r="C1252" t="s">
        <v>14</v>
      </c>
      <c r="D1252" t="s">
        <v>15</v>
      </c>
      <c r="E1252" t="s">
        <v>33</v>
      </c>
      <c r="F1252" t="s">
        <v>24</v>
      </c>
      <c r="G1252" t="s">
        <v>34</v>
      </c>
      <c r="H1252" t="s">
        <v>838</v>
      </c>
      <c r="I1252">
        <v>1</v>
      </c>
      <c r="J1252" t="s">
        <v>38</v>
      </c>
      <c r="K1252" t="str">
        <f t="shared" si="19"/>
        <v>30302</v>
      </c>
      <c r="L1252">
        <v>0</v>
      </c>
      <c r="M1252">
        <v>0</v>
      </c>
      <c r="N1252">
        <v>0</v>
      </c>
      <c r="O1252">
        <v>0</v>
      </c>
      <c r="P1252" s="8">
        <v>0</v>
      </c>
    </row>
    <row r="1253" spans="1:16">
      <c r="A1253" s="1">
        <v>44652</v>
      </c>
      <c r="B1253" t="s">
        <v>130</v>
      </c>
      <c r="C1253" t="s">
        <v>14</v>
      </c>
      <c r="D1253" t="s">
        <v>15</v>
      </c>
      <c r="E1253" t="s">
        <v>33</v>
      </c>
      <c r="F1253" t="s">
        <v>24</v>
      </c>
      <c r="G1253" t="s">
        <v>34</v>
      </c>
      <c r="H1253" t="s">
        <v>838</v>
      </c>
      <c r="I1253">
        <v>1</v>
      </c>
      <c r="J1253" t="s">
        <v>39</v>
      </c>
      <c r="K1253" t="str">
        <f t="shared" si="19"/>
        <v>30303</v>
      </c>
      <c r="L1253">
        <v>0</v>
      </c>
      <c r="M1253">
        <v>0</v>
      </c>
      <c r="N1253">
        <v>0</v>
      </c>
      <c r="O1253">
        <v>0</v>
      </c>
      <c r="P1253" s="8">
        <v>0</v>
      </c>
    </row>
    <row r="1254" spans="1:16">
      <c r="A1254" s="1">
        <v>44652</v>
      </c>
      <c r="B1254" t="s">
        <v>130</v>
      </c>
      <c r="C1254" t="s">
        <v>14</v>
      </c>
      <c r="D1254" t="s">
        <v>15</v>
      </c>
      <c r="E1254" t="s">
        <v>33</v>
      </c>
      <c r="F1254" t="s">
        <v>118</v>
      </c>
      <c r="G1254" t="s">
        <v>34</v>
      </c>
      <c r="H1254" t="s">
        <v>838</v>
      </c>
      <c r="I1254">
        <v>1</v>
      </c>
      <c r="J1254" t="s">
        <v>35</v>
      </c>
      <c r="K1254" t="str">
        <f t="shared" si="19"/>
        <v>30100</v>
      </c>
      <c r="L1254">
        <v>200900.31</v>
      </c>
      <c r="M1254">
        <v>0</v>
      </c>
      <c r="N1254">
        <v>0</v>
      </c>
      <c r="O1254">
        <v>0</v>
      </c>
      <c r="P1254">
        <v>200900.31</v>
      </c>
    </row>
    <row r="1255" spans="1:16">
      <c r="A1255" s="1">
        <v>44652</v>
      </c>
      <c r="B1255" t="s">
        <v>130</v>
      </c>
      <c r="C1255" t="s">
        <v>14</v>
      </c>
      <c r="D1255" t="s">
        <v>15</v>
      </c>
      <c r="E1255" t="s">
        <v>33</v>
      </c>
      <c r="F1255" t="s">
        <v>118</v>
      </c>
      <c r="G1255" t="s">
        <v>34</v>
      </c>
      <c r="H1255" t="s">
        <v>838</v>
      </c>
      <c r="I1255">
        <v>1</v>
      </c>
      <c r="J1255" t="s">
        <v>37</v>
      </c>
      <c r="K1255" t="str">
        <f t="shared" si="19"/>
        <v>30301</v>
      </c>
      <c r="L1255">
        <v>310000</v>
      </c>
      <c r="M1255">
        <v>0</v>
      </c>
      <c r="N1255">
        <v>0</v>
      </c>
      <c r="O1255">
        <v>0</v>
      </c>
      <c r="P1255">
        <v>310000</v>
      </c>
    </row>
    <row r="1256" spans="1:16">
      <c r="A1256" s="1">
        <v>44652</v>
      </c>
      <c r="B1256" t="s">
        <v>130</v>
      </c>
      <c r="C1256" t="s">
        <v>14</v>
      </c>
      <c r="D1256" t="s">
        <v>15</v>
      </c>
      <c r="E1256" t="s">
        <v>33</v>
      </c>
      <c r="F1256" t="s">
        <v>118</v>
      </c>
      <c r="G1256" t="s">
        <v>34</v>
      </c>
      <c r="H1256" t="s">
        <v>838</v>
      </c>
      <c r="I1256">
        <v>1</v>
      </c>
      <c r="J1256" t="s">
        <v>38</v>
      </c>
      <c r="K1256" t="str">
        <f t="shared" si="19"/>
        <v>30302</v>
      </c>
      <c r="L1256">
        <v>19000</v>
      </c>
      <c r="M1256">
        <v>0</v>
      </c>
      <c r="N1256">
        <v>0</v>
      </c>
      <c r="O1256">
        <v>0</v>
      </c>
      <c r="P1256">
        <v>19000</v>
      </c>
    </row>
    <row r="1257" spans="1:16">
      <c r="A1257" s="1">
        <v>44682</v>
      </c>
      <c r="B1257" t="s">
        <v>129</v>
      </c>
      <c r="C1257" t="s">
        <v>14</v>
      </c>
      <c r="D1257" t="s">
        <v>15</v>
      </c>
      <c r="E1257" t="s">
        <v>33</v>
      </c>
      <c r="F1257" t="s">
        <v>24</v>
      </c>
      <c r="G1257" t="s">
        <v>34</v>
      </c>
      <c r="H1257" t="s">
        <v>838</v>
      </c>
      <c r="I1257">
        <v>1</v>
      </c>
      <c r="J1257" t="s">
        <v>35</v>
      </c>
      <c r="K1257" t="str">
        <f t="shared" si="19"/>
        <v>30100</v>
      </c>
      <c r="L1257">
        <v>0</v>
      </c>
      <c r="M1257">
        <v>0</v>
      </c>
      <c r="N1257">
        <v>0</v>
      </c>
      <c r="O1257">
        <v>0</v>
      </c>
      <c r="P1257" s="8">
        <v>0</v>
      </c>
    </row>
    <row r="1258" spans="1:16">
      <c r="A1258" s="1">
        <v>44682</v>
      </c>
      <c r="B1258" t="s">
        <v>129</v>
      </c>
      <c r="C1258" t="s">
        <v>14</v>
      </c>
      <c r="D1258" t="s">
        <v>15</v>
      </c>
      <c r="E1258" t="s">
        <v>33</v>
      </c>
      <c r="F1258" t="s">
        <v>24</v>
      </c>
      <c r="G1258" t="s">
        <v>34</v>
      </c>
      <c r="H1258" t="s">
        <v>838</v>
      </c>
      <c r="I1258">
        <v>1</v>
      </c>
      <c r="J1258" t="s">
        <v>36</v>
      </c>
      <c r="K1258" t="str">
        <f t="shared" si="19"/>
        <v>30201</v>
      </c>
      <c r="L1258">
        <v>0</v>
      </c>
      <c r="M1258">
        <v>0</v>
      </c>
      <c r="N1258">
        <v>0</v>
      </c>
      <c r="O1258">
        <v>0</v>
      </c>
      <c r="P1258" s="8">
        <v>0</v>
      </c>
    </row>
    <row r="1259" spans="1:16">
      <c r="A1259" s="1">
        <v>44682</v>
      </c>
      <c r="B1259" t="s">
        <v>129</v>
      </c>
      <c r="C1259" t="s">
        <v>14</v>
      </c>
      <c r="D1259" t="s">
        <v>15</v>
      </c>
      <c r="E1259" t="s">
        <v>33</v>
      </c>
      <c r="F1259" t="s">
        <v>24</v>
      </c>
      <c r="G1259" t="s">
        <v>34</v>
      </c>
      <c r="H1259" t="s">
        <v>838</v>
      </c>
      <c r="I1259">
        <v>1</v>
      </c>
      <c r="J1259" t="s">
        <v>37</v>
      </c>
      <c r="K1259" t="str">
        <f t="shared" si="19"/>
        <v>30301</v>
      </c>
      <c r="L1259">
        <v>0</v>
      </c>
      <c r="M1259">
        <v>0</v>
      </c>
      <c r="N1259">
        <v>0</v>
      </c>
      <c r="O1259">
        <v>0</v>
      </c>
      <c r="P1259" s="8">
        <v>0</v>
      </c>
    </row>
    <row r="1260" spans="1:16">
      <c r="A1260" s="1">
        <v>44682</v>
      </c>
      <c r="B1260" t="s">
        <v>129</v>
      </c>
      <c r="C1260" t="s">
        <v>14</v>
      </c>
      <c r="D1260" t="s">
        <v>15</v>
      </c>
      <c r="E1260" t="s">
        <v>33</v>
      </c>
      <c r="F1260" t="s">
        <v>24</v>
      </c>
      <c r="G1260" t="s">
        <v>34</v>
      </c>
      <c r="H1260" t="s">
        <v>838</v>
      </c>
      <c r="I1260">
        <v>1</v>
      </c>
      <c r="J1260" t="s">
        <v>38</v>
      </c>
      <c r="K1260" t="str">
        <f t="shared" si="19"/>
        <v>30302</v>
      </c>
      <c r="L1260">
        <v>0</v>
      </c>
      <c r="M1260">
        <v>0</v>
      </c>
      <c r="N1260">
        <v>0</v>
      </c>
      <c r="O1260">
        <v>0</v>
      </c>
      <c r="P1260" s="8">
        <v>0</v>
      </c>
    </row>
    <row r="1261" spans="1:16">
      <c r="A1261" s="1">
        <v>44682</v>
      </c>
      <c r="B1261" t="s">
        <v>129</v>
      </c>
      <c r="C1261" t="s">
        <v>14</v>
      </c>
      <c r="D1261" t="s">
        <v>15</v>
      </c>
      <c r="E1261" t="s">
        <v>33</v>
      </c>
      <c r="F1261" t="s">
        <v>24</v>
      </c>
      <c r="G1261" t="s">
        <v>34</v>
      </c>
      <c r="H1261" t="s">
        <v>838</v>
      </c>
      <c r="I1261">
        <v>1</v>
      </c>
      <c r="J1261" t="s">
        <v>39</v>
      </c>
      <c r="K1261" t="str">
        <f t="shared" si="19"/>
        <v>30303</v>
      </c>
      <c r="L1261">
        <v>0</v>
      </c>
      <c r="M1261">
        <v>0</v>
      </c>
      <c r="N1261">
        <v>0</v>
      </c>
      <c r="O1261">
        <v>0</v>
      </c>
      <c r="P1261" s="8">
        <v>0</v>
      </c>
    </row>
    <row r="1262" spans="1:16">
      <c r="A1262" s="1">
        <v>44682</v>
      </c>
      <c r="B1262" t="s">
        <v>129</v>
      </c>
      <c r="C1262" t="s">
        <v>14</v>
      </c>
      <c r="D1262" t="s">
        <v>15</v>
      </c>
      <c r="E1262" t="s">
        <v>33</v>
      </c>
      <c r="F1262" t="s">
        <v>118</v>
      </c>
      <c r="G1262" t="s">
        <v>34</v>
      </c>
      <c r="H1262" t="s">
        <v>838</v>
      </c>
      <c r="I1262">
        <v>1</v>
      </c>
      <c r="J1262" t="s">
        <v>35</v>
      </c>
      <c r="K1262" t="str">
        <f t="shared" si="19"/>
        <v>30100</v>
      </c>
      <c r="L1262">
        <v>200900.31</v>
      </c>
      <c r="M1262">
        <v>0</v>
      </c>
      <c r="N1262">
        <v>0</v>
      </c>
      <c r="O1262">
        <v>0</v>
      </c>
      <c r="P1262">
        <v>200900.31</v>
      </c>
    </row>
    <row r="1263" spans="1:16">
      <c r="A1263" s="1">
        <v>44682</v>
      </c>
      <c r="B1263" t="s">
        <v>129</v>
      </c>
      <c r="C1263" t="s">
        <v>14</v>
      </c>
      <c r="D1263" t="s">
        <v>15</v>
      </c>
      <c r="E1263" t="s">
        <v>33</v>
      </c>
      <c r="F1263" t="s">
        <v>118</v>
      </c>
      <c r="G1263" t="s">
        <v>34</v>
      </c>
      <c r="H1263" t="s">
        <v>838</v>
      </c>
      <c r="I1263">
        <v>1</v>
      </c>
      <c r="J1263" t="s">
        <v>37</v>
      </c>
      <c r="K1263" t="str">
        <f t="shared" si="19"/>
        <v>30301</v>
      </c>
      <c r="L1263">
        <v>310000</v>
      </c>
      <c r="M1263">
        <v>0</v>
      </c>
      <c r="N1263">
        <v>0</v>
      </c>
      <c r="O1263">
        <v>0</v>
      </c>
      <c r="P1263">
        <v>310000</v>
      </c>
    </row>
    <row r="1264" spans="1:16">
      <c r="A1264" s="1">
        <v>44682</v>
      </c>
      <c r="B1264" t="s">
        <v>129</v>
      </c>
      <c r="C1264" t="s">
        <v>14</v>
      </c>
      <c r="D1264" t="s">
        <v>15</v>
      </c>
      <c r="E1264" t="s">
        <v>33</v>
      </c>
      <c r="F1264" t="s">
        <v>118</v>
      </c>
      <c r="G1264" t="s">
        <v>34</v>
      </c>
      <c r="H1264" t="s">
        <v>838</v>
      </c>
      <c r="I1264">
        <v>1</v>
      </c>
      <c r="J1264" t="s">
        <v>38</v>
      </c>
      <c r="K1264" t="str">
        <f t="shared" si="19"/>
        <v>30302</v>
      </c>
      <c r="L1264">
        <v>19000</v>
      </c>
      <c r="M1264">
        <v>0</v>
      </c>
      <c r="N1264">
        <v>0</v>
      </c>
      <c r="O1264">
        <v>0</v>
      </c>
      <c r="P1264">
        <v>19000</v>
      </c>
    </row>
    <row r="1265" spans="1:16">
      <c r="A1265" s="1">
        <v>44713</v>
      </c>
      <c r="B1265" t="s">
        <v>128</v>
      </c>
      <c r="C1265" t="s">
        <v>14</v>
      </c>
      <c r="D1265" t="s">
        <v>15</v>
      </c>
      <c r="E1265" t="s">
        <v>33</v>
      </c>
      <c r="F1265" t="s">
        <v>24</v>
      </c>
      <c r="G1265" t="s">
        <v>34</v>
      </c>
      <c r="H1265" t="s">
        <v>838</v>
      </c>
      <c r="I1265">
        <v>1</v>
      </c>
      <c r="J1265" t="s">
        <v>35</v>
      </c>
      <c r="K1265" t="str">
        <f t="shared" si="19"/>
        <v>30100</v>
      </c>
      <c r="L1265">
        <v>0</v>
      </c>
      <c r="M1265">
        <v>0</v>
      </c>
      <c r="N1265">
        <v>0</v>
      </c>
      <c r="O1265">
        <v>0</v>
      </c>
      <c r="P1265" s="8">
        <v>0</v>
      </c>
    </row>
    <row r="1266" spans="1:16">
      <c r="A1266" s="1">
        <v>44713</v>
      </c>
      <c r="B1266" t="s">
        <v>128</v>
      </c>
      <c r="C1266" t="s">
        <v>14</v>
      </c>
      <c r="D1266" t="s">
        <v>15</v>
      </c>
      <c r="E1266" t="s">
        <v>33</v>
      </c>
      <c r="F1266" t="s">
        <v>24</v>
      </c>
      <c r="G1266" t="s">
        <v>34</v>
      </c>
      <c r="H1266" t="s">
        <v>838</v>
      </c>
      <c r="I1266">
        <v>1</v>
      </c>
      <c r="J1266" t="s">
        <v>36</v>
      </c>
      <c r="K1266" t="str">
        <f t="shared" si="19"/>
        <v>30201</v>
      </c>
      <c r="L1266">
        <v>0</v>
      </c>
      <c r="M1266">
        <v>0</v>
      </c>
      <c r="N1266">
        <v>0</v>
      </c>
      <c r="O1266">
        <v>0</v>
      </c>
      <c r="P1266" s="8">
        <v>0</v>
      </c>
    </row>
    <row r="1267" spans="1:16">
      <c r="A1267" s="1">
        <v>44713</v>
      </c>
      <c r="B1267" t="s">
        <v>128</v>
      </c>
      <c r="C1267" t="s">
        <v>14</v>
      </c>
      <c r="D1267" t="s">
        <v>15</v>
      </c>
      <c r="E1267" t="s">
        <v>33</v>
      </c>
      <c r="F1267" t="s">
        <v>24</v>
      </c>
      <c r="G1267" t="s">
        <v>34</v>
      </c>
      <c r="H1267" t="s">
        <v>838</v>
      </c>
      <c r="I1267">
        <v>1</v>
      </c>
      <c r="J1267" t="s">
        <v>37</v>
      </c>
      <c r="K1267" t="str">
        <f t="shared" si="19"/>
        <v>30301</v>
      </c>
      <c r="L1267">
        <v>0</v>
      </c>
      <c r="M1267">
        <v>0</v>
      </c>
      <c r="N1267">
        <v>0</v>
      </c>
      <c r="O1267">
        <v>0</v>
      </c>
      <c r="P1267" s="8">
        <v>0</v>
      </c>
    </row>
    <row r="1268" spans="1:16">
      <c r="A1268" s="1">
        <v>44713</v>
      </c>
      <c r="B1268" t="s">
        <v>128</v>
      </c>
      <c r="C1268" t="s">
        <v>14</v>
      </c>
      <c r="D1268" t="s">
        <v>15</v>
      </c>
      <c r="E1268" t="s">
        <v>33</v>
      </c>
      <c r="F1268" t="s">
        <v>24</v>
      </c>
      <c r="G1268" t="s">
        <v>34</v>
      </c>
      <c r="H1268" t="s">
        <v>838</v>
      </c>
      <c r="I1268">
        <v>1</v>
      </c>
      <c r="J1268" t="s">
        <v>38</v>
      </c>
      <c r="K1268" t="str">
        <f t="shared" si="19"/>
        <v>30302</v>
      </c>
      <c r="L1268">
        <v>0</v>
      </c>
      <c r="M1268">
        <v>0</v>
      </c>
      <c r="N1268">
        <v>0</v>
      </c>
      <c r="O1268">
        <v>0</v>
      </c>
      <c r="P1268" s="8">
        <v>0</v>
      </c>
    </row>
    <row r="1269" spans="1:16">
      <c r="A1269" s="1">
        <v>44713</v>
      </c>
      <c r="B1269" t="s">
        <v>128</v>
      </c>
      <c r="C1269" t="s">
        <v>14</v>
      </c>
      <c r="D1269" t="s">
        <v>15</v>
      </c>
      <c r="E1269" t="s">
        <v>33</v>
      </c>
      <c r="F1269" t="s">
        <v>24</v>
      </c>
      <c r="G1269" t="s">
        <v>34</v>
      </c>
      <c r="H1269" t="s">
        <v>838</v>
      </c>
      <c r="I1269">
        <v>1</v>
      </c>
      <c r="J1269" t="s">
        <v>39</v>
      </c>
      <c r="K1269" t="str">
        <f t="shared" si="19"/>
        <v>30303</v>
      </c>
      <c r="L1269">
        <v>0</v>
      </c>
      <c r="M1269">
        <v>0</v>
      </c>
      <c r="N1269">
        <v>0</v>
      </c>
      <c r="O1269">
        <v>0</v>
      </c>
      <c r="P1269" s="8">
        <v>0</v>
      </c>
    </row>
    <row r="1270" spans="1:16">
      <c r="A1270" s="1">
        <v>44713</v>
      </c>
      <c r="B1270" t="s">
        <v>128</v>
      </c>
      <c r="C1270" t="s">
        <v>14</v>
      </c>
      <c r="D1270" t="s">
        <v>15</v>
      </c>
      <c r="E1270" t="s">
        <v>33</v>
      </c>
      <c r="F1270" t="s">
        <v>118</v>
      </c>
      <c r="G1270" t="s">
        <v>34</v>
      </c>
      <c r="H1270" t="s">
        <v>838</v>
      </c>
      <c r="I1270">
        <v>1</v>
      </c>
      <c r="J1270" t="s">
        <v>35</v>
      </c>
      <c r="K1270" t="str">
        <f t="shared" si="19"/>
        <v>30100</v>
      </c>
      <c r="L1270">
        <v>200900.31</v>
      </c>
      <c r="M1270">
        <v>0</v>
      </c>
      <c r="N1270">
        <v>0</v>
      </c>
      <c r="O1270">
        <v>0</v>
      </c>
      <c r="P1270">
        <v>200900.31</v>
      </c>
    </row>
    <row r="1271" spans="1:16">
      <c r="A1271" s="1">
        <v>44713</v>
      </c>
      <c r="B1271" t="s">
        <v>128</v>
      </c>
      <c r="C1271" t="s">
        <v>14</v>
      </c>
      <c r="D1271" t="s">
        <v>15</v>
      </c>
      <c r="E1271" t="s">
        <v>33</v>
      </c>
      <c r="F1271" t="s">
        <v>118</v>
      </c>
      <c r="G1271" t="s">
        <v>34</v>
      </c>
      <c r="H1271" t="s">
        <v>838</v>
      </c>
      <c r="I1271">
        <v>1</v>
      </c>
      <c r="J1271" t="s">
        <v>37</v>
      </c>
      <c r="K1271" t="str">
        <f t="shared" si="19"/>
        <v>30301</v>
      </c>
      <c r="L1271">
        <v>310000</v>
      </c>
      <c r="M1271">
        <v>0</v>
      </c>
      <c r="N1271">
        <v>0</v>
      </c>
      <c r="O1271">
        <v>0</v>
      </c>
      <c r="P1271">
        <v>310000</v>
      </c>
    </row>
    <row r="1272" spans="1:16">
      <c r="A1272" s="1">
        <v>44713</v>
      </c>
      <c r="B1272" t="s">
        <v>128</v>
      </c>
      <c r="C1272" t="s">
        <v>14</v>
      </c>
      <c r="D1272" t="s">
        <v>15</v>
      </c>
      <c r="E1272" t="s">
        <v>33</v>
      </c>
      <c r="F1272" t="s">
        <v>118</v>
      </c>
      <c r="G1272" t="s">
        <v>34</v>
      </c>
      <c r="H1272" t="s">
        <v>838</v>
      </c>
      <c r="I1272">
        <v>1</v>
      </c>
      <c r="J1272" t="s">
        <v>38</v>
      </c>
      <c r="K1272" t="str">
        <f t="shared" si="19"/>
        <v>30302</v>
      </c>
      <c r="L1272">
        <v>19000</v>
      </c>
      <c r="M1272">
        <v>0</v>
      </c>
      <c r="N1272">
        <v>0</v>
      </c>
      <c r="O1272">
        <v>0</v>
      </c>
      <c r="P1272">
        <v>19000</v>
      </c>
    </row>
    <row r="1273" spans="1:16">
      <c r="A1273" s="1">
        <v>44743</v>
      </c>
      <c r="B1273" t="s">
        <v>127</v>
      </c>
      <c r="C1273" t="s">
        <v>14</v>
      </c>
      <c r="D1273" t="s">
        <v>15</v>
      </c>
      <c r="E1273" t="s">
        <v>33</v>
      </c>
      <c r="F1273" t="s">
        <v>24</v>
      </c>
      <c r="G1273" t="s">
        <v>34</v>
      </c>
      <c r="H1273" t="s">
        <v>838</v>
      </c>
      <c r="I1273">
        <v>1</v>
      </c>
      <c r="J1273" t="s">
        <v>35</v>
      </c>
      <c r="K1273" t="str">
        <f t="shared" si="19"/>
        <v>30100</v>
      </c>
      <c r="L1273">
        <v>0</v>
      </c>
      <c r="M1273">
        <v>0</v>
      </c>
      <c r="N1273">
        <v>0</v>
      </c>
      <c r="O1273">
        <v>0</v>
      </c>
      <c r="P1273" s="8">
        <v>0</v>
      </c>
    </row>
    <row r="1274" spans="1:16">
      <c r="A1274" s="1">
        <v>44743</v>
      </c>
      <c r="B1274" t="s">
        <v>127</v>
      </c>
      <c r="C1274" t="s">
        <v>14</v>
      </c>
      <c r="D1274" t="s">
        <v>15</v>
      </c>
      <c r="E1274" t="s">
        <v>33</v>
      </c>
      <c r="F1274" t="s">
        <v>24</v>
      </c>
      <c r="G1274" t="s">
        <v>34</v>
      </c>
      <c r="H1274" t="s">
        <v>838</v>
      </c>
      <c r="I1274">
        <v>1</v>
      </c>
      <c r="J1274" t="s">
        <v>36</v>
      </c>
      <c r="K1274" t="str">
        <f t="shared" si="19"/>
        <v>30201</v>
      </c>
      <c r="L1274">
        <v>0</v>
      </c>
      <c r="M1274">
        <v>0</v>
      </c>
      <c r="N1274">
        <v>0</v>
      </c>
      <c r="O1274">
        <v>0</v>
      </c>
      <c r="P1274" s="8">
        <v>0</v>
      </c>
    </row>
    <row r="1275" spans="1:16">
      <c r="A1275" s="1">
        <v>44743</v>
      </c>
      <c r="B1275" t="s">
        <v>127</v>
      </c>
      <c r="C1275" t="s">
        <v>14</v>
      </c>
      <c r="D1275" t="s">
        <v>15</v>
      </c>
      <c r="E1275" t="s">
        <v>33</v>
      </c>
      <c r="F1275" t="s">
        <v>24</v>
      </c>
      <c r="G1275" t="s">
        <v>34</v>
      </c>
      <c r="H1275" t="s">
        <v>838</v>
      </c>
      <c r="I1275">
        <v>1</v>
      </c>
      <c r="J1275" t="s">
        <v>37</v>
      </c>
      <c r="K1275" t="str">
        <f t="shared" si="19"/>
        <v>30301</v>
      </c>
      <c r="L1275">
        <v>0</v>
      </c>
      <c r="M1275">
        <v>0</v>
      </c>
      <c r="N1275">
        <v>0</v>
      </c>
      <c r="O1275">
        <v>0</v>
      </c>
      <c r="P1275" s="8">
        <v>0</v>
      </c>
    </row>
    <row r="1276" spans="1:16">
      <c r="A1276" s="1">
        <v>44743</v>
      </c>
      <c r="B1276" t="s">
        <v>127</v>
      </c>
      <c r="C1276" t="s">
        <v>14</v>
      </c>
      <c r="D1276" t="s">
        <v>15</v>
      </c>
      <c r="E1276" t="s">
        <v>33</v>
      </c>
      <c r="F1276" t="s">
        <v>24</v>
      </c>
      <c r="G1276" t="s">
        <v>34</v>
      </c>
      <c r="H1276" t="s">
        <v>838</v>
      </c>
      <c r="I1276">
        <v>1</v>
      </c>
      <c r="J1276" t="s">
        <v>38</v>
      </c>
      <c r="K1276" t="str">
        <f t="shared" si="19"/>
        <v>30302</v>
      </c>
      <c r="L1276">
        <v>0</v>
      </c>
      <c r="M1276">
        <v>0</v>
      </c>
      <c r="N1276">
        <v>0</v>
      </c>
      <c r="O1276">
        <v>0</v>
      </c>
      <c r="P1276" s="8">
        <v>0</v>
      </c>
    </row>
    <row r="1277" spans="1:16">
      <c r="A1277" s="1">
        <v>44743</v>
      </c>
      <c r="B1277" t="s">
        <v>127</v>
      </c>
      <c r="C1277" t="s">
        <v>14</v>
      </c>
      <c r="D1277" t="s">
        <v>15</v>
      </c>
      <c r="E1277" t="s">
        <v>33</v>
      </c>
      <c r="F1277" t="s">
        <v>24</v>
      </c>
      <c r="G1277" t="s">
        <v>34</v>
      </c>
      <c r="H1277" t="s">
        <v>838</v>
      </c>
      <c r="I1277">
        <v>1</v>
      </c>
      <c r="J1277" t="s">
        <v>39</v>
      </c>
      <c r="K1277" t="str">
        <f t="shared" si="19"/>
        <v>30303</v>
      </c>
      <c r="L1277">
        <v>0</v>
      </c>
      <c r="M1277">
        <v>0</v>
      </c>
      <c r="N1277">
        <v>0</v>
      </c>
      <c r="O1277">
        <v>0</v>
      </c>
      <c r="P1277" s="8">
        <v>0</v>
      </c>
    </row>
    <row r="1278" spans="1:16">
      <c r="A1278" s="1">
        <v>44743</v>
      </c>
      <c r="B1278" t="s">
        <v>127</v>
      </c>
      <c r="C1278" t="s">
        <v>14</v>
      </c>
      <c r="D1278" t="s">
        <v>15</v>
      </c>
      <c r="E1278" t="s">
        <v>33</v>
      </c>
      <c r="F1278" t="s">
        <v>118</v>
      </c>
      <c r="G1278" t="s">
        <v>34</v>
      </c>
      <c r="H1278" t="s">
        <v>838</v>
      </c>
      <c r="I1278">
        <v>1</v>
      </c>
      <c r="J1278" t="s">
        <v>35</v>
      </c>
      <c r="K1278" t="str">
        <f t="shared" si="19"/>
        <v>30100</v>
      </c>
      <c r="L1278">
        <v>200900.31</v>
      </c>
      <c r="M1278">
        <v>0</v>
      </c>
      <c r="N1278">
        <v>0</v>
      </c>
      <c r="O1278">
        <v>0</v>
      </c>
      <c r="P1278">
        <v>200900.31</v>
      </c>
    </row>
    <row r="1279" spans="1:16">
      <c r="A1279" s="1">
        <v>44743</v>
      </c>
      <c r="B1279" t="s">
        <v>127</v>
      </c>
      <c r="C1279" t="s">
        <v>14</v>
      </c>
      <c r="D1279" t="s">
        <v>15</v>
      </c>
      <c r="E1279" t="s">
        <v>33</v>
      </c>
      <c r="F1279" t="s">
        <v>118</v>
      </c>
      <c r="G1279" t="s">
        <v>34</v>
      </c>
      <c r="H1279" t="s">
        <v>838</v>
      </c>
      <c r="I1279">
        <v>1</v>
      </c>
      <c r="J1279" t="s">
        <v>37</v>
      </c>
      <c r="K1279" t="str">
        <f t="shared" si="19"/>
        <v>30301</v>
      </c>
      <c r="L1279">
        <v>310000</v>
      </c>
      <c r="M1279">
        <v>0</v>
      </c>
      <c r="N1279">
        <v>0</v>
      </c>
      <c r="O1279">
        <v>0</v>
      </c>
      <c r="P1279">
        <v>310000</v>
      </c>
    </row>
    <row r="1280" spans="1:16">
      <c r="A1280" s="1">
        <v>44743</v>
      </c>
      <c r="B1280" t="s">
        <v>127</v>
      </c>
      <c r="C1280" t="s">
        <v>14</v>
      </c>
      <c r="D1280" t="s">
        <v>15</v>
      </c>
      <c r="E1280" t="s">
        <v>33</v>
      </c>
      <c r="F1280" t="s">
        <v>118</v>
      </c>
      <c r="G1280" t="s">
        <v>34</v>
      </c>
      <c r="H1280" t="s">
        <v>838</v>
      </c>
      <c r="I1280">
        <v>1</v>
      </c>
      <c r="J1280" t="s">
        <v>38</v>
      </c>
      <c r="K1280" t="str">
        <f t="shared" si="19"/>
        <v>30302</v>
      </c>
      <c r="L1280">
        <v>19000</v>
      </c>
      <c r="M1280">
        <v>0</v>
      </c>
      <c r="N1280">
        <v>0</v>
      </c>
      <c r="O1280">
        <v>0</v>
      </c>
      <c r="P1280">
        <v>19000</v>
      </c>
    </row>
    <row r="1281" spans="1:16">
      <c r="A1281" s="1">
        <v>44774</v>
      </c>
      <c r="B1281" t="s">
        <v>126</v>
      </c>
      <c r="C1281" t="s">
        <v>14</v>
      </c>
      <c r="D1281" t="s">
        <v>15</v>
      </c>
      <c r="E1281" t="s">
        <v>33</v>
      </c>
      <c r="F1281" t="s">
        <v>24</v>
      </c>
      <c r="G1281" t="s">
        <v>34</v>
      </c>
      <c r="H1281" t="s">
        <v>838</v>
      </c>
      <c r="I1281">
        <v>1</v>
      </c>
      <c r="J1281" t="s">
        <v>35</v>
      </c>
      <c r="K1281" t="str">
        <f t="shared" si="19"/>
        <v>30100</v>
      </c>
      <c r="L1281">
        <v>0</v>
      </c>
      <c r="M1281">
        <v>0</v>
      </c>
      <c r="N1281">
        <v>0</v>
      </c>
      <c r="O1281">
        <v>0</v>
      </c>
      <c r="P1281" s="8">
        <v>0</v>
      </c>
    </row>
    <row r="1282" spans="1:16">
      <c r="A1282" s="1">
        <v>44774</v>
      </c>
      <c r="B1282" t="s">
        <v>126</v>
      </c>
      <c r="C1282" t="s">
        <v>14</v>
      </c>
      <c r="D1282" t="s">
        <v>15</v>
      </c>
      <c r="E1282" t="s">
        <v>33</v>
      </c>
      <c r="F1282" t="s">
        <v>24</v>
      </c>
      <c r="G1282" t="s">
        <v>34</v>
      </c>
      <c r="H1282" t="s">
        <v>838</v>
      </c>
      <c r="I1282">
        <v>1</v>
      </c>
      <c r="J1282" t="s">
        <v>36</v>
      </c>
      <c r="K1282" t="str">
        <f t="shared" ref="K1282:K1345" si="20">MID(J1282,2,5)</f>
        <v>30201</v>
      </c>
      <c r="L1282">
        <v>0</v>
      </c>
      <c r="M1282">
        <v>0</v>
      </c>
      <c r="N1282">
        <v>0</v>
      </c>
      <c r="O1282">
        <v>0</v>
      </c>
      <c r="P1282" s="8">
        <v>0</v>
      </c>
    </row>
    <row r="1283" spans="1:16">
      <c r="A1283" s="1">
        <v>44774</v>
      </c>
      <c r="B1283" t="s">
        <v>126</v>
      </c>
      <c r="C1283" t="s">
        <v>14</v>
      </c>
      <c r="D1283" t="s">
        <v>15</v>
      </c>
      <c r="E1283" t="s">
        <v>33</v>
      </c>
      <c r="F1283" t="s">
        <v>24</v>
      </c>
      <c r="G1283" t="s">
        <v>34</v>
      </c>
      <c r="H1283" t="s">
        <v>838</v>
      </c>
      <c r="I1283">
        <v>1</v>
      </c>
      <c r="J1283" t="s">
        <v>37</v>
      </c>
      <c r="K1283" t="str">
        <f t="shared" si="20"/>
        <v>30301</v>
      </c>
      <c r="L1283">
        <v>0</v>
      </c>
      <c r="M1283">
        <v>0</v>
      </c>
      <c r="N1283">
        <v>0</v>
      </c>
      <c r="O1283">
        <v>0</v>
      </c>
      <c r="P1283" s="8">
        <v>0</v>
      </c>
    </row>
    <row r="1284" spans="1:16">
      <c r="A1284" s="1">
        <v>44774</v>
      </c>
      <c r="B1284" t="s">
        <v>126</v>
      </c>
      <c r="C1284" t="s">
        <v>14</v>
      </c>
      <c r="D1284" t="s">
        <v>15</v>
      </c>
      <c r="E1284" t="s">
        <v>33</v>
      </c>
      <c r="F1284" t="s">
        <v>24</v>
      </c>
      <c r="G1284" t="s">
        <v>34</v>
      </c>
      <c r="H1284" t="s">
        <v>838</v>
      </c>
      <c r="I1284">
        <v>1</v>
      </c>
      <c r="J1284" t="s">
        <v>38</v>
      </c>
      <c r="K1284" t="str">
        <f t="shared" si="20"/>
        <v>30302</v>
      </c>
      <c r="L1284">
        <v>0</v>
      </c>
      <c r="M1284">
        <v>0</v>
      </c>
      <c r="N1284">
        <v>0</v>
      </c>
      <c r="O1284">
        <v>0</v>
      </c>
      <c r="P1284" s="8">
        <v>0</v>
      </c>
    </row>
    <row r="1285" spans="1:16">
      <c r="A1285" s="1">
        <v>44774</v>
      </c>
      <c r="B1285" t="s">
        <v>126</v>
      </c>
      <c r="C1285" t="s">
        <v>14</v>
      </c>
      <c r="D1285" t="s">
        <v>15</v>
      </c>
      <c r="E1285" t="s">
        <v>33</v>
      </c>
      <c r="F1285" t="s">
        <v>24</v>
      </c>
      <c r="G1285" t="s">
        <v>34</v>
      </c>
      <c r="H1285" t="s">
        <v>838</v>
      </c>
      <c r="I1285">
        <v>1</v>
      </c>
      <c r="J1285" t="s">
        <v>39</v>
      </c>
      <c r="K1285" t="str">
        <f t="shared" si="20"/>
        <v>30303</v>
      </c>
      <c r="L1285">
        <v>0</v>
      </c>
      <c r="M1285">
        <v>0</v>
      </c>
      <c r="N1285">
        <v>0</v>
      </c>
      <c r="O1285">
        <v>0</v>
      </c>
      <c r="P1285" s="8">
        <v>0</v>
      </c>
    </row>
    <row r="1286" spans="1:16">
      <c r="A1286" s="1">
        <v>44774</v>
      </c>
      <c r="B1286" t="s">
        <v>126</v>
      </c>
      <c r="C1286" t="s">
        <v>14</v>
      </c>
      <c r="D1286" t="s">
        <v>15</v>
      </c>
      <c r="E1286" t="s">
        <v>33</v>
      </c>
      <c r="F1286" t="s">
        <v>118</v>
      </c>
      <c r="G1286" t="s">
        <v>34</v>
      </c>
      <c r="H1286" t="s">
        <v>838</v>
      </c>
      <c r="I1286">
        <v>1</v>
      </c>
      <c r="J1286" t="s">
        <v>35</v>
      </c>
      <c r="K1286" t="str">
        <f t="shared" si="20"/>
        <v>30100</v>
      </c>
      <c r="L1286">
        <v>200900.31</v>
      </c>
      <c r="M1286">
        <v>0</v>
      </c>
      <c r="N1286">
        <v>0</v>
      </c>
      <c r="O1286">
        <v>0</v>
      </c>
      <c r="P1286">
        <v>200900.31</v>
      </c>
    </row>
    <row r="1287" spans="1:16">
      <c r="A1287" s="1">
        <v>44774</v>
      </c>
      <c r="B1287" t="s">
        <v>126</v>
      </c>
      <c r="C1287" t="s">
        <v>14</v>
      </c>
      <c r="D1287" t="s">
        <v>15</v>
      </c>
      <c r="E1287" t="s">
        <v>33</v>
      </c>
      <c r="F1287" t="s">
        <v>118</v>
      </c>
      <c r="G1287" t="s">
        <v>34</v>
      </c>
      <c r="H1287" t="s">
        <v>838</v>
      </c>
      <c r="I1287">
        <v>1</v>
      </c>
      <c r="J1287" t="s">
        <v>37</v>
      </c>
      <c r="K1287" t="str">
        <f t="shared" si="20"/>
        <v>30301</v>
      </c>
      <c r="L1287">
        <v>310000</v>
      </c>
      <c r="M1287">
        <v>0</v>
      </c>
      <c r="N1287">
        <v>0</v>
      </c>
      <c r="O1287">
        <v>0</v>
      </c>
      <c r="P1287">
        <v>310000</v>
      </c>
    </row>
    <row r="1288" spans="1:16">
      <c r="A1288" s="1">
        <v>44774</v>
      </c>
      <c r="B1288" t="s">
        <v>126</v>
      </c>
      <c r="C1288" t="s">
        <v>14</v>
      </c>
      <c r="D1288" t="s">
        <v>15</v>
      </c>
      <c r="E1288" t="s">
        <v>33</v>
      </c>
      <c r="F1288" t="s">
        <v>118</v>
      </c>
      <c r="G1288" t="s">
        <v>34</v>
      </c>
      <c r="H1288" t="s">
        <v>838</v>
      </c>
      <c r="I1288">
        <v>1</v>
      </c>
      <c r="J1288" t="s">
        <v>38</v>
      </c>
      <c r="K1288" t="str">
        <f t="shared" si="20"/>
        <v>30302</v>
      </c>
      <c r="L1288">
        <v>19000</v>
      </c>
      <c r="M1288">
        <v>0</v>
      </c>
      <c r="N1288">
        <v>0</v>
      </c>
      <c r="O1288">
        <v>0</v>
      </c>
      <c r="P1288">
        <v>19000</v>
      </c>
    </row>
    <row r="1289" spans="1:16">
      <c r="A1289" s="1">
        <v>44805</v>
      </c>
      <c r="B1289" t="s">
        <v>125</v>
      </c>
      <c r="C1289" t="s">
        <v>14</v>
      </c>
      <c r="D1289" t="s">
        <v>15</v>
      </c>
      <c r="E1289" t="s">
        <v>33</v>
      </c>
      <c r="F1289" t="s">
        <v>24</v>
      </c>
      <c r="G1289" t="s">
        <v>34</v>
      </c>
      <c r="H1289" t="s">
        <v>838</v>
      </c>
      <c r="I1289">
        <v>1</v>
      </c>
      <c r="J1289" t="s">
        <v>35</v>
      </c>
      <c r="K1289" t="str">
        <f t="shared" si="20"/>
        <v>30100</v>
      </c>
      <c r="L1289">
        <v>0</v>
      </c>
      <c r="M1289">
        <v>0</v>
      </c>
      <c r="N1289">
        <v>0</v>
      </c>
      <c r="O1289">
        <v>0</v>
      </c>
      <c r="P1289" s="8">
        <v>0</v>
      </c>
    </row>
    <row r="1290" spans="1:16">
      <c r="A1290" s="1">
        <v>44805</v>
      </c>
      <c r="B1290" t="s">
        <v>125</v>
      </c>
      <c r="C1290" t="s">
        <v>14</v>
      </c>
      <c r="D1290" t="s">
        <v>15</v>
      </c>
      <c r="E1290" t="s">
        <v>33</v>
      </c>
      <c r="F1290" t="s">
        <v>24</v>
      </c>
      <c r="G1290" t="s">
        <v>34</v>
      </c>
      <c r="H1290" t="s">
        <v>838</v>
      </c>
      <c r="I1290">
        <v>1</v>
      </c>
      <c r="J1290" t="s">
        <v>36</v>
      </c>
      <c r="K1290" t="str">
        <f t="shared" si="20"/>
        <v>30201</v>
      </c>
      <c r="L1290">
        <v>0</v>
      </c>
      <c r="M1290">
        <v>0</v>
      </c>
      <c r="N1290">
        <v>0</v>
      </c>
      <c r="O1290">
        <v>0</v>
      </c>
      <c r="P1290" s="8">
        <v>0</v>
      </c>
    </row>
    <row r="1291" spans="1:16">
      <c r="A1291" s="1">
        <v>44805</v>
      </c>
      <c r="B1291" t="s">
        <v>125</v>
      </c>
      <c r="C1291" t="s">
        <v>14</v>
      </c>
      <c r="D1291" t="s">
        <v>15</v>
      </c>
      <c r="E1291" t="s">
        <v>33</v>
      </c>
      <c r="F1291" t="s">
        <v>24</v>
      </c>
      <c r="G1291" t="s">
        <v>34</v>
      </c>
      <c r="H1291" t="s">
        <v>838</v>
      </c>
      <c r="I1291">
        <v>1</v>
      </c>
      <c r="J1291" t="s">
        <v>37</v>
      </c>
      <c r="K1291" t="str">
        <f t="shared" si="20"/>
        <v>30301</v>
      </c>
      <c r="L1291">
        <v>0</v>
      </c>
      <c r="M1291">
        <v>0</v>
      </c>
      <c r="N1291">
        <v>0</v>
      </c>
      <c r="O1291">
        <v>0</v>
      </c>
      <c r="P1291" s="8">
        <v>0</v>
      </c>
    </row>
    <row r="1292" spans="1:16">
      <c r="A1292" s="1">
        <v>44805</v>
      </c>
      <c r="B1292" t="s">
        <v>125</v>
      </c>
      <c r="C1292" t="s">
        <v>14</v>
      </c>
      <c r="D1292" t="s">
        <v>15</v>
      </c>
      <c r="E1292" t="s">
        <v>33</v>
      </c>
      <c r="F1292" t="s">
        <v>24</v>
      </c>
      <c r="G1292" t="s">
        <v>34</v>
      </c>
      <c r="H1292" t="s">
        <v>838</v>
      </c>
      <c r="I1292">
        <v>1</v>
      </c>
      <c r="J1292" t="s">
        <v>38</v>
      </c>
      <c r="K1292" t="str">
        <f t="shared" si="20"/>
        <v>30302</v>
      </c>
      <c r="L1292">
        <v>0</v>
      </c>
      <c r="M1292">
        <v>0</v>
      </c>
      <c r="N1292">
        <v>0</v>
      </c>
      <c r="O1292">
        <v>0</v>
      </c>
      <c r="P1292" s="8">
        <v>0</v>
      </c>
    </row>
    <row r="1293" spans="1:16">
      <c r="A1293" s="1">
        <v>44805</v>
      </c>
      <c r="B1293" t="s">
        <v>125</v>
      </c>
      <c r="C1293" t="s">
        <v>14</v>
      </c>
      <c r="D1293" t="s">
        <v>15</v>
      </c>
      <c r="E1293" t="s">
        <v>33</v>
      </c>
      <c r="F1293" t="s">
        <v>24</v>
      </c>
      <c r="G1293" t="s">
        <v>34</v>
      </c>
      <c r="H1293" t="s">
        <v>838</v>
      </c>
      <c r="I1293">
        <v>1</v>
      </c>
      <c r="J1293" t="s">
        <v>39</v>
      </c>
      <c r="K1293" t="str">
        <f t="shared" si="20"/>
        <v>30303</v>
      </c>
      <c r="L1293">
        <v>0</v>
      </c>
      <c r="M1293">
        <v>0</v>
      </c>
      <c r="N1293">
        <v>0</v>
      </c>
      <c r="O1293">
        <v>0</v>
      </c>
      <c r="P1293" s="8">
        <v>0</v>
      </c>
    </row>
    <row r="1294" spans="1:16">
      <c r="A1294" s="1">
        <v>44805</v>
      </c>
      <c r="B1294" t="s">
        <v>125</v>
      </c>
      <c r="C1294" t="s">
        <v>14</v>
      </c>
      <c r="D1294" t="s">
        <v>15</v>
      </c>
      <c r="E1294" t="s">
        <v>33</v>
      </c>
      <c r="F1294" t="s">
        <v>118</v>
      </c>
      <c r="G1294" t="s">
        <v>34</v>
      </c>
      <c r="H1294" t="s">
        <v>838</v>
      </c>
      <c r="I1294">
        <v>1</v>
      </c>
      <c r="J1294" t="s">
        <v>35</v>
      </c>
      <c r="K1294" t="str">
        <f t="shared" si="20"/>
        <v>30100</v>
      </c>
      <c r="L1294">
        <v>200900.31</v>
      </c>
      <c r="M1294">
        <v>0</v>
      </c>
      <c r="N1294">
        <v>0</v>
      </c>
      <c r="O1294">
        <v>0</v>
      </c>
      <c r="P1294">
        <v>200900.31</v>
      </c>
    </row>
    <row r="1295" spans="1:16">
      <c r="A1295" s="1">
        <v>44805</v>
      </c>
      <c r="B1295" t="s">
        <v>125</v>
      </c>
      <c r="C1295" t="s">
        <v>14</v>
      </c>
      <c r="D1295" t="s">
        <v>15</v>
      </c>
      <c r="E1295" t="s">
        <v>33</v>
      </c>
      <c r="F1295" t="s">
        <v>118</v>
      </c>
      <c r="G1295" t="s">
        <v>34</v>
      </c>
      <c r="H1295" t="s">
        <v>838</v>
      </c>
      <c r="I1295">
        <v>1</v>
      </c>
      <c r="J1295" t="s">
        <v>37</v>
      </c>
      <c r="K1295" t="str">
        <f t="shared" si="20"/>
        <v>30301</v>
      </c>
      <c r="L1295">
        <v>310000</v>
      </c>
      <c r="M1295">
        <v>0</v>
      </c>
      <c r="N1295">
        <v>0</v>
      </c>
      <c r="O1295">
        <v>0</v>
      </c>
      <c r="P1295">
        <v>310000</v>
      </c>
    </row>
    <row r="1296" spans="1:16">
      <c r="A1296" s="1">
        <v>44805</v>
      </c>
      <c r="B1296" t="s">
        <v>125</v>
      </c>
      <c r="C1296" t="s">
        <v>14</v>
      </c>
      <c r="D1296" t="s">
        <v>15</v>
      </c>
      <c r="E1296" t="s">
        <v>33</v>
      </c>
      <c r="F1296" t="s">
        <v>118</v>
      </c>
      <c r="G1296" t="s">
        <v>34</v>
      </c>
      <c r="H1296" t="s">
        <v>838</v>
      </c>
      <c r="I1296">
        <v>1</v>
      </c>
      <c r="J1296" t="s">
        <v>38</v>
      </c>
      <c r="K1296" t="str">
        <f t="shared" si="20"/>
        <v>30302</v>
      </c>
      <c r="L1296">
        <v>19000</v>
      </c>
      <c r="M1296">
        <v>0</v>
      </c>
      <c r="N1296">
        <v>0</v>
      </c>
      <c r="O1296">
        <v>0</v>
      </c>
      <c r="P1296">
        <v>19000</v>
      </c>
    </row>
    <row r="1297" spans="1:16">
      <c r="A1297" s="1">
        <v>44835</v>
      </c>
      <c r="B1297" t="s">
        <v>124</v>
      </c>
      <c r="C1297" t="s">
        <v>14</v>
      </c>
      <c r="D1297" t="s">
        <v>15</v>
      </c>
      <c r="E1297" t="s">
        <v>33</v>
      </c>
      <c r="F1297" t="s">
        <v>24</v>
      </c>
      <c r="G1297" t="s">
        <v>34</v>
      </c>
      <c r="H1297" t="s">
        <v>838</v>
      </c>
      <c r="I1297">
        <v>1</v>
      </c>
      <c r="J1297" t="s">
        <v>35</v>
      </c>
      <c r="K1297" t="str">
        <f t="shared" si="20"/>
        <v>30100</v>
      </c>
      <c r="L1297">
        <v>0</v>
      </c>
      <c r="M1297">
        <v>0</v>
      </c>
      <c r="N1297">
        <v>0</v>
      </c>
      <c r="O1297">
        <v>0</v>
      </c>
      <c r="P1297" s="8">
        <v>0</v>
      </c>
    </row>
    <row r="1298" spans="1:16">
      <c r="A1298" s="1">
        <v>44835</v>
      </c>
      <c r="B1298" t="s">
        <v>124</v>
      </c>
      <c r="C1298" t="s">
        <v>14</v>
      </c>
      <c r="D1298" t="s">
        <v>15</v>
      </c>
      <c r="E1298" t="s">
        <v>33</v>
      </c>
      <c r="F1298" t="s">
        <v>24</v>
      </c>
      <c r="G1298" t="s">
        <v>34</v>
      </c>
      <c r="H1298" t="s">
        <v>838</v>
      </c>
      <c r="I1298">
        <v>1</v>
      </c>
      <c r="J1298" t="s">
        <v>36</v>
      </c>
      <c r="K1298" t="str">
        <f t="shared" si="20"/>
        <v>30201</v>
      </c>
      <c r="L1298">
        <v>0</v>
      </c>
      <c r="M1298">
        <v>0</v>
      </c>
      <c r="N1298">
        <v>0</v>
      </c>
      <c r="O1298">
        <v>0</v>
      </c>
      <c r="P1298" s="8">
        <v>0</v>
      </c>
    </row>
    <row r="1299" spans="1:16">
      <c r="A1299" s="1">
        <v>44835</v>
      </c>
      <c r="B1299" t="s">
        <v>124</v>
      </c>
      <c r="C1299" t="s">
        <v>14</v>
      </c>
      <c r="D1299" t="s">
        <v>15</v>
      </c>
      <c r="E1299" t="s">
        <v>33</v>
      </c>
      <c r="F1299" t="s">
        <v>24</v>
      </c>
      <c r="G1299" t="s">
        <v>34</v>
      </c>
      <c r="H1299" t="s">
        <v>838</v>
      </c>
      <c r="I1299">
        <v>1</v>
      </c>
      <c r="J1299" t="s">
        <v>37</v>
      </c>
      <c r="K1299" t="str">
        <f t="shared" si="20"/>
        <v>30301</v>
      </c>
      <c r="L1299">
        <v>0</v>
      </c>
      <c r="M1299">
        <v>0</v>
      </c>
      <c r="N1299">
        <v>0</v>
      </c>
      <c r="O1299">
        <v>0</v>
      </c>
      <c r="P1299" s="8">
        <v>0</v>
      </c>
    </row>
    <row r="1300" spans="1:16">
      <c r="A1300" s="1">
        <v>44835</v>
      </c>
      <c r="B1300" t="s">
        <v>124</v>
      </c>
      <c r="C1300" t="s">
        <v>14</v>
      </c>
      <c r="D1300" t="s">
        <v>15</v>
      </c>
      <c r="E1300" t="s">
        <v>33</v>
      </c>
      <c r="F1300" t="s">
        <v>24</v>
      </c>
      <c r="G1300" t="s">
        <v>34</v>
      </c>
      <c r="H1300" t="s">
        <v>838</v>
      </c>
      <c r="I1300">
        <v>1</v>
      </c>
      <c r="J1300" t="s">
        <v>38</v>
      </c>
      <c r="K1300" t="str">
        <f t="shared" si="20"/>
        <v>30302</v>
      </c>
      <c r="L1300">
        <v>0</v>
      </c>
      <c r="M1300">
        <v>0</v>
      </c>
      <c r="N1300">
        <v>0</v>
      </c>
      <c r="O1300">
        <v>0</v>
      </c>
      <c r="P1300" s="8">
        <v>0</v>
      </c>
    </row>
    <row r="1301" spans="1:16">
      <c r="A1301" s="1">
        <v>44835</v>
      </c>
      <c r="B1301" t="s">
        <v>124</v>
      </c>
      <c r="C1301" t="s">
        <v>14</v>
      </c>
      <c r="D1301" t="s">
        <v>15</v>
      </c>
      <c r="E1301" t="s">
        <v>33</v>
      </c>
      <c r="F1301" t="s">
        <v>24</v>
      </c>
      <c r="G1301" t="s">
        <v>34</v>
      </c>
      <c r="H1301" t="s">
        <v>838</v>
      </c>
      <c r="I1301">
        <v>1</v>
      </c>
      <c r="J1301" t="s">
        <v>39</v>
      </c>
      <c r="K1301" t="str">
        <f t="shared" si="20"/>
        <v>30303</v>
      </c>
      <c r="L1301">
        <v>0</v>
      </c>
      <c r="M1301">
        <v>0</v>
      </c>
      <c r="N1301">
        <v>0</v>
      </c>
      <c r="O1301">
        <v>0</v>
      </c>
      <c r="P1301" s="8">
        <v>0</v>
      </c>
    </row>
    <row r="1302" spans="1:16">
      <c r="A1302" s="1">
        <v>44835</v>
      </c>
      <c r="B1302" t="s">
        <v>124</v>
      </c>
      <c r="C1302" t="s">
        <v>14</v>
      </c>
      <c r="D1302" t="s">
        <v>15</v>
      </c>
      <c r="E1302" t="s">
        <v>33</v>
      </c>
      <c r="F1302" t="s">
        <v>118</v>
      </c>
      <c r="G1302" t="s">
        <v>34</v>
      </c>
      <c r="H1302" t="s">
        <v>838</v>
      </c>
      <c r="I1302">
        <v>1</v>
      </c>
      <c r="J1302" t="s">
        <v>35</v>
      </c>
      <c r="K1302" t="str">
        <f t="shared" si="20"/>
        <v>30100</v>
      </c>
      <c r="L1302">
        <v>200900.31</v>
      </c>
      <c r="M1302">
        <v>0</v>
      </c>
      <c r="N1302">
        <v>0</v>
      </c>
      <c r="O1302">
        <v>0</v>
      </c>
      <c r="P1302">
        <v>200900.31</v>
      </c>
    </row>
    <row r="1303" spans="1:16">
      <c r="A1303" s="1">
        <v>44835</v>
      </c>
      <c r="B1303" t="s">
        <v>124</v>
      </c>
      <c r="C1303" t="s">
        <v>14</v>
      </c>
      <c r="D1303" t="s">
        <v>15</v>
      </c>
      <c r="E1303" t="s">
        <v>33</v>
      </c>
      <c r="F1303" t="s">
        <v>118</v>
      </c>
      <c r="G1303" t="s">
        <v>34</v>
      </c>
      <c r="H1303" t="s">
        <v>838</v>
      </c>
      <c r="I1303">
        <v>1</v>
      </c>
      <c r="J1303" t="s">
        <v>37</v>
      </c>
      <c r="K1303" t="str">
        <f t="shared" si="20"/>
        <v>30301</v>
      </c>
      <c r="L1303">
        <v>310000</v>
      </c>
      <c r="M1303">
        <v>0</v>
      </c>
      <c r="N1303">
        <v>0</v>
      </c>
      <c r="O1303">
        <v>0</v>
      </c>
      <c r="P1303">
        <v>310000</v>
      </c>
    </row>
    <row r="1304" spans="1:16">
      <c r="A1304" s="1">
        <v>44835</v>
      </c>
      <c r="B1304" t="s">
        <v>124</v>
      </c>
      <c r="C1304" t="s">
        <v>14</v>
      </c>
      <c r="D1304" t="s">
        <v>15</v>
      </c>
      <c r="E1304" t="s">
        <v>33</v>
      </c>
      <c r="F1304" t="s">
        <v>118</v>
      </c>
      <c r="G1304" t="s">
        <v>34</v>
      </c>
      <c r="H1304" t="s">
        <v>838</v>
      </c>
      <c r="I1304">
        <v>1</v>
      </c>
      <c r="J1304" t="s">
        <v>38</v>
      </c>
      <c r="K1304" t="str">
        <f t="shared" si="20"/>
        <v>30302</v>
      </c>
      <c r="L1304">
        <v>19000</v>
      </c>
      <c r="M1304">
        <v>0</v>
      </c>
      <c r="N1304">
        <v>0</v>
      </c>
      <c r="O1304">
        <v>0</v>
      </c>
      <c r="P1304">
        <v>19000</v>
      </c>
    </row>
    <row r="1305" spans="1:16">
      <c r="A1305" s="1">
        <v>44866</v>
      </c>
      <c r="B1305" t="s">
        <v>123</v>
      </c>
      <c r="C1305" t="s">
        <v>14</v>
      </c>
      <c r="D1305" t="s">
        <v>15</v>
      </c>
      <c r="E1305" t="s">
        <v>33</v>
      </c>
      <c r="F1305" t="s">
        <v>24</v>
      </c>
      <c r="G1305" t="s">
        <v>34</v>
      </c>
      <c r="H1305" t="s">
        <v>838</v>
      </c>
      <c r="I1305">
        <v>1</v>
      </c>
      <c r="J1305" t="s">
        <v>35</v>
      </c>
      <c r="K1305" t="str">
        <f t="shared" si="20"/>
        <v>30100</v>
      </c>
      <c r="L1305">
        <v>0</v>
      </c>
      <c r="M1305">
        <v>0</v>
      </c>
      <c r="N1305">
        <v>0</v>
      </c>
      <c r="O1305">
        <v>0</v>
      </c>
      <c r="P1305" s="8">
        <v>0</v>
      </c>
    </row>
    <row r="1306" spans="1:16">
      <c r="A1306" s="1">
        <v>44866</v>
      </c>
      <c r="B1306" t="s">
        <v>123</v>
      </c>
      <c r="C1306" t="s">
        <v>14</v>
      </c>
      <c r="D1306" t="s">
        <v>15</v>
      </c>
      <c r="E1306" t="s">
        <v>33</v>
      </c>
      <c r="F1306" t="s">
        <v>24</v>
      </c>
      <c r="G1306" t="s">
        <v>34</v>
      </c>
      <c r="H1306" t="s">
        <v>838</v>
      </c>
      <c r="I1306">
        <v>1</v>
      </c>
      <c r="J1306" t="s">
        <v>36</v>
      </c>
      <c r="K1306" t="str">
        <f t="shared" si="20"/>
        <v>30201</v>
      </c>
      <c r="L1306">
        <v>0</v>
      </c>
      <c r="M1306">
        <v>0</v>
      </c>
      <c r="N1306">
        <v>0</v>
      </c>
      <c r="O1306">
        <v>0</v>
      </c>
      <c r="P1306" s="8">
        <v>0</v>
      </c>
    </row>
    <row r="1307" spans="1:16">
      <c r="A1307" s="1">
        <v>44866</v>
      </c>
      <c r="B1307" t="s">
        <v>123</v>
      </c>
      <c r="C1307" t="s">
        <v>14</v>
      </c>
      <c r="D1307" t="s">
        <v>15</v>
      </c>
      <c r="E1307" t="s">
        <v>33</v>
      </c>
      <c r="F1307" t="s">
        <v>24</v>
      </c>
      <c r="G1307" t="s">
        <v>34</v>
      </c>
      <c r="H1307" t="s">
        <v>838</v>
      </c>
      <c r="I1307">
        <v>1</v>
      </c>
      <c r="J1307" t="s">
        <v>37</v>
      </c>
      <c r="K1307" t="str">
        <f t="shared" si="20"/>
        <v>30301</v>
      </c>
      <c r="L1307">
        <v>0</v>
      </c>
      <c r="M1307">
        <v>0</v>
      </c>
      <c r="N1307">
        <v>0</v>
      </c>
      <c r="O1307">
        <v>0</v>
      </c>
      <c r="P1307" s="8">
        <v>0</v>
      </c>
    </row>
    <row r="1308" spans="1:16">
      <c r="A1308" s="1">
        <v>44866</v>
      </c>
      <c r="B1308" t="s">
        <v>123</v>
      </c>
      <c r="C1308" t="s">
        <v>14</v>
      </c>
      <c r="D1308" t="s">
        <v>15</v>
      </c>
      <c r="E1308" t="s">
        <v>33</v>
      </c>
      <c r="F1308" t="s">
        <v>24</v>
      </c>
      <c r="G1308" t="s">
        <v>34</v>
      </c>
      <c r="H1308" t="s">
        <v>838</v>
      </c>
      <c r="I1308">
        <v>1</v>
      </c>
      <c r="J1308" t="s">
        <v>38</v>
      </c>
      <c r="K1308" t="str">
        <f t="shared" si="20"/>
        <v>30302</v>
      </c>
      <c r="L1308">
        <v>0</v>
      </c>
      <c r="M1308">
        <v>0</v>
      </c>
      <c r="N1308">
        <v>0</v>
      </c>
      <c r="O1308">
        <v>0</v>
      </c>
      <c r="P1308" s="8">
        <v>0</v>
      </c>
    </row>
    <row r="1309" spans="1:16">
      <c r="A1309" s="1">
        <v>44866</v>
      </c>
      <c r="B1309" t="s">
        <v>123</v>
      </c>
      <c r="C1309" t="s">
        <v>14</v>
      </c>
      <c r="D1309" t="s">
        <v>15</v>
      </c>
      <c r="E1309" t="s">
        <v>33</v>
      </c>
      <c r="F1309" t="s">
        <v>24</v>
      </c>
      <c r="G1309" t="s">
        <v>34</v>
      </c>
      <c r="H1309" t="s">
        <v>838</v>
      </c>
      <c r="I1309">
        <v>1</v>
      </c>
      <c r="J1309" t="s">
        <v>39</v>
      </c>
      <c r="K1309" t="str">
        <f t="shared" si="20"/>
        <v>30303</v>
      </c>
      <c r="L1309">
        <v>0</v>
      </c>
      <c r="M1309">
        <v>0</v>
      </c>
      <c r="N1309">
        <v>0</v>
      </c>
      <c r="O1309">
        <v>0</v>
      </c>
      <c r="P1309" s="8">
        <v>0</v>
      </c>
    </row>
    <row r="1310" spans="1:16">
      <c r="A1310" s="1">
        <v>44866</v>
      </c>
      <c r="B1310" t="s">
        <v>123</v>
      </c>
      <c r="C1310" t="s">
        <v>14</v>
      </c>
      <c r="D1310" t="s">
        <v>15</v>
      </c>
      <c r="E1310" t="s">
        <v>33</v>
      </c>
      <c r="F1310" t="s">
        <v>118</v>
      </c>
      <c r="G1310" t="s">
        <v>34</v>
      </c>
      <c r="H1310" t="s">
        <v>838</v>
      </c>
      <c r="I1310">
        <v>1</v>
      </c>
      <c r="J1310" t="s">
        <v>35</v>
      </c>
      <c r="K1310" t="str">
        <f t="shared" si="20"/>
        <v>30100</v>
      </c>
      <c r="L1310">
        <v>200900.31</v>
      </c>
      <c r="M1310">
        <v>0</v>
      </c>
      <c r="N1310">
        <v>0</v>
      </c>
      <c r="O1310">
        <v>0</v>
      </c>
      <c r="P1310">
        <v>200900.31</v>
      </c>
    </row>
    <row r="1311" spans="1:16">
      <c r="A1311" s="1">
        <v>44866</v>
      </c>
      <c r="B1311" t="s">
        <v>123</v>
      </c>
      <c r="C1311" t="s">
        <v>14</v>
      </c>
      <c r="D1311" t="s">
        <v>15</v>
      </c>
      <c r="E1311" t="s">
        <v>33</v>
      </c>
      <c r="F1311" t="s">
        <v>118</v>
      </c>
      <c r="G1311" t="s">
        <v>34</v>
      </c>
      <c r="H1311" t="s">
        <v>838</v>
      </c>
      <c r="I1311">
        <v>1</v>
      </c>
      <c r="J1311" t="s">
        <v>37</v>
      </c>
      <c r="K1311" t="str">
        <f t="shared" si="20"/>
        <v>30301</v>
      </c>
      <c r="L1311">
        <v>310000</v>
      </c>
      <c r="M1311">
        <v>0</v>
      </c>
      <c r="N1311">
        <v>0</v>
      </c>
      <c r="O1311">
        <v>0</v>
      </c>
      <c r="P1311">
        <v>310000</v>
      </c>
    </row>
    <row r="1312" spans="1:16">
      <c r="A1312" s="1">
        <v>44866</v>
      </c>
      <c r="B1312" t="s">
        <v>123</v>
      </c>
      <c r="C1312" t="s">
        <v>14</v>
      </c>
      <c r="D1312" t="s">
        <v>15</v>
      </c>
      <c r="E1312" t="s">
        <v>33</v>
      </c>
      <c r="F1312" t="s">
        <v>118</v>
      </c>
      <c r="G1312" t="s">
        <v>34</v>
      </c>
      <c r="H1312" t="s">
        <v>838</v>
      </c>
      <c r="I1312">
        <v>1</v>
      </c>
      <c r="J1312" t="s">
        <v>38</v>
      </c>
      <c r="K1312" t="str">
        <f t="shared" si="20"/>
        <v>30302</v>
      </c>
      <c r="L1312">
        <v>19000</v>
      </c>
      <c r="M1312">
        <v>0</v>
      </c>
      <c r="N1312">
        <v>0</v>
      </c>
      <c r="O1312">
        <v>0</v>
      </c>
      <c r="P1312">
        <v>19000</v>
      </c>
    </row>
    <row r="1313" spans="1:16">
      <c r="A1313" s="1">
        <v>44896</v>
      </c>
      <c r="B1313" t="s">
        <v>122</v>
      </c>
      <c r="C1313" t="s">
        <v>14</v>
      </c>
      <c r="D1313" t="s">
        <v>15</v>
      </c>
      <c r="E1313" t="s">
        <v>33</v>
      </c>
      <c r="F1313" t="s">
        <v>24</v>
      </c>
      <c r="G1313" t="s">
        <v>34</v>
      </c>
      <c r="H1313" t="s">
        <v>838</v>
      </c>
      <c r="I1313">
        <v>1</v>
      </c>
      <c r="J1313" t="s">
        <v>35</v>
      </c>
      <c r="K1313" t="str">
        <f t="shared" si="20"/>
        <v>30100</v>
      </c>
      <c r="L1313">
        <v>0</v>
      </c>
      <c r="M1313">
        <v>0</v>
      </c>
      <c r="N1313">
        <v>0</v>
      </c>
      <c r="O1313">
        <v>0</v>
      </c>
      <c r="P1313" s="8">
        <v>0</v>
      </c>
    </row>
    <row r="1314" spans="1:16">
      <c r="A1314" s="1">
        <v>44896</v>
      </c>
      <c r="B1314" t="s">
        <v>122</v>
      </c>
      <c r="C1314" t="s">
        <v>14</v>
      </c>
      <c r="D1314" t="s">
        <v>15</v>
      </c>
      <c r="E1314" t="s">
        <v>33</v>
      </c>
      <c r="F1314" t="s">
        <v>24</v>
      </c>
      <c r="G1314" t="s">
        <v>34</v>
      </c>
      <c r="H1314" t="s">
        <v>838</v>
      </c>
      <c r="I1314">
        <v>1</v>
      </c>
      <c r="J1314" t="s">
        <v>36</v>
      </c>
      <c r="K1314" t="str">
        <f t="shared" si="20"/>
        <v>30201</v>
      </c>
      <c r="L1314">
        <v>0</v>
      </c>
      <c r="M1314">
        <v>0</v>
      </c>
      <c r="N1314">
        <v>0</v>
      </c>
      <c r="O1314">
        <v>0</v>
      </c>
      <c r="P1314" s="8">
        <v>0</v>
      </c>
    </row>
    <row r="1315" spans="1:16">
      <c r="A1315" s="1">
        <v>44896</v>
      </c>
      <c r="B1315" t="s">
        <v>122</v>
      </c>
      <c r="C1315" t="s">
        <v>14</v>
      </c>
      <c r="D1315" t="s">
        <v>15</v>
      </c>
      <c r="E1315" t="s">
        <v>33</v>
      </c>
      <c r="F1315" t="s">
        <v>24</v>
      </c>
      <c r="G1315" t="s">
        <v>34</v>
      </c>
      <c r="H1315" t="s">
        <v>838</v>
      </c>
      <c r="I1315">
        <v>1</v>
      </c>
      <c r="J1315" t="s">
        <v>37</v>
      </c>
      <c r="K1315" t="str">
        <f t="shared" si="20"/>
        <v>30301</v>
      </c>
      <c r="L1315">
        <v>0</v>
      </c>
      <c r="M1315">
        <v>0</v>
      </c>
      <c r="N1315">
        <v>0</v>
      </c>
      <c r="O1315">
        <v>0</v>
      </c>
      <c r="P1315" s="8">
        <v>0</v>
      </c>
    </row>
    <row r="1316" spans="1:16">
      <c r="A1316" s="1">
        <v>44896</v>
      </c>
      <c r="B1316" t="s">
        <v>122</v>
      </c>
      <c r="C1316" t="s">
        <v>14</v>
      </c>
      <c r="D1316" t="s">
        <v>15</v>
      </c>
      <c r="E1316" t="s">
        <v>33</v>
      </c>
      <c r="F1316" t="s">
        <v>24</v>
      </c>
      <c r="G1316" t="s">
        <v>34</v>
      </c>
      <c r="H1316" t="s">
        <v>838</v>
      </c>
      <c r="I1316">
        <v>1</v>
      </c>
      <c r="J1316" t="s">
        <v>38</v>
      </c>
      <c r="K1316" t="str">
        <f t="shared" si="20"/>
        <v>30302</v>
      </c>
      <c r="L1316">
        <v>0</v>
      </c>
      <c r="M1316">
        <v>0</v>
      </c>
      <c r="N1316">
        <v>0</v>
      </c>
      <c r="O1316">
        <v>0</v>
      </c>
      <c r="P1316" s="8">
        <v>0</v>
      </c>
    </row>
    <row r="1317" spans="1:16">
      <c r="A1317" s="1">
        <v>44896</v>
      </c>
      <c r="B1317" t="s">
        <v>122</v>
      </c>
      <c r="C1317" t="s">
        <v>14</v>
      </c>
      <c r="D1317" t="s">
        <v>15</v>
      </c>
      <c r="E1317" t="s">
        <v>33</v>
      </c>
      <c r="F1317" t="s">
        <v>24</v>
      </c>
      <c r="G1317" t="s">
        <v>34</v>
      </c>
      <c r="H1317" t="s">
        <v>838</v>
      </c>
      <c r="I1317">
        <v>1</v>
      </c>
      <c r="J1317" t="s">
        <v>39</v>
      </c>
      <c r="K1317" t="str">
        <f t="shared" si="20"/>
        <v>30303</v>
      </c>
      <c r="L1317">
        <v>0</v>
      </c>
      <c r="M1317">
        <v>0</v>
      </c>
      <c r="N1317">
        <v>0</v>
      </c>
      <c r="O1317">
        <v>0</v>
      </c>
      <c r="P1317" s="8">
        <v>0</v>
      </c>
    </row>
    <row r="1318" spans="1:16">
      <c r="A1318" s="1">
        <v>44896</v>
      </c>
      <c r="B1318" t="s">
        <v>122</v>
      </c>
      <c r="C1318" t="s">
        <v>14</v>
      </c>
      <c r="D1318" t="s">
        <v>15</v>
      </c>
      <c r="E1318" t="s">
        <v>33</v>
      </c>
      <c r="F1318" t="s">
        <v>118</v>
      </c>
      <c r="G1318" t="s">
        <v>34</v>
      </c>
      <c r="H1318" t="s">
        <v>838</v>
      </c>
      <c r="I1318">
        <v>1</v>
      </c>
      <c r="J1318" t="s">
        <v>35</v>
      </c>
      <c r="K1318" t="str">
        <f t="shared" si="20"/>
        <v>30100</v>
      </c>
      <c r="L1318">
        <v>200900.31</v>
      </c>
      <c r="M1318">
        <v>0</v>
      </c>
      <c r="N1318">
        <v>0</v>
      </c>
      <c r="O1318">
        <v>0</v>
      </c>
      <c r="P1318">
        <v>200900.31</v>
      </c>
    </row>
    <row r="1319" spans="1:16">
      <c r="A1319" s="1">
        <v>44896</v>
      </c>
      <c r="B1319" t="s">
        <v>122</v>
      </c>
      <c r="C1319" t="s">
        <v>14</v>
      </c>
      <c r="D1319" t="s">
        <v>15</v>
      </c>
      <c r="E1319" t="s">
        <v>33</v>
      </c>
      <c r="F1319" t="s">
        <v>118</v>
      </c>
      <c r="G1319" t="s">
        <v>34</v>
      </c>
      <c r="H1319" t="s">
        <v>838</v>
      </c>
      <c r="I1319">
        <v>1</v>
      </c>
      <c r="J1319" t="s">
        <v>37</v>
      </c>
      <c r="K1319" t="str">
        <f t="shared" si="20"/>
        <v>30301</v>
      </c>
      <c r="L1319">
        <v>310000</v>
      </c>
      <c r="M1319">
        <v>0</v>
      </c>
      <c r="N1319">
        <v>0</v>
      </c>
      <c r="O1319">
        <v>0</v>
      </c>
      <c r="P1319">
        <v>310000</v>
      </c>
    </row>
    <row r="1320" spans="1:16">
      <c r="A1320" s="1">
        <v>44896</v>
      </c>
      <c r="B1320" t="s">
        <v>122</v>
      </c>
      <c r="C1320" t="s">
        <v>14</v>
      </c>
      <c r="D1320" t="s">
        <v>15</v>
      </c>
      <c r="E1320" t="s">
        <v>33</v>
      </c>
      <c r="F1320" t="s">
        <v>118</v>
      </c>
      <c r="G1320" t="s">
        <v>34</v>
      </c>
      <c r="H1320" t="s">
        <v>838</v>
      </c>
      <c r="I1320">
        <v>1</v>
      </c>
      <c r="J1320" t="s">
        <v>38</v>
      </c>
      <c r="K1320" t="str">
        <f t="shared" si="20"/>
        <v>30302</v>
      </c>
      <c r="L1320">
        <v>19000</v>
      </c>
      <c r="M1320">
        <v>0</v>
      </c>
      <c r="N1320">
        <v>0</v>
      </c>
      <c r="O1320">
        <v>0</v>
      </c>
      <c r="P1320">
        <v>19000</v>
      </c>
    </row>
    <row r="1321" spans="1:16">
      <c r="A1321" s="1">
        <v>44531</v>
      </c>
      <c r="B1321" t="s">
        <v>13</v>
      </c>
      <c r="C1321" t="s">
        <v>14</v>
      </c>
      <c r="D1321" t="s">
        <v>15</v>
      </c>
      <c r="E1321" t="s">
        <v>33</v>
      </c>
      <c r="F1321" t="s">
        <v>24</v>
      </c>
      <c r="G1321" t="s">
        <v>34</v>
      </c>
      <c r="H1321" t="s">
        <v>838</v>
      </c>
      <c r="I1321">
        <v>1</v>
      </c>
      <c r="J1321" t="s">
        <v>35</v>
      </c>
      <c r="K1321" t="str">
        <f t="shared" si="20"/>
        <v>30100</v>
      </c>
      <c r="L1321">
        <v>0</v>
      </c>
      <c r="M1321">
        <v>0</v>
      </c>
      <c r="N1321">
        <v>0</v>
      </c>
      <c r="O1321">
        <v>0</v>
      </c>
      <c r="P1321" s="8">
        <v>0</v>
      </c>
    </row>
    <row r="1322" spans="1:16">
      <c r="A1322" s="1">
        <v>44531</v>
      </c>
      <c r="B1322" t="s">
        <v>13</v>
      </c>
      <c r="C1322" t="s">
        <v>14</v>
      </c>
      <c r="D1322" t="s">
        <v>15</v>
      </c>
      <c r="E1322" t="s">
        <v>33</v>
      </c>
      <c r="F1322" t="s">
        <v>24</v>
      </c>
      <c r="G1322" t="s">
        <v>34</v>
      </c>
      <c r="H1322" t="s">
        <v>838</v>
      </c>
      <c r="I1322">
        <v>1</v>
      </c>
      <c r="J1322" t="s">
        <v>36</v>
      </c>
      <c r="K1322" t="str">
        <f t="shared" si="20"/>
        <v>30201</v>
      </c>
      <c r="L1322">
        <v>0</v>
      </c>
      <c r="M1322">
        <v>0</v>
      </c>
      <c r="N1322">
        <v>0</v>
      </c>
      <c r="O1322">
        <v>0</v>
      </c>
      <c r="P1322" s="8">
        <v>0</v>
      </c>
    </row>
    <row r="1323" spans="1:16">
      <c r="A1323" s="1">
        <v>44531</v>
      </c>
      <c r="B1323" t="s">
        <v>13</v>
      </c>
      <c r="C1323" t="s">
        <v>14</v>
      </c>
      <c r="D1323" t="s">
        <v>15</v>
      </c>
      <c r="E1323" t="s">
        <v>33</v>
      </c>
      <c r="F1323" t="s">
        <v>24</v>
      </c>
      <c r="G1323" t="s">
        <v>34</v>
      </c>
      <c r="H1323" t="s">
        <v>838</v>
      </c>
      <c r="I1323">
        <v>1</v>
      </c>
      <c r="J1323" t="s">
        <v>37</v>
      </c>
      <c r="K1323" t="str">
        <f t="shared" si="20"/>
        <v>30301</v>
      </c>
      <c r="L1323">
        <v>0</v>
      </c>
      <c r="M1323">
        <v>0</v>
      </c>
      <c r="N1323">
        <v>0</v>
      </c>
      <c r="O1323">
        <v>0</v>
      </c>
      <c r="P1323" s="8">
        <v>0</v>
      </c>
    </row>
    <row r="1324" spans="1:16">
      <c r="A1324" s="1">
        <v>44531</v>
      </c>
      <c r="B1324" t="s">
        <v>13</v>
      </c>
      <c r="C1324" t="s">
        <v>14</v>
      </c>
      <c r="D1324" t="s">
        <v>15</v>
      </c>
      <c r="E1324" t="s">
        <v>33</v>
      </c>
      <c r="F1324" t="s">
        <v>24</v>
      </c>
      <c r="G1324" t="s">
        <v>34</v>
      </c>
      <c r="H1324" t="s">
        <v>838</v>
      </c>
      <c r="I1324">
        <v>1</v>
      </c>
      <c r="J1324" t="s">
        <v>38</v>
      </c>
      <c r="K1324" t="str">
        <f t="shared" si="20"/>
        <v>30302</v>
      </c>
      <c r="L1324">
        <v>0</v>
      </c>
      <c r="M1324">
        <v>0</v>
      </c>
      <c r="N1324">
        <v>0</v>
      </c>
      <c r="O1324">
        <v>0</v>
      </c>
      <c r="P1324" s="8">
        <v>0</v>
      </c>
    </row>
    <row r="1325" spans="1:16">
      <c r="A1325" s="1">
        <v>44531</v>
      </c>
      <c r="B1325" t="s">
        <v>13</v>
      </c>
      <c r="C1325" t="s">
        <v>14</v>
      </c>
      <c r="D1325" t="s">
        <v>15</v>
      </c>
      <c r="E1325" t="s">
        <v>33</v>
      </c>
      <c r="F1325" t="s">
        <v>24</v>
      </c>
      <c r="G1325" t="s">
        <v>34</v>
      </c>
      <c r="H1325" t="s">
        <v>838</v>
      </c>
      <c r="I1325">
        <v>1</v>
      </c>
      <c r="J1325" t="s">
        <v>39</v>
      </c>
      <c r="K1325" t="str">
        <f t="shared" si="20"/>
        <v>30303</v>
      </c>
      <c r="L1325">
        <v>0</v>
      </c>
      <c r="M1325">
        <v>0</v>
      </c>
      <c r="N1325">
        <v>0</v>
      </c>
      <c r="O1325">
        <v>0</v>
      </c>
      <c r="P1325" s="8">
        <v>0</v>
      </c>
    </row>
    <row r="1326" spans="1:16">
      <c r="A1326" s="1">
        <v>44531</v>
      </c>
      <c r="B1326" t="s">
        <v>13</v>
      </c>
      <c r="C1326" t="s">
        <v>14</v>
      </c>
      <c r="D1326" t="s">
        <v>15</v>
      </c>
      <c r="E1326" t="s">
        <v>33</v>
      </c>
      <c r="F1326" t="s">
        <v>118</v>
      </c>
      <c r="G1326" t="s">
        <v>34</v>
      </c>
      <c r="H1326" t="s">
        <v>838</v>
      </c>
      <c r="I1326">
        <v>1</v>
      </c>
      <c r="J1326" t="s">
        <v>35</v>
      </c>
      <c r="K1326" t="str">
        <f t="shared" si="20"/>
        <v>30100</v>
      </c>
      <c r="L1326">
        <v>200900.31</v>
      </c>
      <c r="M1326">
        <v>0</v>
      </c>
      <c r="N1326">
        <v>0</v>
      </c>
      <c r="O1326">
        <v>0</v>
      </c>
      <c r="P1326">
        <v>200900.31</v>
      </c>
    </row>
    <row r="1327" spans="1:16">
      <c r="A1327" s="1">
        <v>44531</v>
      </c>
      <c r="B1327" t="s">
        <v>13</v>
      </c>
      <c r="C1327" t="s">
        <v>14</v>
      </c>
      <c r="D1327" t="s">
        <v>15</v>
      </c>
      <c r="E1327" t="s">
        <v>33</v>
      </c>
      <c r="F1327" t="s">
        <v>118</v>
      </c>
      <c r="G1327" t="s">
        <v>34</v>
      </c>
      <c r="H1327" t="s">
        <v>838</v>
      </c>
      <c r="I1327">
        <v>1</v>
      </c>
      <c r="J1327" t="s">
        <v>37</v>
      </c>
      <c r="K1327" t="str">
        <f t="shared" si="20"/>
        <v>30301</v>
      </c>
      <c r="L1327">
        <v>310000</v>
      </c>
      <c r="M1327">
        <v>0</v>
      </c>
      <c r="N1327">
        <v>0</v>
      </c>
      <c r="O1327">
        <v>0</v>
      </c>
      <c r="P1327">
        <v>310000</v>
      </c>
    </row>
    <row r="1328" spans="1:16">
      <c r="A1328" s="1">
        <v>44531</v>
      </c>
      <c r="B1328" t="s">
        <v>13</v>
      </c>
      <c r="C1328" t="s">
        <v>14</v>
      </c>
      <c r="D1328" t="s">
        <v>15</v>
      </c>
      <c r="E1328" t="s">
        <v>33</v>
      </c>
      <c r="F1328" t="s">
        <v>118</v>
      </c>
      <c r="G1328" t="s">
        <v>34</v>
      </c>
      <c r="H1328" t="s">
        <v>838</v>
      </c>
      <c r="I1328">
        <v>1</v>
      </c>
      <c r="J1328" t="s">
        <v>38</v>
      </c>
      <c r="K1328" t="str">
        <f t="shared" si="20"/>
        <v>30302</v>
      </c>
      <c r="L1328">
        <v>19000</v>
      </c>
      <c r="M1328">
        <v>0</v>
      </c>
      <c r="N1328">
        <v>0</v>
      </c>
      <c r="O1328">
        <v>0</v>
      </c>
      <c r="P1328">
        <v>19000</v>
      </c>
    </row>
    <row r="1329" spans="1:16">
      <c r="A1329" s="1">
        <v>44562</v>
      </c>
      <c r="B1329" t="s">
        <v>133</v>
      </c>
      <c r="C1329" t="s">
        <v>14</v>
      </c>
      <c r="D1329" t="s">
        <v>15</v>
      </c>
      <c r="E1329" t="s">
        <v>16</v>
      </c>
      <c r="F1329" t="s">
        <v>20</v>
      </c>
      <c r="G1329" t="s">
        <v>21</v>
      </c>
      <c r="H1329" t="s">
        <v>837</v>
      </c>
      <c r="I1329">
        <v>9</v>
      </c>
      <c r="J1329" t="s">
        <v>22</v>
      </c>
      <c r="K1329" t="str">
        <f t="shared" si="20"/>
        <v>31001</v>
      </c>
      <c r="L1329">
        <v>-6050.01</v>
      </c>
      <c r="M1329">
        <v>0</v>
      </c>
      <c r="N1329">
        <v>0</v>
      </c>
      <c r="O1329">
        <v>0</v>
      </c>
      <c r="P1329">
        <v>-6050.01</v>
      </c>
    </row>
    <row r="1330" spans="1:16">
      <c r="A1330" s="1">
        <v>44562</v>
      </c>
      <c r="B1330" t="s">
        <v>133</v>
      </c>
      <c r="C1330" t="s">
        <v>14</v>
      </c>
      <c r="D1330" t="s">
        <v>15</v>
      </c>
      <c r="E1330" t="s">
        <v>32</v>
      </c>
      <c r="F1330" t="s">
        <v>20</v>
      </c>
      <c r="G1330" t="s">
        <v>21</v>
      </c>
      <c r="H1330" t="s">
        <v>837</v>
      </c>
      <c r="I1330">
        <v>9</v>
      </c>
      <c r="J1330" t="s">
        <v>22</v>
      </c>
      <c r="K1330" t="str">
        <f t="shared" si="20"/>
        <v>31001</v>
      </c>
      <c r="L1330">
        <v>99212.77</v>
      </c>
      <c r="M1330">
        <v>0</v>
      </c>
      <c r="N1330">
        <v>0</v>
      </c>
      <c r="O1330">
        <v>0</v>
      </c>
      <c r="P1330">
        <v>99212.77</v>
      </c>
    </row>
    <row r="1331" spans="1:16">
      <c r="A1331" s="1">
        <v>44562</v>
      </c>
      <c r="B1331" t="s">
        <v>133</v>
      </c>
      <c r="C1331" t="s">
        <v>14</v>
      </c>
      <c r="D1331" t="s">
        <v>15</v>
      </c>
      <c r="E1331" t="s">
        <v>33</v>
      </c>
      <c r="F1331" t="s">
        <v>24</v>
      </c>
      <c r="G1331" t="s">
        <v>50</v>
      </c>
      <c r="H1331" t="s">
        <v>527</v>
      </c>
      <c r="I1331">
        <v>5</v>
      </c>
      <c r="J1331" t="s">
        <v>51</v>
      </c>
      <c r="K1331" t="str">
        <f t="shared" si="20"/>
        <v>34001</v>
      </c>
      <c r="L1331">
        <v>207692.38</v>
      </c>
      <c r="M1331">
        <v>0</v>
      </c>
      <c r="N1331">
        <v>0</v>
      </c>
      <c r="O1331">
        <v>0</v>
      </c>
      <c r="P1331" s="8">
        <v>207692.38</v>
      </c>
    </row>
    <row r="1332" spans="1:16">
      <c r="A1332" s="1">
        <v>44562</v>
      </c>
      <c r="B1332" t="s">
        <v>133</v>
      </c>
      <c r="C1332" t="s">
        <v>14</v>
      </c>
      <c r="D1332" t="s">
        <v>15</v>
      </c>
      <c r="E1332" t="s">
        <v>33</v>
      </c>
      <c r="F1332" t="s">
        <v>24</v>
      </c>
      <c r="G1332" t="s">
        <v>50</v>
      </c>
      <c r="H1332" t="s">
        <v>527</v>
      </c>
      <c r="I1332">
        <v>5</v>
      </c>
      <c r="J1332" t="s">
        <v>52</v>
      </c>
      <c r="K1332" t="str">
        <f t="shared" si="20"/>
        <v>34003</v>
      </c>
      <c r="L1332">
        <v>6229050.5499999998</v>
      </c>
      <c r="M1332">
        <v>0</v>
      </c>
      <c r="N1332">
        <v>0</v>
      </c>
      <c r="O1332">
        <v>0</v>
      </c>
      <c r="P1332" s="8">
        <v>6229050.5499999998</v>
      </c>
    </row>
    <row r="1333" spans="1:16">
      <c r="A1333" s="1">
        <v>44562</v>
      </c>
      <c r="B1333" t="s">
        <v>133</v>
      </c>
      <c r="C1333" t="s">
        <v>14</v>
      </c>
      <c r="D1333" t="s">
        <v>15</v>
      </c>
      <c r="E1333" t="s">
        <v>33</v>
      </c>
      <c r="F1333" t="s">
        <v>24</v>
      </c>
      <c r="G1333" t="s">
        <v>50</v>
      </c>
      <c r="H1333" t="s">
        <v>527</v>
      </c>
      <c r="I1333">
        <v>5</v>
      </c>
      <c r="J1333" t="s">
        <v>53</v>
      </c>
      <c r="K1333" t="str">
        <f t="shared" si="20"/>
        <v>34100</v>
      </c>
      <c r="L1333">
        <v>14662488.66</v>
      </c>
      <c r="M1333">
        <v>0</v>
      </c>
      <c r="N1333">
        <v>0</v>
      </c>
      <c r="O1333">
        <v>0</v>
      </c>
      <c r="P1333" s="8">
        <v>14662488.66</v>
      </c>
    </row>
    <row r="1334" spans="1:16">
      <c r="A1334" s="1">
        <v>44562</v>
      </c>
      <c r="B1334" t="s">
        <v>133</v>
      </c>
      <c r="C1334" t="s">
        <v>14</v>
      </c>
      <c r="D1334" t="s">
        <v>15</v>
      </c>
      <c r="E1334" t="s">
        <v>33</v>
      </c>
      <c r="F1334" t="s">
        <v>24</v>
      </c>
      <c r="G1334" t="s">
        <v>50</v>
      </c>
      <c r="H1334" t="s">
        <v>527</v>
      </c>
      <c r="I1334">
        <v>5</v>
      </c>
      <c r="J1334" t="s">
        <v>54</v>
      </c>
      <c r="K1334" t="str">
        <f t="shared" si="20"/>
        <v>34200</v>
      </c>
      <c r="L1334">
        <v>9115499.1500000004</v>
      </c>
      <c r="M1334">
        <v>0</v>
      </c>
      <c r="N1334">
        <v>0</v>
      </c>
      <c r="O1334">
        <v>0</v>
      </c>
      <c r="P1334" s="8">
        <v>9115499.1500000004</v>
      </c>
    </row>
    <row r="1335" spans="1:16">
      <c r="A1335" s="1">
        <v>44562</v>
      </c>
      <c r="B1335" t="s">
        <v>133</v>
      </c>
      <c r="C1335" t="s">
        <v>14</v>
      </c>
      <c r="D1335" t="s">
        <v>15</v>
      </c>
      <c r="E1335" t="s">
        <v>33</v>
      </c>
      <c r="F1335" t="s">
        <v>24</v>
      </c>
      <c r="G1335" t="s">
        <v>50</v>
      </c>
      <c r="H1335" t="s">
        <v>527</v>
      </c>
      <c r="I1335">
        <v>5</v>
      </c>
      <c r="J1335" t="s">
        <v>55</v>
      </c>
      <c r="K1335" t="str">
        <f t="shared" si="20"/>
        <v>34300</v>
      </c>
      <c r="L1335">
        <v>2273004.89</v>
      </c>
      <c r="M1335">
        <v>0</v>
      </c>
      <c r="N1335">
        <v>0</v>
      </c>
      <c r="O1335">
        <v>0</v>
      </c>
      <c r="P1335" s="8">
        <v>2273004.89</v>
      </c>
    </row>
    <row r="1336" spans="1:16">
      <c r="A1336" s="1">
        <v>44562</v>
      </c>
      <c r="B1336" t="s">
        <v>133</v>
      </c>
      <c r="C1336" t="s">
        <v>14</v>
      </c>
      <c r="D1336" t="s">
        <v>15</v>
      </c>
      <c r="E1336" t="s">
        <v>33</v>
      </c>
      <c r="F1336" t="s">
        <v>24</v>
      </c>
      <c r="G1336" t="s">
        <v>50</v>
      </c>
      <c r="H1336" t="s">
        <v>527</v>
      </c>
      <c r="I1336">
        <v>5</v>
      </c>
      <c r="J1336" t="s">
        <v>56</v>
      </c>
      <c r="K1336" t="str">
        <f t="shared" si="20"/>
        <v>34410</v>
      </c>
      <c r="L1336">
        <v>366371826.24000001</v>
      </c>
      <c r="M1336">
        <v>338921.83</v>
      </c>
      <c r="N1336">
        <v>-326523.96000000002</v>
      </c>
      <c r="O1336">
        <v>0</v>
      </c>
      <c r="P1336" s="8">
        <v>366384224.11000001</v>
      </c>
    </row>
    <row r="1337" spans="1:16">
      <c r="A1337" s="1">
        <v>44562</v>
      </c>
      <c r="B1337" t="s">
        <v>133</v>
      </c>
      <c r="C1337" t="s">
        <v>14</v>
      </c>
      <c r="D1337" t="s">
        <v>15</v>
      </c>
      <c r="E1337" t="s">
        <v>33</v>
      </c>
      <c r="F1337" t="s">
        <v>24</v>
      </c>
      <c r="G1337" t="s">
        <v>50</v>
      </c>
      <c r="H1337" t="s">
        <v>527</v>
      </c>
      <c r="I1337">
        <v>5</v>
      </c>
      <c r="J1337" t="s">
        <v>57</v>
      </c>
      <c r="K1337" t="str">
        <f t="shared" si="20"/>
        <v>34500</v>
      </c>
      <c r="L1337">
        <v>18688151.120000001</v>
      </c>
      <c r="M1337">
        <v>0</v>
      </c>
      <c r="N1337">
        <v>0</v>
      </c>
      <c r="O1337">
        <v>0</v>
      </c>
      <c r="P1337" s="8">
        <v>18688151.120000001</v>
      </c>
    </row>
    <row r="1338" spans="1:16">
      <c r="A1338" s="1">
        <v>44562</v>
      </c>
      <c r="B1338" t="s">
        <v>133</v>
      </c>
      <c r="C1338" t="s">
        <v>14</v>
      </c>
      <c r="D1338" t="s">
        <v>15</v>
      </c>
      <c r="E1338" t="s">
        <v>33</v>
      </c>
      <c r="F1338" t="s">
        <v>24</v>
      </c>
      <c r="G1338" t="s">
        <v>50</v>
      </c>
      <c r="H1338" t="s">
        <v>527</v>
      </c>
      <c r="I1338">
        <v>5</v>
      </c>
      <c r="J1338" t="s">
        <v>58</v>
      </c>
      <c r="K1338" t="str">
        <f t="shared" si="20"/>
        <v>34600</v>
      </c>
      <c r="L1338">
        <v>1028002.76</v>
      </c>
      <c r="M1338">
        <v>0</v>
      </c>
      <c r="N1338">
        <v>0</v>
      </c>
      <c r="O1338">
        <v>0</v>
      </c>
      <c r="P1338" s="8">
        <v>1028002.76</v>
      </c>
    </row>
    <row r="1339" spans="1:16">
      <c r="A1339" s="1">
        <v>44562</v>
      </c>
      <c r="B1339" t="s">
        <v>133</v>
      </c>
      <c r="C1339" t="s">
        <v>14</v>
      </c>
      <c r="D1339" t="s">
        <v>15</v>
      </c>
      <c r="E1339" t="s">
        <v>33</v>
      </c>
      <c r="F1339" t="s">
        <v>17</v>
      </c>
      <c r="G1339" t="s">
        <v>50</v>
      </c>
      <c r="H1339" t="s">
        <v>527</v>
      </c>
      <c r="I1339">
        <v>5</v>
      </c>
      <c r="J1339" t="s">
        <v>51</v>
      </c>
      <c r="K1339" t="str">
        <f t="shared" si="20"/>
        <v>34001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1:16">
      <c r="A1340" s="1">
        <v>44562</v>
      </c>
      <c r="B1340" t="s">
        <v>133</v>
      </c>
      <c r="C1340" t="s">
        <v>14</v>
      </c>
      <c r="D1340" t="s">
        <v>15</v>
      </c>
      <c r="E1340" t="s">
        <v>33</v>
      </c>
      <c r="F1340" t="s">
        <v>17</v>
      </c>
      <c r="G1340" t="s">
        <v>50</v>
      </c>
      <c r="H1340" t="s">
        <v>527</v>
      </c>
      <c r="I1340">
        <v>5</v>
      </c>
      <c r="J1340" t="s">
        <v>120</v>
      </c>
      <c r="K1340" t="str">
        <f t="shared" si="20"/>
        <v>34002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1:16">
      <c r="A1341" s="1">
        <v>44562</v>
      </c>
      <c r="B1341" t="s">
        <v>133</v>
      </c>
      <c r="C1341" t="s">
        <v>14</v>
      </c>
      <c r="D1341" t="s">
        <v>15</v>
      </c>
      <c r="E1341" t="s">
        <v>33</v>
      </c>
      <c r="F1341" t="s">
        <v>17</v>
      </c>
      <c r="G1341" t="s">
        <v>50</v>
      </c>
      <c r="H1341" t="s">
        <v>527</v>
      </c>
      <c r="I1341">
        <v>5</v>
      </c>
      <c r="J1341" t="s">
        <v>53</v>
      </c>
      <c r="K1341" t="str">
        <f t="shared" si="20"/>
        <v>34100</v>
      </c>
      <c r="L1341">
        <v>321320.18</v>
      </c>
      <c r="M1341">
        <v>0</v>
      </c>
      <c r="N1341">
        <v>0</v>
      </c>
      <c r="O1341">
        <v>0</v>
      </c>
      <c r="P1341">
        <v>321320.18</v>
      </c>
    </row>
    <row r="1342" spans="1:16">
      <c r="A1342" s="1">
        <v>44562</v>
      </c>
      <c r="B1342" t="s">
        <v>133</v>
      </c>
      <c r="C1342" t="s">
        <v>14</v>
      </c>
      <c r="D1342" t="s">
        <v>15</v>
      </c>
      <c r="E1342" t="s">
        <v>33</v>
      </c>
      <c r="F1342" t="s">
        <v>17</v>
      </c>
      <c r="G1342" t="s">
        <v>50</v>
      </c>
      <c r="H1342" t="s">
        <v>527</v>
      </c>
      <c r="I1342">
        <v>5</v>
      </c>
      <c r="J1342" t="s">
        <v>54</v>
      </c>
      <c r="K1342" t="str">
        <f t="shared" si="20"/>
        <v>34200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1:16">
      <c r="A1343" s="1">
        <v>44562</v>
      </c>
      <c r="B1343" t="s">
        <v>133</v>
      </c>
      <c r="C1343" t="s">
        <v>14</v>
      </c>
      <c r="D1343" t="s">
        <v>15</v>
      </c>
      <c r="E1343" t="s">
        <v>33</v>
      </c>
      <c r="F1343" t="s">
        <v>17</v>
      </c>
      <c r="G1343" t="s">
        <v>50</v>
      </c>
      <c r="H1343" t="s">
        <v>527</v>
      </c>
      <c r="I1343">
        <v>5</v>
      </c>
      <c r="J1343" t="s">
        <v>55</v>
      </c>
      <c r="K1343" t="str">
        <f t="shared" si="20"/>
        <v>34300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1:16">
      <c r="A1344" s="1">
        <v>44562</v>
      </c>
      <c r="B1344" t="s">
        <v>133</v>
      </c>
      <c r="C1344" t="s">
        <v>14</v>
      </c>
      <c r="D1344" t="s">
        <v>15</v>
      </c>
      <c r="E1344" t="s">
        <v>33</v>
      </c>
      <c r="F1344" t="s">
        <v>17</v>
      </c>
      <c r="G1344" t="s">
        <v>50</v>
      </c>
      <c r="H1344" t="s">
        <v>527</v>
      </c>
      <c r="I1344">
        <v>5</v>
      </c>
      <c r="J1344" t="s">
        <v>56</v>
      </c>
      <c r="K1344" t="str">
        <f t="shared" si="20"/>
        <v>34410</v>
      </c>
      <c r="L1344">
        <v>9189725.1699999999</v>
      </c>
      <c r="M1344">
        <v>-206838.01</v>
      </c>
      <c r="N1344">
        <v>0</v>
      </c>
      <c r="O1344">
        <v>0</v>
      </c>
      <c r="P1344">
        <v>8982887.1600000001</v>
      </c>
    </row>
    <row r="1345" spans="1:16">
      <c r="A1345" s="1">
        <v>44562</v>
      </c>
      <c r="B1345" t="s">
        <v>133</v>
      </c>
      <c r="C1345" t="s">
        <v>14</v>
      </c>
      <c r="D1345" t="s">
        <v>15</v>
      </c>
      <c r="E1345" t="s">
        <v>33</v>
      </c>
      <c r="F1345" t="s">
        <v>17</v>
      </c>
      <c r="G1345" t="s">
        <v>50</v>
      </c>
      <c r="H1345" t="s">
        <v>527</v>
      </c>
      <c r="I1345">
        <v>5</v>
      </c>
      <c r="J1345" t="s">
        <v>57</v>
      </c>
      <c r="K1345" t="str">
        <f t="shared" si="20"/>
        <v>34500</v>
      </c>
      <c r="L1345">
        <v>173542.78</v>
      </c>
      <c r="M1345">
        <v>-173542.78</v>
      </c>
      <c r="N1345">
        <v>0</v>
      </c>
      <c r="O1345">
        <v>0</v>
      </c>
      <c r="P1345">
        <v>0</v>
      </c>
    </row>
    <row r="1346" spans="1:16">
      <c r="A1346" s="1">
        <v>44562</v>
      </c>
      <c r="B1346" t="s">
        <v>133</v>
      </c>
      <c r="C1346" t="s">
        <v>14</v>
      </c>
      <c r="D1346" t="s">
        <v>15</v>
      </c>
      <c r="E1346" t="s">
        <v>33</v>
      </c>
      <c r="F1346" t="s">
        <v>17</v>
      </c>
      <c r="G1346" t="s">
        <v>50</v>
      </c>
      <c r="H1346" t="s">
        <v>527</v>
      </c>
      <c r="I1346">
        <v>5</v>
      </c>
      <c r="J1346" t="s">
        <v>58</v>
      </c>
      <c r="K1346" t="str">
        <f t="shared" ref="K1346:K1409" si="21">MID(J1346,2,5)</f>
        <v>34600</v>
      </c>
      <c r="L1346">
        <v>1676467.96</v>
      </c>
      <c r="M1346">
        <v>0</v>
      </c>
      <c r="N1346">
        <v>0</v>
      </c>
      <c r="O1346">
        <v>0</v>
      </c>
      <c r="P1346">
        <v>1676467.96</v>
      </c>
    </row>
    <row r="1347" spans="1:16">
      <c r="A1347" s="1">
        <v>44593</v>
      </c>
      <c r="B1347" t="s">
        <v>132</v>
      </c>
      <c r="C1347" t="s">
        <v>14</v>
      </c>
      <c r="D1347" t="s">
        <v>15</v>
      </c>
      <c r="E1347" t="s">
        <v>33</v>
      </c>
      <c r="F1347" t="s">
        <v>24</v>
      </c>
      <c r="G1347" t="s">
        <v>50</v>
      </c>
      <c r="H1347" t="s">
        <v>527</v>
      </c>
      <c r="I1347">
        <v>5</v>
      </c>
      <c r="J1347" t="s">
        <v>51</v>
      </c>
      <c r="K1347" t="str">
        <f t="shared" si="21"/>
        <v>34001</v>
      </c>
      <c r="L1347">
        <v>207692.38</v>
      </c>
      <c r="M1347">
        <v>0</v>
      </c>
      <c r="N1347">
        <v>0</v>
      </c>
      <c r="O1347">
        <v>0</v>
      </c>
      <c r="P1347" s="8">
        <v>207692.38</v>
      </c>
    </row>
    <row r="1348" spans="1:16">
      <c r="A1348" s="1">
        <v>44593</v>
      </c>
      <c r="B1348" t="s">
        <v>132</v>
      </c>
      <c r="C1348" t="s">
        <v>14</v>
      </c>
      <c r="D1348" t="s">
        <v>15</v>
      </c>
      <c r="E1348" t="s">
        <v>33</v>
      </c>
      <c r="F1348" t="s">
        <v>24</v>
      </c>
      <c r="G1348" t="s">
        <v>50</v>
      </c>
      <c r="H1348" t="s">
        <v>527</v>
      </c>
      <c r="I1348">
        <v>5</v>
      </c>
      <c r="J1348" t="s">
        <v>52</v>
      </c>
      <c r="K1348" t="str">
        <f t="shared" si="21"/>
        <v>34003</v>
      </c>
      <c r="L1348">
        <v>6229050.5499999998</v>
      </c>
      <c r="M1348">
        <v>0</v>
      </c>
      <c r="N1348">
        <v>0</v>
      </c>
      <c r="O1348">
        <v>0</v>
      </c>
      <c r="P1348" s="8">
        <v>6229050.5499999998</v>
      </c>
    </row>
    <row r="1349" spans="1:16">
      <c r="A1349" s="1">
        <v>44593</v>
      </c>
      <c r="B1349" t="s">
        <v>132</v>
      </c>
      <c r="C1349" t="s">
        <v>14</v>
      </c>
      <c r="D1349" t="s">
        <v>15</v>
      </c>
      <c r="E1349" t="s">
        <v>33</v>
      </c>
      <c r="F1349" t="s">
        <v>24</v>
      </c>
      <c r="G1349" t="s">
        <v>50</v>
      </c>
      <c r="H1349" t="s">
        <v>527</v>
      </c>
      <c r="I1349">
        <v>5</v>
      </c>
      <c r="J1349" t="s">
        <v>53</v>
      </c>
      <c r="K1349" t="str">
        <f t="shared" si="21"/>
        <v>34100</v>
      </c>
      <c r="L1349">
        <v>14662488.66</v>
      </c>
      <c r="M1349">
        <v>0</v>
      </c>
      <c r="N1349">
        <v>0</v>
      </c>
      <c r="O1349">
        <v>0</v>
      </c>
      <c r="P1349" s="8">
        <v>14662488.66</v>
      </c>
    </row>
    <row r="1350" spans="1:16">
      <c r="A1350" s="1">
        <v>44593</v>
      </c>
      <c r="B1350" t="s">
        <v>132</v>
      </c>
      <c r="C1350" t="s">
        <v>14</v>
      </c>
      <c r="D1350" t="s">
        <v>15</v>
      </c>
      <c r="E1350" t="s">
        <v>33</v>
      </c>
      <c r="F1350" t="s">
        <v>24</v>
      </c>
      <c r="G1350" t="s">
        <v>50</v>
      </c>
      <c r="H1350" t="s">
        <v>527</v>
      </c>
      <c r="I1350">
        <v>5</v>
      </c>
      <c r="J1350" t="s">
        <v>54</v>
      </c>
      <c r="K1350" t="str">
        <f t="shared" si="21"/>
        <v>34200</v>
      </c>
      <c r="L1350">
        <v>9115499.1500000004</v>
      </c>
      <c r="M1350">
        <v>0</v>
      </c>
      <c r="N1350">
        <v>0</v>
      </c>
      <c r="O1350">
        <v>0</v>
      </c>
      <c r="P1350" s="8">
        <v>9115499.1500000004</v>
      </c>
    </row>
    <row r="1351" spans="1:16">
      <c r="A1351" s="1">
        <v>44593</v>
      </c>
      <c r="B1351" t="s">
        <v>132</v>
      </c>
      <c r="C1351" t="s">
        <v>14</v>
      </c>
      <c r="D1351" t="s">
        <v>15</v>
      </c>
      <c r="E1351" t="s">
        <v>33</v>
      </c>
      <c r="F1351" t="s">
        <v>24</v>
      </c>
      <c r="G1351" t="s">
        <v>50</v>
      </c>
      <c r="H1351" t="s">
        <v>527</v>
      </c>
      <c r="I1351">
        <v>5</v>
      </c>
      <c r="J1351" t="s">
        <v>55</v>
      </c>
      <c r="K1351" t="str">
        <f t="shared" si="21"/>
        <v>34300</v>
      </c>
      <c r="L1351">
        <v>2273004.89</v>
      </c>
      <c r="M1351">
        <v>0</v>
      </c>
      <c r="N1351">
        <v>0</v>
      </c>
      <c r="O1351">
        <v>0</v>
      </c>
      <c r="P1351" s="8">
        <v>2273004.89</v>
      </c>
    </row>
    <row r="1352" spans="1:16">
      <c r="A1352" s="1">
        <v>44593</v>
      </c>
      <c r="B1352" t="s">
        <v>132</v>
      </c>
      <c r="C1352" t="s">
        <v>14</v>
      </c>
      <c r="D1352" t="s">
        <v>15</v>
      </c>
      <c r="E1352" t="s">
        <v>33</v>
      </c>
      <c r="F1352" t="s">
        <v>24</v>
      </c>
      <c r="G1352" t="s">
        <v>50</v>
      </c>
      <c r="H1352" t="s">
        <v>527</v>
      </c>
      <c r="I1352">
        <v>5</v>
      </c>
      <c r="J1352" t="s">
        <v>56</v>
      </c>
      <c r="K1352" t="str">
        <f t="shared" si="21"/>
        <v>34410</v>
      </c>
      <c r="L1352">
        <v>366384224.11000001</v>
      </c>
      <c r="M1352">
        <v>0</v>
      </c>
      <c r="N1352">
        <v>0</v>
      </c>
      <c r="O1352">
        <v>0</v>
      </c>
      <c r="P1352" s="8">
        <v>366384224.11000001</v>
      </c>
    </row>
    <row r="1353" spans="1:16">
      <c r="A1353" s="1">
        <v>44593</v>
      </c>
      <c r="B1353" t="s">
        <v>132</v>
      </c>
      <c r="C1353" t="s">
        <v>14</v>
      </c>
      <c r="D1353" t="s">
        <v>15</v>
      </c>
      <c r="E1353" t="s">
        <v>33</v>
      </c>
      <c r="F1353" t="s">
        <v>24</v>
      </c>
      <c r="G1353" t="s">
        <v>50</v>
      </c>
      <c r="H1353" t="s">
        <v>527</v>
      </c>
      <c r="I1353">
        <v>5</v>
      </c>
      <c r="J1353" t="s">
        <v>57</v>
      </c>
      <c r="K1353" t="str">
        <f t="shared" si="21"/>
        <v>34500</v>
      </c>
      <c r="L1353">
        <v>18688151.120000001</v>
      </c>
      <c r="M1353">
        <v>0</v>
      </c>
      <c r="N1353">
        <v>0</v>
      </c>
      <c r="O1353">
        <v>0</v>
      </c>
      <c r="P1353" s="8">
        <v>18688151.120000001</v>
      </c>
    </row>
    <row r="1354" spans="1:16">
      <c r="A1354" s="1">
        <v>44593</v>
      </c>
      <c r="B1354" t="s">
        <v>132</v>
      </c>
      <c r="C1354" t="s">
        <v>14</v>
      </c>
      <c r="D1354" t="s">
        <v>15</v>
      </c>
      <c r="E1354" t="s">
        <v>33</v>
      </c>
      <c r="F1354" t="s">
        <v>24</v>
      </c>
      <c r="G1354" t="s">
        <v>50</v>
      </c>
      <c r="H1354" t="s">
        <v>527</v>
      </c>
      <c r="I1354">
        <v>5</v>
      </c>
      <c r="J1354" t="s">
        <v>58</v>
      </c>
      <c r="K1354" t="str">
        <f t="shared" si="21"/>
        <v>34600</v>
      </c>
      <c r="L1354">
        <v>1028002.76</v>
      </c>
      <c r="M1354">
        <v>1676467.96</v>
      </c>
      <c r="N1354">
        <v>0</v>
      </c>
      <c r="O1354">
        <v>0</v>
      </c>
      <c r="P1354" s="8">
        <v>2704470.7199999997</v>
      </c>
    </row>
    <row r="1355" spans="1:16">
      <c r="A1355" s="1">
        <v>44593</v>
      </c>
      <c r="B1355" t="s">
        <v>132</v>
      </c>
      <c r="C1355" t="s">
        <v>14</v>
      </c>
      <c r="D1355" t="s">
        <v>15</v>
      </c>
      <c r="E1355" t="s">
        <v>33</v>
      </c>
      <c r="F1355" t="s">
        <v>17</v>
      </c>
      <c r="G1355" t="s">
        <v>50</v>
      </c>
      <c r="H1355" t="s">
        <v>527</v>
      </c>
      <c r="I1355">
        <v>5</v>
      </c>
      <c r="J1355" t="s">
        <v>51</v>
      </c>
      <c r="K1355" t="str">
        <f t="shared" si="21"/>
        <v>34001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1:16">
      <c r="A1356" s="1">
        <v>44593</v>
      </c>
      <c r="B1356" t="s">
        <v>132</v>
      </c>
      <c r="C1356" t="s">
        <v>14</v>
      </c>
      <c r="D1356" t="s">
        <v>15</v>
      </c>
      <c r="E1356" t="s">
        <v>33</v>
      </c>
      <c r="F1356" t="s">
        <v>17</v>
      </c>
      <c r="G1356" t="s">
        <v>50</v>
      </c>
      <c r="H1356" t="s">
        <v>527</v>
      </c>
      <c r="I1356">
        <v>5</v>
      </c>
      <c r="J1356" t="s">
        <v>120</v>
      </c>
      <c r="K1356" t="str">
        <f t="shared" si="21"/>
        <v>34002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1:16">
      <c r="A1357" s="1">
        <v>44593</v>
      </c>
      <c r="B1357" t="s">
        <v>132</v>
      </c>
      <c r="C1357" t="s">
        <v>14</v>
      </c>
      <c r="D1357" t="s">
        <v>15</v>
      </c>
      <c r="E1357" t="s">
        <v>33</v>
      </c>
      <c r="F1357" t="s">
        <v>17</v>
      </c>
      <c r="G1357" t="s">
        <v>50</v>
      </c>
      <c r="H1357" t="s">
        <v>527</v>
      </c>
      <c r="I1357">
        <v>5</v>
      </c>
      <c r="J1357" t="s">
        <v>53</v>
      </c>
      <c r="K1357" t="str">
        <f t="shared" si="21"/>
        <v>34100</v>
      </c>
      <c r="L1357">
        <v>321320.18</v>
      </c>
      <c r="M1357">
        <v>0</v>
      </c>
      <c r="N1357">
        <v>0</v>
      </c>
      <c r="O1357">
        <v>0</v>
      </c>
      <c r="P1357">
        <v>321320.18</v>
      </c>
    </row>
    <row r="1358" spans="1:16">
      <c r="A1358" s="1">
        <v>44593</v>
      </c>
      <c r="B1358" t="s">
        <v>132</v>
      </c>
      <c r="C1358" t="s">
        <v>14</v>
      </c>
      <c r="D1358" t="s">
        <v>15</v>
      </c>
      <c r="E1358" t="s">
        <v>33</v>
      </c>
      <c r="F1358" t="s">
        <v>17</v>
      </c>
      <c r="G1358" t="s">
        <v>50</v>
      </c>
      <c r="H1358" t="s">
        <v>527</v>
      </c>
      <c r="I1358">
        <v>5</v>
      </c>
      <c r="J1358" t="s">
        <v>54</v>
      </c>
      <c r="K1358" t="str">
        <f t="shared" si="21"/>
        <v>34200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1:16">
      <c r="A1359" s="1">
        <v>44593</v>
      </c>
      <c r="B1359" t="s">
        <v>132</v>
      </c>
      <c r="C1359" t="s">
        <v>14</v>
      </c>
      <c r="D1359" t="s">
        <v>15</v>
      </c>
      <c r="E1359" t="s">
        <v>33</v>
      </c>
      <c r="F1359" t="s">
        <v>17</v>
      </c>
      <c r="G1359" t="s">
        <v>50</v>
      </c>
      <c r="H1359" t="s">
        <v>527</v>
      </c>
      <c r="I1359">
        <v>5</v>
      </c>
      <c r="J1359" t="s">
        <v>55</v>
      </c>
      <c r="K1359" t="str">
        <f t="shared" si="21"/>
        <v>34300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1:16">
      <c r="A1360" s="1">
        <v>44593</v>
      </c>
      <c r="B1360" t="s">
        <v>132</v>
      </c>
      <c r="C1360" t="s">
        <v>14</v>
      </c>
      <c r="D1360" t="s">
        <v>15</v>
      </c>
      <c r="E1360" t="s">
        <v>33</v>
      </c>
      <c r="F1360" t="s">
        <v>17</v>
      </c>
      <c r="G1360" t="s">
        <v>50</v>
      </c>
      <c r="H1360" t="s">
        <v>527</v>
      </c>
      <c r="I1360">
        <v>5</v>
      </c>
      <c r="J1360" t="s">
        <v>56</v>
      </c>
      <c r="K1360" t="str">
        <f t="shared" si="21"/>
        <v>34410</v>
      </c>
      <c r="L1360">
        <v>8982887.1600000001</v>
      </c>
      <c r="M1360">
        <v>0</v>
      </c>
      <c r="N1360">
        <v>0</v>
      </c>
      <c r="O1360">
        <v>0</v>
      </c>
      <c r="P1360">
        <v>8982887.1600000001</v>
      </c>
    </row>
    <row r="1361" spans="1:16">
      <c r="A1361" s="1">
        <v>44593</v>
      </c>
      <c r="B1361" t="s">
        <v>132</v>
      </c>
      <c r="C1361" t="s">
        <v>14</v>
      </c>
      <c r="D1361" t="s">
        <v>15</v>
      </c>
      <c r="E1361" t="s">
        <v>33</v>
      </c>
      <c r="F1361" t="s">
        <v>17</v>
      </c>
      <c r="G1361" t="s">
        <v>50</v>
      </c>
      <c r="H1361" t="s">
        <v>527</v>
      </c>
      <c r="I1361">
        <v>5</v>
      </c>
      <c r="J1361" t="s">
        <v>57</v>
      </c>
      <c r="K1361" t="str">
        <f t="shared" si="21"/>
        <v>34500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1:16">
      <c r="A1362" s="1">
        <v>44593</v>
      </c>
      <c r="B1362" t="s">
        <v>132</v>
      </c>
      <c r="C1362" t="s">
        <v>14</v>
      </c>
      <c r="D1362" t="s">
        <v>15</v>
      </c>
      <c r="E1362" t="s">
        <v>33</v>
      </c>
      <c r="F1362" t="s">
        <v>17</v>
      </c>
      <c r="G1362" t="s">
        <v>50</v>
      </c>
      <c r="H1362" t="s">
        <v>527</v>
      </c>
      <c r="I1362">
        <v>5</v>
      </c>
      <c r="J1362" t="s">
        <v>58</v>
      </c>
      <c r="K1362" t="str">
        <f t="shared" si="21"/>
        <v>34600</v>
      </c>
      <c r="L1362">
        <v>1676467.96</v>
      </c>
      <c r="M1362">
        <v>-1676467.96</v>
      </c>
      <c r="N1362">
        <v>0</v>
      </c>
      <c r="O1362">
        <v>0</v>
      </c>
      <c r="P1362">
        <v>0</v>
      </c>
    </row>
    <row r="1363" spans="1:16">
      <c r="A1363" s="1">
        <v>44621</v>
      </c>
      <c r="B1363" t="s">
        <v>131</v>
      </c>
      <c r="C1363" t="s">
        <v>14</v>
      </c>
      <c r="D1363" t="s">
        <v>15</v>
      </c>
      <c r="E1363" t="s">
        <v>33</v>
      </c>
      <c r="F1363" t="s">
        <v>24</v>
      </c>
      <c r="G1363" t="s">
        <v>50</v>
      </c>
      <c r="H1363" t="s">
        <v>527</v>
      </c>
      <c r="I1363">
        <v>5</v>
      </c>
      <c r="J1363" t="s">
        <v>51</v>
      </c>
      <c r="K1363" t="str">
        <f t="shared" si="21"/>
        <v>34001</v>
      </c>
      <c r="L1363">
        <v>207692.38</v>
      </c>
      <c r="M1363">
        <v>0</v>
      </c>
      <c r="N1363">
        <v>0</v>
      </c>
      <c r="O1363">
        <v>0</v>
      </c>
      <c r="P1363" s="8">
        <v>207692.38</v>
      </c>
    </row>
    <row r="1364" spans="1:16">
      <c r="A1364" s="1">
        <v>44621</v>
      </c>
      <c r="B1364" t="s">
        <v>131</v>
      </c>
      <c r="C1364" t="s">
        <v>14</v>
      </c>
      <c r="D1364" t="s">
        <v>15</v>
      </c>
      <c r="E1364" t="s">
        <v>33</v>
      </c>
      <c r="F1364" t="s">
        <v>24</v>
      </c>
      <c r="G1364" t="s">
        <v>50</v>
      </c>
      <c r="H1364" t="s">
        <v>527</v>
      </c>
      <c r="I1364">
        <v>5</v>
      </c>
      <c r="J1364" t="s">
        <v>52</v>
      </c>
      <c r="K1364" t="str">
        <f t="shared" si="21"/>
        <v>34003</v>
      </c>
      <c r="L1364">
        <v>6229050.5499999998</v>
      </c>
      <c r="M1364">
        <v>0</v>
      </c>
      <c r="N1364">
        <v>0</v>
      </c>
      <c r="O1364">
        <v>0</v>
      </c>
      <c r="P1364" s="8">
        <v>6229050.5499999998</v>
      </c>
    </row>
    <row r="1365" spans="1:16">
      <c r="A1365" s="1">
        <v>44621</v>
      </c>
      <c r="B1365" t="s">
        <v>131</v>
      </c>
      <c r="C1365" t="s">
        <v>14</v>
      </c>
      <c r="D1365" t="s">
        <v>15</v>
      </c>
      <c r="E1365" t="s">
        <v>33</v>
      </c>
      <c r="F1365" t="s">
        <v>24</v>
      </c>
      <c r="G1365" t="s">
        <v>50</v>
      </c>
      <c r="H1365" t="s">
        <v>527</v>
      </c>
      <c r="I1365">
        <v>5</v>
      </c>
      <c r="J1365" t="s">
        <v>53</v>
      </c>
      <c r="K1365" t="str">
        <f t="shared" si="21"/>
        <v>34100</v>
      </c>
      <c r="L1365">
        <v>14662488.66</v>
      </c>
      <c r="M1365">
        <v>96552.91</v>
      </c>
      <c r="N1365">
        <v>0</v>
      </c>
      <c r="O1365">
        <v>0</v>
      </c>
      <c r="P1365" s="8">
        <v>14759041.57</v>
      </c>
    </row>
    <row r="1366" spans="1:16">
      <c r="A1366" s="1">
        <v>44621</v>
      </c>
      <c r="B1366" t="s">
        <v>131</v>
      </c>
      <c r="C1366" t="s">
        <v>14</v>
      </c>
      <c r="D1366" t="s">
        <v>15</v>
      </c>
      <c r="E1366" t="s">
        <v>33</v>
      </c>
      <c r="F1366" t="s">
        <v>24</v>
      </c>
      <c r="G1366" t="s">
        <v>50</v>
      </c>
      <c r="H1366" t="s">
        <v>527</v>
      </c>
      <c r="I1366">
        <v>5</v>
      </c>
      <c r="J1366" t="s">
        <v>54</v>
      </c>
      <c r="K1366" t="str">
        <f t="shared" si="21"/>
        <v>34200</v>
      </c>
      <c r="L1366">
        <v>9115499.1500000004</v>
      </c>
      <c r="M1366">
        <v>0</v>
      </c>
      <c r="N1366">
        <v>0</v>
      </c>
      <c r="O1366">
        <v>0</v>
      </c>
      <c r="P1366" s="8">
        <v>9115499.1500000004</v>
      </c>
    </row>
    <row r="1367" spans="1:16">
      <c r="A1367" s="1">
        <v>44621</v>
      </c>
      <c r="B1367" t="s">
        <v>131</v>
      </c>
      <c r="C1367" t="s">
        <v>14</v>
      </c>
      <c r="D1367" t="s">
        <v>15</v>
      </c>
      <c r="E1367" t="s">
        <v>33</v>
      </c>
      <c r="F1367" t="s">
        <v>24</v>
      </c>
      <c r="G1367" t="s">
        <v>50</v>
      </c>
      <c r="H1367" t="s">
        <v>527</v>
      </c>
      <c r="I1367">
        <v>5</v>
      </c>
      <c r="J1367" t="s">
        <v>55</v>
      </c>
      <c r="K1367" t="str">
        <f t="shared" si="21"/>
        <v>34300</v>
      </c>
      <c r="L1367">
        <v>2273004.89</v>
      </c>
      <c r="M1367">
        <v>0</v>
      </c>
      <c r="N1367">
        <v>0</v>
      </c>
      <c r="O1367">
        <v>0</v>
      </c>
      <c r="P1367" s="8">
        <v>2273004.89</v>
      </c>
    </row>
    <row r="1368" spans="1:16">
      <c r="A1368" s="1">
        <v>44621</v>
      </c>
      <c r="B1368" t="s">
        <v>131</v>
      </c>
      <c r="C1368" t="s">
        <v>14</v>
      </c>
      <c r="D1368" t="s">
        <v>15</v>
      </c>
      <c r="E1368" t="s">
        <v>33</v>
      </c>
      <c r="F1368" t="s">
        <v>24</v>
      </c>
      <c r="G1368" t="s">
        <v>50</v>
      </c>
      <c r="H1368" t="s">
        <v>527</v>
      </c>
      <c r="I1368">
        <v>5</v>
      </c>
      <c r="J1368" t="s">
        <v>56</v>
      </c>
      <c r="K1368" t="str">
        <f t="shared" si="21"/>
        <v>34410</v>
      </c>
      <c r="L1368">
        <v>366384224.11000001</v>
      </c>
      <c r="M1368">
        <v>44203.66</v>
      </c>
      <c r="N1368">
        <v>-20000</v>
      </c>
      <c r="O1368">
        <v>0</v>
      </c>
      <c r="P1368" s="8">
        <v>366408427.76999998</v>
      </c>
    </row>
    <row r="1369" spans="1:16">
      <c r="A1369" s="1">
        <v>44621</v>
      </c>
      <c r="B1369" t="s">
        <v>131</v>
      </c>
      <c r="C1369" t="s">
        <v>14</v>
      </c>
      <c r="D1369" t="s">
        <v>15</v>
      </c>
      <c r="E1369" t="s">
        <v>33</v>
      </c>
      <c r="F1369" t="s">
        <v>24</v>
      </c>
      <c r="G1369" t="s">
        <v>50</v>
      </c>
      <c r="H1369" t="s">
        <v>527</v>
      </c>
      <c r="I1369">
        <v>5</v>
      </c>
      <c r="J1369" t="s">
        <v>57</v>
      </c>
      <c r="K1369" t="str">
        <f t="shared" si="21"/>
        <v>34500</v>
      </c>
      <c r="L1369">
        <v>18688151.120000001</v>
      </c>
      <c r="M1369">
        <v>0</v>
      </c>
      <c r="N1369">
        <v>0</v>
      </c>
      <c r="O1369">
        <v>0</v>
      </c>
      <c r="P1369" s="8">
        <v>18688151.120000001</v>
      </c>
    </row>
    <row r="1370" spans="1:16">
      <c r="A1370" s="1">
        <v>44621</v>
      </c>
      <c r="B1370" t="s">
        <v>131</v>
      </c>
      <c r="C1370" t="s">
        <v>14</v>
      </c>
      <c r="D1370" t="s">
        <v>15</v>
      </c>
      <c r="E1370" t="s">
        <v>33</v>
      </c>
      <c r="F1370" t="s">
        <v>24</v>
      </c>
      <c r="G1370" t="s">
        <v>50</v>
      </c>
      <c r="H1370" t="s">
        <v>527</v>
      </c>
      <c r="I1370">
        <v>5</v>
      </c>
      <c r="J1370" t="s">
        <v>58</v>
      </c>
      <c r="K1370" t="str">
        <f t="shared" si="21"/>
        <v>34600</v>
      </c>
      <c r="L1370">
        <v>2704470.7199999997</v>
      </c>
      <c r="M1370">
        <v>0</v>
      </c>
      <c r="N1370">
        <v>0</v>
      </c>
      <c r="O1370">
        <v>0</v>
      </c>
      <c r="P1370" s="8">
        <v>2704470.7199999997</v>
      </c>
    </row>
    <row r="1371" spans="1:16">
      <c r="A1371" s="1">
        <v>44621</v>
      </c>
      <c r="B1371" t="s">
        <v>131</v>
      </c>
      <c r="C1371" t="s">
        <v>14</v>
      </c>
      <c r="D1371" t="s">
        <v>15</v>
      </c>
      <c r="E1371" t="s">
        <v>33</v>
      </c>
      <c r="F1371" t="s">
        <v>17</v>
      </c>
      <c r="G1371" t="s">
        <v>50</v>
      </c>
      <c r="H1371" t="s">
        <v>527</v>
      </c>
      <c r="I1371">
        <v>5</v>
      </c>
      <c r="J1371" t="s">
        <v>51</v>
      </c>
      <c r="K1371" t="str">
        <f t="shared" si="21"/>
        <v>34001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1:16">
      <c r="A1372" s="1">
        <v>44621</v>
      </c>
      <c r="B1372" t="s">
        <v>131</v>
      </c>
      <c r="C1372" t="s">
        <v>14</v>
      </c>
      <c r="D1372" t="s">
        <v>15</v>
      </c>
      <c r="E1372" t="s">
        <v>33</v>
      </c>
      <c r="F1372" t="s">
        <v>17</v>
      </c>
      <c r="G1372" t="s">
        <v>50</v>
      </c>
      <c r="H1372" t="s">
        <v>527</v>
      </c>
      <c r="I1372">
        <v>5</v>
      </c>
      <c r="J1372" t="s">
        <v>120</v>
      </c>
      <c r="K1372" t="str">
        <f t="shared" si="21"/>
        <v>34002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1:16">
      <c r="A1373" s="1">
        <v>44621</v>
      </c>
      <c r="B1373" t="s">
        <v>131</v>
      </c>
      <c r="C1373" t="s">
        <v>14</v>
      </c>
      <c r="D1373" t="s">
        <v>15</v>
      </c>
      <c r="E1373" t="s">
        <v>33</v>
      </c>
      <c r="F1373" t="s">
        <v>17</v>
      </c>
      <c r="G1373" t="s">
        <v>50</v>
      </c>
      <c r="H1373" t="s">
        <v>527</v>
      </c>
      <c r="I1373">
        <v>5</v>
      </c>
      <c r="J1373" t="s">
        <v>53</v>
      </c>
      <c r="K1373" t="str">
        <f t="shared" si="21"/>
        <v>34100</v>
      </c>
      <c r="L1373">
        <v>321320.18</v>
      </c>
      <c r="M1373">
        <v>-113323.81</v>
      </c>
      <c r="N1373">
        <v>0</v>
      </c>
      <c r="O1373">
        <v>0</v>
      </c>
      <c r="P1373">
        <v>207996.37</v>
      </c>
    </row>
    <row r="1374" spans="1:16">
      <c r="A1374" s="1">
        <v>44621</v>
      </c>
      <c r="B1374" t="s">
        <v>131</v>
      </c>
      <c r="C1374" t="s">
        <v>14</v>
      </c>
      <c r="D1374" t="s">
        <v>15</v>
      </c>
      <c r="E1374" t="s">
        <v>33</v>
      </c>
      <c r="F1374" t="s">
        <v>17</v>
      </c>
      <c r="G1374" t="s">
        <v>50</v>
      </c>
      <c r="H1374" t="s">
        <v>527</v>
      </c>
      <c r="I1374">
        <v>5</v>
      </c>
      <c r="J1374" t="s">
        <v>54</v>
      </c>
      <c r="K1374" t="str">
        <f t="shared" si="21"/>
        <v>34200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1:16">
      <c r="A1375" s="1">
        <v>44621</v>
      </c>
      <c r="B1375" t="s">
        <v>131</v>
      </c>
      <c r="C1375" t="s">
        <v>14</v>
      </c>
      <c r="D1375" t="s">
        <v>15</v>
      </c>
      <c r="E1375" t="s">
        <v>33</v>
      </c>
      <c r="F1375" t="s">
        <v>17</v>
      </c>
      <c r="G1375" t="s">
        <v>50</v>
      </c>
      <c r="H1375" t="s">
        <v>527</v>
      </c>
      <c r="I1375">
        <v>5</v>
      </c>
      <c r="J1375" t="s">
        <v>55</v>
      </c>
      <c r="K1375" t="str">
        <f t="shared" si="21"/>
        <v>34300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1:16">
      <c r="A1376" s="1">
        <v>44621</v>
      </c>
      <c r="B1376" t="s">
        <v>131</v>
      </c>
      <c r="C1376" t="s">
        <v>14</v>
      </c>
      <c r="D1376" t="s">
        <v>15</v>
      </c>
      <c r="E1376" t="s">
        <v>33</v>
      </c>
      <c r="F1376" t="s">
        <v>17</v>
      </c>
      <c r="G1376" t="s">
        <v>50</v>
      </c>
      <c r="H1376" t="s">
        <v>527</v>
      </c>
      <c r="I1376">
        <v>5</v>
      </c>
      <c r="J1376" t="s">
        <v>56</v>
      </c>
      <c r="K1376" t="str">
        <f t="shared" si="21"/>
        <v>34410</v>
      </c>
      <c r="L1376">
        <v>8982887.1600000001</v>
      </c>
      <c r="M1376">
        <v>-44203.66</v>
      </c>
      <c r="N1376">
        <v>0</v>
      </c>
      <c r="O1376">
        <v>0</v>
      </c>
      <c r="P1376">
        <v>8938683.5</v>
      </c>
    </row>
    <row r="1377" spans="1:16">
      <c r="A1377" s="1">
        <v>44621</v>
      </c>
      <c r="B1377" t="s">
        <v>131</v>
      </c>
      <c r="C1377" t="s">
        <v>14</v>
      </c>
      <c r="D1377" t="s">
        <v>15</v>
      </c>
      <c r="E1377" t="s">
        <v>33</v>
      </c>
      <c r="F1377" t="s">
        <v>17</v>
      </c>
      <c r="G1377" t="s">
        <v>50</v>
      </c>
      <c r="H1377" t="s">
        <v>527</v>
      </c>
      <c r="I1377">
        <v>5</v>
      </c>
      <c r="J1377" t="s">
        <v>57</v>
      </c>
      <c r="K1377" t="str">
        <f t="shared" si="21"/>
        <v>34500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1:16">
      <c r="A1378" s="1">
        <v>44621</v>
      </c>
      <c r="B1378" t="s">
        <v>131</v>
      </c>
      <c r="C1378" t="s">
        <v>14</v>
      </c>
      <c r="D1378" t="s">
        <v>15</v>
      </c>
      <c r="E1378" t="s">
        <v>33</v>
      </c>
      <c r="F1378" t="s">
        <v>17</v>
      </c>
      <c r="G1378" t="s">
        <v>50</v>
      </c>
      <c r="H1378" t="s">
        <v>527</v>
      </c>
      <c r="I1378">
        <v>5</v>
      </c>
      <c r="J1378" t="s">
        <v>58</v>
      </c>
      <c r="K1378" t="str">
        <f t="shared" si="21"/>
        <v>34600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1:16">
      <c r="A1379" s="1">
        <v>44652</v>
      </c>
      <c r="B1379" t="s">
        <v>130</v>
      </c>
      <c r="C1379" t="s">
        <v>14</v>
      </c>
      <c r="D1379" t="s">
        <v>15</v>
      </c>
      <c r="E1379" t="s">
        <v>33</v>
      </c>
      <c r="F1379" t="s">
        <v>24</v>
      </c>
      <c r="G1379" t="s">
        <v>50</v>
      </c>
      <c r="H1379" t="s">
        <v>527</v>
      </c>
      <c r="I1379">
        <v>5</v>
      </c>
      <c r="J1379" t="s">
        <v>51</v>
      </c>
      <c r="K1379" t="str">
        <f t="shared" si="21"/>
        <v>34001</v>
      </c>
      <c r="L1379">
        <v>207692.38</v>
      </c>
      <c r="M1379">
        <v>0</v>
      </c>
      <c r="N1379">
        <v>0</v>
      </c>
      <c r="O1379">
        <v>0</v>
      </c>
      <c r="P1379" s="8">
        <v>207692.38</v>
      </c>
    </row>
    <row r="1380" spans="1:16">
      <c r="A1380" s="1">
        <v>44652</v>
      </c>
      <c r="B1380" t="s">
        <v>130</v>
      </c>
      <c r="C1380" t="s">
        <v>14</v>
      </c>
      <c r="D1380" t="s">
        <v>15</v>
      </c>
      <c r="E1380" t="s">
        <v>33</v>
      </c>
      <c r="F1380" t="s">
        <v>24</v>
      </c>
      <c r="G1380" t="s">
        <v>50</v>
      </c>
      <c r="H1380" t="s">
        <v>527</v>
      </c>
      <c r="I1380">
        <v>5</v>
      </c>
      <c r="J1380" t="s">
        <v>52</v>
      </c>
      <c r="K1380" t="str">
        <f t="shared" si="21"/>
        <v>34003</v>
      </c>
      <c r="L1380">
        <v>6229050.5499999998</v>
      </c>
      <c r="M1380">
        <v>0</v>
      </c>
      <c r="N1380">
        <v>0</v>
      </c>
      <c r="O1380">
        <v>0</v>
      </c>
      <c r="P1380" s="8">
        <v>6229050.5499999998</v>
      </c>
    </row>
    <row r="1381" spans="1:16">
      <c r="A1381" s="1">
        <v>44652</v>
      </c>
      <c r="B1381" t="s">
        <v>130</v>
      </c>
      <c r="C1381" t="s">
        <v>14</v>
      </c>
      <c r="D1381" t="s">
        <v>15</v>
      </c>
      <c r="E1381" t="s">
        <v>33</v>
      </c>
      <c r="F1381" t="s">
        <v>24</v>
      </c>
      <c r="G1381" t="s">
        <v>50</v>
      </c>
      <c r="H1381" t="s">
        <v>527</v>
      </c>
      <c r="I1381">
        <v>5</v>
      </c>
      <c r="J1381" t="s">
        <v>53</v>
      </c>
      <c r="K1381" t="str">
        <f t="shared" si="21"/>
        <v>34100</v>
      </c>
      <c r="L1381">
        <v>14759041.57</v>
      </c>
      <c r="M1381">
        <v>0</v>
      </c>
      <c r="N1381">
        <v>0</v>
      </c>
      <c r="O1381">
        <v>0</v>
      </c>
      <c r="P1381" s="8">
        <v>14759041.57</v>
      </c>
    </row>
    <row r="1382" spans="1:16">
      <c r="A1382" s="1">
        <v>44652</v>
      </c>
      <c r="B1382" t="s">
        <v>130</v>
      </c>
      <c r="C1382" t="s">
        <v>14</v>
      </c>
      <c r="D1382" t="s">
        <v>15</v>
      </c>
      <c r="E1382" t="s">
        <v>33</v>
      </c>
      <c r="F1382" t="s">
        <v>24</v>
      </c>
      <c r="G1382" t="s">
        <v>50</v>
      </c>
      <c r="H1382" t="s">
        <v>527</v>
      </c>
      <c r="I1382">
        <v>5</v>
      </c>
      <c r="J1382" t="s">
        <v>54</v>
      </c>
      <c r="K1382" t="str">
        <f t="shared" si="21"/>
        <v>34200</v>
      </c>
      <c r="L1382">
        <v>9115499.1500000004</v>
      </c>
      <c r="M1382">
        <v>0</v>
      </c>
      <c r="N1382">
        <v>0</v>
      </c>
      <c r="O1382">
        <v>0</v>
      </c>
      <c r="P1382" s="8">
        <v>9115499.1500000004</v>
      </c>
    </row>
    <row r="1383" spans="1:16">
      <c r="A1383" s="1">
        <v>44652</v>
      </c>
      <c r="B1383" t="s">
        <v>130</v>
      </c>
      <c r="C1383" t="s">
        <v>14</v>
      </c>
      <c r="D1383" t="s">
        <v>15</v>
      </c>
      <c r="E1383" t="s">
        <v>33</v>
      </c>
      <c r="F1383" t="s">
        <v>24</v>
      </c>
      <c r="G1383" t="s">
        <v>50</v>
      </c>
      <c r="H1383" t="s">
        <v>527</v>
      </c>
      <c r="I1383">
        <v>5</v>
      </c>
      <c r="J1383" t="s">
        <v>55</v>
      </c>
      <c r="K1383" t="str">
        <f t="shared" si="21"/>
        <v>34300</v>
      </c>
      <c r="L1383">
        <v>2273004.89</v>
      </c>
      <c r="M1383">
        <v>0</v>
      </c>
      <c r="N1383">
        <v>0</v>
      </c>
      <c r="O1383">
        <v>0</v>
      </c>
      <c r="P1383" s="8">
        <v>2273004.89</v>
      </c>
    </row>
    <row r="1384" spans="1:16">
      <c r="A1384" s="1">
        <v>44652</v>
      </c>
      <c r="B1384" t="s">
        <v>130</v>
      </c>
      <c r="C1384" t="s">
        <v>14</v>
      </c>
      <c r="D1384" t="s">
        <v>15</v>
      </c>
      <c r="E1384" t="s">
        <v>33</v>
      </c>
      <c r="F1384" t="s">
        <v>24</v>
      </c>
      <c r="G1384" t="s">
        <v>50</v>
      </c>
      <c r="H1384" t="s">
        <v>527</v>
      </c>
      <c r="I1384">
        <v>5</v>
      </c>
      <c r="J1384" t="s">
        <v>56</v>
      </c>
      <c r="K1384" t="str">
        <f t="shared" si="21"/>
        <v>34410</v>
      </c>
      <c r="L1384">
        <v>366408427.76999998</v>
      </c>
      <c r="M1384">
        <v>8414080.6500000004</v>
      </c>
      <c r="N1384">
        <v>-5375162.8799999999</v>
      </c>
      <c r="O1384">
        <v>0</v>
      </c>
      <c r="P1384" s="8">
        <v>369447345.54000002</v>
      </c>
    </row>
    <row r="1385" spans="1:16">
      <c r="A1385" s="1">
        <v>44652</v>
      </c>
      <c r="B1385" t="s">
        <v>130</v>
      </c>
      <c r="C1385" t="s">
        <v>14</v>
      </c>
      <c r="D1385" t="s">
        <v>15</v>
      </c>
      <c r="E1385" t="s">
        <v>33</v>
      </c>
      <c r="F1385" t="s">
        <v>24</v>
      </c>
      <c r="G1385" t="s">
        <v>50</v>
      </c>
      <c r="H1385" t="s">
        <v>527</v>
      </c>
      <c r="I1385">
        <v>5</v>
      </c>
      <c r="J1385" t="s">
        <v>57</v>
      </c>
      <c r="K1385" t="str">
        <f t="shared" si="21"/>
        <v>34500</v>
      </c>
      <c r="L1385">
        <v>18688151.120000001</v>
      </c>
      <c r="M1385">
        <v>0</v>
      </c>
      <c r="N1385">
        <v>0</v>
      </c>
      <c r="O1385">
        <v>0</v>
      </c>
      <c r="P1385" s="8">
        <v>18688151.120000001</v>
      </c>
    </row>
    <row r="1386" spans="1:16">
      <c r="A1386" s="1">
        <v>44652</v>
      </c>
      <c r="B1386" t="s">
        <v>130</v>
      </c>
      <c r="C1386" t="s">
        <v>14</v>
      </c>
      <c r="D1386" t="s">
        <v>15</v>
      </c>
      <c r="E1386" t="s">
        <v>33</v>
      </c>
      <c r="F1386" t="s">
        <v>24</v>
      </c>
      <c r="G1386" t="s">
        <v>50</v>
      </c>
      <c r="H1386" t="s">
        <v>527</v>
      </c>
      <c r="I1386">
        <v>5</v>
      </c>
      <c r="J1386" t="s">
        <v>58</v>
      </c>
      <c r="K1386" t="str">
        <f t="shared" si="21"/>
        <v>34600</v>
      </c>
      <c r="L1386">
        <v>2704470.7199999997</v>
      </c>
      <c r="M1386">
        <v>0</v>
      </c>
      <c r="N1386">
        <v>0</v>
      </c>
      <c r="O1386">
        <v>0</v>
      </c>
      <c r="P1386" s="8">
        <v>2704470.7199999997</v>
      </c>
    </row>
    <row r="1387" spans="1:16">
      <c r="A1387" s="1">
        <v>44652</v>
      </c>
      <c r="B1387" t="s">
        <v>130</v>
      </c>
      <c r="C1387" t="s">
        <v>14</v>
      </c>
      <c r="D1387" t="s">
        <v>15</v>
      </c>
      <c r="E1387" t="s">
        <v>33</v>
      </c>
      <c r="F1387" t="s">
        <v>17</v>
      </c>
      <c r="G1387" t="s">
        <v>50</v>
      </c>
      <c r="H1387" t="s">
        <v>527</v>
      </c>
      <c r="I1387">
        <v>5</v>
      </c>
      <c r="J1387" t="s">
        <v>51</v>
      </c>
      <c r="K1387" t="str">
        <f t="shared" si="21"/>
        <v>34001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>
      <c r="A1388" s="1">
        <v>44652</v>
      </c>
      <c r="B1388" t="s">
        <v>130</v>
      </c>
      <c r="C1388" t="s">
        <v>14</v>
      </c>
      <c r="D1388" t="s">
        <v>15</v>
      </c>
      <c r="E1388" t="s">
        <v>33</v>
      </c>
      <c r="F1388" t="s">
        <v>17</v>
      </c>
      <c r="G1388" t="s">
        <v>50</v>
      </c>
      <c r="H1388" t="s">
        <v>527</v>
      </c>
      <c r="I1388">
        <v>5</v>
      </c>
      <c r="J1388" t="s">
        <v>120</v>
      </c>
      <c r="K1388" t="str">
        <f t="shared" si="21"/>
        <v>34002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1:16">
      <c r="A1389" s="1">
        <v>44652</v>
      </c>
      <c r="B1389" t="s">
        <v>130</v>
      </c>
      <c r="C1389" t="s">
        <v>14</v>
      </c>
      <c r="D1389" t="s">
        <v>15</v>
      </c>
      <c r="E1389" t="s">
        <v>33</v>
      </c>
      <c r="F1389" t="s">
        <v>17</v>
      </c>
      <c r="G1389" t="s">
        <v>50</v>
      </c>
      <c r="H1389" t="s">
        <v>527</v>
      </c>
      <c r="I1389">
        <v>5</v>
      </c>
      <c r="J1389" t="s">
        <v>53</v>
      </c>
      <c r="K1389" t="str">
        <f t="shared" si="21"/>
        <v>34100</v>
      </c>
      <c r="L1389">
        <v>207996.37</v>
      </c>
      <c r="M1389">
        <v>0</v>
      </c>
      <c r="N1389">
        <v>0</v>
      </c>
      <c r="O1389">
        <v>0</v>
      </c>
      <c r="P1389">
        <v>207996.37</v>
      </c>
    </row>
    <row r="1390" spans="1:16">
      <c r="A1390" s="1">
        <v>44652</v>
      </c>
      <c r="B1390" t="s">
        <v>130</v>
      </c>
      <c r="C1390" t="s">
        <v>14</v>
      </c>
      <c r="D1390" t="s">
        <v>15</v>
      </c>
      <c r="E1390" t="s">
        <v>33</v>
      </c>
      <c r="F1390" t="s">
        <v>17</v>
      </c>
      <c r="G1390" t="s">
        <v>50</v>
      </c>
      <c r="H1390" t="s">
        <v>527</v>
      </c>
      <c r="I1390">
        <v>5</v>
      </c>
      <c r="J1390" t="s">
        <v>54</v>
      </c>
      <c r="K1390" t="str">
        <f t="shared" si="21"/>
        <v>34200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>
      <c r="A1391" s="1">
        <v>44652</v>
      </c>
      <c r="B1391" t="s">
        <v>130</v>
      </c>
      <c r="C1391" t="s">
        <v>14</v>
      </c>
      <c r="D1391" t="s">
        <v>15</v>
      </c>
      <c r="E1391" t="s">
        <v>33</v>
      </c>
      <c r="F1391" t="s">
        <v>17</v>
      </c>
      <c r="G1391" t="s">
        <v>50</v>
      </c>
      <c r="H1391" t="s">
        <v>527</v>
      </c>
      <c r="I1391">
        <v>5</v>
      </c>
      <c r="J1391" t="s">
        <v>55</v>
      </c>
      <c r="K1391" t="str">
        <f t="shared" si="21"/>
        <v>34300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>
      <c r="A1392" s="1">
        <v>44652</v>
      </c>
      <c r="B1392" t="s">
        <v>130</v>
      </c>
      <c r="C1392" t="s">
        <v>14</v>
      </c>
      <c r="D1392" t="s">
        <v>15</v>
      </c>
      <c r="E1392" t="s">
        <v>33</v>
      </c>
      <c r="F1392" t="s">
        <v>17</v>
      </c>
      <c r="G1392" t="s">
        <v>50</v>
      </c>
      <c r="H1392" t="s">
        <v>527</v>
      </c>
      <c r="I1392">
        <v>5</v>
      </c>
      <c r="J1392" t="s">
        <v>56</v>
      </c>
      <c r="K1392" t="str">
        <f t="shared" si="21"/>
        <v>34410</v>
      </c>
      <c r="L1392">
        <v>8938683.5</v>
      </c>
      <c r="M1392">
        <v>-8686580.6500000004</v>
      </c>
      <c r="N1392">
        <v>0</v>
      </c>
      <c r="O1392">
        <v>0</v>
      </c>
      <c r="P1392">
        <v>252102.85</v>
      </c>
    </row>
    <row r="1393" spans="1:16">
      <c r="A1393" s="1">
        <v>44652</v>
      </c>
      <c r="B1393" t="s">
        <v>130</v>
      </c>
      <c r="C1393" t="s">
        <v>14</v>
      </c>
      <c r="D1393" t="s">
        <v>15</v>
      </c>
      <c r="E1393" t="s">
        <v>33</v>
      </c>
      <c r="F1393" t="s">
        <v>17</v>
      </c>
      <c r="G1393" t="s">
        <v>50</v>
      </c>
      <c r="H1393" t="s">
        <v>527</v>
      </c>
      <c r="I1393">
        <v>5</v>
      </c>
      <c r="J1393" t="s">
        <v>57</v>
      </c>
      <c r="K1393" t="str">
        <f t="shared" si="21"/>
        <v>34500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1:16">
      <c r="A1394" s="1">
        <v>44652</v>
      </c>
      <c r="B1394" t="s">
        <v>130</v>
      </c>
      <c r="C1394" t="s">
        <v>14</v>
      </c>
      <c r="D1394" t="s">
        <v>15</v>
      </c>
      <c r="E1394" t="s">
        <v>33</v>
      </c>
      <c r="F1394" t="s">
        <v>17</v>
      </c>
      <c r="G1394" t="s">
        <v>50</v>
      </c>
      <c r="H1394" t="s">
        <v>527</v>
      </c>
      <c r="I1394">
        <v>5</v>
      </c>
      <c r="J1394" t="s">
        <v>58</v>
      </c>
      <c r="K1394" t="str">
        <f t="shared" si="21"/>
        <v>34600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1:16">
      <c r="A1395" s="1">
        <v>44682</v>
      </c>
      <c r="B1395" t="s">
        <v>129</v>
      </c>
      <c r="C1395" t="s">
        <v>14</v>
      </c>
      <c r="D1395" t="s">
        <v>15</v>
      </c>
      <c r="E1395" t="s">
        <v>33</v>
      </c>
      <c r="F1395" t="s">
        <v>24</v>
      </c>
      <c r="G1395" t="s">
        <v>50</v>
      </c>
      <c r="H1395" t="s">
        <v>527</v>
      </c>
      <c r="I1395">
        <v>5</v>
      </c>
      <c r="J1395" t="s">
        <v>51</v>
      </c>
      <c r="K1395" t="str">
        <f t="shared" si="21"/>
        <v>34001</v>
      </c>
      <c r="L1395">
        <v>207692.38</v>
      </c>
      <c r="M1395">
        <v>0</v>
      </c>
      <c r="N1395">
        <v>0</v>
      </c>
      <c r="O1395">
        <v>0</v>
      </c>
      <c r="P1395" s="8">
        <v>207692.38</v>
      </c>
    </row>
    <row r="1396" spans="1:16">
      <c r="A1396" s="1">
        <v>44682</v>
      </c>
      <c r="B1396" t="s">
        <v>129</v>
      </c>
      <c r="C1396" t="s">
        <v>14</v>
      </c>
      <c r="D1396" t="s">
        <v>15</v>
      </c>
      <c r="E1396" t="s">
        <v>33</v>
      </c>
      <c r="F1396" t="s">
        <v>24</v>
      </c>
      <c r="G1396" t="s">
        <v>50</v>
      </c>
      <c r="H1396" t="s">
        <v>527</v>
      </c>
      <c r="I1396">
        <v>5</v>
      </c>
      <c r="J1396" t="s">
        <v>52</v>
      </c>
      <c r="K1396" t="str">
        <f t="shared" si="21"/>
        <v>34003</v>
      </c>
      <c r="L1396">
        <v>6229050.5499999998</v>
      </c>
      <c r="M1396">
        <v>0</v>
      </c>
      <c r="N1396">
        <v>0</v>
      </c>
      <c r="O1396">
        <v>0</v>
      </c>
      <c r="P1396" s="8">
        <v>6229050.5499999998</v>
      </c>
    </row>
    <row r="1397" spans="1:16">
      <c r="A1397" s="1">
        <v>44682</v>
      </c>
      <c r="B1397" t="s">
        <v>129</v>
      </c>
      <c r="C1397" t="s">
        <v>14</v>
      </c>
      <c r="D1397" t="s">
        <v>15</v>
      </c>
      <c r="E1397" t="s">
        <v>33</v>
      </c>
      <c r="F1397" t="s">
        <v>24</v>
      </c>
      <c r="G1397" t="s">
        <v>50</v>
      </c>
      <c r="H1397" t="s">
        <v>527</v>
      </c>
      <c r="I1397">
        <v>5</v>
      </c>
      <c r="J1397" t="s">
        <v>53</v>
      </c>
      <c r="K1397" t="str">
        <f t="shared" si="21"/>
        <v>34100</v>
      </c>
      <c r="L1397">
        <v>14759041.57</v>
      </c>
      <c r="M1397">
        <v>0</v>
      </c>
      <c r="N1397">
        <v>0</v>
      </c>
      <c r="O1397">
        <v>0</v>
      </c>
      <c r="P1397" s="8">
        <v>14759041.57</v>
      </c>
    </row>
    <row r="1398" spans="1:16">
      <c r="A1398" s="1">
        <v>44682</v>
      </c>
      <c r="B1398" t="s">
        <v>129</v>
      </c>
      <c r="C1398" t="s">
        <v>14</v>
      </c>
      <c r="D1398" t="s">
        <v>15</v>
      </c>
      <c r="E1398" t="s">
        <v>33</v>
      </c>
      <c r="F1398" t="s">
        <v>24</v>
      </c>
      <c r="G1398" t="s">
        <v>50</v>
      </c>
      <c r="H1398" t="s">
        <v>527</v>
      </c>
      <c r="I1398">
        <v>5</v>
      </c>
      <c r="J1398" t="s">
        <v>54</v>
      </c>
      <c r="K1398" t="str">
        <f t="shared" si="21"/>
        <v>34200</v>
      </c>
      <c r="L1398">
        <v>9115499.1500000004</v>
      </c>
      <c r="M1398">
        <v>0</v>
      </c>
      <c r="N1398">
        <v>0</v>
      </c>
      <c r="O1398">
        <v>0</v>
      </c>
      <c r="P1398" s="8">
        <v>9115499.1500000004</v>
      </c>
    </row>
    <row r="1399" spans="1:16">
      <c r="A1399" s="1">
        <v>44682</v>
      </c>
      <c r="B1399" t="s">
        <v>129</v>
      </c>
      <c r="C1399" t="s">
        <v>14</v>
      </c>
      <c r="D1399" t="s">
        <v>15</v>
      </c>
      <c r="E1399" t="s">
        <v>33</v>
      </c>
      <c r="F1399" t="s">
        <v>24</v>
      </c>
      <c r="G1399" t="s">
        <v>50</v>
      </c>
      <c r="H1399" t="s">
        <v>527</v>
      </c>
      <c r="I1399">
        <v>5</v>
      </c>
      <c r="J1399" t="s">
        <v>55</v>
      </c>
      <c r="K1399" t="str">
        <f t="shared" si="21"/>
        <v>34300</v>
      </c>
      <c r="L1399">
        <v>2273004.89</v>
      </c>
      <c r="M1399">
        <v>0</v>
      </c>
      <c r="N1399">
        <v>0</v>
      </c>
      <c r="O1399">
        <v>0</v>
      </c>
      <c r="P1399" s="8">
        <v>2273004.89</v>
      </c>
    </row>
    <row r="1400" spans="1:16">
      <c r="A1400" s="1">
        <v>44682</v>
      </c>
      <c r="B1400" t="s">
        <v>129</v>
      </c>
      <c r="C1400" t="s">
        <v>14</v>
      </c>
      <c r="D1400" t="s">
        <v>15</v>
      </c>
      <c r="E1400" t="s">
        <v>33</v>
      </c>
      <c r="F1400" t="s">
        <v>24</v>
      </c>
      <c r="G1400" t="s">
        <v>50</v>
      </c>
      <c r="H1400" t="s">
        <v>527</v>
      </c>
      <c r="I1400">
        <v>5</v>
      </c>
      <c r="J1400" t="s">
        <v>56</v>
      </c>
      <c r="K1400" t="str">
        <f t="shared" si="21"/>
        <v>34410</v>
      </c>
      <c r="L1400">
        <v>369447345.54000002</v>
      </c>
      <c r="M1400">
        <v>0</v>
      </c>
      <c r="N1400">
        <v>0</v>
      </c>
      <c r="O1400">
        <v>0</v>
      </c>
      <c r="P1400" s="8">
        <v>369447345.54000002</v>
      </c>
    </row>
    <row r="1401" spans="1:16">
      <c r="A1401" s="1">
        <v>44682</v>
      </c>
      <c r="B1401" t="s">
        <v>129</v>
      </c>
      <c r="C1401" t="s">
        <v>14</v>
      </c>
      <c r="D1401" t="s">
        <v>15</v>
      </c>
      <c r="E1401" t="s">
        <v>33</v>
      </c>
      <c r="F1401" t="s">
        <v>24</v>
      </c>
      <c r="G1401" t="s">
        <v>50</v>
      </c>
      <c r="H1401" t="s">
        <v>527</v>
      </c>
      <c r="I1401">
        <v>5</v>
      </c>
      <c r="J1401" t="s">
        <v>57</v>
      </c>
      <c r="K1401" t="str">
        <f t="shared" si="21"/>
        <v>34500</v>
      </c>
      <c r="L1401">
        <v>18688151.120000001</v>
      </c>
      <c r="M1401">
        <v>0</v>
      </c>
      <c r="N1401">
        <v>0</v>
      </c>
      <c r="O1401">
        <v>0</v>
      </c>
      <c r="P1401" s="8">
        <v>18688151.120000001</v>
      </c>
    </row>
    <row r="1402" spans="1:16">
      <c r="A1402" s="1">
        <v>44682</v>
      </c>
      <c r="B1402" t="s">
        <v>129</v>
      </c>
      <c r="C1402" t="s">
        <v>14</v>
      </c>
      <c r="D1402" t="s">
        <v>15</v>
      </c>
      <c r="E1402" t="s">
        <v>33</v>
      </c>
      <c r="F1402" t="s">
        <v>24</v>
      </c>
      <c r="G1402" t="s">
        <v>50</v>
      </c>
      <c r="H1402" t="s">
        <v>527</v>
      </c>
      <c r="I1402">
        <v>5</v>
      </c>
      <c r="J1402" t="s">
        <v>58</v>
      </c>
      <c r="K1402" t="str">
        <f t="shared" si="21"/>
        <v>34600</v>
      </c>
      <c r="L1402">
        <v>2704470.7199999997</v>
      </c>
      <c r="M1402">
        <v>0</v>
      </c>
      <c r="N1402">
        <v>0</v>
      </c>
      <c r="O1402">
        <v>0</v>
      </c>
      <c r="P1402" s="8">
        <v>2704470.7199999997</v>
      </c>
    </row>
    <row r="1403" spans="1:16">
      <c r="A1403" s="1">
        <v>44682</v>
      </c>
      <c r="B1403" t="s">
        <v>129</v>
      </c>
      <c r="C1403" t="s">
        <v>14</v>
      </c>
      <c r="D1403" t="s">
        <v>15</v>
      </c>
      <c r="E1403" t="s">
        <v>33</v>
      </c>
      <c r="F1403" t="s">
        <v>17</v>
      </c>
      <c r="G1403" t="s">
        <v>50</v>
      </c>
      <c r="H1403" t="s">
        <v>527</v>
      </c>
      <c r="I1403">
        <v>5</v>
      </c>
      <c r="J1403" t="s">
        <v>51</v>
      </c>
      <c r="K1403" t="str">
        <f t="shared" si="21"/>
        <v>34001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>
      <c r="A1404" s="1">
        <v>44682</v>
      </c>
      <c r="B1404" t="s">
        <v>129</v>
      </c>
      <c r="C1404" t="s">
        <v>14</v>
      </c>
      <c r="D1404" t="s">
        <v>15</v>
      </c>
      <c r="E1404" t="s">
        <v>33</v>
      </c>
      <c r="F1404" t="s">
        <v>17</v>
      </c>
      <c r="G1404" t="s">
        <v>50</v>
      </c>
      <c r="H1404" t="s">
        <v>527</v>
      </c>
      <c r="I1404">
        <v>5</v>
      </c>
      <c r="J1404" t="s">
        <v>120</v>
      </c>
      <c r="K1404" t="str">
        <f t="shared" si="21"/>
        <v>34002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>
      <c r="A1405" s="1">
        <v>44682</v>
      </c>
      <c r="B1405" t="s">
        <v>129</v>
      </c>
      <c r="C1405" t="s">
        <v>14</v>
      </c>
      <c r="D1405" t="s">
        <v>15</v>
      </c>
      <c r="E1405" t="s">
        <v>33</v>
      </c>
      <c r="F1405" t="s">
        <v>17</v>
      </c>
      <c r="G1405" t="s">
        <v>50</v>
      </c>
      <c r="H1405" t="s">
        <v>527</v>
      </c>
      <c r="I1405">
        <v>5</v>
      </c>
      <c r="J1405" t="s">
        <v>53</v>
      </c>
      <c r="K1405" t="str">
        <f t="shared" si="21"/>
        <v>34100</v>
      </c>
      <c r="L1405">
        <v>207996.37</v>
      </c>
      <c r="M1405">
        <v>0</v>
      </c>
      <c r="N1405">
        <v>0</v>
      </c>
      <c r="O1405">
        <v>0</v>
      </c>
      <c r="P1405">
        <v>207996.37</v>
      </c>
    </row>
    <row r="1406" spans="1:16">
      <c r="A1406" s="1">
        <v>44682</v>
      </c>
      <c r="B1406" t="s">
        <v>129</v>
      </c>
      <c r="C1406" t="s">
        <v>14</v>
      </c>
      <c r="D1406" t="s">
        <v>15</v>
      </c>
      <c r="E1406" t="s">
        <v>33</v>
      </c>
      <c r="F1406" t="s">
        <v>17</v>
      </c>
      <c r="G1406" t="s">
        <v>50</v>
      </c>
      <c r="H1406" t="s">
        <v>527</v>
      </c>
      <c r="I1406">
        <v>5</v>
      </c>
      <c r="J1406" t="s">
        <v>54</v>
      </c>
      <c r="K1406" t="str">
        <f t="shared" si="21"/>
        <v>34200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1:16">
      <c r="A1407" s="1">
        <v>44682</v>
      </c>
      <c r="B1407" t="s">
        <v>129</v>
      </c>
      <c r="C1407" t="s">
        <v>14</v>
      </c>
      <c r="D1407" t="s">
        <v>15</v>
      </c>
      <c r="E1407" t="s">
        <v>33</v>
      </c>
      <c r="F1407" t="s">
        <v>17</v>
      </c>
      <c r="G1407" t="s">
        <v>50</v>
      </c>
      <c r="H1407" t="s">
        <v>527</v>
      </c>
      <c r="I1407">
        <v>5</v>
      </c>
      <c r="J1407" t="s">
        <v>55</v>
      </c>
      <c r="K1407" t="str">
        <f t="shared" si="21"/>
        <v>34300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1:16">
      <c r="A1408" s="1">
        <v>44682</v>
      </c>
      <c r="B1408" t="s">
        <v>129</v>
      </c>
      <c r="C1408" t="s">
        <v>14</v>
      </c>
      <c r="D1408" t="s">
        <v>15</v>
      </c>
      <c r="E1408" t="s">
        <v>33</v>
      </c>
      <c r="F1408" t="s">
        <v>17</v>
      </c>
      <c r="G1408" t="s">
        <v>50</v>
      </c>
      <c r="H1408" t="s">
        <v>527</v>
      </c>
      <c r="I1408">
        <v>5</v>
      </c>
      <c r="J1408" t="s">
        <v>56</v>
      </c>
      <c r="K1408" t="str">
        <f t="shared" si="21"/>
        <v>34410</v>
      </c>
      <c r="L1408">
        <v>252102.85</v>
      </c>
      <c r="M1408">
        <v>2139</v>
      </c>
      <c r="N1408">
        <v>0</v>
      </c>
      <c r="O1408">
        <v>0</v>
      </c>
      <c r="P1408">
        <v>254241.85</v>
      </c>
    </row>
    <row r="1409" spans="1:16">
      <c r="A1409" s="1">
        <v>44682</v>
      </c>
      <c r="B1409" t="s">
        <v>129</v>
      </c>
      <c r="C1409" t="s">
        <v>14</v>
      </c>
      <c r="D1409" t="s">
        <v>15</v>
      </c>
      <c r="E1409" t="s">
        <v>33</v>
      </c>
      <c r="F1409" t="s">
        <v>17</v>
      </c>
      <c r="G1409" t="s">
        <v>50</v>
      </c>
      <c r="H1409" t="s">
        <v>527</v>
      </c>
      <c r="I1409">
        <v>5</v>
      </c>
      <c r="J1409" t="s">
        <v>57</v>
      </c>
      <c r="K1409" t="str">
        <f t="shared" si="21"/>
        <v>34500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>
      <c r="A1410" s="1">
        <v>44682</v>
      </c>
      <c r="B1410" t="s">
        <v>129</v>
      </c>
      <c r="C1410" t="s">
        <v>14</v>
      </c>
      <c r="D1410" t="s">
        <v>15</v>
      </c>
      <c r="E1410" t="s">
        <v>33</v>
      </c>
      <c r="F1410" t="s">
        <v>17</v>
      </c>
      <c r="G1410" t="s">
        <v>50</v>
      </c>
      <c r="H1410" t="s">
        <v>527</v>
      </c>
      <c r="I1410">
        <v>5</v>
      </c>
      <c r="J1410" t="s">
        <v>58</v>
      </c>
      <c r="K1410" t="str">
        <f t="shared" ref="K1410:K1473" si="22">MID(J1410,2,5)</f>
        <v>34600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>
      <c r="A1411" s="1">
        <v>44713</v>
      </c>
      <c r="B1411" t="s">
        <v>128</v>
      </c>
      <c r="C1411" t="s">
        <v>14</v>
      </c>
      <c r="D1411" t="s">
        <v>15</v>
      </c>
      <c r="E1411" t="s">
        <v>33</v>
      </c>
      <c r="F1411" t="s">
        <v>24</v>
      </c>
      <c r="G1411" t="s">
        <v>50</v>
      </c>
      <c r="H1411" t="s">
        <v>527</v>
      </c>
      <c r="I1411">
        <v>5</v>
      </c>
      <c r="J1411" t="s">
        <v>51</v>
      </c>
      <c r="K1411" t="str">
        <f t="shared" si="22"/>
        <v>34001</v>
      </c>
      <c r="L1411">
        <v>207692.38</v>
      </c>
      <c r="M1411">
        <v>0</v>
      </c>
      <c r="N1411">
        <v>0</v>
      </c>
      <c r="O1411">
        <v>0</v>
      </c>
      <c r="P1411" s="8">
        <v>207692.38</v>
      </c>
    </row>
    <row r="1412" spans="1:16">
      <c r="A1412" s="1">
        <v>44713</v>
      </c>
      <c r="B1412" t="s">
        <v>128</v>
      </c>
      <c r="C1412" t="s">
        <v>14</v>
      </c>
      <c r="D1412" t="s">
        <v>15</v>
      </c>
      <c r="E1412" t="s">
        <v>33</v>
      </c>
      <c r="F1412" t="s">
        <v>24</v>
      </c>
      <c r="G1412" t="s">
        <v>50</v>
      </c>
      <c r="H1412" t="s">
        <v>527</v>
      </c>
      <c r="I1412">
        <v>5</v>
      </c>
      <c r="J1412" t="s">
        <v>52</v>
      </c>
      <c r="K1412" t="str">
        <f t="shared" si="22"/>
        <v>34003</v>
      </c>
      <c r="L1412">
        <v>6229050.5499999998</v>
      </c>
      <c r="M1412">
        <v>0</v>
      </c>
      <c r="N1412">
        <v>0</v>
      </c>
      <c r="O1412">
        <v>0</v>
      </c>
      <c r="P1412" s="8">
        <v>6229050.5499999998</v>
      </c>
    </row>
    <row r="1413" spans="1:16">
      <c r="A1413" s="1">
        <v>44713</v>
      </c>
      <c r="B1413" t="s">
        <v>128</v>
      </c>
      <c r="C1413" t="s">
        <v>14</v>
      </c>
      <c r="D1413" t="s">
        <v>15</v>
      </c>
      <c r="E1413" t="s">
        <v>33</v>
      </c>
      <c r="F1413" t="s">
        <v>24</v>
      </c>
      <c r="G1413" t="s">
        <v>50</v>
      </c>
      <c r="H1413" t="s">
        <v>527</v>
      </c>
      <c r="I1413">
        <v>5</v>
      </c>
      <c r="J1413" t="s">
        <v>53</v>
      </c>
      <c r="K1413" t="str">
        <f t="shared" si="22"/>
        <v>34100</v>
      </c>
      <c r="L1413">
        <v>14759041.57</v>
      </c>
      <c r="M1413">
        <v>0</v>
      </c>
      <c r="N1413">
        <v>0</v>
      </c>
      <c r="O1413">
        <v>0</v>
      </c>
      <c r="P1413" s="8">
        <v>14759041.57</v>
      </c>
    </row>
    <row r="1414" spans="1:16">
      <c r="A1414" s="1">
        <v>44713</v>
      </c>
      <c r="B1414" t="s">
        <v>128</v>
      </c>
      <c r="C1414" t="s">
        <v>14</v>
      </c>
      <c r="D1414" t="s">
        <v>15</v>
      </c>
      <c r="E1414" t="s">
        <v>33</v>
      </c>
      <c r="F1414" t="s">
        <v>24</v>
      </c>
      <c r="G1414" t="s">
        <v>50</v>
      </c>
      <c r="H1414" t="s">
        <v>527</v>
      </c>
      <c r="I1414">
        <v>5</v>
      </c>
      <c r="J1414" t="s">
        <v>54</v>
      </c>
      <c r="K1414" t="str">
        <f t="shared" si="22"/>
        <v>34200</v>
      </c>
      <c r="L1414">
        <v>9115499.1500000004</v>
      </c>
      <c r="M1414">
        <v>0</v>
      </c>
      <c r="N1414">
        <v>0</v>
      </c>
      <c r="O1414">
        <v>0</v>
      </c>
      <c r="P1414" s="8">
        <v>9115499.1500000004</v>
      </c>
    </row>
    <row r="1415" spans="1:16">
      <c r="A1415" s="1">
        <v>44713</v>
      </c>
      <c r="B1415" t="s">
        <v>128</v>
      </c>
      <c r="C1415" t="s">
        <v>14</v>
      </c>
      <c r="D1415" t="s">
        <v>15</v>
      </c>
      <c r="E1415" t="s">
        <v>33</v>
      </c>
      <c r="F1415" t="s">
        <v>24</v>
      </c>
      <c r="G1415" t="s">
        <v>50</v>
      </c>
      <c r="H1415" t="s">
        <v>527</v>
      </c>
      <c r="I1415">
        <v>5</v>
      </c>
      <c r="J1415" t="s">
        <v>55</v>
      </c>
      <c r="K1415" t="str">
        <f t="shared" si="22"/>
        <v>34300</v>
      </c>
      <c r="L1415">
        <v>2273004.89</v>
      </c>
      <c r="M1415">
        <v>0</v>
      </c>
      <c r="N1415">
        <v>0</v>
      </c>
      <c r="O1415">
        <v>0</v>
      </c>
      <c r="P1415" s="8">
        <v>2273004.89</v>
      </c>
    </row>
    <row r="1416" spans="1:16">
      <c r="A1416" s="1">
        <v>44713</v>
      </c>
      <c r="B1416" t="s">
        <v>128</v>
      </c>
      <c r="C1416" t="s">
        <v>14</v>
      </c>
      <c r="D1416" t="s">
        <v>15</v>
      </c>
      <c r="E1416" t="s">
        <v>33</v>
      </c>
      <c r="F1416" t="s">
        <v>24</v>
      </c>
      <c r="G1416" t="s">
        <v>50</v>
      </c>
      <c r="H1416" t="s">
        <v>527</v>
      </c>
      <c r="I1416">
        <v>5</v>
      </c>
      <c r="J1416" t="s">
        <v>56</v>
      </c>
      <c r="K1416" t="str">
        <f t="shared" si="22"/>
        <v>34410</v>
      </c>
      <c r="L1416">
        <v>369447345.54000002</v>
      </c>
      <c r="M1416">
        <v>456788.22000000003</v>
      </c>
      <c r="N1416">
        <v>-225899.61000000002</v>
      </c>
      <c r="O1416">
        <v>0</v>
      </c>
      <c r="P1416" s="8">
        <v>369678234.14999998</v>
      </c>
    </row>
    <row r="1417" spans="1:16">
      <c r="A1417" s="1">
        <v>44713</v>
      </c>
      <c r="B1417" t="s">
        <v>128</v>
      </c>
      <c r="C1417" t="s">
        <v>14</v>
      </c>
      <c r="D1417" t="s">
        <v>15</v>
      </c>
      <c r="E1417" t="s">
        <v>33</v>
      </c>
      <c r="F1417" t="s">
        <v>24</v>
      </c>
      <c r="G1417" t="s">
        <v>50</v>
      </c>
      <c r="H1417" t="s">
        <v>527</v>
      </c>
      <c r="I1417">
        <v>5</v>
      </c>
      <c r="J1417" t="s">
        <v>57</v>
      </c>
      <c r="K1417" t="str">
        <f t="shared" si="22"/>
        <v>34500</v>
      </c>
      <c r="L1417">
        <v>18688151.120000001</v>
      </c>
      <c r="M1417">
        <v>0</v>
      </c>
      <c r="N1417">
        <v>0</v>
      </c>
      <c r="O1417">
        <v>0</v>
      </c>
      <c r="P1417" s="8">
        <v>18688151.120000001</v>
      </c>
    </row>
    <row r="1418" spans="1:16">
      <c r="A1418" s="1">
        <v>44713</v>
      </c>
      <c r="B1418" t="s">
        <v>128</v>
      </c>
      <c r="C1418" t="s">
        <v>14</v>
      </c>
      <c r="D1418" t="s">
        <v>15</v>
      </c>
      <c r="E1418" t="s">
        <v>33</v>
      </c>
      <c r="F1418" t="s">
        <v>24</v>
      </c>
      <c r="G1418" t="s">
        <v>50</v>
      </c>
      <c r="H1418" t="s">
        <v>527</v>
      </c>
      <c r="I1418">
        <v>5</v>
      </c>
      <c r="J1418" t="s">
        <v>58</v>
      </c>
      <c r="K1418" t="str">
        <f t="shared" si="22"/>
        <v>34600</v>
      </c>
      <c r="L1418">
        <v>2704470.7199999997</v>
      </c>
      <c r="M1418">
        <v>0</v>
      </c>
      <c r="N1418">
        <v>0</v>
      </c>
      <c r="O1418">
        <v>0</v>
      </c>
      <c r="P1418" s="8">
        <v>2704470.7199999997</v>
      </c>
    </row>
    <row r="1419" spans="1:16">
      <c r="A1419" s="1">
        <v>44713</v>
      </c>
      <c r="B1419" t="s">
        <v>128</v>
      </c>
      <c r="C1419" t="s">
        <v>14</v>
      </c>
      <c r="D1419" t="s">
        <v>15</v>
      </c>
      <c r="E1419" t="s">
        <v>33</v>
      </c>
      <c r="F1419" t="s">
        <v>17</v>
      </c>
      <c r="G1419" t="s">
        <v>50</v>
      </c>
      <c r="H1419" t="s">
        <v>527</v>
      </c>
      <c r="I1419">
        <v>5</v>
      </c>
      <c r="J1419" t="s">
        <v>51</v>
      </c>
      <c r="K1419" t="str">
        <f t="shared" si="22"/>
        <v>34001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1:16">
      <c r="A1420" s="1">
        <v>44713</v>
      </c>
      <c r="B1420" t="s">
        <v>128</v>
      </c>
      <c r="C1420" t="s">
        <v>14</v>
      </c>
      <c r="D1420" t="s">
        <v>15</v>
      </c>
      <c r="E1420" t="s">
        <v>33</v>
      </c>
      <c r="F1420" t="s">
        <v>17</v>
      </c>
      <c r="G1420" t="s">
        <v>50</v>
      </c>
      <c r="H1420" t="s">
        <v>527</v>
      </c>
      <c r="I1420">
        <v>5</v>
      </c>
      <c r="J1420" t="s">
        <v>120</v>
      </c>
      <c r="K1420" t="str">
        <f t="shared" si="22"/>
        <v>34002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>
      <c r="A1421" s="1">
        <v>44713</v>
      </c>
      <c r="B1421" t="s">
        <v>128</v>
      </c>
      <c r="C1421" t="s">
        <v>14</v>
      </c>
      <c r="D1421" t="s">
        <v>15</v>
      </c>
      <c r="E1421" t="s">
        <v>33</v>
      </c>
      <c r="F1421" t="s">
        <v>17</v>
      </c>
      <c r="G1421" t="s">
        <v>50</v>
      </c>
      <c r="H1421" t="s">
        <v>527</v>
      </c>
      <c r="I1421">
        <v>5</v>
      </c>
      <c r="J1421" t="s">
        <v>53</v>
      </c>
      <c r="K1421" t="str">
        <f t="shared" si="22"/>
        <v>34100</v>
      </c>
      <c r="L1421">
        <v>207996.37</v>
      </c>
      <c r="M1421">
        <v>-207996.37</v>
      </c>
      <c r="N1421">
        <v>0</v>
      </c>
      <c r="O1421">
        <v>0</v>
      </c>
      <c r="P1421">
        <v>0</v>
      </c>
    </row>
    <row r="1422" spans="1:16">
      <c r="A1422" s="1">
        <v>44713</v>
      </c>
      <c r="B1422" t="s">
        <v>128</v>
      </c>
      <c r="C1422" t="s">
        <v>14</v>
      </c>
      <c r="D1422" t="s">
        <v>15</v>
      </c>
      <c r="E1422" t="s">
        <v>33</v>
      </c>
      <c r="F1422" t="s">
        <v>17</v>
      </c>
      <c r="G1422" t="s">
        <v>50</v>
      </c>
      <c r="H1422" t="s">
        <v>527</v>
      </c>
      <c r="I1422">
        <v>5</v>
      </c>
      <c r="J1422" t="s">
        <v>54</v>
      </c>
      <c r="K1422" t="str">
        <f t="shared" si="22"/>
        <v>34200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1:16">
      <c r="A1423" s="1">
        <v>44713</v>
      </c>
      <c r="B1423" t="s">
        <v>128</v>
      </c>
      <c r="C1423" t="s">
        <v>14</v>
      </c>
      <c r="D1423" t="s">
        <v>15</v>
      </c>
      <c r="E1423" t="s">
        <v>33</v>
      </c>
      <c r="F1423" t="s">
        <v>17</v>
      </c>
      <c r="G1423" t="s">
        <v>50</v>
      </c>
      <c r="H1423" t="s">
        <v>527</v>
      </c>
      <c r="I1423">
        <v>5</v>
      </c>
      <c r="J1423" t="s">
        <v>55</v>
      </c>
      <c r="K1423" t="str">
        <f t="shared" si="22"/>
        <v>34300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>
      <c r="A1424" s="1">
        <v>44713</v>
      </c>
      <c r="B1424" t="s">
        <v>128</v>
      </c>
      <c r="C1424" t="s">
        <v>14</v>
      </c>
      <c r="D1424" t="s">
        <v>15</v>
      </c>
      <c r="E1424" t="s">
        <v>33</v>
      </c>
      <c r="F1424" t="s">
        <v>17</v>
      </c>
      <c r="G1424" t="s">
        <v>50</v>
      </c>
      <c r="H1424" t="s">
        <v>527</v>
      </c>
      <c r="I1424">
        <v>5</v>
      </c>
      <c r="J1424" t="s">
        <v>56</v>
      </c>
      <c r="K1424" t="str">
        <f t="shared" si="22"/>
        <v>34410</v>
      </c>
      <c r="L1424">
        <v>254241.85</v>
      </c>
      <c r="M1424">
        <v>357870.66000000003</v>
      </c>
      <c r="N1424">
        <v>0</v>
      </c>
      <c r="O1424">
        <v>0</v>
      </c>
      <c r="P1424">
        <v>612112.51</v>
      </c>
    </row>
    <row r="1425" spans="1:16">
      <c r="A1425" s="1">
        <v>44713</v>
      </c>
      <c r="B1425" t="s">
        <v>128</v>
      </c>
      <c r="C1425" t="s">
        <v>14</v>
      </c>
      <c r="D1425" t="s">
        <v>15</v>
      </c>
      <c r="E1425" t="s">
        <v>33</v>
      </c>
      <c r="F1425" t="s">
        <v>17</v>
      </c>
      <c r="G1425" t="s">
        <v>50</v>
      </c>
      <c r="H1425" t="s">
        <v>527</v>
      </c>
      <c r="I1425">
        <v>5</v>
      </c>
      <c r="J1425" t="s">
        <v>57</v>
      </c>
      <c r="K1425" t="str">
        <f t="shared" si="22"/>
        <v>34500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>
      <c r="A1426" s="1">
        <v>44713</v>
      </c>
      <c r="B1426" t="s">
        <v>128</v>
      </c>
      <c r="C1426" t="s">
        <v>14</v>
      </c>
      <c r="D1426" t="s">
        <v>15</v>
      </c>
      <c r="E1426" t="s">
        <v>33</v>
      </c>
      <c r="F1426" t="s">
        <v>17</v>
      </c>
      <c r="G1426" t="s">
        <v>50</v>
      </c>
      <c r="H1426" t="s">
        <v>527</v>
      </c>
      <c r="I1426">
        <v>5</v>
      </c>
      <c r="J1426" t="s">
        <v>58</v>
      </c>
      <c r="K1426" t="str">
        <f t="shared" si="22"/>
        <v>34600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>
      <c r="A1427" s="1">
        <v>44743</v>
      </c>
      <c r="B1427" t="s">
        <v>127</v>
      </c>
      <c r="C1427" t="s">
        <v>14</v>
      </c>
      <c r="D1427" t="s">
        <v>15</v>
      </c>
      <c r="E1427" t="s">
        <v>33</v>
      </c>
      <c r="F1427" t="s">
        <v>24</v>
      </c>
      <c r="G1427" t="s">
        <v>50</v>
      </c>
      <c r="H1427" t="s">
        <v>527</v>
      </c>
      <c r="I1427">
        <v>5</v>
      </c>
      <c r="J1427" t="s">
        <v>51</v>
      </c>
      <c r="K1427" t="str">
        <f t="shared" si="22"/>
        <v>34001</v>
      </c>
      <c r="L1427">
        <v>207692.38</v>
      </c>
      <c r="M1427">
        <v>0</v>
      </c>
      <c r="N1427">
        <v>0</v>
      </c>
      <c r="O1427">
        <v>0</v>
      </c>
      <c r="P1427" s="8">
        <v>207692.38</v>
      </c>
    </row>
    <row r="1428" spans="1:16">
      <c r="A1428" s="1">
        <v>44743</v>
      </c>
      <c r="B1428" t="s">
        <v>127</v>
      </c>
      <c r="C1428" t="s">
        <v>14</v>
      </c>
      <c r="D1428" t="s">
        <v>15</v>
      </c>
      <c r="E1428" t="s">
        <v>33</v>
      </c>
      <c r="F1428" t="s">
        <v>24</v>
      </c>
      <c r="G1428" t="s">
        <v>50</v>
      </c>
      <c r="H1428" t="s">
        <v>527</v>
      </c>
      <c r="I1428">
        <v>5</v>
      </c>
      <c r="J1428" t="s">
        <v>52</v>
      </c>
      <c r="K1428" t="str">
        <f t="shared" si="22"/>
        <v>34003</v>
      </c>
      <c r="L1428">
        <v>6229050.5499999998</v>
      </c>
      <c r="M1428">
        <v>0</v>
      </c>
      <c r="N1428">
        <v>0</v>
      </c>
      <c r="O1428">
        <v>0</v>
      </c>
      <c r="P1428" s="8">
        <v>6229050.5499999998</v>
      </c>
    </row>
    <row r="1429" spans="1:16">
      <c r="A1429" s="1">
        <v>44743</v>
      </c>
      <c r="B1429" t="s">
        <v>127</v>
      </c>
      <c r="C1429" t="s">
        <v>14</v>
      </c>
      <c r="D1429" t="s">
        <v>15</v>
      </c>
      <c r="E1429" t="s">
        <v>33</v>
      </c>
      <c r="F1429" t="s">
        <v>24</v>
      </c>
      <c r="G1429" t="s">
        <v>50</v>
      </c>
      <c r="H1429" t="s">
        <v>527</v>
      </c>
      <c r="I1429">
        <v>5</v>
      </c>
      <c r="J1429" t="s">
        <v>53</v>
      </c>
      <c r="K1429" t="str">
        <f t="shared" si="22"/>
        <v>34100</v>
      </c>
      <c r="L1429">
        <v>14759041.57</v>
      </c>
      <c r="M1429">
        <v>0</v>
      </c>
      <c r="N1429">
        <v>0</v>
      </c>
      <c r="O1429">
        <v>0</v>
      </c>
      <c r="P1429" s="8">
        <v>14759041.57</v>
      </c>
    </row>
    <row r="1430" spans="1:16">
      <c r="A1430" s="1">
        <v>44743</v>
      </c>
      <c r="B1430" t="s">
        <v>127</v>
      </c>
      <c r="C1430" t="s">
        <v>14</v>
      </c>
      <c r="D1430" t="s">
        <v>15</v>
      </c>
      <c r="E1430" t="s">
        <v>33</v>
      </c>
      <c r="F1430" t="s">
        <v>24</v>
      </c>
      <c r="G1430" t="s">
        <v>50</v>
      </c>
      <c r="H1430" t="s">
        <v>527</v>
      </c>
      <c r="I1430">
        <v>5</v>
      </c>
      <c r="J1430" t="s">
        <v>54</v>
      </c>
      <c r="K1430" t="str">
        <f t="shared" si="22"/>
        <v>34200</v>
      </c>
      <c r="L1430">
        <v>9115499.1500000004</v>
      </c>
      <c r="M1430">
        <v>0</v>
      </c>
      <c r="N1430">
        <v>0</v>
      </c>
      <c r="O1430">
        <v>0</v>
      </c>
      <c r="P1430" s="8">
        <v>9115499.1500000004</v>
      </c>
    </row>
    <row r="1431" spans="1:16">
      <c r="A1431" s="1">
        <v>44743</v>
      </c>
      <c r="B1431" t="s">
        <v>127</v>
      </c>
      <c r="C1431" t="s">
        <v>14</v>
      </c>
      <c r="D1431" t="s">
        <v>15</v>
      </c>
      <c r="E1431" t="s">
        <v>33</v>
      </c>
      <c r="F1431" t="s">
        <v>24</v>
      </c>
      <c r="G1431" t="s">
        <v>50</v>
      </c>
      <c r="H1431" t="s">
        <v>527</v>
      </c>
      <c r="I1431">
        <v>5</v>
      </c>
      <c r="J1431" t="s">
        <v>55</v>
      </c>
      <c r="K1431" t="str">
        <f t="shared" si="22"/>
        <v>34300</v>
      </c>
      <c r="L1431">
        <v>2273004.89</v>
      </c>
      <c r="M1431">
        <v>0</v>
      </c>
      <c r="N1431">
        <v>0</v>
      </c>
      <c r="O1431">
        <v>0</v>
      </c>
      <c r="P1431" s="8">
        <v>2273004.89</v>
      </c>
    </row>
    <row r="1432" spans="1:16">
      <c r="A1432" s="1">
        <v>44743</v>
      </c>
      <c r="B1432" t="s">
        <v>127</v>
      </c>
      <c r="C1432" t="s">
        <v>14</v>
      </c>
      <c r="D1432" t="s">
        <v>15</v>
      </c>
      <c r="E1432" t="s">
        <v>33</v>
      </c>
      <c r="F1432" t="s">
        <v>24</v>
      </c>
      <c r="G1432" t="s">
        <v>50</v>
      </c>
      <c r="H1432" t="s">
        <v>527</v>
      </c>
      <c r="I1432">
        <v>5</v>
      </c>
      <c r="J1432" t="s">
        <v>56</v>
      </c>
      <c r="K1432" t="str">
        <f t="shared" si="22"/>
        <v>34410</v>
      </c>
      <c r="L1432">
        <v>369678234.14999998</v>
      </c>
      <c r="M1432">
        <v>0</v>
      </c>
      <c r="N1432">
        <v>0</v>
      </c>
      <c r="O1432">
        <v>0</v>
      </c>
      <c r="P1432" s="8">
        <v>369678234.14999998</v>
      </c>
    </row>
    <row r="1433" spans="1:16">
      <c r="A1433" s="1">
        <v>44743</v>
      </c>
      <c r="B1433" t="s">
        <v>127</v>
      </c>
      <c r="C1433" t="s">
        <v>14</v>
      </c>
      <c r="D1433" t="s">
        <v>15</v>
      </c>
      <c r="E1433" t="s">
        <v>33</v>
      </c>
      <c r="F1433" t="s">
        <v>24</v>
      </c>
      <c r="G1433" t="s">
        <v>50</v>
      </c>
      <c r="H1433" t="s">
        <v>527</v>
      </c>
      <c r="I1433">
        <v>5</v>
      </c>
      <c r="J1433" t="s">
        <v>57</v>
      </c>
      <c r="K1433" t="str">
        <f t="shared" si="22"/>
        <v>34500</v>
      </c>
      <c r="L1433">
        <v>18688151.120000001</v>
      </c>
      <c r="M1433">
        <v>0</v>
      </c>
      <c r="N1433">
        <v>0</v>
      </c>
      <c r="O1433">
        <v>0</v>
      </c>
      <c r="P1433" s="8">
        <v>18688151.120000001</v>
      </c>
    </row>
    <row r="1434" spans="1:16">
      <c r="A1434" s="1">
        <v>44743</v>
      </c>
      <c r="B1434" t="s">
        <v>127</v>
      </c>
      <c r="C1434" t="s">
        <v>14</v>
      </c>
      <c r="D1434" t="s">
        <v>15</v>
      </c>
      <c r="E1434" t="s">
        <v>33</v>
      </c>
      <c r="F1434" t="s">
        <v>24</v>
      </c>
      <c r="G1434" t="s">
        <v>50</v>
      </c>
      <c r="H1434" t="s">
        <v>527</v>
      </c>
      <c r="I1434">
        <v>5</v>
      </c>
      <c r="J1434" t="s">
        <v>58</v>
      </c>
      <c r="K1434" t="str">
        <f t="shared" si="22"/>
        <v>34600</v>
      </c>
      <c r="L1434">
        <v>2704470.7199999997</v>
      </c>
      <c r="M1434">
        <v>0</v>
      </c>
      <c r="N1434">
        <v>0</v>
      </c>
      <c r="O1434">
        <v>0</v>
      </c>
      <c r="P1434" s="8">
        <v>2704470.7199999997</v>
      </c>
    </row>
    <row r="1435" spans="1:16">
      <c r="A1435" s="1">
        <v>44743</v>
      </c>
      <c r="B1435" t="s">
        <v>127</v>
      </c>
      <c r="C1435" t="s">
        <v>14</v>
      </c>
      <c r="D1435" t="s">
        <v>15</v>
      </c>
      <c r="E1435" t="s">
        <v>33</v>
      </c>
      <c r="F1435" t="s">
        <v>17</v>
      </c>
      <c r="G1435" t="s">
        <v>50</v>
      </c>
      <c r="H1435" t="s">
        <v>527</v>
      </c>
      <c r="I1435">
        <v>5</v>
      </c>
      <c r="J1435" t="s">
        <v>51</v>
      </c>
      <c r="K1435" t="str">
        <f t="shared" si="22"/>
        <v>34001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>
      <c r="A1436" s="1">
        <v>44743</v>
      </c>
      <c r="B1436" t="s">
        <v>127</v>
      </c>
      <c r="C1436" t="s">
        <v>14</v>
      </c>
      <c r="D1436" t="s">
        <v>15</v>
      </c>
      <c r="E1436" t="s">
        <v>33</v>
      </c>
      <c r="F1436" t="s">
        <v>17</v>
      </c>
      <c r="G1436" t="s">
        <v>50</v>
      </c>
      <c r="H1436" t="s">
        <v>527</v>
      </c>
      <c r="I1436">
        <v>5</v>
      </c>
      <c r="J1436" t="s">
        <v>120</v>
      </c>
      <c r="K1436" t="str">
        <f t="shared" si="22"/>
        <v>34002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>
      <c r="A1437" s="1">
        <v>44743</v>
      </c>
      <c r="B1437" t="s">
        <v>127</v>
      </c>
      <c r="C1437" t="s">
        <v>14</v>
      </c>
      <c r="D1437" t="s">
        <v>15</v>
      </c>
      <c r="E1437" t="s">
        <v>33</v>
      </c>
      <c r="F1437" t="s">
        <v>17</v>
      </c>
      <c r="G1437" t="s">
        <v>50</v>
      </c>
      <c r="H1437" t="s">
        <v>527</v>
      </c>
      <c r="I1437">
        <v>5</v>
      </c>
      <c r="J1437" t="s">
        <v>53</v>
      </c>
      <c r="K1437" t="str">
        <f t="shared" si="22"/>
        <v>34100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1:16">
      <c r="A1438" s="1">
        <v>44743</v>
      </c>
      <c r="B1438" t="s">
        <v>127</v>
      </c>
      <c r="C1438" t="s">
        <v>14</v>
      </c>
      <c r="D1438" t="s">
        <v>15</v>
      </c>
      <c r="E1438" t="s">
        <v>33</v>
      </c>
      <c r="F1438" t="s">
        <v>17</v>
      </c>
      <c r="G1438" t="s">
        <v>50</v>
      </c>
      <c r="H1438" t="s">
        <v>527</v>
      </c>
      <c r="I1438">
        <v>5</v>
      </c>
      <c r="J1438" t="s">
        <v>54</v>
      </c>
      <c r="K1438" t="str">
        <f t="shared" si="22"/>
        <v>34200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>
      <c r="A1439" s="1">
        <v>44743</v>
      </c>
      <c r="B1439" t="s">
        <v>127</v>
      </c>
      <c r="C1439" t="s">
        <v>14</v>
      </c>
      <c r="D1439" t="s">
        <v>15</v>
      </c>
      <c r="E1439" t="s">
        <v>33</v>
      </c>
      <c r="F1439" t="s">
        <v>17</v>
      </c>
      <c r="G1439" t="s">
        <v>50</v>
      </c>
      <c r="H1439" t="s">
        <v>527</v>
      </c>
      <c r="I1439">
        <v>5</v>
      </c>
      <c r="J1439" t="s">
        <v>55</v>
      </c>
      <c r="K1439" t="str">
        <f t="shared" si="22"/>
        <v>34300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1:16">
      <c r="A1440" s="1">
        <v>44743</v>
      </c>
      <c r="B1440" t="s">
        <v>127</v>
      </c>
      <c r="C1440" t="s">
        <v>14</v>
      </c>
      <c r="D1440" t="s">
        <v>15</v>
      </c>
      <c r="E1440" t="s">
        <v>33</v>
      </c>
      <c r="F1440" t="s">
        <v>17</v>
      </c>
      <c r="G1440" t="s">
        <v>50</v>
      </c>
      <c r="H1440" t="s">
        <v>527</v>
      </c>
      <c r="I1440">
        <v>5</v>
      </c>
      <c r="J1440" t="s">
        <v>56</v>
      </c>
      <c r="K1440" t="str">
        <f t="shared" si="22"/>
        <v>34410</v>
      </c>
      <c r="L1440">
        <v>612112.51</v>
      </c>
      <c r="M1440">
        <v>0</v>
      </c>
      <c r="N1440">
        <v>0</v>
      </c>
      <c r="O1440">
        <v>0</v>
      </c>
      <c r="P1440">
        <v>612112.51</v>
      </c>
    </row>
    <row r="1441" spans="1:16">
      <c r="A1441" s="1">
        <v>44743</v>
      </c>
      <c r="B1441" t="s">
        <v>127</v>
      </c>
      <c r="C1441" t="s">
        <v>14</v>
      </c>
      <c r="D1441" t="s">
        <v>15</v>
      </c>
      <c r="E1441" t="s">
        <v>33</v>
      </c>
      <c r="F1441" t="s">
        <v>17</v>
      </c>
      <c r="G1441" t="s">
        <v>50</v>
      </c>
      <c r="H1441" t="s">
        <v>527</v>
      </c>
      <c r="I1441">
        <v>5</v>
      </c>
      <c r="J1441" t="s">
        <v>57</v>
      </c>
      <c r="K1441" t="str">
        <f t="shared" si="22"/>
        <v>34500</v>
      </c>
      <c r="L1441">
        <v>0</v>
      </c>
      <c r="M1441">
        <v>120538.3</v>
      </c>
      <c r="N1441">
        <v>0</v>
      </c>
      <c r="O1441">
        <v>0</v>
      </c>
      <c r="P1441">
        <v>120538.3</v>
      </c>
    </row>
    <row r="1442" spans="1:16">
      <c r="A1442" s="1">
        <v>44743</v>
      </c>
      <c r="B1442" t="s">
        <v>127</v>
      </c>
      <c r="C1442" t="s">
        <v>14</v>
      </c>
      <c r="D1442" t="s">
        <v>15</v>
      </c>
      <c r="E1442" t="s">
        <v>33</v>
      </c>
      <c r="F1442" t="s">
        <v>17</v>
      </c>
      <c r="G1442" t="s">
        <v>50</v>
      </c>
      <c r="H1442" t="s">
        <v>527</v>
      </c>
      <c r="I1442">
        <v>5</v>
      </c>
      <c r="J1442" t="s">
        <v>58</v>
      </c>
      <c r="K1442" t="str">
        <f t="shared" si="22"/>
        <v>34600</v>
      </c>
      <c r="L1442">
        <v>0</v>
      </c>
      <c r="M1442">
        <v>19908.78</v>
      </c>
      <c r="N1442">
        <v>0</v>
      </c>
      <c r="O1442">
        <v>0</v>
      </c>
      <c r="P1442">
        <v>19908.78</v>
      </c>
    </row>
    <row r="1443" spans="1:16">
      <c r="A1443" s="1">
        <v>44774</v>
      </c>
      <c r="B1443" t="s">
        <v>126</v>
      </c>
      <c r="C1443" t="s">
        <v>14</v>
      </c>
      <c r="D1443" t="s">
        <v>15</v>
      </c>
      <c r="E1443" t="s">
        <v>33</v>
      </c>
      <c r="F1443" t="s">
        <v>24</v>
      </c>
      <c r="G1443" t="s">
        <v>50</v>
      </c>
      <c r="H1443" t="s">
        <v>527</v>
      </c>
      <c r="I1443">
        <v>5</v>
      </c>
      <c r="J1443" t="s">
        <v>51</v>
      </c>
      <c r="K1443" t="str">
        <f t="shared" si="22"/>
        <v>34001</v>
      </c>
      <c r="L1443">
        <v>207692.38</v>
      </c>
      <c r="M1443">
        <v>0</v>
      </c>
      <c r="N1443">
        <v>0</v>
      </c>
      <c r="O1443">
        <v>0</v>
      </c>
      <c r="P1443" s="8">
        <v>207692.38</v>
      </c>
    </row>
    <row r="1444" spans="1:16">
      <c r="A1444" s="1">
        <v>44774</v>
      </c>
      <c r="B1444" t="s">
        <v>126</v>
      </c>
      <c r="C1444" t="s">
        <v>14</v>
      </c>
      <c r="D1444" t="s">
        <v>15</v>
      </c>
      <c r="E1444" t="s">
        <v>33</v>
      </c>
      <c r="F1444" t="s">
        <v>24</v>
      </c>
      <c r="G1444" t="s">
        <v>50</v>
      </c>
      <c r="H1444" t="s">
        <v>527</v>
      </c>
      <c r="I1444">
        <v>5</v>
      </c>
      <c r="J1444" t="s">
        <v>52</v>
      </c>
      <c r="K1444" t="str">
        <f t="shared" si="22"/>
        <v>34003</v>
      </c>
      <c r="L1444">
        <v>6229050.5499999998</v>
      </c>
      <c r="M1444">
        <v>0</v>
      </c>
      <c r="N1444">
        <v>0</v>
      </c>
      <c r="O1444">
        <v>0</v>
      </c>
      <c r="P1444" s="8">
        <v>6229050.5499999998</v>
      </c>
    </row>
    <row r="1445" spans="1:16">
      <c r="A1445" s="1">
        <v>44774</v>
      </c>
      <c r="B1445" t="s">
        <v>126</v>
      </c>
      <c r="C1445" t="s">
        <v>14</v>
      </c>
      <c r="D1445" t="s">
        <v>15</v>
      </c>
      <c r="E1445" t="s">
        <v>33</v>
      </c>
      <c r="F1445" t="s">
        <v>24</v>
      </c>
      <c r="G1445" t="s">
        <v>50</v>
      </c>
      <c r="H1445" t="s">
        <v>527</v>
      </c>
      <c r="I1445">
        <v>5</v>
      </c>
      <c r="J1445" t="s">
        <v>53</v>
      </c>
      <c r="K1445" t="str">
        <f t="shared" si="22"/>
        <v>34100</v>
      </c>
      <c r="L1445">
        <v>14759041.57</v>
      </c>
      <c r="M1445">
        <v>0</v>
      </c>
      <c r="N1445">
        <v>0</v>
      </c>
      <c r="O1445">
        <v>0</v>
      </c>
      <c r="P1445" s="8">
        <v>14759041.57</v>
      </c>
    </row>
    <row r="1446" spans="1:16">
      <c r="A1446" s="1">
        <v>44774</v>
      </c>
      <c r="B1446" t="s">
        <v>126</v>
      </c>
      <c r="C1446" t="s">
        <v>14</v>
      </c>
      <c r="D1446" t="s">
        <v>15</v>
      </c>
      <c r="E1446" t="s">
        <v>33</v>
      </c>
      <c r="F1446" t="s">
        <v>24</v>
      </c>
      <c r="G1446" t="s">
        <v>50</v>
      </c>
      <c r="H1446" t="s">
        <v>527</v>
      </c>
      <c r="I1446">
        <v>5</v>
      </c>
      <c r="J1446" t="s">
        <v>54</v>
      </c>
      <c r="K1446" t="str">
        <f t="shared" si="22"/>
        <v>34200</v>
      </c>
      <c r="L1446">
        <v>9115499.1500000004</v>
      </c>
      <c r="M1446">
        <v>0</v>
      </c>
      <c r="N1446">
        <v>0</v>
      </c>
      <c r="O1446">
        <v>0</v>
      </c>
      <c r="P1446" s="8">
        <v>9115499.1500000004</v>
      </c>
    </row>
    <row r="1447" spans="1:16">
      <c r="A1447" s="1">
        <v>44774</v>
      </c>
      <c r="B1447" t="s">
        <v>126</v>
      </c>
      <c r="C1447" t="s">
        <v>14</v>
      </c>
      <c r="D1447" t="s">
        <v>15</v>
      </c>
      <c r="E1447" t="s">
        <v>33</v>
      </c>
      <c r="F1447" t="s">
        <v>24</v>
      </c>
      <c r="G1447" t="s">
        <v>50</v>
      </c>
      <c r="H1447" t="s">
        <v>527</v>
      </c>
      <c r="I1447">
        <v>5</v>
      </c>
      <c r="J1447" t="s">
        <v>55</v>
      </c>
      <c r="K1447" t="str">
        <f t="shared" si="22"/>
        <v>34300</v>
      </c>
      <c r="L1447">
        <v>2273004.89</v>
      </c>
      <c r="M1447">
        <v>0</v>
      </c>
      <c r="N1447">
        <v>0</v>
      </c>
      <c r="O1447">
        <v>0</v>
      </c>
      <c r="P1447" s="8">
        <v>2273004.89</v>
      </c>
    </row>
    <row r="1448" spans="1:16">
      <c r="A1448" s="1">
        <v>44774</v>
      </c>
      <c r="B1448" t="s">
        <v>126</v>
      </c>
      <c r="C1448" t="s">
        <v>14</v>
      </c>
      <c r="D1448" t="s">
        <v>15</v>
      </c>
      <c r="E1448" t="s">
        <v>33</v>
      </c>
      <c r="F1448" t="s">
        <v>24</v>
      </c>
      <c r="G1448" t="s">
        <v>50</v>
      </c>
      <c r="H1448" t="s">
        <v>527</v>
      </c>
      <c r="I1448">
        <v>5</v>
      </c>
      <c r="J1448" t="s">
        <v>56</v>
      </c>
      <c r="K1448" t="str">
        <f t="shared" si="22"/>
        <v>34410</v>
      </c>
      <c r="L1448">
        <v>369678234.14999998</v>
      </c>
      <c r="M1448">
        <v>0</v>
      </c>
      <c r="N1448">
        <v>0</v>
      </c>
      <c r="O1448">
        <v>0</v>
      </c>
      <c r="P1448" s="8">
        <v>369678234.14999998</v>
      </c>
    </row>
    <row r="1449" spans="1:16">
      <c r="A1449" s="1">
        <v>44774</v>
      </c>
      <c r="B1449" t="s">
        <v>126</v>
      </c>
      <c r="C1449" t="s">
        <v>14</v>
      </c>
      <c r="D1449" t="s">
        <v>15</v>
      </c>
      <c r="E1449" t="s">
        <v>33</v>
      </c>
      <c r="F1449" t="s">
        <v>24</v>
      </c>
      <c r="G1449" t="s">
        <v>50</v>
      </c>
      <c r="H1449" t="s">
        <v>527</v>
      </c>
      <c r="I1449">
        <v>5</v>
      </c>
      <c r="J1449" t="s">
        <v>57</v>
      </c>
      <c r="K1449" t="str">
        <f t="shared" si="22"/>
        <v>34500</v>
      </c>
      <c r="L1449">
        <v>18688151.120000001</v>
      </c>
      <c r="M1449">
        <v>0</v>
      </c>
      <c r="N1449">
        <v>0</v>
      </c>
      <c r="O1449">
        <v>0</v>
      </c>
      <c r="P1449" s="8">
        <v>18688151.120000001</v>
      </c>
    </row>
    <row r="1450" spans="1:16">
      <c r="A1450" s="1">
        <v>44774</v>
      </c>
      <c r="B1450" t="s">
        <v>126</v>
      </c>
      <c r="C1450" t="s">
        <v>14</v>
      </c>
      <c r="D1450" t="s">
        <v>15</v>
      </c>
      <c r="E1450" t="s">
        <v>33</v>
      </c>
      <c r="F1450" t="s">
        <v>24</v>
      </c>
      <c r="G1450" t="s">
        <v>50</v>
      </c>
      <c r="H1450" t="s">
        <v>527</v>
      </c>
      <c r="I1450">
        <v>5</v>
      </c>
      <c r="J1450" t="s">
        <v>58</v>
      </c>
      <c r="K1450" t="str">
        <f t="shared" si="22"/>
        <v>34600</v>
      </c>
      <c r="L1450">
        <v>2704470.7199999997</v>
      </c>
      <c r="M1450">
        <v>0</v>
      </c>
      <c r="N1450">
        <v>0</v>
      </c>
      <c r="O1450">
        <v>0</v>
      </c>
      <c r="P1450" s="8">
        <v>2704470.7199999997</v>
      </c>
    </row>
    <row r="1451" spans="1:16">
      <c r="A1451" s="1">
        <v>44774</v>
      </c>
      <c r="B1451" t="s">
        <v>126</v>
      </c>
      <c r="C1451" t="s">
        <v>14</v>
      </c>
      <c r="D1451" t="s">
        <v>15</v>
      </c>
      <c r="E1451" t="s">
        <v>33</v>
      </c>
      <c r="F1451" t="s">
        <v>17</v>
      </c>
      <c r="G1451" t="s">
        <v>50</v>
      </c>
      <c r="H1451" t="s">
        <v>527</v>
      </c>
      <c r="I1451">
        <v>5</v>
      </c>
      <c r="J1451" t="s">
        <v>51</v>
      </c>
      <c r="K1451" t="str">
        <f t="shared" si="22"/>
        <v>34001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>
      <c r="A1452" s="1">
        <v>44774</v>
      </c>
      <c r="B1452" t="s">
        <v>126</v>
      </c>
      <c r="C1452" t="s">
        <v>14</v>
      </c>
      <c r="D1452" t="s">
        <v>15</v>
      </c>
      <c r="E1452" t="s">
        <v>33</v>
      </c>
      <c r="F1452" t="s">
        <v>17</v>
      </c>
      <c r="G1452" t="s">
        <v>50</v>
      </c>
      <c r="H1452" t="s">
        <v>527</v>
      </c>
      <c r="I1452">
        <v>5</v>
      </c>
      <c r="J1452" t="s">
        <v>120</v>
      </c>
      <c r="K1452" t="str">
        <f t="shared" si="22"/>
        <v>34002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>
      <c r="A1453" s="1">
        <v>44774</v>
      </c>
      <c r="B1453" t="s">
        <v>126</v>
      </c>
      <c r="C1453" t="s">
        <v>14</v>
      </c>
      <c r="D1453" t="s">
        <v>15</v>
      </c>
      <c r="E1453" t="s">
        <v>33</v>
      </c>
      <c r="F1453" t="s">
        <v>17</v>
      </c>
      <c r="G1453" t="s">
        <v>50</v>
      </c>
      <c r="H1453" t="s">
        <v>527</v>
      </c>
      <c r="I1453">
        <v>5</v>
      </c>
      <c r="J1453" t="s">
        <v>53</v>
      </c>
      <c r="K1453" t="str">
        <f t="shared" si="22"/>
        <v>34100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1:16">
      <c r="A1454" s="1">
        <v>44774</v>
      </c>
      <c r="B1454" t="s">
        <v>126</v>
      </c>
      <c r="C1454" t="s">
        <v>14</v>
      </c>
      <c r="D1454" t="s">
        <v>15</v>
      </c>
      <c r="E1454" t="s">
        <v>33</v>
      </c>
      <c r="F1454" t="s">
        <v>17</v>
      </c>
      <c r="G1454" t="s">
        <v>50</v>
      </c>
      <c r="H1454" t="s">
        <v>527</v>
      </c>
      <c r="I1454">
        <v>5</v>
      </c>
      <c r="J1454" t="s">
        <v>54</v>
      </c>
      <c r="K1454" t="str">
        <f t="shared" si="22"/>
        <v>34200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1:16">
      <c r="A1455" s="1">
        <v>44774</v>
      </c>
      <c r="B1455" t="s">
        <v>126</v>
      </c>
      <c r="C1455" t="s">
        <v>14</v>
      </c>
      <c r="D1455" t="s">
        <v>15</v>
      </c>
      <c r="E1455" t="s">
        <v>33</v>
      </c>
      <c r="F1455" t="s">
        <v>17</v>
      </c>
      <c r="G1455" t="s">
        <v>50</v>
      </c>
      <c r="H1455" t="s">
        <v>527</v>
      </c>
      <c r="I1455">
        <v>5</v>
      </c>
      <c r="J1455" t="s">
        <v>55</v>
      </c>
      <c r="K1455" t="str">
        <f t="shared" si="22"/>
        <v>34300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1:16">
      <c r="A1456" s="1">
        <v>44774</v>
      </c>
      <c r="B1456" t="s">
        <v>126</v>
      </c>
      <c r="C1456" t="s">
        <v>14</v>
      </c>
      <c r="D1456" t="s">
        <v>15</v>
      </c>
      <c r="E1456" t="s">
        <v>33</v>
      </c>
      <c r="F1456" t="s">
        <v>17</v>
      </c>
      <c r="G1456" t="s">
        <v>50</v>
      </c>
      <c r="H1456" t="s">
        <v>527</v>
      </c>
      <c r="I1456">
        <v>5</v>
      </c>
      <c r="J1456" t="s">
        <v>56</v>
      </c>
      <c r="K1456" t="str">
        <f t="shared" si="22"/>
        <v>34410</v>
      </c>
      <c r="L1456">
        <v>612112.51</v>
      </c>
      <c r="M1456">
        <v>0</v>
      </c>
      <c r="N1456">
        <v>0</v>
      </c>
      <c r="O1456">
        <v>0</v>
      </c>
      <c r="P1456">
        <v>612112.51</v>
      </c>
    </row>
    <row r="1457" spans="1:16">
      <c r="A1457" s="1">
        <v>44774</v>
      </c>
      <c r="B1457" t="s">
        <v>126</v>
      </c>
      <c r="C1457" t="s">
        <v>14</v>
      </c>
      <c r="D1457" t="s">
        <v>15</v>
      </c>
      <c r="E1457" t="s">
        <v>33</v>
      </c>
      <c r="F1457" t="s">
        <v>17</v>
      </c>
      <c r="G1457" t="s">
        <v>50</v>
      </c>
      <c r="H1457" t="s">
        <v>527</v>
      </c>
      <c r="I1457">
        <v>5</v>
      </c>
      <c r="J1457" t="s">
        <v>57</v>
      </c>
      <c r="K1457" t="str">
        <f t="shared" si="22"/>
        <v>34500</v>
      </c>
      <c r="L1457">
        <v>120538.3</v>
      </c>
      <c r="M1457">
        <v>0</v>
      </c>
      <c r="N1457">
        <v>0</v>
      </c>
      <c r="O1457">
        <v>0</v>
      </c>
      <c r="P1457">
        <v>120538.3</v>
      </c>
    </row>
    <row r="1458" spans="1:16">
      <c r="A1458" s="1">
        <v>44774</v>
      </c>
      <c r="B1458" t="s">
        <v>126</v>
      </c>
      <c r="C1458" t="s">
        <v>14</v>
      </c>
      <c r="D1458" t="s">
        <v>15</v>
      </c>
      <c r="E1458" t="s">
        <v>33</v>
      </c>
      <c r="F1458" t="s">
        <v>17</v>
      </c>
      <c r="G1458" t="s">
        <v>50</v>
      </c>
      <c r="H1458" t="s">
        <v>527</v>
      </c>
      <c r="I1458">
        <v>5</v>
      </c>
      <c r="J1458" t="s">
        <v>58</v>
      </c>
      <c r="K1458" t="str">
        <f t="shared" si="22"/>
        <v>34600</v>
      </c>
      <c r="L1458">
        <v>19908.78</v>
      </c>
      <c r="M1458">
        <v>0</v>
      </c>
      <c r="N1458">
        <v>0</v>
      </c>
      <c r="O1458">
        <v>0</v>
      </c>
      <c r="P1458">
        <v>19908.78</v>
      </c>
    </row>
    <row r="1459" spans="1:16">
      <c r="A1459" s="1">
        <v>44805</v>
      </c>
      <c r="B1459" t="s">
        <v>125</v>
      </c>
      <c r="C1459" t="s">
        <v>14</v>
      </c>
      <c r="D1459" t="s">
        <v>15</v>
      </c>
      <c r="E1459" t="s">
        <v>33</v>
      </c>
      <c r="F1459" t="s">
        <v>24</v>
      </c>
      <c r="G1459" t="s">
        <v>50</v>
      </c>
      <c r="H1459" t="s">
        <v>527</v>
      </c>
      <c r="I1459">
        <v>5</v>
      </c>
      <c r="J1459" t="s">
        <v>51</v>
      </c>
      <c r="K1459" t="str">
        <f t="shared" si="22"/>
        <v>34001</v>
      </c>
      <c r="L1459">
        <v>207692.38</v>
      </c>
      <c r="M1459">
        <v>0</v>
      </c>
      <c r="N1459">
        <v>0</v>
      </c>
      <c r="O1459">
        <v>0</v>
      </c>
      <c r="P1459" s="8">
        <v>207692.38</v>
      </c>
    </row>
    <row r="1460" spans="1:16">
      <c r="A1460" s="1">
        <v>44805</v>
      </c>
      <c r="B1460" t="s">
        <v>125</v>
      </c>
      <c r="C1460" t="s">
        <v>14</v>
      </c>
      <c r="D1460" t="s">
        <v>15</v>
      </c>
      <c r="E1460" t="s">
        <v>33</v>
      </c>
      <c r="F1460" t="s">
        <v>24</v>
      </c>
      <c r="G1460" t="s">
        <v>50</v>
      </c>
      <c r="H1460" t="s">
        <v>527</v>
      </c>
      <c r="I1460">
        <v>5</v>
      </c>
      <c r="J1460" t="s">
        <v>52</v>
      </c>
      <c r="K1460" t="str">
        <f t="shared" si="22"/>
        <v>34003</v>
      </c>
      <c r="L1460">
        <v>6229050.5499999998</v>
      </c>
      <c r="M1460">
        <v>0</v>
      </c>
      <c r="N1460">
        <v>0</v>
      </c>
      <c r="O1460">
        <v>0</v>
      </c>
      <c r="P1460" s="8">
        <v>6229050.5499999998</v>
      </c>
    </row>
    <row r="1461" spans="1:16">
      <c r="A1461" s="1">
        <v>44805</v>
      </c>
      <c r="B1461" t="s">
        <v>125</v>
      </c>
      <c r="C1461" t="s">
        <v>14</v>
      </c>
      <c r="D1461" t="s">
        <v>15</v>
      </c>
      <c r="E1461" t="s">
        <v>33</v>
      </c>
      <c r="F1461" t="s">
        <v>24</v>
      </c>
      <c r="G1461" t="s">
        <v>50</v>
      </c>
      <c r="H1461" t="s">
        <v>527</v>
      </c>
      <c r="I1461">
        <v>5</v>
      </c>
      <c r="J1461" t="s">
        <v>53</v>
      </c>
      <c r="K1461" t="str">
        <f t="shared" si="22"/>
        <v>34100</v>
      </c>
      <c r="L1461">
        <v>14759041.57</v>
      </c>
      <c r="M1461">
        <v>0</v>
      </c>
      <c r="N1461">
        <v>0</v>
      </c>
      <c r="O1461">
        <v>0</v>
      </c>
      <c r="P1461" s="8">
        <v>14759041.57</v>
      </c>
    </row>
    <row r="1462" spans="1:16">
      <c r="A1462" s="1">
        <v>44805</v>
      </c>
      <c r="B1462" t="s">
        <v>125</v>
      </c>
      <c r="C1462" t="s">
        <v>14</v>
      </c>
      <c r="D1462" t="s">
        <v>15</v>
      </c>
      <c r="E1462" t="s">
        <v>33</v>
      </c>
      <c r="F1462" t="s">
        <v>24</v>
      </c>
      <c r="G1462" t="s">
        <v>50</v>
      </c>
      <c r="H1462" t="s">
        <v>527</v>
      </c>
      <c r="I1462">
        <v>5</v>
      </c>
      <c r="J1462" t="s">
        <v>54</v>
      </c>
      <c r="K1462" t="str">
        <f t="shared" si="22"/>
        <v>34200</v>
      </c>
      <c r="L1462">
        <v>9115499.1500000004</v>
      </c>
      <c r="M1462">
        <v>0</v>
      </c>
      <c r="N1462">
        <v>0</v>
      </c>
      <c r="O1462">
        <v>0</v>
      </c>
      <c r="P1462" s="8">
        <v>9115499.1500000004</v>
      </c>
    </row>
    <row r="1463" spans="1:16">
      <c r="A1463" s="1">
        <v>44805</v>
      </c>
      <c r="B1463" t="s">
        <v>125</v>
      </c>
      <c r="C1463" t="s">
        <v>14</v>
      </c>
      <c r="D1463" t="s">
        <v>15</v>
      </c>
      <c r="E1463" t="s">
        <v>33</v>
      </c>
      <c r="F1463" t="s">
        <v>24</v>
      </c>
      <c r="G1463" t="s">
        <v>50</v>
      </c>
      <c r="H1463" t="s">
        <v>527</v>
      </c>
      <c r="I1463">
        <v>5</v>
      </c>
      <c r="J1463" t="s">
        <v>55</v>
      </c>
      <c r="K1463" t="str">
        <f t="shared" si="22"/>
        <v>34300</v>
      </c>
      <c r="L1463">
        <v>2273004.89</v>
      </c>
      <c r="M1463">
        <v>0</v>
      </c>
      <c r="N1463">
        <v>0</v>
      </c>
      <c r="O1463">
        <v>0</v>
      </c>
      <c r="P1463" s="8">
        <v>2273004.89</v>
      </c>
    </row>
    <row r="1464" spans="1:16">
      <c r="A1464" s="1">
        <v>44805</v>
      </c>
      <c r="B1464" t="s">
        <v>125</v>
      </c>
      <c r="C1464" t="s">
        <v>14</v>
      </c>
      <c r="D1464" t="s">
        <v>15</v>
      </c>
      <c r="E1464" t="s">
        <v>33</v>
      </c>
      <c r="F1464" t="s">
        <v>24</v>
      </c>
      <c r="G1464" t="s">
        <v>50</v>
      </c>
      <c r="H1464" t="s">
        <v>527</v>
      </c>
      <c r="I1464">
        <v>5</v>
      </c>
      <c r="J1464" t="s">
        <v>56</v>
      </c>
      <c r="K1464" t="str">
        <f t="shared" si="22"/>
        <v>34410</v>
      </c>
      <c r="L1464">
        <v>369678234.14999998</v>
      </c>
      <c r="M1464">
        <v>535445.86</v>
      </c>
      <c r="N1464">
        <v>-10000</v>
      </c>
      <c r="O1464">
        <v>0</v>
      </c>
      <c r="P1464" s="8">
        <v>370203680.00999999</v>
      </c>
    </row>
    <row r="1465" spans="1:16">
      <c r="A1465" s="1">
        <v>44805</v>
      </c>
      <c r="B1465" t="s">
        <v>125</v>
      </c>
      <c r="C1465" t="s">
        <v>14</v>
      </c>
      <c r="D1465" t="s">
        <v>15</v>
      </c>
      <c r="E1465" t="s">
        <v>33</v>
      </c>
      <c r="F1465" t="s">
        <v>24</v>
      </c>
      <c r="G1465" t="s">
        <v>50</v>
      </c>
      <c r="H1465" t="s">
        <v>527</v>
      </c>
      <c r="I1465">
        <v>5</v>
      </c>
      <c r="J1465" t="s">
        <v>57</v>
      </c>
      <c r="K1465" t="str">
        <f t="shared" si="22"/>
        <v>34500</v>
      </c>
      <c r="L1465">
        <v>18688151.120000001</v>
      </c>
      <c r="M1465">
        <v>120538.3</v>
      </c>
      <c r="N1465">
        <v>-20000</v>
      </c>
      <c r="O1465">
        <v>0</v>
      </c>
      <c r="P1465" s="8">
        <v>18788689.420000002</v>
      </c>
    </row>
    <row r="1466" spans="1:16">
      <c r="A1466" s="1">
        <v>44805</v>
      </c>
      <c r="B1466" t="s">
        <v>125</v>
      </c>
      <c r="C1466" t="s">
        <v>14</v>
      </c>
      <c r="D1466" t="s">
        <v>15</v>
      </c>
      <c r="E1466" t="s">
        <v>33</v>
      </c>
      <c r="F1466" t="s">
        <v>24</v>
      </c>
      <c r="G1466" t="s">
        <v>50</v>
      </c>
      <c r="H1466" t="s">
        <v>527</v>
      </c>
      <c r="I1466">
        <v>5</v>
      </c>
      <c r="J1466" t="s">
        <v>58</v>
      </c>
      <c r="K1466" t="str">
        <f t="shared" si="22"/>
        <v>34600</v>
      </c>
      <c r="L1466">
        <v>2704470.7199999997</v>
      </c>
      <c r="M1466">
        <v>0</v>
      </c>
      <c r="N1466">
        <v>0</v>
      </c>
      <c r="O1466">
        <v>0</v>
      </c>
      <c r="P1466" s="8">
        <v>2704470.7199999997</v>
      </c>
    </row>
    <row r="1467" spans="1:16">
      <c r="A1467" s="1">
        <v>44805</v>
      </c>
      <c r="B1467" t="s">
        <v>125</v>
      </c>
      <c r="C1467" t="s">
        <v>14</v>
      </c>
      <c r="D1467" t="s">
        <v>15</v>
      </c>
      <c r="E1467" t="s">
        <v>33</v>
      </c>
      <c r="F1467" t="s">
        <v>17</v>
      </c>
      <c r="G1467" t="s">
        <v>50</v>
      </c>
      <c r="H1467" t="s">
        <v>527</v>
      </c>
      <c r="I1467">
        <v>5</v>
      </c>
      <c r="J1467" t="s">
        <v>51</v>
      </c>
      <c r="K1467" t="str">
        <f t="shared" si="22"/>
        <v>34001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1:16">
      <c r="A1468" s="1">
        <v>44805</v>
      </c>
      <c r="B1468" t="s">
        <v>125</v>
      </c>
      <c r="C1468" t="s">
        <v>14</v>
      </c>
      <c r="D1468" t="s">
        <v>15</v>
      </c>
      <c r="E1468" t="s">
        <v>33</v>
      </c>
      <c r="F1468" t="s">
        <v>17</v>
      </c>
      <c r="G1468" t="s">
        <v>50</v>
      </c>
      <c r="H1468" t="s">
        <v>527</v>
      </c>
      <c r="I1468">
        <v>5</v>
      </c>
      <c r="J1468" t="s">
        <v>120</v>
      </c>
      <c r="K1468" t="str">
        <f t="shared" si="22"/>
        <v>34002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1:16">
      <c r="A1469" s="1">
        <v>44805</v>
      </c>
      <c r="B1469" t="s">
        <v>125</v>
      </c>
      <c r="C1469" t="s">
        <v>14</v>
      </c>
      <c r="D1469" t="s">
        <v>15</v>
      </c>
      <c r="E1469" t="s">
        <v>33</v>
      </c>
      <c r="F1469" t="s">
        <v>17</v>
      </c>
      <c r="G1469" t="s">
        <v>50</v>
      </c>
      <c r="H1469" t="s">
        <v>527</v>
      </c>
      <c r="I1469">
        <v>5</v>
      </c>
      <c r="J1469" t="s">
        <v>53</v>
      </c>
      <c r="K1469" t="str">
        <f t="shared" si="22"/>
        <v>34100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1:16">
      <c r="A1470" s="1">
        <v>44805</v>
      </c>
      <c r="B1470" t="s">
        <v>125</v>
      </c>
      <c r="C1470" t="s">
        <v>14</v>
      </c>
      <c r="D1470" t="s">
        <v>15</v>
      </c>
      <c r="E1470" t="s">
        <v>33</v>
      </c>
      <c r="F1470" t="s">
        <v>17</v>
      </c>
      <c r="G1470" t="s">
        <v>50</v>
      </c>
      <c r="H1470" t="s">
        <v>527</v>
      </c>
      <c r="I1470">
        <v>5</v>
      </c>
      <c r="J1470" t="s">
        <v>54</v>
      </c>
      <c r="K1470" t="str">
        <f t="shared" si="22"/>
        <v>34200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1:16">
      <c r="A1471" s="1">
        <v>44805</v>
      </c>
      <c r="B1471" t="s">
        <v>125</v>
      </c>
      <c r="C1471" t="s">
        <v>14</v>
      </c>
      <c r="D1471" t="s">
        <v>15</v>
      </c>
      <c r="E1471" t="s">
        <v>33</v>
      </c>
      <c r="F1471" t="s">
        <v>17</v>
      </c>
      <c r="G1471" t="s">
        <v>50</v>
      </c>
      <c r="H1471" t="s">
        <v>527</v>
      </c>
      <c r="I1471">
        <v>5</v>
      </c>
      <c r="J1471" t="s">
        <v>55</v>
      </c>
      <c r="K1471" t="str">
        <f t="shared" si="22"/>
        <v>34300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1:16">
      <c r="A1472" s="1">
        <v>44805</v>
      </c>
      <c r="B1472" t="s">
        <v>125</v>
      </c>
      <c r="C1472" t="s">
        <v>14</v>
      </c>
      <c r="D1472" t="s">
        <v>15</v>
      </c>
      <c r="E1472" t="s">
        <v>33</v>
      </c>
      <c r="F1472" t="s">
        <v>17</v>
      </c>
      <c r="G1472" t="s">
        <v>50</v>
      </c>
      <c r="H1472" t="s">
        <v>527</v>
      </c>
      <c r="I1472">
        <v>5</v>
      </c>
      <c r="J1472" t="s">
        <v>56</v>
      </c>
      <c r="K1472" t="str">
        <f t="shared" si="22"/>
        <v>34410</v>
      </c>
      <c r="L1472">
        <v>612112.51</v>
      </c>
      <c r="M1472">
        <v>-535445.86</v>
      </c>
      <c r="N1472">
        <v>0</v>
      </c>
      <c r="O1472">
        <v>0</v>
      </c>
      <c r="P1472">
        <v>76666.650000000009</v>
      </c>
    </row>
    <row r="1473" spans="1:16">
      <c r="A1473" s="1">
        <v>44805</v>
      </c>
      <c r="B1473" t="s">
        <v>125</v>
      </c>
      <c r="C1473" t="s">
        <v>14</v>
      </c>
      <c r="D1473" t="s">
        <v>15</v>
      </c>
      <c r="E1473" t="s">
        <v>33</v>
      </c>
      <c r="F1473" t="s">
        <v>17</v>
      </c>
      <c r="G1473" t="s">
        <v>50</v>
      </c>
      <c r="H1473" t="s">
        <v>527</v>
      </c>
      <c r="I1473">
        <v>5</v>
      </c>
      <c r="J1473" t="s">
        <v>57</v>
      </c>
      <c r="K1473" t="str">
        <f t="shared" si="22"/>
        <v>34500</v>
      </c>
      <c r="L1473">
        <v>120538.3</v>
      </c>
      <c r="M1473">
        <v>-120538.3</v>
      </c>
      <c r="N1473">
        <v>0</v>
      </c>
      <c r="O1473">
        <v>0</v>
      </c>
      <c r="P1473">
        <v>0</v>
      </c>
    </row>
    <row r="1474" spans="1:16">
      <c r="A1474" s="1">
        <v>44805</v>
      </c>
      <c r="B1474" t="s">
        <v>125</v>
      </c>
      <c r="C1474" t="s">
        <v>14</v>
      </c>
      <c r="D1474" t="s">
        <v>15</v>
      </c>
      <c r="E1474" t="s">
        <v>33</v>
      </c>
      <c r="F1474" t="s">
        <v>17</v>
      </c>
      <c r="G1474" t="s">
        <v>50</v>
      </c>
      <c r="H1474" t="s">
        <v>527</v>
      </c>
      <c r="I1474">
        <v>5</v>
      </c>
      <c r="J1474" t="s">
        <v>58</v>
      </c>
      <c r="K1474" t="str">
        <f t="shared" ref="K1474:K1537" si="23">MID(J1474,2,5)</f>
        <v>34600</v>
      </c>
      <c r="L1474">
        <v>19908.78</v>
      </c>
      <c r="M1474">
        <v>0</v>
      </c>
      <c r="N1474">
        <v>0</v>
      </c>
      <c r="O1474">
        <v>0</v>
      </c>
      <c r="P1474">
        <v>19908.78</v>
      </c>
    </row>
    <row r="1475" spans="1:16">
      <c r="A1475" s="1">
        <v>44835</v>
      </c>
      <c r="B1475" t="s">
        <v>124</v>
      </c>
      <c r="C1475" t="s">
        <v>14</v>
      </c>
      <c r="D1475" t="s">
        <v>15</v>
      </c>
      <c r="E1475" t="s">
        <v>33</v>
      </c>
      <c r="F1475" t="s">
        <v>24</v>
      </c>
      <c r="G1475" t="s">
        <v>50</v>
      </c>
      <c r="H1475" t="s">
        <v>527</v>
      </c>
      <c r="I1475">
        <v>5</v>
      </c>
      <c r="J1475" t="s">
        <v>51</v>
      </c>
      <c r="K1475" t="str">
        <f t="shared" si="23"/>
        <v>34001</v>
      </c>
      <c r="L1475">
        <v>207692.38</v>
      </c>
      <c r="M1475">
        <v>0</v>
      </c>
      <c r="N1475">
        <v>0</v>
      </c>
      <c r="O1475">
        <v>0</v>
      </c>
      <c r="P1475" s="8">
        <v>207692.38</v>
      </c>
    </row>
    <row r="1476" spans="1:16">
      <c r="A1476" s="1">
        <v>44835</v>
      </c>
      <c r="B1476" t="s">
        <v>124</v>
      </c>
      <c r="C1476" t="s">
        <v>14</v>
      </c>
      <c r="D1476" t="s">
        <v>15</v>
      </c>
      <c r="E1476" t="s">
        <v>33</v>
      </c>
      <c r="F1476" t="s">
        <v>24</v>
      </c>
      <c r="G1476" t="s">
        <v>50</v>
      </c>
      <c r="H1476" t="s">
        <v>527</v>
      </c>
      <c r="I1476">
        <v>5</v>
      </c>
      <c r="J1476" t="s">
        <v>52</v>
      </c>
      <c r="K1476" t="str">
        <f t="shared" si="23"/>
        <v>34003</v>
      </c>
      <c r="L1476">
        <v>6229050.5499999998</v>
      </c>
      <c r="M1476">
        <v>0</v>
      </c>
      <c r="N1476">
        <v>0</v>
      </c>
      <c r="O1476">
        <v>0</v>
      </c>
      <c r="P1476" s="8">
        <v>6229050.5499999998</v>
      </c>
    </row>
    <row r="1477" spans="1:16">
      <c r="A1477" s="1">
        <v>44835</v>
      </c>
      <c r="B1477" t="s">
        <v>124</v>
      </c>
      <c r="C1477" t="s">
        <v>14</v>
      </c>
      <c r="D1477" t="s">
        <v>15</v>
      </c>
      <c r="E1477" t="s">
        <v>33</v>
      </c>
      <c r="F1477" t="s">
        <v>24</v>
      </c>
      <c r="G1477" t="s">
        <v>50</v>
      </c>
      <c r="H1477" t="s">
        <v>527</v>
      </c>
      <c r="I1477">
        <v>5</v>
      </c>
      <c r="J1477" t="s">
        <v>53</v>
      </c>
      <c r="K1477" t="str">
        <f t="shared" si="23"/>
        <v>34100</v>
      </c>
      <c r="L1477">
        <v>14759041.57</v>
      </c>
      <c r="M1477">
        <v>19908.78</v>
      </c>
      <c r="N1477">
        <v>0</v>
      </c>
      <c r="O1477">
        <v>0</v>
      </c>
      <c r="P1477" s="8">
        <v>14778950.35</v>
      </c>
    </row>
    <row r="1478" spans="1:16">
      <c r="A1478" s="1">
        <v>44835</v>
      </c>
      <c r="B1478" t="s">
        <v>124</v>
      </c>
      <c r="C1478" t="s">
        <v>14</v>
      </c>
      <c r="D1478" t="s">
        <v>15</v>
      </c>
      <c r="E1478" t="s">
        <v>33</v>
      </c>
      <c r="F1478" t="s">
        <v>24</v>
      </c>
      <c r="G1478" t="s">
        <v>50</v>
      </c>
      <c r="H1478" t="s">
        <v>527</v>
      </c>
      <c r="I1478">
        <v>5</v>
      </c>
      <c r="J1478" t="s">
        <v>54</v>
      </c>
      <c r="K1478" t="str">
        <f t="shared" si="23"/>
        <v>34200</v>
      </c>
      <c r="L1478">
        <v>9115499.1500000004</v>
      </c>
      <c r="M1478">
        <v>0</v>
      </c>
      <c r="N1478">
        <v>0</v>
      </c>
      <c r="O1478">
        <v>0</v>
      </c>
      <c r="P1478" s="8">
        <v>9115499.1500000004</v>
      </c>
    </row>
    <row r="1479" spans="1:16">
      <c r="A1479" s="1">
        <v>44835</v>
      </c>
      <c r="B1479" t="s">
        <v>124</v>
      </c>
      <c r="C1479" t="s">
        <v>14</v>
      </c>
      <c r="D1479" t="s">
        <v>15</v>
      </c>
      <c r="E1479" t="s">
        <v>33</v>
      </c>
      <c r="F1479" t="s">
        <v>24</v>
      </c>
      <c r="G1479" t="s">
        <v>50</v>
      </c>
      <c r="H1479" t="s">
        <v>527</v>
      </c>
      <c r="I1479">
        <v>5</v>
      </c>
      <c r="J1479" t="s">
        <v>55</v>
      </c>
      <c r="K1479" t="str">
        <f t="shared" si="23"/>
        <v>34300</v>
      </c>
      <c r="L1479">
        <v>2273004.89</v>
      </c>
      <c r="M1479">
        <v>0</v>
      </c>
      <c r="N1479">
        <v>0</v>
      </c>
      <c r="O1479">
        <v>0</v>
      </c>
      <c r="P1479" s="8">
        <v>2273004.89</v>
      </c>
    </row>
    <row r="1480" spans="1:16">
      <c r="A1480" s="1">
        <v>44835</v>
      </c>
      <c r="B1480" t="s">
        <v>124</v>
      </c>
      <c r="C1480" t="s">
        <v>14</v>
      </c>
      <c r="D1480" t="s">
        <v>15</v>
      </c>
      <c r="E1480" t="s">
        <v>33</v>
      </c>
      <c r="F1480" t="s">
        <v>24</v>
      </c>
      <c r="G1480" t="s">
        <v>50</v>
      </c>
      <c r="H1480" t="s">
        <v>527</v>
      </c>
      <c r="I1480">
        <v>5</v>
      </c>
      <c r="J1480" t="s">
        <v>56</v>
      </c>
      <c r="K1480" t="str">
        <f t="shared" si="23"/>
        <v>34410</v>
      </c>
      <c r="L1480">
        <v>370203680.00999999</v>
      </c>
      <c r="M1480">
        <v>76666.650000000009</v>
      </c>
      <c r="N1480">
        <v>-10000</v>
      </c>
      <c r="O1480">
        <v>0</v>
      </c>
      <c r="P1480" s="8">
        <v>370270346.66000003</v>
      </c>
    </row>
    <row r="1481" spans="1:16">
      <c r="A1481" s="1">
        <v>44835</v>
      </c>
      <c r="B1481" t="s">
        <v>124</v>
      </c>
      <c r="C1481" t="s">
        <v>14</v>
      </c>
      <c r="D1481" t="s">
        <v>15</v>
      </c>
      <c r="E1481" t="s">
        <v>33</v>
      </c>
      <c r="F1481" t="s">
        <v>24</v>
      </c>
      <c r="G1481" t="s">
        <v>50</v>
      </c>
      <c r="H1481" t="s">
        <v>527</v>
      </c>
      <c r="I1481">
        <v>5</v>
      </c>
      <c r="J1481" t="s">
        <v>57</v>
      </c>
      <c r="K1481" t="str">
        <f t="shared" si="23"/>
        <v>34500</v>
      </c>
      <c r="L1481">
        <v>18788689.420000002</v>
      </c>
      <c r="M1481">
        <v>0</v>
      </c>
      <c r="N1481">
        <v>0</v>
      </c>
      <c r="O1481">
        <v>0</v>
      </c>
      <c r="P1481" s="8">
        <v>18788689.420000002</v>
      </c>
    </row>
    <row r="1482" spans="1:16">
      <c r="A1482" s="1">
        <v>44835</v>
      </c>
      <c r="B1482" t="s">
        <v>124</v>
      </c>
      <c r="C1482" t="s">
        <v>14</v>
      </c>
      <c r="D1482" t="s">
        <v>15</v>
      </c>
      <c r="E1482" t="s">
        <v>33</v>
      </c>
      <c r="F1482" t="s">
        <v>24</v>
      </c>
      <c r="G1482" t="s">
        <v>50</v>
      </c>
      <c r="H1482" t="s">
        <v>527</v>
      </c>
      <c r="I1482">
        <v>5</v>
      </c>
      <c r="J1482" t="s">
        <v>58</v>
      </c>
      <c r="K1482" t="str">
        <f t="shared" si="23"/>
        <v>34600</v>
      </c>
      <c r="L1482">
        <v>2704470.7199999997</v>
      </c>
      <c r="M1482">
        <v>0</v>
      </c>
      <c r="N1482">
        <v>0</v>
      </c>
      <c r="O1482">
        <v>0</v>
      </c>
      <c r="P1482" s="8">
        <v>2704470.7199999997</v>
      </c>
    </row>
    <row r="1483" spans="1:16">
      <c r="A1483" s="1">
        <v>44835</v>
      </c>
      <c r="B1483" t="s">
        <v>124</v>
      </c>
      <c r="C1483" t="s">
        <v>14</v>
      </c>
      <c r="D1483" t="s">
        <v>15</v>
      </c>
      <c r="E1483" t="s">
        <v>33</v>
      </c>
      <c r="F1483" t="s">
        <v>17</v>
      </c>
      <c r="G1483" t="s">
        <v>50</v>
      </c>
      <c r="H1483" t="s">
        <v>527</v>
      </c>
      <c r="I1483">
        <v>5</v>
      </c>
      <c r="J1483" t="s">
        <v>51</v>
      </c>
      <c r="K1483" t="str">
        <f t="shared" si="23"/>
        <v>34001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1:16">
      <c r="A1484" s="1">
        <v>44835</v>
      </c>
      <c r="B1484" t="s">
        <v>124</v>
      </c>
      <c r="C1484" t="s">
        <v>14</v>
      </c>
      <c r="D1484" t="s">
        <v>15</v>
      </c>
      <c r="E1484" t="s">
        <v>33</v>
      </c>
      <c r="F1484" t="s">
        <v>17</v>
      </c>
      <c r="G1484" t="s">
        <v>50</v>
      </c>
      <c r="H1484" t="s">
        <v>527</v>
      </c>
      <c r="I1484">
        <v>5</v>
      </c>
      <c r="J1484" t="s">
        <v>120</v>
      </c>
      <c r="K1484" t="str">
        <f t="shared" si="23"/>
        <v>34002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1:16">
      <c r="A1485" s="1">
        <v>44835</v>
      </c>
      <c r="B1485" t="s">
        <v>124</v>
      </c>
      <c r="C1485" t="s">
        <v>14</v>
      </c>
      <c r="D1485" t="s">
        <v>15</v>
      </c>
      <c r="E1485" t="s">
        <v>33</v>
      </c>
      <c r="F1485" t="s">
        <v>17</v>
      </c>
      <c r="G1485" t="s">
        <v>50</v>
      </c>
      <c r="H1485" t="s">
        <v>527</v>
      </c>
      <c r="I1485">
        <v>5</v>
      </c>
      <c r="J1485" t="s">
        <v>53</v>
      </c>
      <c r="K1485" t="str">
        <f t="shared" si="23"/>
        <v>34100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1:16">
      <c r="A1486" s="1">
        <v>44835</v>
      </c>
      <c r="B1486" t="s">
        <v>124</v>
      </c>
      <c r="C1486" t="s">
        <v>14</v>
      </c>
      <c r="D1486" t="s">
        <v>15</v>
      </c>
      <c r="E1486" t="s">
        <v>33</v>
      </c>
      <c r="F1486" t="s">
        <v>17</v>
      </c>
      <c r="G1486" t="s">
        <v>50</v>
      </c>
      <c r="H1486" t="s">
        <v>527</v>
      </c>
      <c r="I1486">
        <v>5</v>
      </c>
      <c r="J1486" t="s">
        <v>54</v>
      </c>
      <c r="K1486" t="str">
        <f t="shared" si="23"/>
        <v>34200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1:16">
      <c r="A1487" s="1">
        <v>44835</v>
      </c>
      <c r="B1487" t="s">
        <v>124</v>
      </c>
      <c r="C1487" t="s">
        <v>14</v>
      </c>
      <c r="D1487" t="s">
        <v>15</v>
      </c>
      <c r="E1487" t="s">
        <v>33</v>
      </c>
      <c r="F1487" t="s">
        <v>17</v>
      </c>
      <c r="G1487" t="s">
        <v>50</v>
      </c>
      <c r="H1487" t="s">
        <v>527</v>
      </c>
      <c r="I1487">
        <v>5</v>
      </c>
      <c r="J1487" t="s">
        <v>55</v>
      </c>
      <c r="K1487" t="str">
        <f t="shared" si="23"/>
        <v>34300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1:16">
      <c r="A1488" s="1">
        <v>44835</v>
      </c>
      <c r="B1488" t="s">
        <v>124</v>
      </c>
      <c r="C1488" t="s">
        <v>14</v>
      </c>
      <c r="D1488" t="s">
        <v>15</v>
      </c>
      <c r="E1488" t="s">
        <v>33</v>
      </c>
      <c r="F1488" t="s">
        <v>17</v>
      </c>
      <c r="G1488" t="s">
        <v>50</v>
      </c>
      <c r="H1488" t="s">
        <v>527</v>
      </c>
      <c r="I1488">
        <v>5</v>
      </c>
      <c r="J1488" t="s">
        <v>56</v>
      </c>
      <c r="K1488" t="str">
        <f t="shared" si="23"/>
        <v>34410</v>
      </c>
      <c r="L1488">
        <v>76666.650000000009</v>
      </c>
      <c r="M1488">
        <v>-76666.650000000009</v>
      </c>
      <c r="N1488">
        <v>0</v>
      </c>
      <c r="O1488">
        <v>0</v>
      </c>
      <c r="P1488">
        <v>0</v>
      </c>
    </row>
    <row r="1489" spans="1:16">
      <c r="A1489" s="1">
        <v>44835</v>
      </c>
      <c r="B1489" t="s">
        <v>124</v>
      </c>
      <c r="C1489" t="s">
        <v>14</v>
      </c>
      <c r="D1489" t="s">
        <v>15</v>
      </c>
      <c r="E1489" t="s">
        <v>33</v>
      </c>
      <c r="F1489" t="s">
        <v>17</v>
      </c>
      <c r="G1489" t="s">
        <v>50</v>
      </c>
      <c r="H1489" t="s">
        <v>527</v>
      </c>
      <c r="I1489">
        <v>5</v>
      </c>
      <c r="J1489" t="s">
        <v>57</v>
      </c>
      <c r="K1489" t="str">
        <f t="shared" si="23"/>
        <v>34500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1:16">
      <c r="A1490" s="1">
        <v>44835</v>
      </c>
      <c r="B1490" t="s">
        <v>124</v>
      </c>
      <c r="C1490" t="s">
        <v>14</v>
      </c>
      <c r="D1490" t="s">
        <v>15</v>
      </c>
      <c r="E1490" t="s">
        <v>33</v>
      </c>
      <c r="F1490" t="s">
        <v>17</v>
      </c>
      <c r="G1490" t="s">
        <v>50</v>
      </c>
      <c r="H1490" t="s">
        <v>527</v>
      </c>
      <c r="I1490">
        <v>5</v>
      </c>
      <c r="J1490" t="s">
        <v>58</v>
      </c>
      <c r="K1490" t="str">
        <f t="shared" si="23"/>
        <v>34600</v>
      </c>
      <c r="L1490">
        <v>19908.78</v>
      </c>
      <c r="M1490">
        <v>-19908.78</v>
      </c>
      <c r="N1490">
        <v>0</v>
      </c>
      <c r="O1490">
        <v>0</v>
      </c>
      <c r="P1490">
        <v>0</v>
      </c>
    </row>
    <row r="1491" spans="1:16">
      <c r="A1491" s="1">
        <v>44866</v>
      </c>
      <c r="B1491" t="s">
        <v>123</v>
      </c>
      <c r="C1491" t="s">
        <v>14</v>
      </c>
      <c r="D1491" t="s">
        <v>15</v>
      </c>
      <c r="E1491" t="s">
        <v>33</v>
      </c>
      <c r="F1491" t="s">
        <v>24</v>
      </c>
      <c r="G1491" t="s">
        <v>50</v>
      </c>
      <c r="H1491" t="s">
        <v>527</v>
      </c>
      <c r="I1491">
        <v>5</v>
      </c>
      <c r="J1491" t="s">
        <v>51</v>
      </c>
      <c r="K1491" t="str">
        <f t="shared" si="23"/>
        <v>34001</v>
      </c>
      <c r="L1491">
        <v>207692.38</v>
      </c>
      <c r="M1491">
        <v>0</v>
      </c>
      <c r="N1491">
        <v>0</v>
      </c>
      <c r="O1491">
        <v>0</v>
      </c>
      <c r="P1491" s="8">
        <v>207692.38</v>
      </c>
    </row>
    <row r="1492" spans="1:16">
      <c r="A1492" s="1">
        <v>44866</v>
      </c>
      <c r="B1492" t="s">
        <v>123</v>
      </c>
      <c r="C1492" t="s">
        <v>14</v>
      </c>
      <c r="D1492" t="s">
        <v>15</v>
      </c>
      <c r="E1492" t="s">
        <v>33</v>
      </c>
      <c r="F1492" t="s">
        <v>24</v>
      </c>
      <c r="G1492" t="s">
        <v>50</v>
      </c>
      <c r="H1492" t="s">
        <v>527</v>
      </c>
      <c r="I1492">
        <v>5</v>
      </c>
      <c r="J1492" t="s">
        <v>52</v>
      </c>
      <c r="K1492" t="str">
        <f t="shared" si="23"/>
        <v>34003</v>
      </c>
      <c r="L1492">
        <v>6229050.5499999998</v>
      </c>
      <c r="M1492">
        <v>0</v>
      </c>
      <c r="N1492">
        <v>0</v>
      </c>
      <c r="O1492">
        <v>0</v>
      </c>
      <c r="P1492" s="8">
        <v>6229050.5499999998</v>
      </c>
    </row>
    <row r="1493" spans="1:16">
      <c r="A1493" s="1">
        <v>44866</v>
      </c>
      <c r="B1493" t="s">
        <v>123</v>
      </c>
      <c r="C1493" t="s">
        <v>14</v>
      </c>
      <c r="D1493" t="s">
        <v>15</v>
      </c>
      <c r="E1493" t="s">
        <v>33</v>
      </c>
      <c r="F1493" t="s">
        <v>24</v>
      </c>
      <c r="G1493" t="s">
        <v>50</v>
      </c>
      <c r="H1493" t="s">
        <v>527</v>
      </c>
      <c r="I1493">
        <v>5</v>
      </c>
      <c r="J1493" t="s">
        <v>53</v>
      </c>
      <c r="K1493" t="str">
        <f t="shared" si="23"/>
        <v>34100</v>
      </c>
      <c r="L1493">
        <v>14778950.35</v>
      </c>
      <c r="M1493">
        <v>0</v>
      </c>
      <c r="N1493">
        <v>0</v>
      </c>
      <c r="O1493">
        <v>0</v>
      </c>
      <c r="P1493" s="8">
        <v>14778950.35</v>
      </c>
    </row>
    <row r="1494" spans="1:16">
      <c r="A1494" s="1">
        <v>44866</v>
      </c>
      <c r="B1494" t="s">
        <v>123</v>
      </c>
      <c r="C1494" t="s">
        <v>14</v>
      </c>
      <c r="D1494" t="s">
        <v>15</v>
      </c>
      <c r="E1494" t="s">
        <v>33</v>
      </c>
      <c r="F1494" t="s">
        <v>24</v>
      </c>
      <c r="G1494" t="s">
        <v>50</v>
      </c>
      <c r="H1494" t="s">
        <v>527</v>
      </c>
      <c r="I1494">
        <v>5</v>
      </c>
      <c r="J1494" t="s">
        <v>54</v>
      </c>
      <c r="K1494" t="str">
        <f t="shared" si="23"/>
        <v>34200</v>
      </c>
      <c r="L1494">
        <v>9115499.1500000004</v>
      </c>
      <c r="M1494">
        <v>0</v>
      </c>
      <c r="N1494">
        <v>0</v>
      </c>
      <c r="O1494">
        <v>0</v>
      </c>
      <c r="P1494" s="8">
        <v>9115499.1500000004</v>
      </c>
    </row>
    <row r="1495" spans="1:16">
      <c r="A1495" s="1">
        <v>44866</v>
      </c>
      <c r="B1495" t="s">
        <v>123</v>
      </c>
      <c r="C1495" t="s">
        <v>14</v>
      </c>
      <c r="D1495" t="s">
        <v>15</v>
      </c>
      <c r="E1495" t="s">
        <v>33</v>
      </c>
      <c r="F1495" t="s">
        <v>24</v>
      </c>
      <c r="G1495" t="s">
        <v>50</v>
      </c>
      <c r="H1495" t="s">
        <v>527</v>
      </c>
      <c r="I1495">
        <v>5</v>
      </c>
      <c r="J1495" t="s">
        <v>55</v>
      </c>
      <c r="K1495" t="str">
        <f t="shared" si="23"/>
        <v>34300</v>
      </c>
      <c r="L1495">
        <v>2273004.89</v>
      </c>
      <c r="M1495">
        <v>0</v>
      </c>
      <c r="N1495">
        <v>0</v>
      </c>
      <c r="O1495">
        <v>0</v>
      </c>
      <c r="P1495" s="8">
        <v>2273004.89</v>
      </c>
    </row>
    <row r="1496" spans="1:16">
      <c r="A1496" s="1">
        <v>44866</v>
      </c>
      <c r="B1496" t="s">
        <v>123</v>
      </c>
      <c r="C1496" t="s">
        <v>14</v>
      </c>
      <c r="D1496" t="s">
        <v>15</v>
      </c>
      <c r="E1496" t="s">
        <v>33</v>
      </c>
      <c r="F1496" t="s">
        <v>24</v>
      </c>
      <c r="G1496" t="s">
        <v>50</v>
      </c>
      <c r="H1496" t="s">
        <v>527</v>
      </c>
      <c r="I1496">
        <v>5</v>
      </c>
      <c r="J1496" t="s">
        <v>56</v>
      </c>
      <c r="K1496" t="str">
        <f t="shared" si="23"/>
        <v>34410</v>
      </c>
      <c r="L1496">
        <v>370270346.66000003</v>
      </c>
      <c r="M1496">
        <v>0</v>
      </c>
      <c r="N1496">
        <v>0</v>
      </c>
      <c r="O1496">
        <v>0</v>
      </c>
      <c r="P1496" s="8">
        <v>370270346.66000003</v>
      </c>
    </row>
    <row r="1497" spans="1:16">
      <c r="A1497" s="1">
        <v>44866</v>
      </c>
      <c r="B1497" t="s">
        <v>123</v>
      </c>
      <c r="C1497" t="s">
        <v>14</v>
      </c>
      <c r="D1497" t="s">
        <v>15</v>
      </c>
      <c r="E1497" t="s">
        <v>33</v>
      </c>
      <c r="F1497" t="s">
        <v>24</v>
      </c>
      <c r="G1497" t="s">
        <v>50</v>
      </c>
      <c r="H1497" t="s">
        <v>527</v>
      </c>
      <c r="I1497">
        <v>5</v>
      </c>
      <c r="J1497" t="s">
        <v>57</v>
      </c>
      <c r="K1497" t="str">
        <f t="shared" si="23"/>
        <v>34500</v>
      </c>
      <c r="L1497">
        <v>18788689.420000002</v>
      </c>
      <c r="M1497">
        <v>0</v>
      </c>
      <c r="N1497">
        <v>0</v>
      </c>
      <c r="O1497">
        <v>0</v>
      </c>
      <c r="P1497" s="8">
        <v>18788689.420000002</v>
      </c>
    </row>
    <row r="1498" spans="1:16">
      <c r="A1498" s="1">
        <v>44866</v>
      </c>
      <c r="B1498" t="s">
        <v>123</v>
      </c>
      <c r="C1498" t="s">
        <v>14</v>
      </c>
      <c r="D1498" t="s">
        <v>15</v>
      </c>
      <c r="E1498" t="s">
        <v>33</v>
      </c>
      <c r="F1498" t="s">
        <v>24</v>
      </c>
      <c r="G1498" t="s">
        <v>50</v>
      </c>
      <c r="H1498" t="s">
        <v>527</v>
      </c>
      <c r="I1498">
        <v>5</v>
      </c>
      <c r="J1498" t="s">
        <v>58</v>
      </c>
      <c r="K1498" t="str">
        <f t="shared" si="23"/>
        <v>34600</v>
      </c>
      <c r="L1498">
        <v>2704470.7199999997</v>
      </c>
      <c r="M1498">
        <v>0</v>
      </c>
      <c r="N1498">
        <v>0</v>
      </c>
      <c r="O1498">
        <v>0</v>
      </c>
      <c r="P1498" s="8">
        <v>2704470.7199999997</v>
      </c>
    </row>
    <row r="1499" spans="1:16">
      <c r="A1499" s="1">
        <v>44866</v>
      </c>
      <c r="B1499" t="s">
        <v>123</v>
      </c>
      <c r="C1499" t="s">
        <v>14</v>
      </c>
      <c r="D1499" t="s">
        <v>15</v>
      </c>
      <c r="E1499" t="s">
        <v>33</v>
      </c>
      <c r="F1499" t="s">
        <v>17</v>
      </c>
      <c r="G1499" t="s">
        <v>50</v>
      </c>
      <c r="H1499" t="s">
        <v>527</v>
      </c>
      <c r="I1499">
        <v>5</v>
      </c>
      <c r="J1499" t="s">
        <v>51</v>
      </c>
      <c r="K1499" t="str">
        <f t="shared" si="23"/>
        <v>34001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1:16">
      <c r="A1500" s="1">
        <v>44866</v>
      </c>
      <c r="B1500" t="s">
        <v>123</v>
      </c>
      <c r="C1500" t="s">
        <v>14</v>
      </c>
      <c r="D1500" t="s">
        <v>15</v>
      </c>
      <c r="E1500" t="s">
        <v>33</v>
      </c>
      <c r="F1500" t="s">
        <v>17</v>
      </c>
      <c r="G1500" t="s">
        <v>50</v>
      </c>
      <c r="H1500" t="s">
        <v>527</v>
      </c>
      <c r="I1500">
        <v>5</v>
      </c>
      <c r="J1500" t="s">
        <v>120</v>
      </c>
      <c r="K1500" t="str">
        <f t="shared" si="23"/>
        <v>34002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1:16">
      <c r="A1501" s="1">
        <v>44866</v>
      </c>
      <c r="B1501" t="s">
        <v>123</v>
      </c>
      <c r="C1501" t="s">
        <v>14</v>
      </c>
      <c r="D1501" t="s">
        <v>15</v>
      </c>
      <c r="E1501" t="s">
        <v>33</v>
      </c>
      <c r="F1501" t="s">
        <v>17</v>
      </c>
      <c r="G1501" t="s">
        <v>50</v>
      </c>
      <c r="H1501" t="s">
        <v>527</v>
      </c>
      <c r="I1501">
        <v>5</v>
      </c>
      <c r="J1501" t="s">
        <v>53</v>
      </c>
      <c r="K1501" t="str">
        <f t="shared" si="23"/>
        <v>34100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1:16">
      <c r="A1502" s="1">
        <v>44866</v>
      </c>
      <c r="B1502" t="s">
        <v>123</v>
      </c>
      <c r="C1502" t="s">
        <v>14</v>
      </c>
      <c r="D1502" t="s">
        <v>15</v>
      </c>
      <c r="E1502" t="s">
        <v>33</v>
      </c>
      <c r="F1502" t="s">
        <v>17</v>
      </c>
      <c r="G1502" t="s">
        <v>50</v>
      </c>
      <c r="H1502" t="s">
        <v>527</v>
      </c>
      <c r="I1502">
        <v>5</v>
      </c>
      <c r="J1502" t="s">
        <v>54</v>
      </c>
      <c r="K1502" t="str">
        <f t="shared" si="23"/>
        <v>34200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1:16">
      <c r="A1503" s="1">
        <v>44866</v>
      </c>
      <c r="B1503" t="s">
        <v>123</v>
      </c>
      <c r="C1503" t="s">
        <v>14</v>
      </c>
      <c r="D1503" t="s">
        <v>15</v>
      </c>
      <c r="E1503" t="s">
        <v>33</v>
      </c>
      <c r="F1503" t="s">
        <v>17</v>
      </c>
      <c r="G1503" t="s">
        <v>50</v>
      </c>
      <c r="H1503" t="s">
        <v>527</v>
      </c>
      <c r="I1503">
        <v>5</v>
      </c>
      <c r="J1503" t="s">
        <v>55</v>
      </c>
      <c r="K1503" t="str">
        <f t="shared" si="23"/>
        <v>34300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1:16">
      <c r="A1504" s="1">
        <v>44866</v>
      </c>
      <c r="B1504" t="s">
        <v>123</v>
      </c>
      <c r="C1504" t="s">
        <v>14</v>
      </c>
      <c r="D1504" t="s">
        <v>15</v>
      </c>
      <c r="E1504" t="s">
        <v>33</v>
      </c>
      <c r="F1504" t="s">
        <v>17</v>
      </c>
      <c r="G1504" t="s">
        <v>50</v>
      </c>
      <c r="H1504" t="s">
        <v>527</v>
      </c>
      <c r="I1504">
        <v>5</v>
      </c>
      <c r="J1504" t="s">
        <v>56</v>
      </c>
      <c r="K1504" t="str">
        <f t="shared" si="23"/>
        <v>34410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1:16">
      <c r="A1505" s="1">
        <v>44866</v>
      </c>
      <c r="B1505" t="s">
        <v>123</v>
      </c>
      <c r="C1505" t="s">
        <v>14</v>
      </c>
      <c r="D1505" t="s">
        <v>15</v>
      </c>
      <c r="E1505" t="s">
        <v>33</v>
      </c>
      <c r="F1505" t="s">
        <v>17</v>
      </c>
      <c r="G1505" t="s">
        <v>50</v>
      </c>
      <c r="H1505" t="s">
        <v>527</v>
      </c>
      <c r="I1505">
        <v>5</v>
      </c>
      <c r="J1505" t="s">
        <v>57</v>
      </c>
      <c r="K1505" t="str">
        <f t="shared" si="23"/>
        <v>34500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1:16">
      <c r="A1506" s="1">
        <v>44866</v>
      </c>
      <c r="B1506" t="s">
        <v>123</v>
      </c>
      <c r="C1506" t="s">
        <v>14</v>
      </c>
      <c r="D1506" t="s">
        <v>15</v>
      </c>
      <c r="E1506" t="s">
        <v>33</v>
      </c>
      <c r="F1506" t="s">
        <v>17</v>
      </c>
      <c r="G1506" t="s">
        <v>50</v>
      </c>
      <c r="H1506" t="s">
        <v>527</v>
      </c>
      <c r="I1506">
        <v>5</v>
      </c>
      <c r="J1506" t="s">
        <v>58</v>
      </c>
      <c r="K1506" t="str">
        <f t="shared" si="23"/>
        <v>34600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1:16">
      <c r="A1507" s="1">
        <v>44896</v>
      </c>
      <c r="B1507" t="s">
        <v>122</v>
      </c>
      <c r="C1507" t="s">
        <v>14</v>
      </c>
      <c r="D1507" t="s">
        <v>15</v>
      </c>
      <c r="E1507" t="s">
        <v>33</v>
      </c>
      <c r="F1507" t="s">
        <v>24</v>
      </c>
      <c r="G1507" t="s">
        <v>50</v>
      </c>
      <c r="H1507" t="s">
        <v>527</v>
      </c>
      <c r="I1507">
        <v>5</v>
      </c>
      <c r="J1507" t="s">
        <v>51</v>
      </c>
      <c r="K1507" t="str">
        <f t="shared" si="23"/>
        <v>34001</v>
      </c>
      <c r="L1507">
        <v>207692.38</v>
      </c>
      <c r="M1507">
        <v>0</v>
      </c>
      <c r="N1507">
        <v>0</v>
      </c>
      <c r="O1507">
        <v>0</v>
      </c>
      <c r="P1507" s="8">
        <v>207692.38</v>
      </c>
    </row>
    <row r="1508" spans="1:16">
      <c r="A1508" s="1">
        <v>44896</v>
      </c>
      <c r="B1508" t="s">
        <v>122</v>
      </c>
      <c r="C1508" t="s">
        <v>14</v>
      </c>
      <c r="D1508" t="s">
        <v>15</v>
      </c>
      <c r="E1508" t="s">
        <v>33</v>
      </c>
      <c r="F1508" t="s">
        <v>24</v>
      </c>
      <c r="G1508" t="s">
        <v>50</v>
      </c>
      <c r="H1508" t="s">
        <v>527</v>
      </c>
      <c r="I1508">
        <v>5</v>
      </c>
      <c r="J1508" t="s">
        <v>52</v>
      </c>
      <c r="K1508" t="str">
        <f t="shared" si="23"/>
        <v>34003</v>
      </c>
      <c r="L1508">
        <v>6229050.5499999998</v>
      </c>
      <c r="M1508">
        <v>0</v>
      </c>
      <c r="N1508">
        <v>0</v>
      </c>
      <c r="O1508">
        <v>0</v>
      </c>
      <c r="P1508" s="8">
        <v>6229050.5499999998</v>
      </c>
    </row>
    <row r="1509" spans="1:16">
      <c r="A1509" s="1">
        <v>44896</v>
      </c>
      <c r="B1509" t="s">
        <v>122</v>
      </c>
      <c r="C1509" t="s">
        <v>14</v>
      </c>
      <c r="D1509" t="s">
        <v>15</v>
      </c>
      <c r="E1509" t="s">
        <v>33</v>
      </c>
      <c r="F1509" t="s">
        <v>24</v>
      </c>
      <c r="G1509" t="s">
        <v>50</v>
      </c>
      <c r="H1509" t="s">
        <v>527</v>
      </c>
      <c r="I1509">
        <v>5</v>
      </c>
      <c r="J1509" t="s">
        <v>53</v>
      </c>
      <c r="K1509" t="str">
        <f t="shared" si="23"/>
        <v>34100</v>
      </c>
      <c r="L1509">
        <v>14778950.35</v>
      </c>
      <c r="M1509">
        <v>0</v>
      </c>
      <c r="N1509">
        <v>0</v>
      </c>
      <c r="O1509">
        <v>0</v>
      </c>
      <c r="P1509" s="8">
        <v>14778950.35</v>
      </c>
    </row>
    <row r="1510" spans="1:16">
      <c r="A1510" s="1">
        <v>44896</v>
      </c>
      <c r="B1510" t="s">
        <v>122</v>
      </c>
      <c r="C1510" t="s">
        <v>14</v>
      </c>
      <c r="D1510" t="s">
        <v>15</v>
      </c>
      <c r="E1510" t="s">
        <v>33</v>
      </c>
      <c r="F1510" t="s">
        <v>24</v>
      </c>
      <c r="G1510" t="s">
        <v>50</v>
      </c>
      <c r="H1510" t="s">
        <v>527</v>
      </c>
      <c r="I1510">
        <v>5</v>
      </c>
      <c r="J1510" t="s">
        <v>54</v>
      </c>
      <c r="K1510" t="str">
        <f t="shared" si="23"/>
        <v>34200</v>
      </c>
      <c r="L1510">
        <v>9115499.1500000004</v>
      </c>
      <c r="M1510">
        <v>0</v>
      </c>
      <c r="N1510">
        <v>0</v>
      </c>
      <c r="O1510">
        <v>0</v>
      </c>
      <c r="P1510" s="8">
        <v>9115499.1500000004</v>
      </c>
    </row>
    <row r="1511" spans="1:16">
      <c r="A1511" s="1">
        <v>44896</v>
      </c>
      <c r="B1511" t="s">
        <v>122</v>
      </c>
      <c r="C1511" t="s">
        <v>14</v>
      </c>
      <c r="D1511" t="s">
        <v>15</v>
      </c>
      <c r="E1511" t="s">
        <v>33</v>
      </c>
      <c r="F1511" t="s">
        <v>24</v>
      </c>
      <c r="G1511" t="s">
        <v>50</v>
      </c>
      <c r="H1511" t="s">
        <v>527</v>
      </c>
      <c r="I1511">
        <v>5</v>
      </c>
      <c r="J1511" t="s">
        <v>55</v>
      </c>
      <c r="K1511" t="str">
        <f t="shared" si="23"/>
        <v>34300</v>
      </c>
      <c r="L1511">
        <v>2273004.89</v>
      </c>
      <c r="M1511">
        <v>0</v>
      </c>
      <c r="N1511">
        <v>0</v>
      </c>
      <c r="O1511">
        <v>0</v>
      </c>
      <c r="P1511" s="8">
        <v>2273004.89</v>
      </c>
    </row>
    <row r="1512" spans="1:16">
      <c r="A1512" s="1">
        <v>44896</v>
      </c>
      <c r="B1512" t="s">
        <v>122</v>
      </c>
      <c r="C1512" t="s">
        <v>14</v>
      </c>
      <c r="D1512" t="s">
        <v>15</v>
      </c>
      <c r="E1512" t="s">
        <v>33</v>
      </c>
      <c r="F1512" t="s">
        <v>24</v>
      </c>
      <c r="G1512" t="s">
        <v>50</v>
      </c>
      <c r="H1512" t="s">
        <v>527</v>
      </c>
      <c r="I1512">
        <v>5</v>
      </c>
      <c r="J1512" t="s">
        <v>56</v>
      </c>
      <c r="K1512" t="str">
        <f t="shared" si="23"/>
        <v>34410</v>
      </c>
      <c r="L1512">
        <v>370270346.66000003</v>
      </c>
      <c r="M1512">
        <v>0</v>
      </c>
      <c r="N1512">
        <v>0</v>
      </c>
      <c r="O1512">
        <v>0</v>
      </c>
      <c r="P1512" s="8">
        <v>370270346.66000003</v>
      </c>
    </row>
    <row r="1513" spans="1:16">
      <c r="A1513" s="1">
        <v>44896</v>
      </c>
      <c r="B1513" t="s">
        <v>122</v>
      </c>
      <c r="C1513" t="s">
        <v>14</v>
      </c>
      <c r="D1513" t="s">
        <v>15</v>
      </c>
      <c r="E1513" t="s">
        <v>33</v>
      </c>
      <c r="F1513" t="s">
        <v>24</v>
      </c>
      <c r="G1513" t="s">
        <v>50</v>
      </c>
      <c r="H1513" t="s">
        <v>527</v>
      </c>
      <c r="I1513">
        <v>5</v>
      </c>
      <c r="J1513" t="s">
        <v>57</v>
      </c>
      <c r="K1513" t="str">
        <f t="shared" si="23"/>
        <v>34500</v>
      </c>
      <c r="L1513">
        <v>18788689.420000002</v>
      </c>
      <c r="M1513">
        <v>0</v>
      </c>
      <c r="N1513">
        <v>0</v>
      </c>
      <c r="O1513">
        <v>0</v>
      </c>
      <c r="P1513" s="8">
        <v>18788689.420000002</v>
      </c>
    </row>
    <row r="1514" spans="1:16">
      <c r="A1514" s="1">
        <v>44896</v>
      </c>
      <c r="B1514" t="s">
        <v>122</v>
      </c>
      <c r="C1514" t="s">
        <v>14</v>
      </c>
      <c r="D1514" t="s">
        <v>15</v>
      </c>
      <c r="E1514" t="s">
        <v>33</v>
      </c>
      <c r="F1514" t="s">
        <v>24</v>
      </c>
      <c r="G1514" t="s">
        <v>50</v>
      </c>
      <c r="H1514" t="s">
        <v>527</v>
      </c>
      <c r="I1514">
        <v>5</v>
      </c>
      <c r="J1514" t="s">
        <v>58</v>
      </c>
      <c r="K1514" t="str">
        <f t="shared" si="23"/>
        <v>34600</v>
      </c>
      <c r="L1514">
        <v>2704470.7199999997</v>
      </c>
      <c r="M1514">
        <v>0</v>
      </c>
      <c r="N1514">
        <v>0</v>
      </c>
      <c r="O1514">
        <v>0</v>
      </c>
      <c r="P1514" s="8">
        <v>2704470.7199999997</v>
      </c>
    </row>
    <row r="1515" spans="1:16">
      <c r="A1515" s="1">
        <v>44896</v>
      </c>
      <c r="B1515" t="s">
        <v>122</v>
      </c>
      <c r="C1515" t="s">
        <v>14</v>
      </c>
      <c r="D1515" t="s">
        <v>15</v>
      </c>
      <c r="E1515" t="s">
        <v>33</v>
      </c>
      <c r="F1515" t="s">
        <v>17</v>
      </c>
      <c r="G1515" t="s">
        <v>50</v>
      </c>
      <c r="H1515" t="s">
        <v>527</v>
      </c>
      <c r="I1515">
        <v>5</v>
      </c>
      <c r="J1515" t="s">
        <v>51</v>
      </c>
      <c r="K1515" t="str">
        <f t="shared" si="23"/>
        <v>34001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1:16">
      <c r="A1516" s="1">
        <v>44896</v>
      </c>
      <c r="B1516" t="s">
        <v>122</v>
      </c>
      <c r="C1516" t="s">
        <v>14</v>
      </c>
      <c r="D1516" t="s">
        <v>15</v>
      </c>
      <c r="E1516" t="s">
        <v>33</v>
      </c>
      <c r="F1516" t="s">
        <v>17</v>
      </c>
      <c r="G1516" t="s">
        <v>50</v>
      </c>
      <c r="H1516" t="s">
        <v>527</v>
      </c>
      <c r="I1516">
        <v>5</v>
      </c>
      <c r="J1516" t="s">
        <v>120</v>
      </c>
      <c r="K1516" t="str">
        <f t="shared" si="23"/>
        <v>34002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>
      <c r="A1517" s="1">
        <v>44896</v>
      </c>
      <c r="B1517" t="s">
        <v>122</v>
      </c>
      <c r="C1517" t="s">
        <v>14</v>
      </c>
      <c r="D1517" t="s">
        <v>15</v>
      </c>
      <c r="E1517" t="s">
        <v>33</v>
      </c>
      <c r="F1517" t="s">
        <v>17</v>
      </c>
      <c r="G1517" t="s">
        <v>50</v>
      </c>
      <c r="H1517" t="s">
        <v>527</v>
      </c>
      <c r="I1517">
        <v>5</v>
      </c>
      <c r="J1517" t="s">
        <v>53</v>
      </c>
      <c r="K1517" t="str">
        <f t="shared" si="23"/>
        <v>34100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>
      <c r="A1518" s="1">
        <v>44896</v>
      </c>
      <c r="B1518" t="s">
        <v>122</v>
      </c>
      <c r="C1518" t="s">
        <v>14</v>
      </c>
      <c r="D1518" t="s">
        <v>15</v>
      </c>
      <c r="E1518" t="s">
        <v>33</v>
      </c>
      <c r="F1518" t="s">
        <v>17</v>
      </c>
      <c r="G1518" t="s">
        <v>50</v>
      </c>
      <c r="H1518" t="s">
        <v>527</v>
      </c>
      <c r="I1518">
        <v>5</v>
      </c>
      <c r="J1518" t="s">
        <v>54</v>
      </c>
      <c r="K1518" t="str">
        <f t="shared" si="23"/>
        <v>34200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>
      <c r="A1519" s="1">
        <v>44896</v>
      </c>
      <c r="B1519" t="s">
        <v>122</v>
      </c>
      <c r="C1519" t="s">
        <v>14</v>
      </c>
      <c r="D1519" t="s">
        <v>15</v>
      </c>
      <c r="E1519" t="s">
        <v>33</v>
      </c>
      <c r="F1519" t="s">
        <v>17</v>
      </c>
      <c r="G1519" t="s">
        <v>50</v>
      </c>
      <c r="H1519" t="s">
        <v>527</v>
      </c>
      <c r="I1519">
        <v>5</v>
      </c>
      <c r="J1519" t="s">
        <v>55</v>
      </c>
      <c r="K1519" t="str">
        <f t="shared" si="23"/>
        <v>34300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>
      <c r="A1520" s="1">
        <v>44896</v>
      </c>
      <c r="B1520" t="s">
        <v>122</v>
      </c>
      <c r="C1520" t="s">
        <v>14</v>
      </c>
      <c r="D1520" t="s">
        <v>15</v>
      </c>
      <c r="E1520" t="s">
        <v>33</v>
      </c>
      <c r="F1520" t="s">
        <v>17</v>
      </c>
      <c r="G1520" t="s">
        <v>50</v>
      </c>
      <c r="H1520" t="s">
        <v>527</v>
      </c>
      <c r="I1520">
        <v>5</v>
      </c>
      <c r="J1520" t="s">
        <v>56</v>
      </c>
      <c r="K1520" t="str">
        <f t="shared" si="23"/>
        <v>34410</v>
      </c>
      <c r="L1520">
        <v>0</v>
      </c>
      <c r="M1520">
        <v>457364.64</v>
      </c>
      <c r="N1520">
        <v>0</v>
      </c>
      <c r="O1520">
        <v>0</v>
      </c>
      <c r="P1520">
        <v>457364.64</v>
      </c>
    </row>
    <row r="1521" spans="1:16">
      <c r="A1521" s="1">
        <v>44896</v>
      </c>
      <c r="B1521" t="s">
        <v>122</v>
      </c>
      <c r="C1521" t="s">
        <v>14</v>
      </c>
      <c r="D1521" t="s">
        <v>15</v>
      </c>
      <c r="E1521" t="s">
        <v>33</v>
      </c>
      <c r="F1521" t="s">
        <v>17</v>
      </c>
      <c r="G1521" t="s">
        <v>50</v>
      </c>
      <c r="H1521" t="s">
        <v>527</v>
      </c>
      <c r="I1521">
        <v>5</v>
      </c>
      <c r="J1521" t="s">
        <v>57</v>
      </c>
      <c r="K1521" t="str">
        <f t="shared" si="23"/>
        <v>34500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1:16">
      <c r="A1522" s="1">
        <v>44896</v>
      </c>
      <c r="B1522" t="s">
        <v>122</v>
      </c>
      <c r="C1522" t="s">
        <v>14</v>
      </c>
      <c r="D1522" t="s">
        <v>15</v>
      </c>
      <c r="E1522" t="s">
        <v>33</v>
      </c>
      <c r="F1522" t="s">
        <v>17</v>
      </c>
      <c r="G1522" t="s">
        <v>50</v>
      </c>
      <c r="H1522" t="s">
        <v>527</v>
      </c>
      <c r="I1522">
        <v>5</v>
      </c>
      <c r="J1522" t="s">
        <v>58</v>
      </c>
      <c r="K1522" t="str">
        <f t="shared" si="23"/>
        <v>34600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>
      <c r="A1523" s="1">
        <v>44531</v>
      </c>
      <c r="B1523" t="s">
        <v>13</v>
      </c>
      <c r="C1523" t="s">
        <v>14</v>
      </c>
      <c r="D1523" t="s">
        <v>15</v>
      </c>
      <c r="E1523" t="s">
        <v>33</v>
      </c>
      <c r="F1523" t="s">
        <v>24</v>
      </c>
      <c r="G1523" t="s">
        <v>50</v>
      </c>
      <c r="H1523" t="s">
        <v>527</v>
      </c>
      <c r="I1523">
        <v>5</v>
      </c>
      <c r="J1523" t="s">
        <v>51</v>
      </c>
      <c r="K1523" t="str">
        <f t="shared" si="23"/>
        <v>34001</v>
      </c>
      <c r="L1523">
        <v>207692.38</v>
      </c>
      <c r="M1523">
        <v>0</v>
      </c>
      <c r="N1523">
        <v>0</v>
      </c>
      <c r="O1523">
        <v>0</v>
      </c>
      <c r="P1523" s="8">
        <v>207692.38</v>
      </c>
    </row>
    <row r="1524" spans="1:16">
      <c r="A1524" s="1">
        <v>44531</v>
      </c>
      <c r="B1524" t="s">
        <v>13</v>
      </c>
      <c r="C1524" t="s">
        <v>14</v>
      </c>
      <c r="D1524" t="s">
        <v>15</v>
      </c>
      <c r="E1524" t="s">
        <v>33</v>
      </c>
      <c r="F1524" t="s">
        <v>24</v>
      </c>
      <c r="G1524" t="s">
        <v>50</v>
      </c>
      <c r="H1524" t="s">
        <v>527</v>
      </c>
      <c r="I1524">
        <v>5</v>
      </c>
      <c r="J1524" t="s">
        <v>52</v>
      </c>
      <c r="K1524" t="str">
        <f t="shared" si="23"/>
        <v>34003</v>
      </c>
      <c r="L1524">
        <v>6229050.5499999998</v>
      </c>
      <c r="M1524">
        <v>0</v>
      </c>
      <c r="N1524">
        <v>0</v>
      </c>
      <c r="O1524">
        <v>0</v>
      </c>
      <c r="P1524" s="8">
        <v>6229050.5499999998</v>
      </c>
    </row>
    <row r="1525" spans="1:16">
      <c r="A1525" s="1">
        <v>44531</v>
      </c>
      <c r="B1525" t="s">
        <v>13</v>
      </c>
      <c r="C1525" t="s">
        <v>14</v>
      </c>
      <c r="D1525" t="s">
        <v>15</v>
      </c>
      <c r="E1525" t="s">
        <v>33</v>
      </c>
      <c r="F1525" t="s">
        <v>24</v>
      </c>
      <c r="G1525" t="s">
        <v>50</v>
      </c>
      <c r="H1525" t="s">
        <v>527</v>
      </c>
      <c r="I1525">
        <v>5</v>
      </c>
      <c r="J1525" t="s">
        <v>53</v>
      </c>
      <c r="K1525" t="str">
        <f t="shared" si="23"/>
        <v>34100</v>
      </c>
      <c r="L1525">
        <v>14616439.75</v>
      </c>
      <c r="M1525">
        <v>46048.91</v>
      </c>
      <c r="N1525">
        <v>0</v>
      </c>
      <c r="O1525">
        <v>0</v>
      </c>
      <c r="P1525" s="8">
        <v>14662488.66</v>
      </c>
    </row>
    <row r="1526" spans="1:16">
      <c r="A1526" s="1">
        <v>44531</v>
      </c>
      <c r="B1526" t="s">
        <v>13</v>
      </c>
      <c r="C1526" t="s">
        <v>14</v>
      </c>
      <c r="D1526" t="s">
        <v>15</v>
      </c>
      <c r="E1526" t="s">
        <v>33</v>
      </c>
      <c r="F1526" t="s">
        <v>24</v>
      </c>
      <c r="G1526" t="s">
        <v>50</v>
      </c>
      <c r="H1526" t="s">
        <v>527</v>
      </c>
      <c r="I1526">
        <v>5</v>
      </c>
      <c r="J1526" t="s">
        <v>54</v>
      </c>
      <c r="K1526" t="str">
        <f t="shared" si="23"/>
        <v>34200</v>
      </c>
      <c r="L1526">
        <v>9115499.1500000004</v>
      </c>
      <c r="M1526">
        <v>0</v>
      </c>
      <c r="N1526">
        <v>0</v>
      </c>
      <c r="O1526">
        <v>0</v>
      </c>
      <c r="P1526" s="8">
        <v>9115499.1500000004</v>
      </c>
    </row>
    <row r="1527" spans="1:16">
      <c r="A1527" s="1">
        <v>44531</v>
      </c>
      <c r="B1527" t="s">
        <v>13</v>
      </c>
      <c r="C1527" t="s">
        <v>14</v>
      </c>
      <c r="D1527" t="s">
        <v>15</v>
      </c>
      <c r="E1527" t="s">
        <v>33</v>
      </c>
      <c r="F1527" t="s">
        <v>24</v>
      </c>
      <c r="G1527" t="s">
        <v>50</v>
      </c>
      <c r="H1527" t="s">
        <v>527</v>
      </c>
      <c r="I1527">
        <v>5</v>
      </c>
      <c r="J1527" t="s">
        <v>55</v>
      </c>
      <c r="K1527" t="str">
        <f t="shared" si="23"/>
        <v>34300</v>
      </c>
      <c r="L1527">
        <v>2273004.89</v>
      </c>
      <c r="M1527">
        <v>0</v>
      </c>
      <c r="N1527">
        <v>0</v>
      </c>
      <c r="O1527">
        <v>0</v>
      </c>
      <c r="P1527" s="8">
        <v>2273004.89</v>
      </c>
    </row>
    <row r="1528" spans="1:16">
      <c r="A1528" s="1">
        <v>44531</v>
      </c>
      <c r="B1528" t="s">
        <v>13</v>
      </c>
      <c r="C1528" t="s">
        <v>14</v>
      </c>
      <c r="D1528" t="s">
        <v>15</v>
      </c>
      <c r="E1528" t="s">
        <v>33</v>
      </c>
      <c r="F1528" t="s">
        <v>24</v>
      </c>
      <c r="G1528" t="s">
        <v>50</v>
      </c>
      <c r="H1528" t="s">
        <v>527</v>
      </c>
      <c r="I1528">
        <v>5</v>
      </c>
      <c r="J1528" t="s">
        <v>56</v>
      </c>
      <c r="K1528" t="str">
        <f t="shared" si="23"/>
        <v>34410</v>
      </c>
      <c r="L1528">
        <v>366372866.24000001</v>
      </c>
      <c r="M1528">
        <v>85782.8</v>
      </c>
      <c r="N1528">
        <v>-86822.8</v>
      </c>
      <c r="O1528">
        <v>0</v>
      </c>
      <c r="P1528" s="8">
        <v>366371826.24000001</v>
      </c>
    </row>
    <row r="1529" spans="1:16">
      <c r="A1529" s="1">
        <v>44531</v>
      </c>
      <c r="B1529" t="s">
        <v>13</v>
      </c>
      <c r="C1529" t="s">
        <v>14</v>
      </c>
      <c r="D1529" t="s">
        <v>15</v>
      </c>
      <c r="E1529" t="s">
        <v>33</v>
      </c>
      <c r="F1529" t="s">
        <v>24</v>
      </c>
      <c r="G1529" t="s">
        <v>50</v>
      </c>
      <c r="H1529" t="s">
        <v>527</v>
      </c>
      <c r="I1529">
        <v>5</v>
      </c>
      <c r="J1529" t="s">
        <v>57</v>
      </c>
      <c r="K1529" t="str">
        <f t="shared" si="23"/>
        <v>34500</v>
      </c>
      <c r="L1529">
        <v>18656129.329999998</v>
      </c>
      <c r="M1529">
        <v>32021.79</v>
      </c>
      <c r="N1529">
        <v>0</v>
      </c>
      <c r="O1529">
        <v>0</v>
      </c>
      <c r="P1529" s="8">
        <v>18688151.120000001</v>
      </c>
    </row>
    <row r="1530" spans="1:16">
      <c r="A1530" s="1">
        <v>44531</v>
      </c>
      <c r="B1530" t="s">
        <v>13</v>
      </c>
      <c r="C1530" t="s">
        <v>14</v>
      </c>
      <c r="D1530" t="s">
        <v>15</v>
      </c>
      <c r="E1530" t="s">
        <v>33</v>
      </c>
      <c r="F1530" t="s">
        <v>24</v>
      </c>
      <c r="G1530" t="s">
        <v>50</v>
      </c>
      <c r="H1530" t="s">
        <v>527</v>
      </c>
      <c r="I1530">
        <v>5</v>
      </c>
      <c r="J1530" t="s">
        <v>58</v>
      </c>
      <c r="K1530" t="str">
        <f t="shared" si="23"/>
        <v>34600</v>
      </c>
      <c r="L1530">
        <v>1001454.77</v>
      </c>
      <c r="M1530">
        <v>26547.99</v>
      </c>
      <c r="N1530">
        <v>0</v>
      </c>
      <c r="O1530">
        <v>0</v>
      </c>
      <c r="P1530" s="8">
        <v>1028002.76</v>
      </c>
    </row>
    <row r="1531" spans="1:16">
      <c r="A1531" s="1">
        <v>44531</v>
      </c>
      <c r="B1531" t="s">
        <v>13</v>
      </c>
      <c r="C1531" t="s">
        <v>14</v>
      </c>
      <c r="D1531" t="s">
        <v>15</v>
      </c>
      <c r="E1531" t="s">
        <v>33</v>
      </c>
      <c r="F1531" t="s">
        <v>17</v>
      </c>
      <c r="G1531" t="s">
        <v>50</v>
      </c>
      <c r="H1531" t="s">
        <v>527</v>
      </c>
      <c r="I1531">
        <v>5</v>
      </c>
      <c r="J1531" t="s">
        <v>51</v>
      </c>
      <c r="K1531" t="str">
        <f t="shared" si="23"/>
        <v>34001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>
      <c r="A1532" s="1">
        <v>44531</v>
      </c>
      <c r="B1532" t="s">
        <v>13</v>
      </c>
      <c r="C1532" t="s">
        <v>14</v>
      </c>
      <c r="D1532" t="s">
        <v>15</v>
      </c>
      <c r="E1532" t="s">
        <v>33</v>
      </c>
      <c r="F1532" t="s">
        <v>17</v>
      </c>
      <c r="G1532" t="s">
        <v>50</v>
      </c>
      <c r="H1532" t="s">
        <v>527</v>
      </c>
      <c r="I1532">
        <v>5</v>
      </c>
      <c r="J1532" t="s">
        <v>120</v>
      </c>
      <c r="K1532" t="str">
        <f t="shared" si="23"/>
        <v>34002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>
      <c r="A1533" s="1">
        <v>44531</v>
      </c>
      <c r="B1533" t="s">
        <v>13</v>
      </c>
      <c r="C1533" t="s">
        <v>14</v>
      </c>
      <c r="D1533" t="s">
        <v>15</v>
      </c>
      <c r="E1533" t="s">
        <v>33</v>
      </c>
      <c r="F1533" t="s">
        <v>17</v>
      </c>
      <c r="G1533" t="s">
        <v>50</v>
      </c>
      <c r="H1533" t="s">
        <v>527</v>
      </c>
      <c r="I1533">
        <v>5</v>
      </c>
      <c r="J1533" t="s">
        <v>53</v>
      </c>
      <c r="K1533" t="str">
        <f t="shared" si="23"/>
        <v>34100</v>
      </c>
      <c r="L1533">
        <v>367369.09</v>
      </c>
      <c r="M1533">
        <v>-46048.91</v>
      </c>
      <c r="N1533">
        <v>0</v>
      </c>
      <c r="O1533">
        <v>0</v>
      </c>
      <c r="P1533">
        <v>321320.18</v>
      </c>
    </row>
    <row r="1534" spans="1:16">
      <c r="A1534" s="1">
        <v>44531</v>
      </c>
      <c r="B1534" t="s">
        <v>13</v>
      </c>
      <c r="C1534" t="s">
        <v>14</v>
      </c>
      <c r="D1534" t="s">
        <v>15</v>
      </c>
      <c r="E1534" t="s">
        <v>33</v>
      </c>
      <c r="F1534" t="s">
        <v>17</v>
      </c>
      <c r="G1534" t="s">
        <v>50</v>
      </c>
      <c r="H1534" t="s">
        <v>527</v>
      </c>
      <c r="I1534">
        <v>5</v>
      </c>
      <c r="J1534" t="s">
        <v>54</v>
      </c>
      <c r="K1534" t="str">
        <f t="shared" si="23"/>
        <v>34200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>
      <c r="A1535" s="1">
        <v>44531</v>
      </c>
      <c r="B1535" t="s">
        <v>13</v>
      </c>
      <c r="C1535" t="s">
        <v>14</v>
      </c>
      <c r="D1535" t="s">
        <v>15</v>
      </c>
      <c r="E1535" t="s">
        <v>33</v>
      </c>
      <c r="F1535" t="s">
        <v>17</v>
      </c>
      <c r="G1535" t="s">
        <v>50</v>
      </c>
      <c r="H1535" t="s">
        <v>527</v>
      </c>
      <c r="I1535">
        <v>5</v>
      </c>
      <c r="J1535" t="s">
        <v>55</v>
      </c>
      <c r="K1535" t="str">
        <f t="shared" si="23"/>
        <v>34300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>
      <c r="A1536" s="1">
        <v>44531</v>
      </c>
      <c r="B1536" t="s">
        <v>13</v>
      </c>
      <c r="C1536" t="s">
        <v>14</v>
      </c>
      <c r="D1536" t="s">
        <v>15</v>
      </c>
      <c r="E1536" t="s">
        <v>33</v>
      </c>
      <c r="F1536" t="s">
        <v>17</v>
      </c>
      <c r="G1536" t="s">
        <v>50</v>
      </c>
      <c r="H1536" t="s">
        <v>527</v>
      </c>
      <c r="I1536">
        <v>5</v>
      </c>
      <c r="J1536" t="s">
        <v>56</v>
      </c>
      <c r="K1536" t="str">
        <f t="shared" si="23"/>
        <v>34410</v>
      </c>
      <c r="L1536">
        <v>9022157.1199999992</v>
      </c>
      <c r="M1536">
        <v>167568.05000000002</v>
      </c>
      <c r="N1536">
        <v>0</v>
      </c>
      <c r="O1536">
        <v>0</v>
      </c>
      <c r="P1536">
        <v>9189725.1699999999</v>
      </c>
    </row>
    <row r="1537" spans="1:16">
      <c r="A1537" s="1">
        <v>44531</v>
      </c>
      <c r="B1537" t="s">
        <v>13</v>
      </c>
      <c r="C1537" t="s">
        <v>14</v>
      </c>
      <c r="D1537" t="s">
        <v>15</v>
      </c>
      <c r="E1537" t="s">
        <v>33</v>
      </c>
      <c r="F1537" t="s">
        <v>17</v>
      </c>
      <c r="G1537" t="s">
        <v>50</v>
      </c>
      <c r="H1537" t="s">
        <v>527</v>
      </c>
      <c r="I1537">
        <v>5</v>
      </c>
      <c r="J1537" t="s">
        <v>57</v>
      </c>
      <c r="K1537" t="str">
        <f t="shared" si="23"/>
        <v>34500</v>
      </c>
      <c r="L1537">
        <v>205564.57</v>
      </c>
      <c r="M1537">
        <v>-32021.79</v>
      </c>
      <c r="N1537">
        <v>0</v>
      </c>
      <c r="O1537">
        <v>0</v>
      </c>
      <c r="P1537">
        <v>173542.78</v>
      </c>
    </row>
    <row r="1538" spans="1:16">
      <c r="A1538" s="1">
        <v>44531</v>
      </c>
      <c r="B1538" t="s">
        <v>13</v>
      </c>
      <c r="C1538" t="s">
        <v>14</v>
      </c>
      <c r="D1538" t="s">
        <v>15</v>
      </c>
      <c r="E1538" t="s">
        <v>33</v>
      </c>
      <c r="F1538" t="s">
        <v>17</v>
      </c>
      <c r="G1538" t="s">
        <v>50</v>
      </c>
      <c r="H1538" t="s">
        <v>527</v>
      </c>
      <c r="I1538">
        <v>5</v>
      </c>
      <c r="J1538" t="s">
        <v>58</v>
      </c>
      <c r="K1538" t="str">
        <f t="shared" ref="K1538:K1601" si="24">MID(J1538,2,5)</f>
        <v>34600</v>
      </c>
      <c r="L1538">
        <v>1703015.9500000002</v>
      </c>
      <c r="M1538">
        <v>-26547.99</v>
      </c>
      <c r="N1538">
        <v>0</v>
      </c>
      <c r="O1538">
        <v>0</v>
      </c>
      <c r="P1538">
        <v>1676467.96</v>
      </c>
    </row>
    <row r="1539" spans="1:16">
      <c r="A1539" s="1">
        <v>44562</v>
      </c>
      <c r="B1539" t="s">
        <v>133</v>
      </c>
      <c r="C1539" t="s">
        <v>14</v>
      </c>
      <c r="D1539" t="s">
        <v>15</v>
      </c>
      <c r="E1539" t="s">
        <v>33</v>
      </c>
      <c r="F1539" t="s">
        <v>24</v>
      </c>
      <c r="G1539" t="s">
        <v>40</v>
      </c>
      <c r="H1539" t="s">
        <v>837</v>
      </c>
      <c r="I1539">
        <v>2</v>
      </c>
      <c r="J1539" t="s">
        <v>41</v>
      </c>
      <c r="K1539" t="str">
        <f t="shared" si="24"/>
        <v>31001</v>
      </c>
      <c r="L1539">
        <v>168504.26</v>
      </c>
      <c r="M1539">
        <v>0</v>
      </c>
      <c r="N1539">
        <v>0</v>
      </c>
      <c r="O1539">
        <v>0</v>
      </c>
      <c r="P1539" s="8">
        <v>168504.26</v>
      </c>
    </row>
    <row r="1540" spans="1:16">
      <c r="A1540" s="1">
        <v>44562</v>
      </c>
      <c r="B1540" t="s">
        <v>133</v>
      </c>
      <c r="C1540" t="s">
        <v>14</v>
      </c>
      <c r="D1540" t="s">
        <v>15</v>
      </c>
      <c r="E1540" t="s">
        <v>33</v>
      </c>
      <c r="F1540" t="s">
        <v>24</v>
      </c>
      <c r="G1540" t="s">
        <v>40</v>
      </c>
      <c r="H1540" t="s">
        <v>837</v>
      </c>
      <c r="I1540">
        <v>2</v>
      </c>
      <c r="J1540" t="s">
        <v>42</v>
      </c>
      <c r="K1540" t="str">
        <f t="shared" si="24"/>
        <v>31002</v>
      </c>
      <c r="L1540">
        <v>85743.6</v>
      </c>
      <c r="M1540">
        <v>0</v>
      </c>
      <c r="N1540">
        <v>0</v>
      </c>
      <c r="O1540">
        <v>0</v>
      </c>
      <c r="P1540" s="8">
        <v>85743.6</v>
      </c>
    </row>
    <row r="1541" spans="1:16">
      <c r="A1541" s="1">
        <v>44562</v>
      </c>
      <c r="B1541" t="s">
        <v>133</v>
      </c>
      <c r="C1541" t="s">
        <v>14</v>
      </c>
      <c r="D1541" t="s">
        <v>15</v>
      </c>
      <c r="E1541" t="s">
        <v>33</v>
      </c>
      <c r="F1541" t="s">
        <v>24</v>
      </c>
      <c r="G1541" t="s">
        <v>40</v>
      </c>
      <c r="H1541" t="s">
        <v>837</v>
      </c>
      <c r="I1541">
        <v>2</v>
      </c>
      <c r="J1541" t="s">
        <v>43</v>
      </c>
      <c r="K1541" t="str">
        <f t="shared" si="24"/>
        <v>31100</v>
      </c>
      <c r="L1541">
        <v>0</v>
      </c>
      <c r="M1541">
        <v>0</v>
      </c>
      <c r="N1541">
        <v>0</v>
      </c>
      <c r="O1541">
        <v>0</v>
      </c>
      <c r="P1541" s="8">
        <v>0</v>
      </c>
    </row>
    <row r="1542" spans="1:16">
      <c r="A1542" s="1">
        <v>44562</v>
      </c>
      <c r="B1542" t="s">
        <v>133</v>
      </c>
      <c r="C1542" t="s">
        <v>14</v>
      </c>
      <c r="D1542" t="s">
        <v>15</v>
      </c>
      <c r="E1542" t="s">
        <v>33</v>
      </c>
      <c r="F1542" t="s">
        <v>24</v>
      </c>
      <c r="G1542" t="s">
        <v>40</v>
      </c>
      <c r="H1542" t="s">
        <v>837</v>
      </c>
      <c r="I1542">
        <v>2</v>
      </c>
      <c r="J1542" t="s">
        <v>44</v>
      </c>
      <c r="K1542" t="str">
        <f t="shared" si="24"/>
        <v>31201</v>
      </c>
      <c r="L1542">
        <v>0</v>
      </c>
      <c r="M1542">
        <v>0</v>
      </c>
      <c r="N1542">
        <v>0</v>
      </c>
      <c r="O1542">
        <v>0</v>
      </c>
      <c r="P1542" s="8">
        <v>0</v>
      </c>
    </row>
    <row r="1543" spans="1:16">
      <c r="A1543" s="1">
        <v>44562</v>
      </c>
      <c r="B1543" t="s">
        <v>133</v>
      </c>
      <c r="C1543" t="s">
        <v>14</v>
      </c>
      <c r="D1543" t="s">
        <v>15</v>
      </c>
      <c r="E1543" t="s">
        <v>33</v>
      </c>
      <c r="F1543" t="s">
        <v>24</v>
      </c>
      <c r="G1543" t="s">
        <v>40</v>
      </c>
      <c r="H1543" t="s">
        <v>837</v>
      </c>
      <c r="I1543">
        <v>2</v>
      </c>
      <c r="J1543" t="s">
        <v>45</v>
      </c>
      <c r="K1543" t="str">
        <f t="shared" si="24"/>
        <v>31202</v>
      </c>
      <c r="L1543">
        <v>0</v>
      </c>
      <c r="M1543">
        <v>0</v>
      </c>
      <c r="N1543">
        <v>0</v>
      </c>
      <c r="O1543">
        <v>0</v>
      </c>
      <c r="P1543" s="8">
        <v>0</v>
      </c>
    </row>
    <row r="1544" spans="1:16">
      <c r="A1544" s="1">
        <v>44562</v>
      </c>
      <c r="B1544" t="s">
        <v>133</v>
      </c>
      <c r="C1544" t="s">
        <v>14</v>
      </c>
      <c r="D1544" t="s">
        <v>15</v>
      </c>
      <c r="E1544" t="s">
        <v>33</v>
      </c>
      <c r="F1544" t="s">
        <v>24</v>
      </c>
      <c r="G1544" t="s">
        <v>40</v>
      </c>
      <c r="H1544" t="s">
        <v>837</v>
      </c>
      <c r="I1544">
        <v>2</v>
      </c>
      <c r="J1544" t="s">
        <v>46</v>
      </c>
      <c r="K1544" t="str">
        <f t="shared" si="24"/>
        <v>31209</v>
      </c>
      <c r="L1544">
        <v>0</v>
      </c>
      <c r="M1544">
        <v>0</v>
      </c>
      <c r="N1544">
        <v>0</v>
      </c>
      <c r="O1544">
        <v>0</v>
      </c>
      <c r="P1544" s="8">
        <v>0</v>
      </c>
    </row>
    <row r="1545" spans="1:16">
      <c r="A1545" s="1">
        <v>44562</v>
      </c>
      <c r="B1545" t="s">
        <v>133</v>
      </c>
      <c r="C1545" t="s">
        <v>14</v>
      </c>
      <c r="D1545" t="s">
        <v>15</v>
      </c>
      <c r="E1545" t="s">
        <v>33</v>
      </c>
      <c r="F1545" t="s">
        <v>24</v>
      </c>
      <c r="G1545" t="s">
        <v>40</v>
      </c>
      <c r="H1545" t="s">
        <v>837</v>
      </c>
      <c r="I1545">
        <v>2</v>
      </c>
      <c r="J1545" t="s">
        <v>47</v>
      </c>
      <c r="K1545" t="str">
        <f t="shared" si="24"/>
        <v>31400</v>
      </c>
      <c r="L1545">
        <v>0</v>
      </c>
      <c r="M1545">
        <v>0</v>
      </c>
      <c r="N1545">
        <v>0</v>
      </c>
      <c r="O1545">
        <v>0</v>
      </c>
      <c r="P1545" s="8">
        <v>0</v>
      </c>
    </row>
    <row r="1546" spans="1:16">
      <c r="A1546" s="1">
        <v>44562</v>
      </c>
      <c r="B1546" t="s">
        <v>133</v>
      </c>
      <c r="C1546" t="s">
        <v>14</v>
      </c>
      <c r="D1546" t="s">
        <v>15</v>
      </c>
      <c r="E1546" t="s">
        <v>33</v>
      </c>
      <c r="F1546" t="s">
        <v>24</v>
      </c>
      <c r="G1546" t="s">
        <v>40</v>
      </c>
      <c r="H1546" t="s">
        <v>837</v>
      </c>
      <c r="I1546">
        <v>2</v>
      </c>
      <c r="J1546" t="s">
        <v>48</v>
      </c>
      <c r="K1546" t="str">
        <f t="shared" si="24"/>
        <v>31500</v>
      </c>
      <c r="L1546">
        <v>0</v>
      </c>
      <c r="M1546">
        <v>0</v>
      </c>
      <c r="N1546">
        <v>0</v>
      </c>
      <c r="O1546">
        <v>0</v>
      </c>
      <c r="P1546" s="8">
        <v>0</v>
      </c>
    </row>
    <row r="1547" spans="1:16">
      <c r="A1547" s="1">
        <v>44562</v>
      </c>
      <c r="B1547" t="s">
        <v>133</v>
      </c>
      <c r="C1547" t="s">
        <v>14</v>
      </c>
      <c r="D1547" t="s">
        <v>15</v>
      </c>
      <c r="E1547" t="s">
        <v>33</v>
      </c>
      <c r="F1547" t="s">
        <v>24</v>
      </c>
      <c r="G1547" t="s">
        <v>40</v>
      </c>
      <c r="H1547" t="s">
        <v>837</v>
      </c>
      <c r="I1547">
        <v>2</v>
      </c>
      <c r="J1547" t="s">
        <v>49</v>
      </c>
      <c r="K1547" t="str">
        <f t="shared" si="24"/>
        <v>31600</v>
      </c>
      <c r="L1547">
        <v>0</v>
      </c>
      <c r="M1547">
        <v>0</v>
      </c>
      <c r="N1547">
        <v>0</v>
      </c>
      <c r="O1547">
        <v>0</v>
      </c>
      <c r="P1547" s="8">
        <v>0</v>
      </c>
    </row>
    <row r="1548" spans="1:16">
      <c r="A1548" s="1">
        <v>44562</v>
      </c>
      <c r="B1548" t="s">
        <v>133</v>
      </c>
      <c r="C1548" t="s">
        <v>14</v>
      </c>
      <c r="D1548" t="s">
        <v>15</v>
      </c>
      <c r="E1548" t="s">
        <v>33</v>
      </c>
      <c r="F1548" t="s">
        <v>17</v>
      </c>
      <c r="G1548" t="s">
        <v>40</v>
      </c>
      <c r="H1548" t="s">
        <v>837</v>
      </c>
      <c r="I1548">
        <v>2</v>
      </c>
      <c r="J1548" t="s">
        <v>41</v>
      </c>
      <c r="K1548" t="str">
        <f t="shared" si="24"/>
        <v>31001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1:16">
      <c r="A1549" s="1">
        <v>44562</v>
      </c>
      <c r="B1549" t="s">
        <v>133</v>
      </c>
      <c r="C1549" t="s">
        <v>14</v>
      </c>
      <c r="D1549" t="s">
        <v>15</v>
      </c>
      <c r="E1549" t="s">
        <v>33</v>
      </c>
      <c r="F1549" t="s">
        <v>17</v>
      </c>
      <c r="G1549" t="s">
        <v>40</v>
      </c>
      <c r="H1549" t="s">
        <v>837</v>
      </c>
      <c r="I1549">
        <v>2</v>
      </c>
      <c r="J1549" t="s">
        <v>43</v>
      </c>
      <c r="K1549" t="str">
        <f t="shared" si="24"/>
        <v>31100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>
      <c r="A1550" s="1">
        <v>44562</v>
      </c>
      <c r="B1550" t="s">
        <v>133</v>
      </c>
      <c r="C1550" t="s">
        <v>14</v>
      </c>
      <c r="D1550" t="s">
        <v>15</v>
      </c>
      <c r="E1550" t="s">
        <v>33</v>
      </c>
      <c r="F1550" t="s">
        <v>17</v>
      </c>
      <c r="G1550" t="s">
        <v>40</v>
      </c>
      <c r="H1550" t="s">
        <v>837</v>
      </c>
      <c r="I1550">
        <v>2</v>
      </c>
      <c r="J1550" t="s">
        <v>44</v>
      </c>
      <c r="K1550" t="str">
        <f t="shared" si="24"/>
        <v>31201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1:16">
      <c r="A1551" s="1">
        <v>44562</v>
      </c>
      <c r="B1551" t="s">
        <v>133</v>
      </c>
      <c r="C1551" t="s">
        <v>14</v>
      </c>
      <c r="D1551" t="s">
        <v>15</v>
      </c>
      <c r="E1551" t="s">
        <v>33</v>
      </c>
      <c r="F1551" t="s">
        <v>17</v>
      </c>
      <c r="G1551" t="s">
        <v>40</v>
      </c>
      <c r="H1551" t="s">
        <v>837</v>
      </c>
      <c r="I1551">
        <v>2</v>
      </c>
      <c r="J1551" t="s">
        <v>47</v>
      </c>
      <c r="K1551" t="str">
        <f t="shared" si="24"/>
        <v>31400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>
      <c r="A1552" s="1">
        <v>44562</v>
      </c>
      <c r="B1552" t="s">
        <v>133</v>
      </c>
      <c r="C1552" t="s">
        <v>14</v>
      </c>
      <c r="D1552" t="s">
        <v>15</v>
      </c>
      <c r="E1552" t="s">
        <v>33</v>
      </c>
      <c r="F1552" t="s">
        <v>17</v>
      </c>
      <c r="G1552" t="s">
        <v>40</v>
      </c>
      <c r="H1552" t="s">
        <v>837</v>
      </c>
      <c r="I1552">
        <v>2</v>
      </c>
      <c r="J1552" t="s">
        <v>48</v>
      </c>
      <c r="K1552" t="str">
        <f t="shared" si="24"/>
        <v>31500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>
      <c r="A1553" s="1">
        <v>44562</v>
      </c>
      <c r="B1553" t="s">
        <v>133</v>
      </c>
      <c r="C1553" t="s">
        <v>14</v>
      </c>
      <c r="D1553" t="s">
        <v>15</v>
      </c>
      <c r="E1553" t="s">
        <v>33</v>
      </c>
      <c r="F1553" t="s">
        <v>17</v>
      </c>
      <c r="G1553" t="s">
        <v>40</v>
      </c>
      <c r="H1553" t="s">
        <v>837</v>
      </c>
      <c r="I1553">
        <v>2</v>
      </c>
      <c r="J1553" t="s">
        <v>49</v>
      </c>
      <c r="K1553" t="str">
        <f t="shared" si="24"/>
        <v>31600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1:16">
      <c r="A1554" s="1">
        <v>44593</v>
      </c>
      <c r="B1554" t="s">
        <v>132</v>
      </c>
      <c r="C1554" t="s">
        <v>14</v>
      </c>
      <c r="D1554" t="s">
        <v>15</v>
      </c>
      <c r="E1554" t="s">
        <v>33</v>
      </c>
      <c r="F1554" t="s">
        <v>24</v>
      </c>
      <c r="G1554" t="s">
        <v>40</v>
      </c>
      <c r="H1554" t="s">
        <v>837</v>
      </c>
      <c r="I1554">
        <v>2</v>
      </c>
      <c r="J1554" t="s">
        <v>41</v>
      </c>
      <c r="K1554" t="str">
        <f t="shared" si="24"/>
        <v>31001</v>
      </c>
      <c r="L1554">
        <v>168504.26</v>
      </c>
      <c r="M1554">
        <v>0</v>
      </c>
      <c r="N1554">
        <v>0</v>
      </c>
      <c r="O1554">
        <v>0</v>
      </c>
      <c r="P1554" s="8">
        <v>168504.26</v>
      </c>
    </row>
    <row r="1555" spans="1:16">
      <c r="A1555" s="1">
        <v>44593</v>
      </c>
      <c r="B1555" t="s">
        <v>132</v>
      </c>
      <c r="C1555" t="s">
        <v>14</v>
      </c>
      <c r="D1555" t="s">
        <v>15</v>
      </c>
      <c r="E1555" t="s">
        <v>33</v>
      </c>
      <c r="F1555" t="s">
        <v>24</v>
      </c>
      <c r="G1555" t="s">
        <v>40</v>
      </c>
      <c r="H1555" t="s">
        <v>837</v>
      </c>
      <c r="I1555">
        <v>2</v>
      </c>
      <c r="J1555" t="s">
        <v>42</v>
      </c>
      <c r="K1555" t="str">
        <f t="shared" si="24"/>
        <v>31002</v>
      </c>
      <c r="L1555">
        <v>85743.6</v>
      </c>
      <c r="M1555">
        <v>0</v>
      </c>
      <c r="N1555">
        <v>0</v>
      </c>
      <c r="O1555">
        <v>0</v>
      </c>
      <c r="P1555" s="8">
        <v>85743.6</v>
      </c>
    </row>
    <row r="1556" spans="1:16">
      <c r="A1556" s="1">
        <v>44593</v>
      </c>
      <c r="B1556" t="s">
        <v>132</v>
      </c>
      <c r="C1556" t="s">
        <v>14</v>
      </c>
      <c r="D1556" t="s">
        <v>15</v>
      </c>
      <c r="E1556" t="s">
        <v>33</v>
      </c>
      <c r="F1556" t="s">
        <v>24</v>
      </c>
      <c r="G1556" t="s">
        <v>40</v>
      </c>
      <c r="H1556" t="s">
        <v>837</v>
      </c>
      <c r="I1556">
        <v>2</v>
      </c>
      <c r="J1556" t="s">
        <v>43</v>
      </c>
      <c r="K1556" t="str">
        <f t="shared" si="24"/>
        <v>31100</v>
      </c>
      <c r="L1556">
        <v>0</v>
      </c>
      <c r="M1556">
        <v>0</v>
      </c>
      <c r="N1556">
        <v>0</v>
      </c>
      <c r="O1556">
        <v>0</v>
      </c>
      <c r="P1556" s="8">
        <v>0</v>
      </c>
    </row>
    <row r="1557" spans="1:16">
      <c r="A1557" s="1">
        <v>44593</v>
      </c>
      <c r="B1557" t="s">
        <v>132</v>
      </c>
      <c r="C1557" t="s">
        <v>14</v>
      </c>
      <c r="D1557" t="s">
        <v>15</v>
      </c>
      <c r="E1557" t="s">
        <v>33</v>
      </c>
      <c r="F1557" t="s">
        <v>24</v>
      </c>
      <c r="G1557" t="s">
        <v>40</v>
      </c>
      <c r="H1557" t="s">
        <v>837</v>
      </c>
      <c r="I1557">
        <v>2</v>
      </c>
      <c r="J1557" t="s">
        <v>44</v>
      </c>
      <c r="K1557" t="str">
        <f t="shared" si="24"/>
        <v>31201</v>
      </c>
      <c r="L1557">
        <v>0</v>
      </c>
      <c r="M1557">
        <v>0</v>
      </c>
      <c r="N1557">
        <v>0</v>
      </c>
      <c r="O1557">
        <v>0</v>
      </c>
      <c r="P1557" s="8">
        <v>0</v>
      </c>
    </row>
    <row r="1558" spans="1:16">
      <c r="A1558" s="1">
        <v>44593</v>
      </c>
      <c r="B1558" t="s">
        <v>132</v>
      </c>
      <c r="C1558" t="s">
        <v>14</v>
      </c>
      <c r="D1558" t="s">
        <v>15</v>
      </c>
      <c r="E1558" t="s">
        <v>33</v>
      </c>
      <c r="F1558" t="s">
        <v>24</v>
      </c>
      <c r="G1558" t="s">
        <v>40</v>
      </c>
      <c r="H1558" t="s">
        <v>837</v>
      </c>
      <c r="I1558">
        <v>2</v>
      </c>
      <c r="J1558" t="s">
        <v>45</v>
      </c>
      <c r="K1558" t="str">
        <f t="shared" si="24"/>
        <v>31202</v>
      </c>
      <c r="L1558">
        <v>0</v>
      </c>
      <c r="M1558">
        <v>0</v>
      </c>
      <c r="N1558">
        <v>0</v>
      </c>
      <c r="O1558">
        <v>0</v>
      </c>
      <c r="P1558" s="8">
        <v>0</v>
      </c>
    </row>
    <row r="1559" spans="1:16">
      <c r="A1559" s="1">
        <v>44593</v>
      </c>
      <c r="B1559" t="s">
        <v>132</v>
      </c>
      <c r="C1559" t="s">
        <v>14</v>
      </c>
      <c r="D1559" t="s">
        <v>15</v>
      </c>
      <c r="E1559" t="s">
        <v>33</v>
      </c>
      <c r="F1559" t="s">
        <v>24</v>
      </c>
      <c r="G1559" t="s">
        <v>40</v>
      </c>
      <c r="H1559" t="s">
        <v>837</v>
      </c>
      <c r="I1559">
        <v>2</v>
      </c>
      <c r="J1559" t="s">
        <v>46</v>
      </c>
      <c r="K1559" t="str">
        <f t="shared" si="24"/>
        <v>31209</v>
      </c>
      <c r="L1559">
        <v>0</v>
      </c>
      <c r="M1559">
        <v>0</v>
      </c>
      <c r="N1559">
        <v>0</v>
      </c>
      <c r="O1559">
        <v>0</v>
      </c>
      <c r="P1559" s="8">
        <v>0</v>
      </c>
    </row>
    <row r="1560" spans="1:16">
      <c r="A1560" s="1">
        <v>44593</v>
      </c>
      <c r="B1560" t="s">
        <v>132</v>
      </c>
      <c r="C1560" t="s">
        <v>14</v>
      </c>
      <c r="D1560" t="s">
        <v>15</v>
      </c>
      <c r="E1560" t="s">
        <v>33</v>
      </c>
      <c r="F1560" t="s">
        <v>24</v>
      </c>
      <c r="G1560" t="s">
        <v>40</v>
      </c>
      <c r="H1560" t="s">
        <v>837</v>
      </c>
      <c r="I1560">
        <v>2</v>
      </c>
      <c r="J1560" t="s">
        <v>47</v>
      </c>
      <c r="K1560" t="str">
        <f t="shared" si="24"/>
        <v>31400</v>
      </c>
      <c r="L1560">
        <v>0</v>
      </c>
      <c r="M1560">
        <v>0</v>
      </c>
      <c r="N1560">
        <v>0</v>
      </c>
      <c r="O1560">
        <v>0</v>
      </c>
      <c r="P1560" s="8">
        <v>0</v>
      </c>
    </row>
    <row r="1561" spans="1:16">
      <c r="A1561" s="1">
        <v>44593</v>
      </c>
      <c r="B1561" t="s">
        <v>132</v>
      </c>
      <c r="C1561" t="s">
        <v>14</v>
      </c>
      <c r="D1561" t="s">
        <v>15</v>
      </c>
      <c r="E1561" t="s">
        <v>33</v>
      </c>
      <c r="F1561" t="s">
        <v>24</v>
      </c>
      <c r="G1561" t="s">
        <v>40</v>
      </c>
      <c r="H1561" t="s">
        <v>837</v>
      </c>
      <c r="I1561">
        <v>2</v>
      </c>
      <c r="J1561" t="s">
        <v>48</v>
      </c>
      <c r="K1561" t="str">
        <f t="shared" si="24"/>
        <v>31500</v>
      </c>
      <c r="L1561">
        <v>0</v>
      </c>
      <c r="M1561">
        <v>0</v>
      </c>
      <c r="N1561">
        <v>0</v>
      </c>
      <c r="O1561">
        <v>0</v>
      </c>
      <c r="P1561" s="8">
        <v>0</v>
      </c>
    </row>
    <row r="1562" spans="1:16">
      <c r="A1562" s="1">
        <v>44593</v>
      </c>
      <c r="B1562" t="s">
        <v>132</v>
      </c>
      <c r="C1562" t="s">
        <v>14</v>
      </c>
      <c r="D1562" t="s">
        <v>15</v>
      </c>
      <c r="E1562" t="s">
        <v>33</v>
      </c>
      <c r="F1562" t="s">
        <v>24</v>
      </c>
      <c r="G1562" t="s">
        <v>40</v>
      </c>
      <c r="H1562" t="s">
        <v>837</v>
      </c>
      <c r="I1562">
        <v>2</v>
      </c>
      <c r="J1562" t="s">
        <v>49</v>
      </c>
      <c r="K1562" t="str">
        <f t="shared" si="24"/>
        <v>31600</v>
      </c>
      <c r="L1562">
        <v>0</v>
      </c>
      <c r="M1562">
        <v>0</v>
      </c>
      <c r="N1562">
        <v>0</v>
      </c>
      <c r="O1562">
        <v>0</v>
      </c>
      <c r="P1562" s="8">
        <v>0</v>
      </c>
    </row>
    <row r="1563" spans="1:16">
      <c r="A1563" s="1">
        <v>44593</v>
      </c>
      <c r="B1563" t="s">
        <v>132</v>
      </c>
      <c r="C1563" t="s">
        <v>14</v>
      </c>
      <c r="D1563" t="s">
        <v>15</v>
      </c>
      <c r="E1563" t="s">
        <v>33</v>
      </c>
      <c r="F1563" t="s">
        <v>17</v>
      </c>
      <c r="G1563" t="s">
        <v>40</v>
      </c>
      <c r="H1563" t="s">
        <v>837</v>
      </c>
      <c r="I1563">
        <v>2</v>
      </c>
      <c r="J1563" t="s">
        <v>41</v>
      </c>
      <c r="K1563" t="str">
        <f t="shared" si="24"/>
        <v>31001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>
      <c r="A1564" s="1">
        <v>44593</v>
      </c>
      <c r="B1564" t="s">
        <v>132</v>
      </c>
      <c r="C1564" t="s">
        <v>14</v>
      </c>
      <c r="D1564" t="s">
        <v>15</v>
      </c>
      <c r="E1564" t="s">
        <v>33</v>
      </c>
      <c r="F1564" t="s">
        <v>17</v>
      </c>
      <c r="G1564" t="s">
        <v>40</v>
      </c>
      <c r="H1564" t="s">
        <v>837</v>
      </c>
      <c r="I1564">
        <v>2</v>
      </c>
      <c r="J1564" t="s">
        <v>43</v>
      </c>
      <c r="K1564" t="str">
        <f t="shared" si="24"/>
        <v>31100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>
      <c r="A1565" s="1">
        <v>44593</v>
      </c>
      <c r="B1565" t="s">
        <v>132</v>
      </c>
      <c r="C1565" t="s">
        <v>14</v>
      </c>
      <c r="D1565" t="s">
        <v>15</v>
      </c>
      <c r="E1565" t="s">
        <v>33</v>
      </c>
      <c r="F1565" t="s">
        <v>17</v>
      </c>
      <c r="G1565" t="s">
        <v>40</v>
      </c>
      <c r="H1565" t="s">
        <v>837</v>
      </c>
      <c r="I1565">
        <v>2</v>
      </c>
      <c r="J1565" t="s">
        <v>44</v>
      </c>
      <c r="K1565" t="str">
        <f t="shared" si="24"/>
        <v>31201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1:16">
      <c r="A1566" s="1">
        <v>44593</v>
      </c>
      <c r="B1566" t="s">
        <v>132</v>
      </c>
      <c r="C1566" t="s">
        <v>14</v>
      </c>
      <c r="D1566" t="s">
        <v>15</v>
      </c>
      <c r="E1566" t="s">
        <v>33</v>
      </c>
      <c r="F1566" t="s">
        <v>17</v>
      </c>
      <c r="G1566" t="s">
        <v>40</v>
      </c>
      <c r="H1566" t="s">
        <v>837</v>
      </c>
      <c r="I1566">
        <v>2</v>
      </c>
      <c r="J1566" t="s">
        <v>47</v>
      </c>
      <c r="K1566" t="str">
        <f t="shared" si="24"/>
        <v>31400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>
      <c r="A1567" s="1">
        <v>44593</v>
      </c>
      <c r="B1567" t="s">
        <v>132</v>
      </c>
      <c r="C1567" t="s">
        <v>14</v>
      </c>
      <c r="D1567" t="s">
        <v>15</v>
      </c>
      <c r="E1567" t="s">
        <v>33</v>
      </c>
      <c r="F1567" t="s">
        <v>17</v>
      </c>
      <c r="G1567" t="s">
        <v>40</v>
      </c>
      <c r="H1567" t="s">
        <v>837</v>
      </c>
      <c r="I1567">
        <v>2</v>
      </c>
      <c r="J1567" t="s">
        <v>48</v>
      </c>
      <c r="K1567" t="str">
        <f t="shared" si="24"/>
        <v>31500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>
      <c r="A1568" s="1">
        <v>44593</v>
      </c>
      <c r="B1568" t="s">
        <v>132</v>
      </c>
      <c r="C1568" t="s">
        <v>14</v>
      </c>
      <c r="D1568" t="s">
        <v>15</v>
      </c>
      <c r="E1568" t="s">
        <v>33</v>
      </c>
      <c r="F1568" t="s">
        <v>17</v>
      </c>
      <c r="G1568" t="s">
        <v>40</v>
      </c>
      <c r="H1568" t="s">
        <v>837</v>
      </c>
      <c r="I1568">
        <v>2</v>
      </c>
      <c r="J1568" t="s">
        <v>49</v>
      </c>
      <c r="K1568" t="str">
        <f t="shared" si="24"/>
        <v>31600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>
      <c r="A1569" s="1">
        <v>44621</v>
      </c>
      <c r="B1569" t="s">
        <v>131</v>
      </c>
      <c r="C1569" t="s">
        <v>14</v>
      </c>
      <c r="D1569" t="s">
        <v>15</v>
      </c>
      <c r="E1569" t="s">
        <v>33</v>
      </c>
      <c r="F1569" t="s">
        <v>24</v>
      </c>
      <c r="G1569" t="s">
        <v>40</v>
      </c>
      <c r="H1569" t="s">
        <v>837</v>
      </c>
      <c r="I1569">
        <v>2</v>
      </c>
      <c r="J1569" t="s">
        <v>41</v>
      </c>
      <c r="K1569" t="str">
        <f t="shared" si="24"/>
        <v>31001</v>
      </c>
      <c r="L1569">
        <v>168504.26</v>
      </c>
      <c r="M1569">
        <v>0</v>
      </c>
      <c r="N1569">
        <v>0</v>
      </c>
      <c r="O1569">
        <v>0</v>
      </c>
      <c r="P1569" s="8">
        <v>168504.26</v>
      </c>
    </row>
    <row r="1570" spans="1:16">
      <c r="A1570" s="1">
        <v>44621</v>
      </c>
      <c r="B1570" t="s">
        <v>131</v>
      </c>
      <c r="C1570" t="s">
        <v>14</v>
      </c>
      <c r="D1570" t="s">
        <v>15</v>
      </c>
      <c r="E1570" t="s">
        <v>33</v>
      </c>
      <c r="F1570" t="s">
        <v>24</v>
      </c>
      <c r="G1570" t="s">
        <v>40</v>
      </c>
      <c r="H1570" t="s">
        <v>837</v>
      </c>
      <c r="I1570">
        <v>2</v>
      </c>
      <c r="J1570" t="s">
        <v>42</v>
      </c>
      <c r="K1570" t="str">
        <f t="shared" si="24"/>
        <v>31002</v>
      </c>
      <c r="L1570">
        <v>85743.6</v>
      </c>
      <c r="M1570">
        <v>0</v>
      </c>
      <c r="N1570">
        <v>0</v>
      </c>
      <c r="O1570">
        <v>0</v>
      </c>
      <c r="P1570" s="8">
        <v>85743.6</v>
      </c>
    </row>
    <row r="1571" spans="1:16">
      <c r="A1571" s="1">
        <v>44621</v>
      </c>
      <c r="B1571" t="s">
        <v>131</v>
      </c>
      <c r="C1571" t="s">
        <v>14</v>
      </c>
      <c r="D1571" t="s">
        <v>15</v>
      </c>
      <c r="E1571" t="s">
        <v>33</v>
      </c>
      <c r="F1571" t="s">
        <v>24</v>
      </c>
      <c r="G1571" t="s">
        <v>40</v>
      </c>
      <c r="H1571" t="s">
        <v>837</v>
      </c>
      <c r="I1571">
        <v>2</v>
      </c>
      <c r="J1571" t="s">
        <v>43</v>
      </c>
      <c r="K1571" t="str">
        <f t="shared" si="24"/>
        <v>31100</v>
      </c>
      <c r="L1571">
        <v>0</v>
      </c>
      <c r="M1571">
        <v>0</v>
      </c>
      <c r="N1571">
        <v>0</v>
      </c>
      <c r="O1571">
        <v>0</v>
      </c>
      <c r="P1571" s="8">
        <v>0</v>
      </c>
    </row>
    <row r="1572" spans="1:16">
      <c r="A1572" s="1">
        <v>44621</v>
      </c>
      <c r="B1572" t="s">
        <v>131</v>
      </c>
      <c r="C1572" t="s">
        <v>14</v>
      </c>
      <c r="D1572" t="s">
        <v>15</v>
      </c>
      <c r="E1572" t="s">
        <v>33</v>
      </c>
      <c r="F1572" t="s">
        <v>24</v>
      </c>
      <c r="G1572" t="s">
        <v>40</v>
      </c>
      <c r="H1572" t="s">
        <v>837</v>
      </c>
      <c r="I1572">
        <v>2</v>
      </c>
      <c r="J1572" t="s">
        <v>44</v>
      </c>
      <c r="K1572" t="str">
        <f t="shared" si="24"/>
        <v>31201</v>
      </c>
      <c r="L1572">
        <v>0</v>
      </c>
      <c r="M1572">
        <v>0</v>
      </c>
      <c r="N1572">
        <v>0</v>
      </c>
      <c r="O1572">
        <v>0</v>
      </c>
      <c r="P1572" s="8">
        <v>0</v>
      </c>
    </row>
    <row r="1573" spans="1:16">
      <c r="A1573" s="1">
        <v>44621</v>
      </c>
      <c r="B1573" t="s">
        <v>131</v>
      </c>
      <c r="C1573" t="s">
        <v>14</v>
      </c>
      <c r="D1573" t="s">
        <v>15</v>
      </c>
      <c r="E1573" t="s">
        <v>33</v>
      </c>
      <c r="F1573" t="s">
        <v>24</v>
      </c>
      <c r="G1573" t="s">
        <v>40</v>
      </c>
      <c r="H1573" t="s">
        <v>837</v>
      </c>
      <c r="I1573">
        <v>2</v>
      </c>
      <c r="J1573" t="s">
        <v>45</v>
      </c>
      <c r="K1573" t="str">
        <f t="shared" si="24"/>
        <v>31202</v>
      </c>
      <c r="L1573">
        <v>0</v>
      </c>
      <c r="M1573">
        <v>0</v>
      </c>
      <c r="N1573">
        <v>0</v>
      </c>
      <c r="O1573">
        <v>0</v>
      </c>
      <c r="P1573" s="8">
        <v>0</v>
      </c>
    </row>
    <row r="1574" spans="1:16">
      <c r="A1574" s="1">
        <v>44621</v>
      </c>
      <c r="B1574" t="s">
        <v>131</v>
      </c>
      <c r="C1574" t="s">
        <v>14</v>
      </c>
      <c r="D1574" t="s">
        <v>15</v>
      </c>
      <c r="E1574" t="s">
        <v>33</v>
      </c>
      <c r="F1574" t="s">
        <v>24</v>
      </c>
      <c r="G1574" t="s">
        <v>40</v>
      </c>
      <c r="H1574" t="s">
        <v>837</v>
      </c>
      <c r="I1574">
        <v>2</v>
      </c>
      <c r="J1574" t="s">
        <v>46</v>
      </c>
      <c r="K1574" t="str">
        <f t="shared" si="24"/>
        <v>31209</v>
      </c>
      <c r="L1574">
        <v>0</v>
      </c>
      <c r="M1574">
        <v>0</v>
      </c>
      <c r="N1574">
        <v>0</v>
      </c>
      <c r="O1574">
        <v>0</v>
      </c>
      <c r="P1574" s="8">
        <v>0</v>
      </c>
    </row>
    <row r="1575" spans="1:16">
      <c r="A1575" s="1">
        <v>44621</v>
      </c>
      <c r="B1575" t="s">
        <v>131</v>
      </c>
      <c r="C1575" t="s">
        <v>14</v>
      </c>
      <c r="D1575" t="s">
        <v>15</v>
      </c>
      <c r="E1575" t="s">
        <v>33</v>
      </c>
      <c r="F1575" t="s">
        <v>24</v>
      </c>
      <c r="G1575" t="s">
        <v>40</v>
      </c>
      <c r="H1575" t="s">
        <v>837</v>
      </c>
      <c r="I1575">
        <v>2</v>
      </c>
      <c r="J1575" t="s">
        <v>47</v>
      </c>
      <c r="K1575" t="str">
        <f t="shared" si="24"/>
        <v>31400</v>
      </c>
      <c r="L1575">
        <v>0</v>
      </c>
      <c r="M1575">
        <v>0</v>
      </c>
      <c r="N1575">
        <v>0</v>
      </c>
      <c r="O1575">
        <v>0</v>
      </c>
      <c r="P1575" s="8">
        <v>0</v>
      </c>
    </row>
    <row r="1576" spans="1:16">
      <c r="A1576" s="1">
        <v>44621</v>
      </c>
      <c r="B1576" t="s">
        <v>131</v>
      </c>
      <c r="C1576" t="s">
        <v>14</v>
      </c>
      <c r="D1576" t="s">
        <v>15</v>
      </c>
      <c r="E1576" t="s">
        <v>33</v>
      </c>
      <c r="F1576" t="s">
        <v>24</v>
      </c>
      <c r="G1576" t="s">
        <v>40</v>
      </c>
      <c r="H1576" t="s">
        <v>837</v>
      </c>
      <c r="I1576">
        <v>2</v>
      </c>
      <c r="J1576" t="s">
        <v>48</v>
      </c>
      <c r="K1576" t="str">
        <f t="shared" si="24"/>
        <v>31500</v>
      </c>
      <c r="L1576">
        <v>0</v>
      </c>
      <c r="M1576">
        <v>0</v>
      </c>
      <c r="N1576">
        <v>0</v>
      </c>
      <c r="O1576">
        <v>0</v>
      </c>
      <c r="P1576" s="8">
        <v>0</v>
      </c>
    </row>
    <row r="1577" spans="1:16">
      <c r="A1577" s="1">
        <v>44621</v>
      </c>
      <c r="B1577" t="s">
        <v>131</v>
      </c>
      <c r="C1577" t="s">
        <v>14</v>
      </c>
      <c r="D1577" t="s">
        <v>15</v>
      </c>
      <c r="E1577" t="s">
        <v>33</v>
      </c>
      <c r="F1577" t="s">
        <v>24</v>
      </c>
      <c r="G1577" t="s">
        <v>40</v>
      </c>
      <c r="H1577" t="s">
        <v>837</v>
      </c>
      <c r="I1577">
        <v>2</v>
      </c>
      <c r="J1577" t="s">
        <v>49</v>
      </c>
      <c r="K1577" t="str">
        <f t="shared" si="24"/>
        <v>31600</v>
      </c>
      <c r="L1577">
        <v>0</v>
      </c>
      <c r="M1577">
        <v>0</v>
      </c>
      <c r="N1577">
        <v>0</v>
      </c>
      <c r="O1577">
        <v>0</v>
      </c>
      <c r="P1577" s="8">
        <v>0</v>
      </c>
    </row>
    <row r="1578" spans="1:16">
      <c r="A1578" s="1">
        <v>44621</v>
      </c>
      <c r="B1578" t="s">
        <v>131</v>
      </c>
      <c r="C1578" t="s">
        <v>14</v>
      </c>
      <c r="D1578" t="s">
        <v>15</v>
      </c>
      <c r="E1578" t="s">
        <v>33</v>
      </c>
      <c r="F1578" t="s">
        <v>17</v>
      </c>
      <c r="G1578" t="s">
        <v>40</v>
      </c>
      <c r="H1578" t="s">
        <v>837</v>
      </c>
      <c r="I1578">
        <v>2</v>
      </c>
      <c r="J1578" t="s">
        <v>41</v>
      </c>
      <c r="K1578" t="str">
        <f t="shared" si="24"/>
        <v>31001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1:16">
      <c r="A1579" s="1">
        <v>44621</v>
      </c>
      <c r="B1579" t="s">
        <v>131</v>
      </c>
      <c r="C1579" t="s">
        <v>14</v>
      </c>
      <c r="D1579" t="s">
        <v>15</v>
      </c>
      <c r="E1579" t="s">
        <v>33</v>
      </c>
      <c r="F1579" t="s">
        <v>17</v>
      </c>
      <c r="G1579" t="s">
        <v>40</v>
      </c>
      <c r="H1579" t="s">
        <v>837</v>
      </c>
      <c r="I1579">
        <v>2</v>
      </c>
      <c r="J1579" t="s">
        <v>43</v>
      </c>
      <c r="K1579" t="str">
        <f t="shared" si="24"/>
        <v>31100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>
      <c r="A1580" s="1">
        <v>44621</v>
      </c>
      <c r="B1580" t="s">
        <v>131</v>
      </c>
      <c r="C1580" t="s">
        <v>14</v>
      </c>
      <c r="D1580" t="s">
        <v>15</v>
      </c>
      <c r="E1580" t="s">
        <v>33</v>
      </c>
      <c r="F1580" t="s">
        <v>17</v>
      </c>
      <c r="G1580" t="s">
        <v>40</v>
      </c>
      <c r="H1580" t="s">
        <v>837</v>
      </c>
      <c r="I1580">
        <v>2</v>
      </c>
      <c r="J1580" t="s">
        <v>44</v>
      </c>
      <c r="K1580" t="str">
        <f t="shared" si="24"/>
        <v>31201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>
      <c r="A1581" s="1">
        <v>44621</v>
      </c>
      <c r="B1581" t="s">
        <v>131</v>
      </c>
      <c r="C1581" t="s">
        <v>14</v>
      </c>
      <c r="D1581" t="s">
        <v>15</v>
      </c>
      <c r="E1581" t="s">
        <v>33</v>
      </c>
      <c r="F1581" t="s">
        <v>17</v>
      </c>
      <c r="G1581" t="s">
        <v>40</v>
      </c>
      <c r="H1581" t="s">
        <v>837</v>
      </c>
      <c r="I1581">
        <v>2</v>
      </c>
      <c r="J1581" t="s">
        <v>47</v>
      </c>
      <c r="K1581" t="str">
        <f t="shared" si="24"/>
        <v>31400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1:16">
      <c r="A1582" s="1">
        <v>44621</v>
      </c>
      <c r="B1582" t="s">
        <v>131</v>
      </c>
      <c r="C1582" t="s">
        <v>14</v>
      </c>
      <c r="D1582" t="s">
        <v>15</v>
      </c>
      <c r="E1582" t="s">
        <v>33</v>
      </c>
      <c r="F1582" t="s">
        <v>17</v>
      </c>
      <c r="G1582" t="s">
        <v>40</v>
      </c>
      <c r="H1582" t="s">
        <v>837</v>
      </c>
      <c r="I1582">
        <v>2</v>
      </c>
      <c r="J1582" t="s">
        <v>48</v>
      </c>
      <c r="K1582" t="str">
        <f t="shared" si="24"/>
        <v>31500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>
      <c r="A1583" s="1">
        <v>44621</v>
      </c>
      <c r="B1583" t="s">
        <v>131</v>
      </c>
      <c r="C1583" t="s">
        <v>14</v>
      </c>
      <c r="D1583" t="s">
        <v>15</v>
      </c>
      <c r="E1583" t="s">
        <v>33</v>
      </c>
      <c r="F1583" t="s">
        <v>17</v>
      </c>
      <c r="G1583" t="s">
        <v>40</v>
      </c>
      <c r="H1583" t="s">
        <v>837</v>
      </c>
      <c r="I1583">
        <v>2</v>
      </c>
      <c r="J1583" t="s">
        <v>49</v>
      </c>
      <c r="K1583" t="str">
        <f t="shared" si="24"/>
        <v>31600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>
      <c r="A1584" s="1">
        <v>44652</v>
      </c>
      <c r="B1584" t="s">
        <v>130</v>
      </c>
      <c r="C1584" t="s">
        <v>14</v>
      </c>
      <c r="D1584" t="s">
        <v>15</v>
      </c>
      <c r="E1584" t="s">
        <v>33</v>
      </c>
      <c r="F1584" t="s">
        <v>24</v>
      </c>
      <c r="G1584" t="s">
        <v>40</v>
      </c>
      <c r="H1584" t="s">
        <v>837</v>
      </c>
      <c r="I1584">
        <v>2</v>
      </c>
      <c r="J1584" t="s">
        <v>41</v>
      </c>
      <c r="K1584" t="str">
        <f t="shared" si="24"/>
        <v>31001</v>
      </c>
      <c r="L1584">
        <v>168504.26</v>
      </c>
      <c r="M1584">
        <v>0</v>
      </c>
      <c r="N1584">
        <v>0</v>
      </c>
      <c r="O1584">
        <v>0</v>
      </c>
      <c r="P1584" s="8">
        <v>168504.26</v>
      </c>
    </row>
    <row r="1585" spans="1:16">
      <c r="A1585" s="1">
        <v>44652</v>
      </c>
      <c r="B1585" t="s">
        <v>130</v>
      </c>
      <c r="C1585" t="s">
        <v>14</v>
      </c>
      <c r="D1585" t="s">
        <v>15</v>
      </c>
      <c r="E1585" t="s">
        <v>33</v>
      </c>
      <c r="F1585" t="s">
        <v>24</v>
      </c>
      <c r="G1585" t="s">
        <v>40</v>
      </c>
      <c r="H1585" t="s">
        <v>837</v>
      </c>
      <c r="I1585">
        <v>2</v>
      </c>
      <c r="J1585" t="s">
        <v>42</v>
      </c>
      <c r="K1585" t="str">
        <f t="shared" si="24"/>
        <v>31002</v>
      </c>
      <c r="L1585">
        <v>85743.6</v>
      </c>
      <c r="M1585">
        <v>0</v>
      </c>
      <c r="N1585">
        <v>0</v>
      </c>
      <c r="O1585">
        <v>0</v>
      </c>
      <c r="P1585" s="8">
        <v>85743.6</v>
      </c>
    </row>
    <row r="1586" spans="1:16">
      <c r="A1586" s="1">
        <v>44652</v>
      </c>
      <c r="B1586" t="s">
        <v>130</v>
      </c>
      <c r="C1586" t="s">
        <v>14</v>
      </c>
      <c r="D1586" t="s">
        <v>15</v>
      </c>
      <c r="E1586" t="s">
        <v>33</v>
      </c>
      <c r="F1586" t="s">
        <v>24</v>
      </c>
      <c r="G1586" t="s">
        <v>40</v>
      </c>
      <c r="H1586" t="s">
        <v>837</v>
      </c>
      <c r="I1586">
        <v>2</v>
      </c>
      <c r="J1586" t="s">
        <v>43</v>
      </c>
      <c r="K1586" t="str">
        <f t="shared" si="24"/>
        <v>31100</v>
      </c>
      <c r="L1586">
        <v>0</v>
      </c>
      <c r="M1586">
        <v>0</v>
      </c>
      <c r="N1586">
        <v>0</v>
      </c>
      <c r="O1586">
        <v>0</v>
      </c>
      <c r="P1586" s="8">
        <v>0</v>
      </c>
    </row>
    <row r="1587" spans="1:16">
      <c r="A1587" s="1">
        <v>44652</v>
      </c>
      <c r="B1587" t="s">
        <v>130</v>
      </c>
      <c r="C1587" t="s">
        <v>14</v>
      </c>
      <c r="D1587" t="s">
        <v>15</v>
      </c>
      <c r="E1587" t="s">
        <v>33</v>
      </c>
      <c r="F1587" t="s">
        <v>24</v>
      </c>
      <c r="G1587" t="s">
        <v>40</v>
      </c>
      <c r="H1587" t="s">
        <v>837</v>
      </c>
      <c r="I1587">
        <v>2</v>
      </c>
      <c r="J1587" t="s">
        <v>44</v>
      </c>
      <c r="K1587" t="str">
        <f t="shared" si="24"/>
        <v>31201</v>
      </c>
      <c r="L1587">
        <v>0</v>
      </c>
      <c r="M1587">
        <v>0</v>
      </c>
      <c r="N1587">
        <v>0</v>
      </c>
      <c r="O1587">
        <v>0</v>
      </c>
      <c r="P1587" s="8">
        <v>0</v>
      </c>
    </row>
    <row r="1588" spans="1:16">
      <c r="A1588" s="1">
        <v>44652</v>
      </c>
      <c r="B1588" t="s">
        <v>130</v>
      </c>
      <c r="C1588" t="s">
        <v>14</v>
      </c>
      <c r="D1588" t="s">
        <v>15</v>
      </c>
      <c r="E1588" t="s">
        <v>33</v>
      </c>
      <c r="F1588" t="s">
        <v>24</v>
      </c>
      <c r="G1588" t="s">
        <v>40</v>
      </c>
      <c r="H1588" t="s">
        <v>837</v>
      </c>
      <c r="I1588">
        <v>2</v>
      </c>
      <c r="J1588" t="s">
        <v>45</v>
      </c>
      <c r="K1588" t="str">
        <f t="shared" si="24"/>
        <v>31202</v>
      </c>
      <c r="L1588">
        <v>0</v>
      </c>
      <c r="M1588">
        <v>0</v>
      </c>
      <c r="N1588">
        <v>0</v>
      </c>
      <c r="O1588">
        <v>0</v>
      </c>
      <c r="P1588" s="8">
        <v>0</v>
      </c>
    </row>
    <row r="1589" spans="1:16">
      <c r="A1589" s="1">
        <v>44652</v>
      </c>
      <c r="B1589" t="s">
        <v>130</v>
      </c>
      <c r="C1589" t="s">
        <v>14</v>
      </c>
      <c r="D1589" t="s">
        <v>15</v>
      </c>
      <c r="E1589" t="s">
        <v>33</v>
      </c>
      <c r="F1589" t="s">
        <v>24</v>
      </c>
      <c r="G1589" t="s">
        <v>40</v>
      </c>
      <c r="H1589" t="s">
        <v>837</v>
      </c>
      <c r="I1589">
        <v>2</v>
      </c>
      <c r="J1589" t="s">
        <v>46</v>
      </c>
      <c r="K1589" t="str">
        <f t="shared" si="24"/>
        <v>31209</v>
      </c>
      <c r="L1589">
        <v>0</v>
      </c>
      <c r="M1589">
        <v>0</v>
      </c>
      <c r="N1589">
        <v>0</v>
      </c>
      <c r="O1589">
        <v>0</v>
      </c>
      <c r="P1589" s="8">
        <v>0</v>
      </c>
    </row>
    <row r="1590" spans="1:16">
      <c r="A1590" s="1">
        <v>44652</v>
      </c>
      <c r="B1590" t="s">
        <v>130</v>
      </c>
      <c r="C1590" t="s">
        <v>14</v>
      </c>
      <c r="D1590" t="s">
        <v>15</v>
      </c>
      <c r="E1590" t="s">
        <v>33</v>
      </c>
      <c r="F1590" t="s">
        <v>24</v>
      </c>
      <c r="G1590" t="s">
        <v>40</v>
      </c>
      <c r="H1590" t="s">
        <v>837</v>
      </c>
      <c r="I1590">
        <v>2</v>
      </c>
      <c r="J1590" t="s">
        <v>47</v>
      </c>
      <c r="K1590" t="str">
        <f t="shared" si="24"/>
        <v>31400</v>
      </c>
      <c r="L1590">
        <v>0</v>
      </c>
      <c r="M1590">
        <v>0</v>
      </c>
      <c r="N1590">
        <v>0</v>
      </c>
      <c r="O1590">
        <v>0</v>
      </c>
      <c r="P1590" s="8">
        <v>0</v>
      </c>
    </row>
    <row r="1591" spans="1:16">
      <c r="A1591" s="1">
        <v>44652</v>
      </c>
      <c r="B1591" t="s">
        <v>130</v>
      </c>
      <c r="C1591" t="s">
        <v>14</v>
      </c>
      <c r="D1591" t="s">
        <v>15</v>
      </c>
      <c r="E1591" t="s">
        <v>33</v>
      </c>
      <c r="F1591" t="s">
        <v>24</v>
      </c>
      <c r="G1591" t="s">
        <v>40</v>
      </c>
      <c r="H1591" t="s">
        <v>837</v>
      </c>
      <c r="I1591">
        <v>2</v>
      </c>
      <c r="J1591" t="s">
        <v>48</v>
      </c>
      <c r="K1591" t="str">
        <f t="shared" si="24"/>
        <v>31500</v>
      </c>
      <c r="L1591">
        <v>0</v>
      </c>
      <c r="M1591">
        <v>0</v>
      </c>
      <c r="N1591">
        <v>0</v>
      </c>
      <c r="O1591">
        <v>0</v>
      </c>
      <c r="P1591" s="8">
        <v>0</v>
      </c>
    </row>
    <row r="1592" spans="1:16">
      <c r="A1592" s="1">
        <v>44652</v>
      </c>
      <c r="B1592" t="s">
        <v>130</v>
      </c>
      <c r="C1592" t="s">
        <v>14</v>
      </c>
      <c r="D1592" t="s">
        <v>15</v>
      </c>
      <c r="E1592" t="s">
        <v>33</v>
      </c>
      <c r="F1592" t="s">
        <v>24</v>
      </c>
      <c r="G1592" t="s">
        <v>40</v>
      </c>
      <c r="H1592" t="s">
        <v>837</v>
      </c>
      <c r="I1592">
        <v>2</v>
      </c>
      <c r="J1592" t="s">
        <v>49</v>
      </c>
      <c r="K1592" t="str">
        <f t="shared" si="24"/>
        <v>31600</v>
      </c>
      <c r="L1592">
        <v>0</v>
      </c>
      <c r="M1592">
        <v>0</v>
      </c>
      <c r="N1592">
        <v>0</v>
      </c>
      <c r="O1592">
        <v>0</v>
      </c>
      <c r="P1592" s="8">
        <v>0</v>
      </c>
    </row>
    <row r="1593" spans="1:16">
      <c r="A1593" s="1">
        <v>44652</v>
      </c>
      <c r="B1593" t="s">
        <v>130</v>
      </c>
      <c r="C1593" t="s">
        <v>14</v>
      </c>
      <c r="D1593" t="s">
        <v>15</v>
      </c>
      <c r="E1593" t="s">
        <v>33</v>
      </c>
      <c r="F1593" t="s">
        <v>17</v>
      </c>
      <c r="G1593" t="s">
        <v>40</v>
      </c>
      <c r="H1593" t="s">
        <v>837</v>
      </c>
      <c r="I1593">
        <v>2</v>
      </c>
      <c r="J1593" t="s">
        <v>41</v>
      </c>
      <c r="K1593" t="str">
        <f t="shared" si="24"/>
        <v>31001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>
      <c r="A1594" s="1">
        <v>44652</v>
      </c>
      <c r="B1594" t="s">
        <v>130</v>
      </c>
      <c r="C1594" t="s">
        <v>14</v>
      </c>
      <c r="D1594" t="s">
        <v>15</v>
      </c>
      <c r="E1594" t="s">
        <v>33</v>
      </c>
      <c r="F1594" t="s">
        <v>17</v>
      </c>
      <c r="G1594" t="s">
        <v>40</v>
      </c>
      <c r="H1594" t="s">
        <v>837</v>
      </c>
      <c r="I1594">
        <v>2</v>
      </c>
      <c r="J1594" t="s">
        <v>43</v>
      </c>
      <c r="K1594" t="str">
        <f t="shared" si="24"/>
        <v>31100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1:16">
      <c r="A1595" s="1">
        <v>44652</v>
      </c>
      <c r="B1595" t="s">
        <v>130</v>
      </c>
      <c r="C1595" t="s">
        <v>14</v>
      </c>
      <c r="D1595" t="s">
        <v>15</v>
      </c>
      <c r="E1595" t="s">
        <v>33</v>
      </c>
      <c r="F1595" t="s">
        <v>17</v>
      </c>
      <c r="G1595" t="s">
        <v>40</v>
      </c>
      <c r="H1595" t="s">
        <v>837</v>
      </c>
      <c r="I1595">
        <v>2</v>
      </c>
      <c r="J1595" t="s">
        <v>44</v>
      </c>
      <c r="K1595" t="str">
        <f t="shared" si="24"/>
        <v>31201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1:16">
      <c r="A1596" s="1">
        <v>44652</v>
      </c>
      <c r="B1596" t="s">
        <v>130</v>
      </c>
      <c r="C1596" t="s">
        <v>14</v>
      </c>
      <c r="D1596" t="s">
        <v>15</v>
      </c>
      <c r="E1596" t="s">
        <v>33</v>
      </c>
      <c r="F1596" t="s">
        <v>17</v>
      </c>
      <c r="G1596" t="s">
        <v>40</v>
      </c>
      <c r="H1596" t="s">
        <v>837</v>
      </c>
      <c r="I1596">
        <v>2</v>
      </c>
      <c r="J1596" t="s">
        <v>47</v>
      </c>
      <c r="K1596" t="str">
        <f t="shared" si="24"/>
        <v>31400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1:16">
      <c r="A1597" s="1">
        <v>44652</v>
      </c>
      <c r="B1597" t="s">
        <v>130</v>
      </c>
      <c r="C1597" t="s">
        <v>14</v>
      </c>
      <c r="D1597" t="s">
        <v>15</v>
      </c>
      <c r="E1597" t="s">
        <v>33</v>
      </c>
      <c r="F1597" t="s">
        <v>17</v>
      </c>
      <c r="G1597" t="s">
        <v>40</v>
      </c>
      <c r="H1597" t="s">
        <v>837</v>
      </c>
      <c r="I1597">
        <v>2</v>
      </c>
      <c r="J1597" t="s">
        <v>48</v>
      </c>
      <c r="K1597" t="str">
        <f t="shared" si="24"/>
        <v>31500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1:16">
      <c r="A1598" s="1">
        <v>44652</v>
      </c>
      <c r="B1598" t="s">
        <v>130</v>
      </c>
      <c r="C1598" t="s">
        <v>14</v>
      </c>
      <c r="D1598" t="s">
        <v>15</v>
      </c>
      <c r="E1598" t="s">
        <v>33</v>
      </c>
      <c r="F1598" t="s">
        <v>17</v>
      </c>
      <c r="G1598" t="s">
        <v>40</v>
      </c>
      <c r="H1598" t="s">
        <v>837</v>
      </c>
      <c r="I1598">
        <v>2</v>
      </c>
      <c r="J1598" t="s">
        <v>49</v>
      </c>
      <c r="K1598" t="str">
        <f t="shared" si="24"/>
        <v>31600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1:16">
      <c r="A1599" s="1">
        <v>44682</v>
      </c>
      <c r="B1599" t="s">
        <v>129</v>
      </c>
      <c r="C1599" t="s">
        <v>14</v>
      </c>
      <c r="D1599" t="s">
        <v>15</v>
      </c>
      <c r="E1599" t="s">
        <v>33</v>
      </c>
      <c r="F1599" t="s">
        <v>24</v>
      </c>
      <c r="G1599" t="s">
        <v>40</v>
      </c>
      <c r="H1599" t="s">
        <v>837</v>
      </c>
      <c r="I1599">
        <v>2</v>
      </c>
      <c r="J1599" t="s">
        <v>41</v>
      </c>
      <c r="K1599" t="str">
        <f t="shared" si="24"/>
        <v>31001</v>
      </c>
      <c r="L1599">
        <v>168504.26</v>
      </c>
      <c r="M1599">
        <v>0</v>
      </c>
      <c r="N1599">
        <v>0</v>
      </c>
      <c r="O1599">
        <v>0</v>
      </c>
      <c r="P1599" s="8">
        <v>168504.26</v>
      </c>
    </row>
    <row r="1600" spans="1:16">
      <c r="A1600" s="1">
        <v>44682</v>
      </c>
      <c r="B1600" t="s">
        <v>129</v>
      </c>
      <c r="C1600" t="s">
        <v>14</v>
      </c>
      <c r="D1600" t="s">
        <v>15</v>
      </c>
      <c r="E1600" t="s">
        <v>33</v>
      </c>
      <c r="F1600" t="s">
        <v>24</v>
      </c>
      <c r="G1600" t="s">
        <v>40</v>
      </c>
      <c r="H1600" t="s">
        <v>837</v>
      </c>
      <c r="I1600">
        <v>2</v>
      </c>
      <c r="J1600" t="s">
        <v>42</v>
      </c>
      <c r="K1600" t="str">
        <f t="shared" si="24"/>
        <v>31002</v>
      </c>
      <c r="L1600">
        <v>85743.6</v>
      </c>
      <c r="M1600">
        <v>0</v>
      </c>
      <c r="N1600">
        <v>0</v>
      </c>
      <c r="O1600">
        <v>0</v>
      </c>
      <c r="P1600" s="8">
        <v>85743.6</v>
      </c>
    </row>
    <row r="1601" spans="1:16">
      <c r="A1601" s="1">
        <v>44682</v>
      </c>
      <c r="B1601" t="s">
        <v>129</v>
      </c>
      <c r="C1601" t="s">
        <v>14</v>
      </c>
      <c r="D1601" t="s">
        <v>15</v>
      </c>
      <c r="E1601" t="s">
        <v>33</v>
      </c>
      <c r="F1601" t="s">
        <v>24</v>
      </c>
      <c r="G1601" t="s">
        <v>40</v>
      </c>
      <c r="H1601" t="s">
        <v>837</v>
      </c>
      <c r="I1601">
        <v>2</v>
      </c>
      <c r="J1601" t="s">
        <v>43</v>
      </c>
      <c r="K1601" t="str">
        <f t="shared" si="24"/>
        <v>31100</v>
      </c>
      <c r="L1601">
        <v>0</v>
      </c>
      <c r="M1601">
        <v>0</v>
      </c>
      <c r="N1601">
        <v>0</v>
      </c>
      <c r="O1601">
        <v>0</v>
      </c>
      <c r="P1601" s="8">
        <v>0</v>
      </c>
    </row>
    <row r="1602" spans="1:16">
      <c r="A1602" s="1">
        <v>44682</v>
      </c>
      <c r="B1602" t="s">
        <v>129</v>
      </c>
      <c r="C1602" t="s">
        <v>14</v>
      </c>
      <c r="D1602" t="s">
        <v>15</v>
      </c>
      <c r="E1602" t="s">
        <v>33</v>
      </c>
      <c r="F1602" t="s">
        <v>24</v>
      </c>
      <c r="G1602" t="s">
        <v>40</v>
      </c>
      <c r="H1602" t="s">
        <v>837</v>
      </c>
      <c r="I1602">
        <v>2</v>
      </c>
      <c r="J1602" t="s">
        <v>44</v>
      </c>
      <c r="K1602" t="str">
        <f t="shared" ref="K1602:K1665" si="25">MID(J1602,2,5)</f>
        <v>31201</v>
      </c>
      <c r="L1602">
        <v>0</v>
      </c>
      <c r="M1602">
        <v>0</v>
      </c>
      <c r="N1602">
        <v>0</v>
      </c>
      <c r="O1602">
        <v>0</v>
      </c>
      <c r="P1602" s="8">
        <v>0</v>
      </c>
    </row>
    <row r="1603" spans="1:16">
      <c r="A1603" s="1">
        <v>44682</v>
      </c>
      <c r="B1603" t="s">
        <v>129</v>
      </c>
      <c r="C1603" t="s">
        <v>14</v>
      </c>
      <c r="D1603" t="s">
        <v>15</v>
      </c>
      <c r="E1603" t="s">
        <v>33</v>
      </c>
      <c r="F1603" t="s">
        <v>24</v>
      </c>
      <c r="G1603" t="s">
        <v>40</v>
      </c>
      <c r="H1603" t="s">
        <v>837</v>
      </c>
      <c r="I1603">
        <v>2</v>
      </c>
      <c r="J1603" t="s">
        <v>45</v>
      </c>
      <c r="K1603" t="str">
        <f t="shared" si="25"/>
        <v>31202</v>
      </c>
      <c r="L1603">
        <v>0</v>
      </c>
      <c r="M1603">
        <v>0</v>
      </c>
      <c r="N1603">
        <v>0</v>
      </c>
      <c r="O1603">
        <v>0</v>
      </c>
      <c r="P1603" s="8">
        <v>0</v>
      </c>
    </row>
    <row r="1604" spans="1:16">
      <c r="A1604" s="1">
        <v>44682</v>
      </c>
      <c r="B1604" t="s">
        <v>129</v>
      </c>
      <c r="C1604" t="s">
        <v>14</v>
      </c>
      <c r="D1604" t="s">
        <v>15</v>
      </c>
      <c r="E1604" t="s">
        <v>33</v>
      </c>
      <c r="F1604" t="s">
        <v>24</v>
      </c>
      <c r="G1604" t="s">
        <v>40</v>
      </c>
      <c r="H1604" t="s">
        <v>837</v>
      </c>
      <c r="I1604">
        <v>2</v>
      </c>
      <c r="J1604" t="s">
        <v>46</v>
      </c>
      <c r="K1604" t="str">
        <f t="shared" si="25"/>
        <v>31209</v>
      </c>
      <c r="L1604">
        <v>0</v>
      </c>
      <c r="M1604">
        <v>0</v>
      </c>
      <c r="N1604">
        <v>0</v>
      </c>
      <c r="O1604">
        <v>0</v>
      </c>
      <c r="P1604" s="8">
        <v>0</v>
      </c>
    </row>
    <row r="1605" spans="1:16">
      <c r="A1605" s="1">
        <v>44682</v>
      </c>
      <c r="B1605" t="s">
        <v>129</v>
      </c>
      <c r="C1605" t="s">
        <v>14</v>
      </c>
      <c r="D1605" t="s">
        <v>15</v>
      </c>
      <c r="E1605" t="s">
        <v>33</v>
      </c>
      <c r="F1605" t="s">
        <v>24</v>
      </c>
      <c r="G1605" t="s">
        <v>40</v>
      </c>
      <c r="H1605" t="s">
        <v>837</v>
      </c>
      <c r="I1605">
        <v>2</v>
      </c>
      <c r="J1605" t="s">
        <v>47</v>
      </c>
      <c r="K1605" t="str">
        <f t="shared" si="25"/>
        <v>31400</v>
      </c>
      <c r="L1605">
        <v>0</v>
      </c>
      <c r="M1605">
        <v>0</v>
      </c>
      <c r="N1605">
        <v>0</v>
      </c>
      <c r="O1605">
        <v>0</v>
      </c>
      <c r="P1605" s="8">
        <v>0</v>
      </c>
    </row>
    <row r="1606" spans="1:16">
      <c r="A1606" s="1">
        <v>44682</v>
      </c>
      <c r="B1606" t="s">
        <v>129</v>
      </c>
      <c r="C1606" t="s">
        <v>14</v>
      </c>
      <c r="D1606" t="s">
        <v>15</v>
      </c>
      <c r="E1606" t="s">
        <v>33</v>
      </c>
      <c r="F1606" t="s">
        <v>24</v>
      </c>
      <c r="G1606" t="s">
        <v>40</v>
      </c>
      <c r="H1606" t="s">
        <v>837</v>
      </c>
      <c r="I1606">
        <v>2</v>
      </c>
      <c r="J1606" t="s">
        <v>48</v>
      </c>
      <c r="K1606" t="str">
        <f t="shared" si="25"/>
        <v>31500</v>
      </c>
      <c r="L1606">
        <v>0</v>
      </c>
      <c r="M1606">
        <v>0</v>
      </c>
      <c r="N1606">
        <v>0</v>
      </c>
      <c r="O1606">
        <v>0</v>
      </c>
      <c r="P1606" s="8">
        <v>0</v>
      </c>
    </row>
    <row r="1607" spans="1:16">
      <c r="A1607" s="1">
        <v>44682</v>
      </c>
      <c r="B1607" t="s">
        <v>129</v>
      </c>
      <c r="C1607" t="s">
        <v>14</v>
      </c>
      <c r="D1607" t="s">
        <v>15</v>
      </c>
      <c r="E1607" t="s">
        <v>33</v>
      </c>
      <c r="F1607" t="s">
        <v>24</v>
      </c>
      <c r="G1607" t="s">
        <v>40</v>
      </c>
      <c r="H1607" t="s">
        <v>837</v>
      </c>
      <c r="I1607">
        <v>2</v>
      </c>
      <c r="J1607" t="s">
        <v>49</v>
      </c>
      <c r="K1607" t="str">
        <f t="shared" si="25"/>
        <v>31600</v>
      </c>
      <c r="L1607">
        <v>0</v>
      </c>
      <c r="M1607">
        <v>0</v>
      </c>
      <c r="N1607">
        <v>0</v>
      </c>
      <c r="O1607">
        <v>0</v>
      </c>
      <c r="P1607" s="8">
        <v>0</v>
      </c>
    </row>
    <row r="1608" spans="1:16">
      <c r="A1608" s="1">
        <v>44682</v>
      </c>
      <c r="B1608" t="s">
        <v>129</v>
      </c>
      <c r="C1608" t="s">
        <v>14</v>
      </c>
      <c r="D1608" t="s">
        <v>15</v>
      </c>
      <c r="E1608" t="s">
        <v>33</v>
      </c>
      <c r="F1608" t="s">
        <v>17</v>
      </c>
      <c r="G1608" t="s">
        <v>40</v>
      </c>
      <c r="H1608" t="s">
        <v>837</v>
      </c>
      <c r="I1608">
        <v>2</v>
      </c>
      <c r="J1608" t="s">
        <v>41</v>
      </c>
      <c r="K1608" t="str">
        <f t="shared" si="25"/>
        <v>31001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1:16">
      <c r="A1609" s="1">
        <v>44682</v>
      </c>
      <c r="B1609" t="s">
        <v>129</v>
      </c>
      <c r="C1609" t="s">
        <v>14</v>
      </c>
      <c r="D1609" t="s">
        <v>15</v>
      </c>
      <c r="E1609" t="s">
        <v>33</v>
      </c>
      <c r="F1609" t="s">
        <v>17</v>
      </c>
      <c r="G1609" t="s">
        <v>40</v>
      </c>
      <c r="H1609" t="s">
        <v>837</v>
      </c>
      <c r="I1609">
        <v>2</v>
      </c>
      <c r="J1609" t="s">
        <v>43</v>
      </c>
      <c r="K1609" t="str">
        <f t="shared" si="25"/>
        <v>31100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1:16">
      <c r="A1610" s="1">
        <v>44682</v>
      </c>
      <c r="B1610" t="s">
        <v>129</v>
      </c>
      <c r="C1610" t="s">
        <v>14</v>
      </c>
      <c r="D1610" t="s">
        <v>15</v>
      </c>
      <c r="E1610" t="s">
        <v>33</v>
      </c>
      <c r="F1610" t="s">
        <v>17</v>
      </c>
      <c r="G1610" t="s">
        <v>40</v>
      </c>
      <c r="H1610" t="s">
        <v>837</v>
      </c>
      <c r="I1610">
        <v>2</v>
      </c>
      <c r="J1610" t="s">
        <v>44</v>
      </c>
      <c r="K1610" t="str">
        <f t="shared" si="25"/>
        <v>31201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1:16">
      <c r="A1611" s="1">
        <v>44682</v>
      </c>
      <c r="B1611" t="s">
        <v>129</v>
      </c>
      <c r="C1611" t="s">
        <v>14</v>
      </c>
      <c r="D1611" t="s">
        <v>15</v>
      </c>
      <c r="E1611" t="s">
        <v>33</v>
      </c>
      <c r="F1611" t="s">
        <v>17</v>
      </c>
      <c r="G1611" t="s">
        <v>40</v>
      </c>
      <c r="H1611" t="s">
        <v>837</v>
      </c>
      <c r="I1611">
        <v>2</v>
      </c>
      <c r="J1611" t="s">
        <v>47</v>
      </c>
      <c r="K1611" t="str">
        <f t="shared" si="25"/>
        <v>31400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1:16">
      <c r="A1612" s="1">
        <v>44682</v>
      </c>
      <c r="B1612" t="s">
        <v>129</v>
      </c>
      <c r="C1612" t="s">
        <v>14</v>
      </c>
      <c r="D1612" t="s">
        <v>15</v>
      </c>
      <c r="E1612" t="s">
        <v>33</v>
      </c>
      <c r="F1612" t="s">
        <v>17</v>
      </c>
      <c r="G1612" t="s">
        <v>40</v>
      </c>
      <c r="H1612" t="s">
        <v>837</v>
      </c>
      <c r="I1612">
        <v>2</v>
      </c>
      <c r="J1612" t="s">
        <v>48</v>
      </c>
      <c r="K1612" t="str">
        <f t="shared" si="25"/>
        <v>31500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1:16">
      <c r="A1613" s="1">
        <v>44682</v>
      </c>
      <c r="B1613" t="s">
        <v>129</v>
      </c>
      <c r="C1613" t="s">
        <v>14</v>
      </c>
      <c r="D1613" t="s">
        <v>15</v>
      </c>
      <c r="E1613" t="s">
        <v>33</v>
      </c>
      <c r="F1613" t="s">
        <v>17</v>
      </c>
      <c r="G1613" t="s">
        <v>40</v>
      </c>
      <c r="H1613" t="s">
        <v>837</v>
      </c>
      <c r="I1613">
        <v>2</v>
      </c>
      <c r="J1613" t="s">
        <v>49</v>
      </c>
      <c r="K1613" t="str">
        <f t="shared" si="25"/>
        <v>31600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1:16">
      <c r="A1614" s="1">
        <v>44713</v>
      </c>
      <c r="B1614" t="s">
        <v>128</v>
      </c>
      <c r="C1614" t="s">
        <v>14</v>
      </c>
      <c r="D1614" t="s">
        <v>15</v>
      </c>
      <c r="E1614" t="s">
        <v>33</v>
      </c>
      <c r="F1614" t="s">
        <v>24</v>
      </c>
      <c r="G1614" t="s">
        <v>40</v>
      </c>
      <c r="H1614" t="s">
        <v>837</v>
      </c>
      <c r="I1614">
        <v>2</v>
      </c>
      <c r="J1614" t="s">
        <v>41</v>
      </c>
      <c r="K1614" t="str">
        <f t="shared" si="25"/>
        <v>31001</v>
      </c>
      <c r="L1614">
        <v>168504.26</v>
      </c>
      <c r="M1614">
        <v>0</v>
      </c>
      <c r="N1614">
        <v>0</v>
      </c>
      <c r="O1614">
        <v>0</v>
      </c>
      <c r="P1614" s="8">
        <v>168504.26</v>
      </c>
    </row>
    <row r="1615" spans="1:16">
      <c r="A1615" s="1">
        <v>44713</v>
      </c>
      <c r="B1615" t="s">
        <v>128</v>
      </c>
      <c r="C1615" t="s">
        <v>14</v>
      </c>
      <c r="D1615" t="s">
        <v>15</v>
      </c>
      <c r="E1615" t="s">
        <v>33</v>
      </c>
      <c r="F1615" t="s">
        <v>24</v>
      </c>
      <c r="G1615" t="s">
        <v>40</v>
      </c>
      <c r="H1615" t="s">
        <v>837</v>
      </c>
      <c r="I1615">
        <v>2</v>
      </c>
      <c r="J1615" t="s">
        <v>42</v>
      </c>
      <c r="K1615" t="str">
        <f t="shared" si="25"/>
        <v>31002</v>
      </c>
      <c r="L1615">
        <v>85743.6</v>
      </c>
      <c r="M1615">
        <v>0</v>
      </c>
      <c r="N1615">
        <v>0</v>
      </c>
      <c r="O1615">
        <v>0</v>
      </c>
      <c r="P1615" s="8">
        <v>85743.6</v>
      </c>
    </row>
    <row r="1616" spans="1:16">
      <c r="A1616" s="1">
        <v>44713</v>
      </c>
      <c r="B1616" t="s">
        <v>128</v>
      </c>
      <c r="C1616" t="s">
        <v>14</v>
      </c>
      <c r="D1616" t="s">
        <v>15</v>
      </c>
      <c r="E1616" t="s">
        <v>33</v>
      </c>
      <c r="F1616" t="s">
        <v>24</v>
      </c>
      <c r="G1616" t="s">
        <v>40</v>
      </c>
      <c r="H1616" t="s">
        <v>837</v>
      </c>
      <c r="I1616">
        <v>2</v>
      </c>
      <c r="J1616" t="s">
        <v>43</v>
      </c>
      <c r="K1616" t="str">
        <f t="shared" si="25"/>
        <v>31100</v>
      </c>
      <c r="L1616">
        <v>0</v>
      </c>
      <c r="M1616">
        <v>0</v>
      </c>
      <c r="N1616">
        <v>0</v>
      </c>
      <c r="O1616">
        <v>0</v>
      </c>
      <c r="P1616" s="8">
        <v>0</v>
      </c>
    </row>
    <row r="1617" spans="1:16">
      <c r="A1617" s="1">
        <v>44713</v>
      </c>
      <c r="B1617" t="s">
        <v>128</v>
      </c>
      <c r="C1617" t="s">
        <v>14</v>
      </c>
      <c r="D1617" t="s">
        <v>15</v>
      </c>
      <c r="E1617" t="s">
        <v>33</v>
      </c>
      <c r="F1617" t="s">
        <v>24</v>
      </c>
      <c r="G1617" t="s">
        <v>40</v>
      </c>
      <c r="H1617" t="s">
        <v>837</v>
      </c>
      <c r="I1617">
        <v>2</v>
      </c>
      <c r="J1617" t="s">
        <v>44</v>
      </c>
      <c r="K1617" t="str">
        <f t="shared" si="25"/>
        <v>31201</v>
      </c>
      <c r="L1617">
        <v>0</v>
      </c>
      <c r="M1617">
        <v>0</v>
      </c>
      <c r="N1617">
        <v>0</v>
      </c>
      <c r="O1617">
        <v>0</v>
      </c>
      <c r="P1617" s="8">
        <v>0</v>
      </c>
    </row>
    <row r="1618" spans="1:16">
      <c r="A1618" s="1">
        <v>44713</v>
      </c>
      <c r="B1618" t="s">
        <v>128</v>
      </c>
      <c r="C1618" t="s">
        <v>14</v>
      </c>
      <c r="D1618" t="s">
        <v>15</v>
      </c>
      <c r="E1618" t="s">
        <v>33</v>
      </c>
      <c r="F1618" t="s">
        <v>24</v>
      </c>
      <c r="G1618" t="s">
        <v>40</v>
      </c>
      <c r="H1618" t="s">
        <v>837</v>
      </c>
      <c r="I1618">
        <v>2</v>
      </c>
      <c r="J1618" t="s">
        <v>45</v>
      </c>
      <c r="K1618" t="str">
        <f t="shared" si="25"/>
        <v>31202</v>
      </c>
      <c r="L1618">
        <v>0</v>
      </c>
      <c r="M1618">
        <v>0</v>
      </c>
      <c r="N1618">
        <v>0</v>
      </c>
      <c r="O1618">
        <v>0</v>
      </c>
      <c r="P1618" s="8">
        <v>0</v>
      </c>
    </row>
    <row r="1619" spans="1:16">
      <c r="A1619" s="1">
        <v>44713</v>
      </c>
      <c r="B1619" t="s">
        <v>128</v>
      </c>
      <c r="C1619" t="s">
        <v>14</v>
      </c>
      <c r="D1619" t="s">
        <v>15</v>
      </c>
      <c r="E1619" t="s">
        <v>33</v>
      </c>
      <c r="F1619" t="s">
        <v>24</v>
      </c>
      <c r="G1619" t="s">
        <v>40</v>
      </c>
      <c r="H1619" t="s">
        <v>837</v>
      </c>
      <c r="I1619">
        <v>2</v>
      </c>
      <c r="J1619" t="s">
        <v>46</v>
      </c>
      <c r="K1619" t="str">
        <f t="shared" si="25"/>
        <v>31209</v>
      </c>
      <c r="L1619">
        <v>0</v>
      </c>
      <c r="M1619">
        <v>0</v>
      </c>
      <c r="N1619">
        <v>0</v>
      </c>
      <c r="O1619">
        <v>0</v>
      </c>
      <c r="P1619" s="8">
        <v>0</v>
      </c>
    </row>
    <row r="1620" spans="1:16">
      <c r="A1620" s="1">
        <v>44713</v>
      </c>
      <c r="B1620" t="s">
        <v>128</v>
      </c>
      <c r="C1620" t="s">
        <v>14</v>
      </c>
      <c r="D1620" t="s">
        <v>15</v>
      </c>
      <c r="E1620" t="s">
        <v>33</v>
      </c>
      <c r="F1620" t="s">
        <v>24</v>
      </c>
      <c r="G1620" t="s">
        <v>40</v>
      </c>
      <c r="H1620" t="s">
        <v>837</v>
      </c>
      <c r="I1620">
        <v>2</v>
      </c>
      <c r="J1620" t="s">
        <v>47</v>
      </c>
      <c r="K1620" t="str">
        <f t="shared" si="25"/>
        <v>31400</v>
      </c>
      <c r="L1620">
        <v>0</v>
      </c>
      <c r="M1620">
        <v>0</v>
      </c>
      <c r="N1620">
        <v>0</v>
      </c>
      <c r="O1620">
        <v>0</v>
      </c>
      <c r="P1620" s="8">
        <v>0</v>
      </c>
    </row>
    <row r="1621" spans="1:16">
      <c r="A1621" s="1">
        <v>44713</v>
      </c>
      <c r="B1621" t="s">
        <v>128</v>
      </c>
      <c r="C1621" t="s">
        <v>14</v>
      </c>
      <c r="D1621" t="s">
        <v>15</v>
      </c>
      <c r="E1621" t="s">
        <v>33</v>
      </c>
      <c r="F1621" t="s">
        <v>24</v>
      </c>
      <c r="G1621" t="s">
        <v>40</v>
      </c>
      <c r="H1621" t="s">
        <v>837</v>
      </c>
      <c r="I1621">
        <v>2</v>
      </c>
      <c r="J1621" t="s">
        <v>48</v>
      </c>
      <c r="K1621" t="str">
        <f t="shared" si="25"/>
        <v>31500</v>
      </c>
      <c r="L1621">
        <v>0</v>
      </c>
      <c r="M1621">
        <v>0</v>
      </c>
      <c r="N1621">
        <v>0</v>
      </c>
      <c r="O1621">
        <v>0</v>
      </c>
      <c r="P1621" s="8">
        <v>0</v>
      </c>
    </row>
    <row r="1622" spans="1:16">
      <c r="A1622" s="1">
        <v>44713</v>
      </c>
      <c r="B1622" t="s">
        <v>128</v>
      </c>
      <c r="C1622" t="s">
        <v>14</v>
      </c>
      <c r="D1622" t="s">
        <v>15</v>
      </c>
      <c r="E1622" t="s">
        <v>33</v>
      </c>
      <c r="F1622" t="s">
        <v>24</v>
      </c>
      <c r="G1622" t="s">
        <v>40</v>
      </c>
      <c r="H1622" t="s">
        <v>837</v>
      </c>
      <c r="I1622">
        <v>2</v>
      </c>
      <c r="J1622" t="s">
        <v>49</v>
      </c>
      <c r="K1622" t="str">
        <f t="shared" si="25"/>
        <v>31600</v>
      </c>
      <c r="L1622">
        <v>0</v>
      </c>
      <c r="M1622">
        <v>0</v>
      </c>
      <c r="N1622">
        <v>0</v>
      </c>
      <c r="O1622">
        <v>0</v>
      </c>
      <c r="P1622" s="8">
        <v>0</v>
      </c>
    </row>
    <row r="1623" spans="1:16">
      <c r="A1623" s="1">
        <v>44713</v>
      </c>
      <c r="B1623" t="s">
        <v>128</v>
      </c>
      <c r="C1623" t="s">
        <v>14</v>
      </c>
      <c r="D1623" t="s">
        <v>15</v>
      </c>
      <c r="E1623" t="s">
        <v>33</v>
      </c>
      <c r="F1623" t="s">
        <v>17</v>
      </c>
      <c r="G1623" t="s">
        <v>40</v>
      </c>
      <c r="H1623" t="s">
        <v>837</v>
      </c>
      <c r="I1623">
        <v>2</v>
      </c>
      <c r="J1623" t="s">
        <v>41</v>
      </c>
      <c r="K1623" t="str">
        <f t="shared" si="25"/>
        <v>31001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1:16">
      <c r="A1624" s="1">
        <v>44713</v>
      </c>
      <c r="B1624" t="s">
        <v>128</v>
      </c>
      <c r="C1624" t="s">
        <v>14</v>
      </c>
      <c r="D1624" t="s">
        <v>15</v>
      </c>
      <c r="E1624" t="s">
        <v>33</v>
      </c>
      <c r="F1624" t="s">
        <v>17</v>
      </c>
      <c r="G1624" t="s">
        <v>40</v>
      </c>
      <c r="H1624" t="s">
        <v>837</v>
      </c>
      <c r="I1624">
        <v>2</v>
      </c>
      <c r="J1624" t="s">
        <v>43</v>
      </c>
      <c r="K1624" t="str">
        <f t="shared" si="25"/>
        <v>31100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1:16">
      <c r="A1625" s="1">
        <v>44713</v>
      </c>
      <c r="B1625" t="s">
        <v>128</v>
      </c>
      <c r="C1625" t="s">
        <v>14</v>
      </c>
      <c r="D1625" t="s">
        <v>15</v>
      </c>
      <c r="E1625" t="s">
        <v>33</v>
      </c>
      <c r="F1625" t="s">
        <v>17</v>
      </c>
      <c r="G1625" t="s">
        <v>40</v>
      </c>
      <c r="H1625" t="s">
        <v>837</v>
      </c>
      <c r="I1625">
        <v>2</v>
      </c>
      <c r="J1625" t="s">
        <v>44</v>
      </c>
      <c r="K1625" t="str">
        <f t="shared" si="25"/>
        <v>31201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1:16">
      <c r="A1626" s="1">
        <v>44713</v>
      </c>
      <c r="B1626" t="s">
        <v>128</v>
      </c>
      <c r="C1626" t="s">
        <v>14</v>
      </c>
      <c r="D1626" t="s">
        <v>15</v>
      </c>
      <c r="E1626" t="s">
        <v>33</v>
      </c>
      <c r="F1626" t="s">
        <v>17</v>
      </c>
      <c r="G1626" t="s">
        <v>40</v>
      </c>
      <c r="H1626" t="s">
        <v>837</v>
      </c>
      <c r="I1626">
        <v>2</v>
      </c>
      <c r="J1626" t="s">
        <v>47</v>
      </c>
      <c r="K1626" t="str">
        <f t="shared" si="25"/>
        <v>31400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1:16">
      <c r="A1627" s="1">
        <v>44713</v>
      </c>
      <c r="B1627" t="s">
        <v>128</v>
      </c>
      <c r="C1627" t="s">
        <v>14</v>
      </c>
      <c r="D1627" t="s">
        <v>15</v>
      </c>
      <c r="E1627" t="s">
        <v>33</v>
      </c>
      <c r="F1627" t="s">
        <v>17</v>
      </c>
      <c r="G1627" t="s">
        <v>40</v>
      </c>
      <c r="H1627" t="s">
        <v>837</v>
      </c>
      <c r="I1627">
        <v>2</v>
      </c>
      <c r="J1627" t="s">
        <v>48</v>
      </c>
      <c r="K1627" t="str">
        <f t="shared" si="25"/>
        <v>31500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>
      <c r="A1628" s="1">
        <v>44713</v>
      </c>
      <c r="B1628" t="s">
        <v>128</v>
      </c>
      <c r="C1628" t="s">
        <v>14</v>
      </c>
      <c r="D1628" t="s">
        <v>15</v>
      </c>
      <c r="E1628" t="s">
        <v>33</v>
      </c>
      <c r="F1628" t="s">
        <v>17</v>
      </c>
      <c r="G1628" t="s">
        <v>40</v>
      </c>
      <c r="H1628" t="s">
        <v>837</v>
      </c>
      <c r="I1628">
        <v>2</v>
      </c>
      <c r="J1628" t="s">
        <v>49</v>
      </c>
      <c r="K1628" t="str">
        <f t="shared" si="25"/>
        <v>31600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>
      <c r="A1629" s="1">
        <v>44743</v>
      </c>
      <c r="B1629" t="s">
        <v>127</v>
      </c>
      <c r="C1629" t="s">
        <v>14</v>
      </c>
      <c r="D1629" t="s">
        <v>15</v>
      </c>
      <c r="E1629" t="s">
        <v>33</v>
      </c>
      <c r="F1629" t="s">
        <v>24</v>
      </c>
      <c r="G1629" t="s">
        <v>40</v>
      </c>
      <c r="H1629" t="s">
        <v>837</v>
      </c>
      <c r="I1629">
        <v>2</v>
      </c>
      <c r="J1629" t="s">
        <v>41</v>
      </c>
      <c r="K1629" t="str">
        <f t="shared" si="25"/>
        <v>31001</v>
      </c>
      <c r="L1629">
        <v>168504.26</v>
      </c>
      <c r="M1629">
        <v>0</v>
      </c>
      <c r="N1629">
        <v>0</v>
      </c>
      <c r="O1629">
        <v>0</v>
      </c>
      <c r="P1629" s="8">
        <v>168504.26</v>
      </c>
    </row>
    <row r="1630" spans="1:16">
      <c r="A1630" s="1">
        <v>44743</v>
      </c>
      <c r="B1630" t="s">
        <v>127</v>
      </c>
      <c r="C1630" t="s">
        <v>14</v>
      </c>
      <c r="D1630" t="s">
        <v>15</v>
      </c>
      <c r="E1630" t="s">
        <v>33</v>
      </c>
      <c r="F1630" t="s">
        <v>24</v>
      </c>
      <c r="G1630" t="s">
        <v>40</v>
      </c>
      <c r="H1630" t="s">
        <v>837</v>
      </c>
      <c r="I1630">
        <v>2</v>
      </c>
      <c r="J1630" t="s">
        <v>42</v>
      </c>
      <c r="K1630" t="str">
        <f t="shared" si="25"/>
        <v>31002</v>
      </c>
      <c r="L1630">
        <v>85743.6</v>
      </c>
      <c r="M1630">
        <v>0</v>
      </c>
      <c r="N1630">
        <v>0</v>
      </c>
      <c r="O1630">
        <v>0</v>
      </c>
      <c r="P1630" s="8">
        <v>85743.6</v>
      </c>
    </row>
    <row r="1631" spans="1:16">
      <c r="A1631" s="1">
        <v>44743</v>
      </c>
      <c r="B1631" t="s">
        <v>127</v>
      </c>
      <c r="C1631" t="s">
        <v>14</v>
      </c>
      <c r="D1631" t="s">
        <v>15</v>
      </c>
      <c r="E1631" t="s">
        <v>33</v>
      </c>
      <c r="F1631" t="s">
        <v>24</v>
      </c>
      <c r="G1631" t="s">
        <v>40</v>
      </c>
      <c r="H1631" t="s">
        <v>837</v>
      </c>
      <c r="I1631">
        <v>2</v>
      </c>
      <c r="J1631" t="s">
        <v>43</v>
      </c>
      <c r="K1631" t="str">
        <f t="shared" si="25"/>
        <v>31100</v>
      </c>
      <c r="L1631">
        <v>0</v>
      </c>
      <c r="M1631">
        <v>0</v>
      </c>
      <c r="N1631">
        <v>0</v>
      </c>
      <c r="O1631">
        <v>0</v>
      </c>
      <c r="P1631" s="8">
        <v>0</v>
      </c>
    </row>
    <row r="1632" spans="1:16">
      <c r="A1632" s="1">
        <v>44743</v>
      </c>
      <c r="B1632" t="s">
        <v>127</v>
      </c>
      <c r="C1632" t="s">
        <v>14</v>
      </c>
      <c r="D1632" t="s">
        <v>15</v>
      </c>
      <c r="E1632" t="s">
        <v>33</v>
      </c>
      <c r="F1632" t="s">
        <v>24</v>
      </c>
      <c r="G1632" t="s">
        <v>40</v>
      </c>
      <c r="H1632" t="s">
        <v>837</v>
      </c>
      <c r="I1632">
        <v>2</v>
      </c>
      <c r="J1632" t="s">
        <v>44</v>
      </c>
      <c r="K1632" t="str">
        <f t="shared" si="25"/>
        <v>31201</v>
      </c>
      <c r="L1632">
        <v>0</v>
      </c>
      <c r="M1632">
        <v>0</v>
      </c>
      <c r="N1632">
        <v>0</v>
      </c>
      <c r="O1632">
        <v>0</v>
      </c>
      <c r="P1632" s="8">
        <v>0</v>
      </c>
    </row>
    <row r="1633" spans="1:16">
      <c r="A1633" s="1">
        <v>44743</v>
      </c>
      <c r="B1633" t="s">
        <v>127</v>
      </c>
      <c r="C1633" t="s">
        <v>14</v>
      </c>
      <c r="D1633" t="s">
        <v>15</v>
      </c>
      <c r="E1633" t="s">
        <v>33</v>
      </c>
      <c r="F1633" t="s">
        <v>24</v>
      </c>
      <c r="G1633" t="s">
        <v>40</v>
      </c>
      <c r="H1633" t="s">
        <v>837</v>
      </c>
      <c r="I1633">
        <v>2</v>
      </c>
      <c r="J1633" t="s">
        <v>45</v>
      </c>
      <c r="K1633" t="str">
        <f t="shared" si="25"/>
        <v>31202</v>
      </c>
      <c r="L1633">
        <v>0</v>
      </c>
      <c r="M1633">
        <v>0</v>
      </c>
      <c r="N1633">
        <v>0</v>
      </c>
      <c r="O1633">
        <v>0</v>
      </c>
      <c r="P1633" s="8">
        <v>0</v>
      </c>
    </row>
    <row r="1634" spans="1:16">
      <c r="A1634" s="1">
        <v>44743</v>
      </c>
      <c r="B1634" t="s">
        <v>127</v>
      </c>
      <c r="C1634" t="s">
        <v>14</v>
      </c>
      <c r="D1634" t="s">
        <v>15</v>
      </c>
      <c r="E1634" t="s">
        <v>33</v>
      </c>
      <c r="F1634" t="s">
        <v>24</v>
      </c>
      <c r="G1634" t="s">
        <v>40</v>
      </c>
      <c r="H1634" t="s">
        <v>837</v>
      </c>
      <c r="I1634">
        <v>2</v>
      </c>
      <c r="J1634" t="s">
        <v>46</v>
      </c>
      <c r="K1634" t="str">
        <f t="shared" si="25"/>
        <v>31209</v>
      </c>
      <c r="L1634">
        <v>0</v>
      </c>
      <c r="M1634">
        <v>0</v>
      </c>
      <c r="N1634">
        <v>0</v>
      </c>
      <c r="O1634">
        <v>0</v>
      </c>
      <c r="P1634" s="8">
        <v>0</v>
      </c>
    </row>
    <row r="1635" spans="1:16">
      <c r="A1635" s="1">
        <v>44743</v>
      </c>
      <c r="B1635" t="s">
        <v>127</v>
      </c>
      <c r="C1635" t="s">
        <v>14</v>
      </c>
      <c r="D1635" t="s">
        <v>15</v>
      </c>
      <c r="E1635" t="s">
        <v>33</v>
      </c>
      <c r="F1635" t="s">
        <v>24</v>
      </c>
      <c r="G1635" t="s">
        <v>40</v>
      </c>
      <c r="H1635" t="s">
        <v>837</v>
      </c>
      <c r="I1635">
        <v>2</v>
      </c>
      <c r="J1635" t="s">
        <v>47</v>
      </c>
      <c r="K1635" t="str">
        <f t="shared" si="25"/>
        <v>31400</v>
      </c>
      <c r="L1635">
        <v>0</v>
      </c>
      <c r="M1635">
        <v>0</v>
      </c>
      <c r="N1635">
        <v>0</v>
      </c>
      <c r="O1635">
        <v>0</v>
      </c>
      <c r="P1635" s="8">
        <v>0</v>
      </c>
    </row>
    <row r="1636" spans="1:16">
      <c r="A1636" s="1">
        <v>44743</v>
      </c>
      <c r="B1636" t="s">
        <v>127</v>
      </c>
      <c r="C1636" t="s">
        <v>14</v>
      </c>
      <c r="D1636" t="s">
        <v>15</v>
      </c>
      <c r="E1636" t="s">
        <v>33</v>
      </c>
      <c r="F1636" t="s">
        <v>24</v>
      </c>
      <c r="G1636" t="s">
        <v>40</v>
      </c>
      <c r="H1636" t="s">
        <v>837</v>
      </c>
      <c r="I1636">
        <v>2</v>
      </c>
      <c r="J1636" t="s">
        <v>48</v>
      </c>
      <c r="K1636" t="str">
        <f t="shared" si="25"/>
        <v>31500</v>
      </c>
      <c r="L1636">
        <v>0</v>
      </c>
      <c r="M1636">
        <v>0</v>
      </c>
      <c r="N1636">
        <v>0</v>
      </c>
      <c r="O1636">
        <v>0</v>
      </c>
      <c r="P1636" s="8">
        <v>0</v>
      </c>
    </row>
    <row r="1637" spans="1:16">
      <c r="A1637" s="1">
        <v>44743</v>
      </c>
      <c r="B1637" t="s">
        <v>127</v>
      </c>
      <c r="C1637" t="s">
        <v>14</v>
      </c>
      <c r="D1637" t="s">
        <v>15</v>
      </c>
      <c r="E1637" t="s">
        <v>33</v>
      </c>
      <c r="F1637" t="s">
        <v>24</v>
      </c>
      <c r="G1637" t="s">
        <v>40</v>
      </c>
      <c r="H1637" t="s">
        <v>837</v>
      </c>
      <c r="I1637">
        <v>2</v>
      </c>
      <c r="J1637" t="s">
        <v>49</v>
      </c>
      <c r="K1637" t="str">
        <f t="shared" si="25"/>
        <v>31600</v>
      </c>
      <c r="L1637">
        <v>0</v>
      </c>
      <c r="M1637">
        <v>0</v>
      </c>
      <c r="N1637">
        <v>0</v>
      </c>
      <c r="O1637">
        <v>0</v>
      </c>
      <c r="P1637" s="8">
        <v>0</v>
      </c>
    </row>
    <row r="1638" spans="1:16">
      <c r="A1638" s="1">
        <v>44743</v>
      </c>
      <c r="B1638" t="s">
        <v>127</v>
      </c>
      <c r="C1638" t="s">
        <v>14</v>
      </c>
      <c r="D1638" t="s">
        <v>15</v>
      </c>
      <c r="E1638" t="s">
        <v>33</v>
      </c>
      <c r="F1638" t="s">
        <v>17</v>
      </c>
      <c r="G1638" t="s">
        <v>40</v>
      </c>
      <c r="H1638" t="s">
        <v>837</v>
      </c>
      <c r="I1638">
        <v>2</v>
      </c>
      <c r="J1638" t="s">
        <v>41</v>
      </c>
      <c r="K1638" t="str">
        <f t="shared" si="25"/>
        <v>31001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1:16">
      <c r="A1639" s="1">
        <v>44743</v>
      </c>
      <c r="B1639" t="s">
        <v>127</v>
      </c>
      <c r="C1639" t="s">
        <v>14</v>
      </c>
      <c r="D1639" t="s">
        <v>15</v>
      </c>
      <c r="E1639" t="s">
        <v>33</v>
      </c>
      <c r="F1639" t="s">
        <v>17</v>
      </c>
      <c r="G1639" t="s">
        <v>40</v>
      </c>
      <c r="H1639" t="s">
        <v>837</v>
      </c>
      <c r="I1639">
        <v>2</v>
      </c>
      <c r="J1639" t="s">
        <v>43</v>
      </c>
      <c r="K1639" t="str">
        <f t="shared" si="25"/>
        <v>31100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1:16">
      <c r="A1640" s="1">
        <v>44743</v>
      </c>
      <c r="B1640" t="s">
        <v>127</v>
      </c>
      <c r="C1640" t="s">
        <v>14</v>
      </c>
      <c r="D1640" t="s">
        <v>15</v>
      </c>
      <c r="E1640" t="s">
        <v>33</v>
      </c>
      <c r="F1640" t="s">
        <v>17</v>
      </c>
      <c r="G1640" t="s">
        <v>40</v>
      </c>
      <c r="H1640" t="s">
        <v>837</v>
      </c>
      <c r="I1640">
        <v>2</v>
      </c>
      <c r="J1640" t="s">
        <v>44</v>
      </c>
      <c r="K1640" t="str">
        <f t="shared" si="25"/>
        <v>31201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1:16">
      <c r="A1641" s="1">
        <v>44743</v>
      </c>
      <c r="B1641" t="s">
        <v>127</v>
      </c>
      <c r="C1641" t="s">
        <v>14</v>
      </c>
      <c r="D1641" t="s">
        <v>15</v>
      </c>
      <c r="E1641" t="s">
        <v>33</v>
      </c>
      <c r="F1641" t="s">
        <v>17</v>
      </c>
      <c r="G1641" t="s">
        <v>40</v>
      </c>
      <c r="H1641" t="s">
        <v>837</v>
      </c>
      <c r="I1641">
        <v>2</v>
      </c>
      <c r="J1641" t="s">
        <v>47</v>
      </c>
      <c r="K1641" t="str">
        <f t="shared" si="25"/>
        <v>31400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1:16">
      <c r="A1642" s="1">
        <v>44743</v>
      </c>
      <c r="B1642" t="s">
        <v>127</v>
      </c>
      <c r="C1642" t="s">
        <v>14</v>
      </c>
      <c r="D1642" t="s">
        <v>15</v>
      </c>
      <c r="E1642" t="s">
        <v>33</v>
      </c>
      <c r="F1642" t="s">
        <v>17</v>
      </c>
      <c r="G1642" t="s">
        <v>40</v>
      </c>
      <c r="H1642" t="s">
        <v>837</v>
      </c>
      <c r="I1642">
        <v>2</v>
      </c>
      <c r="J1642" t="s">
        <v>48</v>
      </c>
      <c r="K1642" t="str">
        <f t="shared" si="25"/>
        <v>31500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1:16">
      <c r="A1643" s="1">
        <v>44743</v>
      </c>
      <c r="B1643" t="s">
        <v>127</v>
      </c>
      <c r="C1643" t="s">
        <v>14</v>
      </c>
      <c r="D1643" t="s">
        <v>15</v>
      </c>
      <c r="E1643" t="s">
        <v>33</v>
      </c>
      <c r="F1643" t="s">
        <v>17</v>
      </c>
      <c r="G1643" t="s">
        <v>40</v>
      </c>
      <c r="H1643" t="s">
        <v>837</v>
      </c>
      <c r="I1643">
        <v>2</v>
      </c>
      <c r="J1643" t="s">
        <v>49</v>
      </c>
      <c r="K1643" t="str">
        <f t="shared" si="25"/>
        <v>31600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1:16">
      <c r="A1644" s="1">
        <v>44774</v>
      </c>
      <c r="B1644" t="s">
        <v>126</v>
      </c>
      <c r="C1644" t="s">
        <v>14</v>
      </c>
      <c r="D1644" t="s">
        <v>15</v>
      </c>
      <c r="E1644" t="s">
        <v>33</v>
      </c>
      <c r="F1644" t="s">
        <v>24</v>
      </c>
      <c r="G1644" t="s">
        <v>40</v>
      </c>
      <c r="H1644" t="s">
        <v>837</v>
      </c>
      <c r="I1644">
        <v>2</v>
      </c>
      <c r="J1644" t="s">
        <v>41</v>
      </c>
      <c r="K1644" t="str">
        <f t="shared" si="25"/>
        <v>31001</v>
      </c>
      <c r="L1644">
        <v>168504.26</v>
      </c>
      <c r="M1644">
        <v>0</v>
      </c>
      <c r="N1644">
        <v>0</v>
      </c>
      <c r="O1644">
        <v>0</v>
      </c>
      <c r="P1644" s="8">
        <v>168504.26</v>
      </c>
    </row>
    <row r="1645" spans="1:16">
      <c r="A1645" s="1">
        <v>44774</v>
      </c>
      <c r="B1645" t="s">
        <v>126</v>
      </c>
      <c r="C1645" t="s">
        <v>14</v>
      </c>
      <c r="D1645" t="s">
        <v>15</v>
      </c>
      <c r="E1645" t="s">
        <v>33</v>
      </c>
      <c r="F1645" t="s">
        <v>24</v>
      </c>
      <c r="G1645" t="s">
        <v>40</v>
      </c>
      <c r="H1645" t="s">
        <v>837</v>
      </c>
      <c r="I1645">
        <v>2</v>
      </c>
      <c r="J1645" t="s">
        <v>42</v>
      </c>
      <c r="K1645" t="str">
        <f t="shared" si="25"/>
        <v>31002</v>
      </c>
      <c r="L1645">
        <v>85743.6</v>
      </c>
      <c r="M1645">
        <v>0</v>
      </c>
      <c r="N1645">
        <v>0</v>
      </c>
      <c r="O1645">
        <v>0</v>
      </c>
      <c r="P1645" s="8">
        <v>85743.6</v>
      </c>
    </row>
    <row r="1646" spans="1:16">
      <c r="A1646" s="1">
        <v>44774</v>
      </c>
      <c r="B1646" t="s">
        <v>126</v>
      </c>
      <c r="C1646" t="s">
        <v>14</v>
      </c>
      <c r="D1646" t="s">
        <v>15</v>
      </c>
      <c r="E1646" t="s">
        <v>33</v>
      </c>
      <c r="F1646" t="s">
        <v>24</v>
      </c>
      <c r="G1646" t="s">
        <v>40</v>
      </c>
      <c r="H1646" t="s">
        <v>837</v>
      </c>
      <c r="I1646">
        <v>2</v>
      </c>
      <c r="J1646" t="s">
        <v>43</v>
      </c>
      <c r="K1646" t="str">
        <f t="shared" si="25"/>
        <v>31100</v>
      </c>
      <c r="L1646">
        <v>0</v>
      </c>
      <c r="M1646">
        <v>0</v>
      </c>
      <c r="N1646">
        <v>0</v>
      </c>
      <c r="O1646">
        <v>0</v>
      </c>
      <c r="P1646" s="8">
        <v>0</v>
      </c>
    </row>
    <row r="1647" spans="1:16">
      <c r="A1647" s="1">
        <v>44774</v>
      </c>
      <c r="B1647" t="s">
        <v>126</v>
      </c>
      <c r="C1647" t="s">
        <v>14</v>
      </c>
      <c r="D1647" t="s">
        <v>15</v>
      </c>
      <c r="E1647" t="s">
        <v>33</v>
      </c>
      <c r="F1647" t="s">
        <v>24</v>
      </c>
      <c r="G1647" t="s">
        <v>40</v>
      </c>
      <c r="H1647" t="s">
        <v>837</v>
      </c>
      <c r="I1647">
        <v>2</v>
      </c>
      <c r="J1647" t="s">
        <v>44</v>
      </c>
      <c r="K1647" t="str">
        <f t="shared" si="25"/>
        <v>31201</v>
      </c>
      <c r="L1647">
        <v>0</v>
      </c>
      <c r="M1647">
        <v>0</v>
      </c>
      <c r="N1647">
        <v>0</v>
      </c>
      <c r="O1647">
        <v>0</v>
      </c>
      <c r="P1647" s="8">
        <v>0</v>
      </c>
    </row>
    <row r="1648" spans="1:16">
      <c r="A1648" s="1">
        <v>44774</v>
      </c>
      <c r="B1648" t="s">
        <v>126</v>
      </c>
      <c r="C1648" t="s">
        <v>14</v>
      </c>
      <c r="D1648" t="s">
        <v>15</v>
      </c>
      <c r="E1648" t="s">
        <v>33</v>
      </c>
      <c r="F1648" t="s">
        <v>24</v>
      </c>
      <c r="G1648" t="s">
        <v>40</v>
      </c>
      <c r="H1648" t="s">
        <v>837</v>
      </c>
      <c r="I1648">
        <v>2</v>
      </c>
      <c r="J1648" t="s">
        <v>45</v>
      </c>
      <c r="K1648" t="str">
        <f t="shared" si="25"/>
        <v>31202</v>
      </c>
      <c r="L1648">
        <v>0</v>
      </c>
      <c r="M1648">
        <v>0</v>
      </c>
      <c r="N1648">
        <v>0</v>
      </c>
      <c r="O1648">
        <v>0</v>
      </c>
      <c r="P1648" s="8">
        <v>0</v>
      </c>
    </row>
    <row r="1649" spans="1:16">
      <c r="A1649" s="1">
        <v>44774</v>
      </c>
      <c r="B1649" t="s">
        <v>126</v>
      </c>
      <c r="C1649" t="s">
        <v>14</v>
      </c>
      <c r="D1649" t="s">
        <v>15</v>
      </c>
      <c r="E1649" t="s">
        <v>33</v>
      </c>
      <c r="F1649" t="s">
        <v>24</v>
      </c>
      <c r="G1649" t="s">
        <v>40</v>
      </c>
      <c r="H1649" t="s">
        <v>837</v>
      </c>
      <c r="I1649">
        <v>2</v>
      </c>
      <c r="J1649" t="s">
        <v>46</v>
      </c>
      <c r="K1649" t="str">
        <f t="shared" si="25"/>
        <v>31209</v>
      </c>
      <c r="L1649">
        <v>0</v>
      </c>
      <c r="M1649">
        <v>0</v>
      </c>
      <c r="N1649">
        <v>0</v>
      </c>
      <c r="O1649">
        <v>0</v>
      </c>
      <c r="P1649" s="8">
        <v>0</v>
      </c>
    </row>
    <row r="1650" spans="1:16">
      <c r="A1650" s="1">
        <v>44774</v>
      </c>
      <c r="B1650" t="s">
        <v>126</v>
      </c>
      <c r="C1650" t="s">
        <v>14</v>
      </c>
      <c r="D1650" t="s">
        <v>15</v>
      </c>
      <c r="E1650" t="s">
        <v>33</v>
      </c>
      <c r="F1650" t="s">
        <v>24</v>
      </c>
      <c r="G1650" t="s">
        <v>40</v>
      </c>
      <c r="H1650" t="s">
        <v>837</v>
      </c>
      <c r="I1650">
        <v>2</v>
      </c>
      <c r="J1650" t="s">
        <v>47</v>
      </c>
      <c r="K1650" t="str">
        <f t="shared" si="25"/>
        <v>31400</v>
      </c>
      <c r="L1650">
        <v>0</v>
      </c>
      <c r="M1650">
        <v>0</v>
      </c>
      <c r="N1650">
        <v>0</v>
      </c>
      <c r="O1650">
        <v>0</v>
      </c>
      <c r="P1650" s="8">
        <v>0</v>
      </c>
    </row>
    <row r="1651" spans="1:16">
      <c r="A1651" s="1">
        <v>44774</v>
      </c>
      <c r="B1651" t="s">
        <v>126</v>
      </c>
      <c r="C1651" t="s">
        <v>14</v>
      </c>
      <c r="D1651" t="s">
        <v>15</v>
      </c>
      <c r="E1651" t="s">
        <v>33</v>
      </c>
      <c r="F1651" t="s">
        <v>24</v>
      </c>
      <c r="G1651" t="s">
        <v>40</v>
      </c>
      <c r="H1651" t="s">
        <v>837</v>
      </c>
      <c r="I1651">
        <v>2</v>
      </c>
      <c r="J1651" t="s">
        <v>48</v>
      </c>
      <c r="K1651" t="str">
        <f t="shared" si="25"/>
        <v>31500</v>
      </c>
      <c r="L1651">
        <v>0</v>
      </c>
      <c r="M1651">
        <v>0</v>
      </c>
      <c r="N1651">
        <v>0</v>
      </c>
      <c r="O1651">
        <v>0</v>
      </c>
      <c r="P1651" s="8">
        <v>0</v>
      </c>
    </row>
    <row r="1652" spans="1:16">
      <c r="A1652" s="1">
        <v>44774</v>
      </c>
      <c r="B1652" t="s">
        <v>126</v>
      </c>
      <c r="C1652" t="s">
        <v>14</v>
      </c>
      <c r="D1652" t="s">
        <v>15</v>
      </c>
      <c r="E1652" t="s">
        <v>33</v>
      </c>
      <c r="F1652" t="s">
        <v>24</v>
      </c>
      <c r="G1652" t="s">
        <v>40</v>
      </c>
      <c r="H1652" t="s">
        <v>837</v>
      </c>
      <c r="I1652">
        <v>2</v>
      </c>
      <c r="J1652" t="s">
        <v>49</v>
      </c>
      <c r="K1652" t="str">
        <f t="shared" si="25"/>
        <v>31600</v>
      </c>
      <c r="L1652">
        <v>0</v>
      </c>
      <c r="M1652">
        <v>0</v>
      </c>
      <c r="N1652">
        <v>0</v>
      </c>
      <c r="O1652">
        <v>0</v>
      </c>
      <c r="P1652" s="8">
        <v>0</v>
      </c>
    </row>
    <row r="1653" spans="1:16">
      <c r="A1653" s="1">
        <v>44774</v>
      </c>
      <c r="B1653" t="s">
        <v>126</v>
      </c>
      <c r="C1653" t="s">
        <v>14</v>
      </c>
      <c r="D1653" t="s">
        <v>15</v>
      </c>
      <c r="E1653" t="s">
        <v>33</v>
      </c>
      <c r="F1653" t="s">
        <v>17</v>
      </c>
      <c r="G1653" t="s">
        <v>40</v>
      </c>
      <c r="H1653" t="s">
        <v>837</v>
      </c>
      <c r="I1653">
        <v>2</v>
      </c>
      <c r="J1653" t="s">
        <v>41</v>
      </c>
      <c r="K1653" t="str">
        <f t="shared" si="25"/>
        <v>31001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1:16">
      <c r="A1654" s="1">
        <v>44774</v>
      </c>
      <c r="B1654" t="s">
        <v>126</v>
      </c>
      <c r="C1654" t="s">
        <v>14</v>
      </c>
      <c r="D1654" t="s">
        <v>15</v>
      </c>
      <c r="E1654" t="s">
        <v>33</v>
      </c>
      <c r="F1654" t="s">
        <v>17</v>
      </c>
      <c r="G1654" t="s">
        <v>40</v>
      </c>
      <c r="H1654" t="s">
        <v>837</v>
      </c>
      <c r="I1654">
        <v>2</v>
      </c>
      <c r="J1654" t="s">
        <v>43</v>
      </c>
      <c r="K1654" t="str">
        <f t="shared" si="25"/>
        <v>31100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1:16">
      <c r="A1655" s="1">
        <v>44774</v>
      </c>
      <c r="B1655" t="s">
        <v>126</v>
      </c>
      <c r="C1655" t="s">
        <v>14</v>
      </c>
      <c r="D1655" t="s">
        <v>15</v>
      </c>
      <c r="E1655" t="s">
        <v>33</v>
      </c>
      <c r="F1655" t="s">
        <v>17</v>
      </c>
      <c r="G1655" t="s">
        <v>40</v>
      </c>
      <c r="H1655" t="s">
        <v>837</v>
      </c>
      <c r="I1655">
        <v>2</v>
      </c>
      <c r="J1655" t="s">
        <v>44</v>
      </c>
      <c r="K1655" t="str">
        <f t="shared" si="25"/>
        <v>31201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1:16">
      <c r="A1656" s="1">
        <v>44774</v>
      </c>
      <c r="B1656" t="s">
        <v>126</v>
      </c>
      <c r="C1656" t="s">
        <v>14</v>
      </c>
      <c r="D1656" t="s">
        <v>15</v>
      </c>
      <c r="E1656" t="s">
        <v>33</v>
      </c>
      <c r="F1656" t="s">
        <v>17</v>
      </c>
      <c r="G1656" t="s">
        <v>40</v>
      </c>
      <c r="H1656" t="s">
        <v>837</v>
      </c>
      <c r="I1656">
        <v>2</v>
      </c>
      <c r="J1656" t="s">
        <v>47</v>
      </c>
      <c r="K1656" t="str">
        <f t="shared" si="25"/>
        <v>31400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1:16">
      <c r="A1657" s="1">
        <v>44774</v>
      </c>
      <c r="B1657" t="s">
        <v>126</v>
      </c>
      <c r="C1657" t="s">
        <v>14</v>
      </c>
      <c r="D1657" t="s">
        <v>15</v>
      </c>
      <c r="E1657" t="s">
        <v>33</v>
      </c>
      <c r="F1657" t="s">
        <v>17</v>
      </c>
      <c r="G1657" t="s">
        <v>40</v>
      </c>
      <c r="H1657" t="s">
        <v>837</v>
      </c>
      <c r="I1657">
        <v>2</v>
      </c>
      <c r="J1657" t="s">
        <v>48</v>
      </c>
      <c r="K1657" t="str">
        <f t="shared" si="25"/>
        <v>31500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1:16">
      <c r="A1658" s="1">
        <v>44774</v>
      </c>
      <c r="B1658" t="s">
        <v>126</v>
      </c>
      <c r="C1658" t="s">
        <v>14</v>
      </c>
      <c r="D1658" t="s">
        <v>15</v>
      </c>
      <c r="E1658" t="s">
        <v>33</v>
      </c>
      <c r="F1658" t="s">
        <v>17</v>
      </c>
      <c r="G1658" t="s">
        <v>40</v>
      </c>
      <c r="H1658" t="s">
        <v>837</v>
      </c>
      <c r="I1658">
        <v>2</v>
      </c>
      <c r="J1658" t="s">
        <v>49</v>
      </c>
      <c r="K1658" t="str">
        <f t="shared" si="25"/>
        <v>31600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1:16">
      <c r="A1659" s="1">
        <v>44805</v>
      </c>
      <c r="B1659" t="s">
        <v>125</v>
      </c>
      <c r="C1659" t="s">
        <v>14</v>
      </c>
      <c r="D1659" t="s">
        <v>15</v>
      </c>
      <c r="E1659" t="s">
        <v>33</v>
      </c>
      <c r="F1659" t="s">
        <v>24</v>
      </c>
      <c r="G1659" t="s">
        <v>40</v>
      </c>
      <c r="H1659" t="s">
        <v>837</v>
      </c>
      <c r="I1659">
        <v>2</v>
      </c>
      <c r="J1659" t="s">
        <v>41</v>
      </c>
      <c r="K1659" t="str">
        <f t="shared" si="25"/>
        <v>31001</v>
      </c>
      <c r="L1659">
        <v>168504.26</v>
      </c>
      <c r="M1659">
        <v>0</v>
      </c>
      <c r="N1659">
        <v>0</v>
      </c>
      <c r="O1659">
        <v>0</v>
      </c>
      <c r="P1659" s="8">
        <v>168504.26</v>
      </c>
    </row>
    <row r="1660" spans="1:16">
      <c r="A1660" s="1">
        <v>44805</v>
      </c>
      <c r="B1660" t="s">
        <v>125</v>
      </c>
      <c r="C1660" t="s">
        <v>14</v>
      </c>
      <c r="D1660" t="s">
        <v>15</v>
      </c>
      <c r="E1660" t="s">
        <v>33</v>
      </c>
      <c r="F1660" t="s">
        <v>24</v>
      </c>
      <c r="G1660" t="s">
        <v>40</v>
      </c>
      <c r="H1660" t="s">
        <v>837</v>
      </c>
      <c r="I1660">
        <v>2</v>
      </c>
      <c r="J1660" t="s">
        <v>42</v>
      </c>
      <c r="K1660" t="str">
        <f t="shared" si="25"/>
        <v>31002</v>
      </c>
      <c r="L1660">
        <v>85743.6</v>
      </c>
      <c r="M1660">
        <v>0</v>
      </c>
      <c r="N1660">
        <v>0</v>
      </c>
      <c r="O1660">
        <v>0</v>
      </c>
      <c r="P1660" s="8">
        <v>85743.6</v>
      </c>
    </row>
    <row r="1661" spans="1:16">
      <c r="A1661" s="1">
        <v>44805</v>
      </c>
      <c r="B1661" t="s">
        <v>125</v>
      </c>
      <c r="C1661" t="s">
        <v>14</v>
      </c>
      <c r="D1661" t="s">
        <v>15</v>
      </c>
      <c r="E1661" t="s">
        <v>33</v>
      </c>
      <c r="F1661" t="s">
        <v>24</v>
      </c>
      <c r="G1661" t="s">
        <v>40</v>
      </c>
      <c r="H1661" t="s">
        <v>837</v>
      </c>
      <c r="I1661">
        <v>2</v>
      </c>
      <c r="J1661" t="s">
        <v>43</v>
      </c>
      <c r="K1661" t="str">
        <f t="shared" si="25"/>
        <v>31100</v>
      </c>
      <c r="L1661">
        <v>0</v>
      </c>
      <c r="M1661">
        <v>0</v>
      </c>
      <c r="N1661">
        <v>0</v>
      </c>
      <c r="O1661">
        <v>0</v>
      </c>
      <c r="P1661" s="8">
        <v>0</v>
      </c>
    </row>
    <row r="1662" spans="1:16">
      <c r="A1662" s="1">
        <v>44805</v>
      </c>
      <c r="B1662" t="s">
        <v>125</v>
      </c>
      <c r="C1662" t="s">
        <v>14</v>
      </c>
      <c r="D1662" t="s">
        <v>15</v>
      </c>
      <c r="E1662" t="s">
        <v>33</v>
      </c>
      <c r="F1662" t="s">
        <v>24</v>
      </c>
      <c r="G1662" t="s">
        <v>40</v>
      </c>
      <c r="H1662" t="s">
        <v>837</v>
      </c>
      <c r="I1662">
        <v>2</v>
      </c>
      <c r="J1662" t="s">
        <v>44</v>
      </c>
      <c r="K1662" t="str">
        <f t="shared" si="25"/>
        <v>31201</v>
      </c>
      <c r="L1662">
        <v>0</v>
      </c>
      <c r="M1662">
        <v>0</v>
      </c>
      <c r="N1662">
        <v>0</v>
      </c>
      <c r="O1662">
        <v>0</v>
      </c>
      <c r="P1662" s="8">
        <v>0</v>
      </c>
    </row>
    <row r="1663" spans="1:16">
      <c r="A1663" s="1">
        <v>44805</v>
      </c>
      <c r="B1663" t="s">
        <v>125</v>
      </c>
      <c r="C1663" t="s">
        <v>14</v>
      </c>
      <c r="D1663" t="s">
        <v>15</v>
      </c>
      <c r="E1663" t="s">
        <v>33</v>
      </c>
      <c r="F1663" t="s">
        <v>24</v>
      </c>
      <c r="G1663" t="s">
        <v>40</v>
      </c>
      <c r="H1663" t="s">
        <v>837</v>
      </c>
      <c r="I1663">
        <v>2</v>
      </c>
      <c r="J1663" t="s">
        <v>45</v>
      </c>
      <c r="K1663" t="str">
        <f t="shared" si="25"/>
        <v>31202</v>
      </c>
      <c r="L1663">
        <v>0</v>
      </c>
      <c r="M1663">
        <v>0</v>
      </c>
      <c r="N1663">
        <v>0</v>
      </c>
      <c r="O1663">
        <v>0</v>
      </c>
      <c r="P1663" s="8">
        <v>0</v>
      </c>
    </row>
    <row r="1664" spans="1:16">
      <c r="A1664" s="1">
        <v>44805</v>
      </c>
      <c r="B1664" t="s">
        <v>125</v>
      </c>
      <c r="C1664" t="s">
        <v>14</v>
      </c>
      <c r="D1664" t="s">
        <v>15</v>
      </c>
      <c r="E1664" t="s">
        <v>33</v>
      </c>
      <c r="F1664" t="s">
        <v>24</v>
      </c>
      <c r="G1664" t="s">
        <v>40</v>
      </c>
      <c r="H1664" t="s">
        <v>837</v>
      </c>
      <c r="I1664">
        <v>2</v>
      </c>
      <c r="J1664" t="s">
        <v>46</v>
      </c>
      <c r="K1664" t="str">
        <f t="shared" si="25"/>
        <v>31209</v>
      </c>
      <c r="L1664">
        <v>0</v>
      </c>
      <c r="M1664">
        <v>0</v>
      </c>
      <c r="N1664">
        <v>0</v>
      </c>
      <c r="O1664">
        <v>0</v>
      </c>
      <c r="P1664" s="8">
        <v>0</v>
      </c>
    </row>
    <row r="1665" spans="1:16">
      <c r="A1665" s="1">
        <v>44805</v>
      </c>
      <c r="B1665" t="s">
        <v>125</v>
      </c>
      <c r="C1665" t="s">
        <v>14</v>
      </c>
      <c r="D1665" t="s">
        <v>15</v>
      </c>
      <c r="E1665" t="s">
        <v>33</v>
      </c>
      <c r="F1665" t="s">
        <v>24</v>
      </c>
      <c r="G1665" t="s">
        <v>40</v>
      </c>
      <c r="H1665" t="s">
        <v>837</v>
      </c>
      <c r="I1665">
        <v>2</v>
      </c>
      <c r="J1665" t="s">
        <v>47</v>
      </c>
      <c r="K1665" t="str">
        <f t="shared" si="25"/>
        <v>31400</v>
      </c>
      <c r="L1665">
        <v>0</v>
      </c>
      <c r="M1665">
        <v>0</v>
      </c>
      <c r="N1665">
        <v>0</v>
      </c>
      <c r="O1665">
        <v>0</v>
      </c>
      <c r="P1665" s="8">
        <v>0</v>
      </c>
    </row>
    <row r="1666" spans="1:16">
      <c r="A1666" s="1">
        <v>44805</v>
      </c>
      <c r="B1666" t="s">
        <v>125</v>
      </c>
      <c r="C1666" t="s">
        <v>14</v>
      </c>
      <c r="D1666" t="s">
        <v>15</v>
      </c>
      <c r="E1666" t="s">
        <v>33</v>
      </c>
      <c r="F1666" t="s">
        <v>24</v>
      </c>
      <c r="G1666" t="s">
        <v>40</v>
      </c>
      <c r="H1666" t="s">
        <v>837</v>
      </c>
      <c r="I1666">
        <v>2</v>
      </c>
      <c r="J1666" t="s">
        <v>48</v>
      </c>
      <c r="K1666" t="str">
        <f t="shared" ref="K1666:K1729" si="26">MID(J1666,2,5)</f>
        <v>31500</v>
      </c>
      <c r="L1666">
        <v>0</v>
      </c>
      <c r="M1666">
        <v>0</v>
      </c>
      <c r="N1666">
        <v>0</v>
      </c>
      <c r="O1666">
        <v>0</v>
      </c>
      <c r="P1666" s="8">
        <v>0</v>
      </c>
    </row>
    <row r="1667" spans="1:16">
      <c r="A1667" s="1">
        <v>44805</v>
      </c>
      <c r="B1667" t="s">
        <v>125</v>
      </c>
      <c r="C1667" t="s">
        <v>14</v>
      </c>
      <c r="D1667" t="s">
        <v>15</v>
      </c>
      <c r="E1667" t="s">
        <v>33</v>
      </c>
      <c r="F1667" t="s">
        <v>24</v>
      </c>
      <c r="G1667" t="s">
        <v>40</v>
      </c>
      <c r="H1667" t="s">
        <v>837</v>
      </c>
      <c r="I1667">
        <v>2</v>
      </c>
      <c r="J1667" t="s">
        <v>49</v>
      </c>
      <c r="K1667" t="str">
        <f t="shared" si="26"/>
        <v>31600</v>
      </c>
      <c r="L1667">
        <v>0</v>
      </c>
      <c r="M1667">
        <v>0</v>
      </c>
      <c r="N1667">
        <v>0</v>
      </c>
      <c r="O1667">
        <v>0</v>
      </c>
      <c r="P1667" s="8">
        <v>0</v>
      </c>
    </row>
    <row r="1668" spans="1:16">
      <c r="A1668" s="1">
        <v>44805</v>
      </c>
      <c r="B1668" t="s">
        <v>125</v>
      </c>
      <c r="C1668" t="s">
        <v>14</v>
      </c>
      <c r="D1668" t="s">
        <v>15</v>
      </c>
      <c r="E1668" t="s">
        <v>33</v>
      </c>
      <c r="F1668" t="s">
        <v>17</v>
      </c>
      <c r="G1668" t="s">
        <v>40</v>
      </c>
      <c r="H1668" t="s">
        <v>837</v>
      </c>
      <c r="I1668">
        <v>2</v>
      </c>
      <c r="J1668" t="s">
        <v>41</v>
      </c>
      <c r="K1668" t="str">
        <f t="shared" si="26"/>
        <v>31001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1:16">
      <c r="A1669" s="1">
        <v>44805</v>
      </c>
      <c r="B1669" t="s">
        <v>125</v>
      </c>
      <c r="C1669" t="s">
        <v>14</v>
      </c>
      <c r="D1669" t="s">
        <v>15</v>
      </c>
      <c r="E1669" t="s">
        <v>33</v>
      </c>
      <c r="F1669" t="s">
        <v>17</v>
      </c>
      <c r="G1669" t="s">
        <v>40</v>
      </c>
      <c r="H1669" t="s">
        <v>837</v>
      </c>
      <c r="I1669">
        <v>2</v>
      </c>
      <c r="J1669" t="s">
        <v>43</v>
      </c>
      <c r="K1669" t="str">
        <f t="shared" si="26"/>
        <v>31100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1:16">
      <c r="A1670" s="1">
        <v>44805</v>
      </c>
      <c r="B1670" t="s">
        <v>125</v>
      </c>
      <c r="C1670" t="s">
        <v>14</v>
      </c>
      <c r="D1670" t="s">
        <v>15</v>
      </c>
      <c r="E1670" t="s">
        <v>33</v>
      </c>
      <c r="F1670" t="s">
        <v>17</v>
      </c>
      <c r="G1670" t="s">
        <v>40</v>
      </c>
      <c r="H1670" t="s">
        <v>837</v>
      </c>
      <c r="I1670">
        <v>2</v>
      </c>
      <c r="J1670" t="s">
        <v>44</v>
      </c>
      <c r="K1670" t="str">
        <f t="shared" si="26"/>
        <v>31201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1:16">
      <c r="A1671" s="1">
        <v>44805</v>
      </c>
      <c r="B1671" t="s">
        <v>125</v>
      </c>
      <c r="C1671" t="s">
        <v>14</v>
      </c>
      <c r="D1671" t="s">
        <v>15</v>
      </c>
      <c r="E1671" t="s">
        <v>33</v>
      </c>
      <c r="F1671" t="s">
        <v>17</v>
      </c>
      <c r="G1671" t="s">
        <v>40</v>
      </c>
      <c r="H1671" t="s">
        <v>837</v>
      </c>
      <c r="I1671">
        <v>2</v>
      </c>
      <c r="J1671" t="s">
        <v>47</v>
      </c>
      <c r="K1671" t="str">
        <f t="shared" si="26"/>
        <v>31400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1:16">
      <c r="A1672" s="1">
        <v>44805</v>
      </c>
      <c r="B1672" t="s">
        <v>125</v>
      </c>
      <c r="C1672" t="s">
        <v>14</v>
      </c>
      <c r="D1672" t="s">
        <v>15</v>
      </c>
      <c r="E1672" t="s">
        <v>33</v>
      </c>
      <c r="F1672" t="s">
        <v>17</v>
      </c>
      <c r="G1672" t="s">
        <v>40</v>
      </c>
      <c r="H1672" t="s">
        <v>837</v>
      </c>
      <c r="I1672">
        <v>2</v>
      </c>
      <c r="J1672" t="s">
        <v>48</v>
      </c>
      <c r="K1672" t="str">
        <f t="shared" si="26"/>
        <v>31500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>
      <c r="A1673" s="1">
        <v>44805</v>
      </c>
      <c r="B1673" t="s">
        <v>125</v>
      </c>
      <c r="C1673" t="s">
        <v>14</v>
      </c>
      <c r="D1673" t="s">
        <v>15</v>
      </c>
      <c r="E1673" t="s">
        <v>33</v>
      </c>
      <c r="F1673" t="s">
        <v>17</v>
      </c>
      <c r="G1673" t="s">
        <v>40</v>
      </c>
      <c r="H1673" t="s">
        <v>837</v>
      </c>
      <c r="I1673">
        <v>2</v>
      </c>
      <c r="J1673" t="s">
        <v>49</v>
      </c>
      <c r="K1673" t="str">
        <f t="shared" si="26"/>
        <v>31600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1:16">
      <c r="A1674" s="1">
        <v>44835</v>
      </c>
      <c r="B1674" t="s">
        <v>124</v>
      </c>
      <c r="C1674" t="s">
        <v>14</v>
      </c>
      <c r="D1674" t="s">
        <v>15</v>
      </c>
      <c r="E1674" t="s">
        <v>33</v>
      </c>
      <c r="F1674" t="s">
        <v>24</v>
      </c>
      <c r="G1674" t="s">
        <v>40</v>
      </c>
      <c r="H1674" t="s">
        <v>837</v>
      </c>
      <c r="I1674">
        <v>2</v>
      </c>
      <c r="J1674" t="s">
        <v>41</v>
      </c>
      <c r="K1674" t="str">
        <f t="shared" si="26"/>
        <v>31001</v>
      </c>
      <c r="L1674">
        <v>168504.26</v>
      </c>
      <c r="M1674">
        <v>0</v>
      </c>
      <c r="N1674">
        <v>0</v>
      </c>
      <c r="O1674">
        <v>0</v>
      </c>
      <c r="P1674" s="8">
        <v>168504.26</v>
      </c>
    </row>
    <row r="1675" spans="1:16">
      <c r="A1675" s="1">
        <v>44835</v>
      </c>
      <c r="B1675" t="s">
        <v>124</v>
      </c>
      <c r="C1675" t="s">
        <v>14</v>
      </c>
      <c r="D1675" t="s">
        <v>15</v>
      </c>
      <c r="E1675" t="s">
        <v>33</v>
      </c>
      <c r="F1675" t="s">
        <v>24</v>
      </c>
      <c r="G1675" t="s">
        <v>40</v>
      </c>
      <c r="H1675" t="s">
        <v>837</v>
      </c>
      <c r="I1675">
        <v>2</v>
      </c>
      <c r="J1675" t="s">
        <v>42</v>
      </c>
      <c r="K1675" t="str">
        <f t="shared" si="26"/>
        <v>31002</v>
      </c>
      <c r="L1675">
        <v>85743.6</v>
      </c>
      <c r="M1675">
        <v>0</v>
      </c>
      <c r="N1675">
        <v>0</v>
      </c>
      <c r="O1675">
        <v>0</v>
      </c>
      <c r="P1675" s="8">
        <v>85743.6</v>
      </c>
    </row>
    <row r="1676" spans="1:16">
      <c r="A1676" s="1">
        <v>44835</v>
      </c>
      <c r="B1676" t="s">
        <v>124</v>
      </c>
      <c r="C1676" t="s">
        <v>14</v>
      </c>
      <c r="D1676" t="s">
        <v>15</v>
      </c>
      <c r="E1676" t="s">
        <v>33</v>
      </c>
      <c r="F1676" t="s">
        <v>24</v>
      </c>
      <c r="G1676" t="s">
        <v>40</v>
      </c>
      <c r="H1676" t="s">
        <v>837</v>
      </c>
      <c r="I1676">
        <v>2</v>
      </c>
      <c r="J1676" t="s">
        <v>43</v>
      </c>
      <c r="K1676" t="str">
        <f t="shared" si="26"/>
        <v>31100</v>
      </c>
      <c r="L1676">
        <v>0</v>
      </c>
      <c r="M1676">
        <v>0</v>
      </c>
      <c r="N1676">
        <v>0</v>
      </c>
      <c r="O1676">
        <v>0</v>
      </c>
      <c r="P1676" s="8">
        <v>0</v>
      </c>
    </row>
    <row r="1677" spans="1:16">
      <c r="A1677" s="1">
        <v>44835</v>
      </c>
      <c r="B1677" t="s">
        <v>124</v>
      </c>
      <c r="C1677" t="s">
        <v>14</v>
      </c>
      <c r="D1677" t="s">
        <v>15</v>
      </c>
      <c r="E1677" t="s">
        <v>33</v>
      </c>
      <c r="F1677" t="s">
        <v>24</v>
      </c>
      <c r="G1677" t="s">
        <v>40</v>
      </c>
      <c r="H1677" t="s">
        <v>837</v>
      </c>
      <c r="I1677">
        <v>2</v>
      </c>
      <c r="J1677" t="s">
        <v>44</v>
      </c>
      <c r="K1677" t="str">
        <f t="shared" si="26"/>
        <v>31201</v>
      </c>
      <c r="L1677">
        <v>0</v>
      </c>
      <c r="M1677">
        <v>0</v>
      </c>
      <c r="N1677">
        <v>0</v>
      </c>
      <c r="O1677">
        <v>0</v>
      </c>
      <c r="P1677" s="8">
        <v>0</v>
      </c>
    </row>
    <row r="1678" spans="1:16">
      <c r="A1678" s="1">
        <v>44835</v>
      </c>
      <c r="B1678" t="s">
        <v>124</v>
      </c>
      <c r="C1678" t="s">
        <v>14</v>
      </c>
      <c r="D1678" t="s">
        <v>15</v>
      </c>
      <c r="E1678" t="s">
        <v>33</v>
      </c>
      <c r="F1678" t="s">
        <v>24</v>
      </c>
      <c r="G1678" t="s">
        <v>40</v>
      </c>
      <c r="H1678" t="s">
        <v>837</v>
      </c>
      <c r="I1678">
        <v>2</v>
      </c>
      <c r="J1678" t="s">
        <v>45</v>
      </c>
      <c r="K1678" t="str">
        <f t="shared" si="26"/>
        <v>31202</v>
      </c>
      <c r="L1678">
        <v>0</v>
      </c>
      <c r="M1678">
        <v>0</v>
      </c>
      <c r="N1678">
        <v>0</v>
      </c>
      <c r="O1678">
        <v>0</v>
      </c>
      <c r="P1678" s="8">
        <v>0</v>
      </c>
    </row>
    <row r="1679" spans="1:16">
      <c r="A1679" s="1">
        <v>44835</v>
      </c>
      <c r="B1679" t="s">
        <v>124</v>
      </c>
      <c r="C1679" t="s">
        <v>14</v>
      </c>
      <c r="D1679" t="s">
        <v>15</v>
      </c>
      <c r="E1679" t="s">
        <v>33</v>
      </c>
      <c r="F1679" t="s">
        <v>24</v>
      </c>
      <c r="G1679" t="s">
        <v>40</v>
      </c>
      <c r="H1679" t="s">
        <v>837</v>
      </c>
      <c r="I1679">
        <v>2</v>
      </c>
      <c r="J1679" t="s">
        <v>46</v>
      </c>
      <c r="K1679" t="str">
        <f t="shared" si="26"/>
        <v>31209</v>
      </c>
      <c r="L1679">
        <v>0</v>
      </c>
      <c r="M1679">
        <v>0</v>
      </c>
      <c r="N1679">
        <v>0</v>
      </c>
      <c r="O1679">
        <v>0</v>
      </c>
      <c r="P1679" s="8">
        <v>0</v>
      </c>
    </row>
    <row r="1680" spans="1:16">
      <c r="A1680" s="1">
        <v>44835</v>
      </c>
      <c r="B1680" t="s">
        <v>124</v>
      </c>
      <c r="C1680" t="s">
        <v>14</v>
      </c>
      <c r="D1680" t="s">
        <v>15</v>
      </c>
      <c r="E1680" t="s">
        <v>33</v>
      </c>
      <c r="F1680" t="s">
        <v>24</v>
      </c>
      <c r="G1680" t="s">
        <v>40</v>
      </c>
      <c r="H1680" t="s">
        <v>837</v>
      </c>
      <c r="I1680">
        <v>2</v>
      </c>
      <c r="J1680" t="s">
        <v>47</v>
      </c>
      <c r="K1680" t="str">
        <f t="shared" si="26"/>
        <v>31400</v>
      </c>
      <c r="L1680">
        <v>0</v>
      </c>
      <c r="M1680">
        <v>0</v>
      </c>
      <c r="N1680">
        <v>0</v>
      </c>
      <c r="O1680">
        <v>0</v>
      </c>
      <c r="P1680" s="8">
        <v>0</v>
      </c>
    </row>
    <row r="1681" spans="1:16">
      <c r="A1681" s="1">
        <v>44835</v>
      </c>
      <c r="B1681" t="s">
        <v>124</v>
      </c>
      <c r="C1681" t="s">
        <v>14</v>
      </c>
      <c r="D1681" t="s">
        <v>15</v>
      </c>
      <c r="E1681" t="s">
        <v>33</v>
      </c>
      <c r="F1681" t="s">
        <v>24</v>
      </c>
      <c r="G1681" t="s">
        <v>40</v>
      </c>
      <c r="H1681" t="s">
        <v>837</v>
      </c>
      <c r="I1681">
        <v>2</v>
      </c>
      <c r="J1681" t="s">
        <v>48</v>
      </c>
      <c r="K1681" t="str">
        <f t="shared" si="26"/>
        <v>31500</v>
      </c>
      <c r="L1681">
        <v>0</v>
      </c>
      <c r="M1681">
        <v>0</v>
      </c>
      <c r="N1681">
        <v>0</v>
      </c>
      <c r="O1681">
        <v>0</v>
      </c>
      <c r="P1681" s="8">
        <v>0</v>
      </c>
    </row>
    <row r="1682" spans="1:16">
      <c r="A1682" s="1">
        <v>44835</v>
      </c>
      <c r="B1682" t="s">
        <v>124</v>
      </c>
      <c r="C1682" t="s">
        <v>14</v>
      </c>
      <c r="D1682" t="s">
        <v>15</v>
      </c>
      <c r="E1682" t="s">
        <v>33</v>
      </c>
      <c r="F1682" t="s">
        <v>24</v>
      </c>
      <c r="G1682" t="s">
        <v>40</v>
      </c>
      <c r="H1682" t="s">
        <v>837</v>
      </c>
      <c r="I1682">
        <v>2</v>
      </c>
      <c r="J1682" t="s">
        <v>49</v>
      </c>
      <c r="K1682" t="str">
        <f t="shared" si="26"/>
        <v>31600</v>
      </c>
      <c r="L1682">
        <v>0</v>
      </c>
      <c r="M1682">
        <v>0</v>
      </c>
      <c r="N1682">
        <v>0</v>
      </c>
      <c r="O1682">
        <v>0</v>
      </c>
      <c r="P1682" s="8">
        <v>0</v>
      </c>
    </row>
    <row r="1683" spans="1:16">
      <c r="A1683" s="1">
        <v>44835</v>
      </c>
      <c r="B1683" t="s">
        <v>124</v>
      </c>
      <c r="C1683" t="s">
        <v>14</v>
      </c>
      <c r="D1683" t="s">
        <v>15</v>
      </c>
      <c r="E1683" t="s">
        <v>33</v>
      </c>
      <c r="F1683" t="s">
        <v>17</v>
      </c>
      <c r="G1683" t="s">
        <v>40</v>
      </c>
      <c r="H1683" t="s">
        <v>837</v>
      </c>
      <c r="I1683">
        <v>2</v>
      </c>
      <c r="J1683" t="s">
        <v>41</v>
      </c>
      <c r="K1683" t="str">
        <f t="shared" si="26"/>
        <v>31001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1:16">
      <c r="A1684" s="1">
        <v>44835</v>
      </c>
      <c r="B1684" t="s">
        <v>124</v>
      </c>
      <c r="C1684" t="s">
        <v>14</v>
      </c>
      <c r="D1684" t="s">
        <v>15</v>
      </c>
      <c r="E1684" t="s">
        <v>33</v>
      </c>
      <c r="F1684" t="s">
        <v>17</v>
      </c>
      <c r="G1684" t="s">
        <v>40</v>
      </c>
      <c r="H1684" t="s">
        <v>837</v>
      </c>
      <c r="I1684">
        <v>2</v>
      </c>
      <c r="J1684" t="s">
        <v>43</v>
      </c>
      <c r="K1684" t="str">
        <f t="shared" si="26"/>
        <v>31100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>
      <c r="A1685" s="1">
        <v>44835</v>
      </c>
      <c r="B1685" t="s">
        <v>124</v>
      </c>
      <c r="C1685" t="s">
        <v>14</v>
      </c>
      <c r="D1685" t="s">
        <v>15</v>
      </c>
      <c r="E1685" t="s">
        <v>33</v>
      </c>
      <c r="F1685" t="s">
        <v>17</v>
      </c>
      <c r="G1685" t="s">
        <v>40</v>
      </c>
      <c r="H1685" t="s">
        <v>837</v>
      </c>
      <c r="I1685">
        <v>2</v>
      </c>
      <c r="J1685" t="s">
        <v>44</v>
      </c>
      <c r="K1685" t="str">
        <f t="shared" si="26"/>
        <v>31201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1:16">
      <c r="A1686" s="1">
        <v>44835</v>
      </c>
      <c r="B1686" t="s">
        <v>124</v>
      </c>
      <c r="C1686" t="s">
        <v>14</v>
      </c>
      <c r="D1686" t="s">
        <v>15</v>
      </c>
      <c r="E1686" t="s">
        <v>33</v>
      </c>
      <c r="F1686" t="s">
        <v>17</v>
      </c>
      <c r="G1686" t="s">
        <v>40</v>
      </c>
      <c r="H1686" t="s">
        <v>837</v>
      </c>
      <c r="I1686">
        <v>2</v>
      </c>
      <c r="J1686" t="s">
        <v>47</v>
      </c>
      <c r="K1686" t="str">
        <f t="shared" si="26"/>
        <v>31400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1:16">
      <c r="A1687" s="1">
        <v>44835</v>
      </c>
      <c r="B1687" t="s">
        <v>124</v>
      </c>
      <c r="C1687" t="s">
        <v>14</v>
      </c>
      <c r="D1687" t="s">
        <v>15</v>
      </c>
      <c r="E1687" t="s">
        <v>33</v>
      </c>
      <c r="F1687" t="s">
        <v>17</v>
      </c>
      <c r="G1687" t="s">
        <v>40</v>
      </c>
      <c r="H1687" t="s">
        <v>837</v>
      </c>
      <c r="I1687">
        <v>2</v>
      </c>
      <c r="J1687" t="s">
        <v>48</v>
      </c>
      <c r="K1687" t="str">
        <f t="shared" si="26"/>
        <v>31500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1:16">
      <c r="A1688" s="1">
        <v>44835</v>
      </c>
      <c r="B1688" t="s">
        <v>124</v>
      </c>
      <c r="C1688" t="s">
        <v>14</v>
      </c>
      <c r="D1688" t="s">
        <v>15</v>
      </c>
      <c r="E1688" t="s">
        <v>33</v>
      </c>
      <c r="F1688" t="s">
        <v>17</v>
      </c>
      <c r="G1688" t="s">
        <v>40</v>
      </c>
      <c r="H1688" t="s">
        <v>837</v>
      </c>
      <c r="I1688">
        <v>2</v>
      </c>
      <c r="J1688" t="s">
        <v>49</v>
      </c>
      <c r="K1688" t="str">
        <f t="shared" si="26"/>
        <v>31600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1:16">
      <c r="A1689" s="1">
        <v>44866</v>
      </c>
      <c r="B1689" t="s">
        <v>123</v>
      </c>
      <c r="C1689" t="s">
        <v>14</v>
      </c>
      <c r="D1689" t="s">
        <v>15</v>
      </c>
      <c r="E1689" t="s">
        <v>33</v>
      </c>
      <c r="F1689" t="s">
        <v>24</v>
      </c>
      <c r="G1689" t="s">
        <v>40</v>
      </c>
      <c r="H1689" t="s">
        <v>837</v>
      </c>
      <c r="I1689">
        <v>2</v>
      </c>
      <c r="J1689" t="s">
        <v>41</v>
      </c>
      <c r="K1689" t="str">
        <f t="shared" si="26"/>
        <v>31001</v>
      </c>
      <c r="L1689">
        <v>168504.26</v>
      </c>
      <c r="M1689">
        <v>0</v>
      </c>
      <c r="N1689">
        <v>0</v>
      </c>
      <c r="O1689">
        <v>0</v>
      </c>
      <c r="P1689" s="8">
        <v>168504.26</v>
      </c>
    </row>
    <row r="1690" spans="1:16">
      <c r="A1690" s="1">
        <v>44866</v>
      </c>
      <c r="B1690" t="s">
        <v>123</v>
      </c>
      <c r="C1690" t="s">
        <v>14</v>
      </c>
      <c r="D1690" t="s">
        <v>15</v>
      </c>
      <c r="E1690" t="s">
        <v>33</v>
      </c>
      <c r="F1690" t="s">
        <v>24</v>
      </c>
      <c r="G1690" t="s">
        <v>40</v>
      </c>
      <c r="H1690" t="s">
        <v>837</v>
      </c>
      <c r="I1690">
        <v>2</v>
      </c>
      <c r="J1690" t="s">
        <v>42</v>
      </c>
      <c r="K1690" t="str">
        <f t="shared" si="26"/>
        <v>31002</v>
      </c>
      <c r="L1690">
        <v>85743.6</v>
      </c>
      <c r="M1690">
        <v>0</v>
      </c>
      <c r="N1690">
        <v>0</v>
      </c>
      <c r="O1690">
        <v>0</v>
      </c>
      <c r="P1690" s="8">
        <v>85743.6</v>
      </c>
    </row>
    <row r="1691" spans="1:16">
      <c r="A1691" s="1">
        <v>44866</v>
      </c>
      <c r="B1691" t="s">
        <v>123</v>
      </c>
      <c r="C1691" t="s">
        <v>14</v>
      </c>
      <c r="D1691" t="s">
        <v>15</v>
      </c>
      <c r="E1691" t="s">
        <v>33</v>
      </c>
      <c r="F1691" t="s">
        <v>24</v>
      </c>
      <c r="G1691" t="s">
        <v>40</v>
      </c>
      <c r="H1691" t="s">
        <v>837</v>
      </c>
      <c r="I1691">
        <v>2</v>
      </c>
      <c r="J1691" t="s">
        <v>43</v>
      </c>
      <c r="K1691" t="str">
        <f t="shared" si="26"/>
        <v>31100</v>
      </c>
      <c r="L1691">
        <v>0</v>
      </c>
      <c r="M1691">
        <v>0</v>
      </c>
      <c r="N1691">
        <v>0</v>
      </c>
      <c r="O1691">
        <v>0</v>
      </c>
      <c r="P1691" s="8">
        <v>0</v>
      </c>
    </row>
    <row r="1692" spans="1:16">
      <c r="A1692" s="1">
        <v>44866</v>
      </c>
      <c r="B1692" t="s">
        <v>123</v>
      </c>
      <c r="C1692" t="s">
        <v>14</v>
      </c>
      <c r="D1692" t="s">
        <v>15</v>
      </c>
      <c r="E1692" t="s">
        <v>33</v>
      </c>
      <c r="F1692" t="s">
        <v>24</v>
      </c>
      <c r="G1692" t="s">
        <v>40</v>
      </c>
      <c r="H1692" t="s">
        <v>837</v>
      </c>
      <c r="I1692">
        <v>2</v>
      </c>
      <c r="J1692" t="s">
        <v>44</v>
      </c>
      <c r="K1692" t="str">
        <f t="shared" si="26"/>
        <v>31201</v>
      </c>
      <c r="L1692">
        <v>0</v>
      </c>
      <c r="M1692">
        <v>0</v>
      </c>
      <c r="N1692">
        <v>0</v>
      </c>
      <c r="O1692">
        <v>0</v>
      </c>
      <c r="P1692" s="8">
        <v>0</v>
      </c>
    </row>
    <row r="1693" spans="1:16">
      <c r="A1693" s="1">
        <v>44866</v>
      </c>
      <c r="B1693" t="s">
        <v>123</v>
      </c>
      <c r="C1693" t="s">
        <v>14</v>
      </c>
      <c r="D1693" t="s">
        <v>15</v>
      </c>
      <c r="E1693" t="s">
        <v>33</v>
      </c>
      <c r="F1693" t="s">
        <v>24</v>
      </c>
      <c r="G1693" t="s">
        <v>40</v>
      </c>
      <c r="H1693" t="s">
        <v>837</v>
      </c>
      <c r="I1693">
        <v>2</v>
      </c>
      <c r="J1693" t="s">
        <v>45</v>
      </c>
      <c r="K1693" t="str">
        <f t="shared" si="26"/>
        <v>31202</v>
      </c>
      <c r="L1693">
        <v>0</v>
      </c>
      <c r="M1693">
        <v>0</v>
      </c>
      <c r="N1693">
        <v>0</v>
      </c>
      <c r="O1693">
        <v>0</v>
      </c>
      <c r="P1693" s="8">
        <v>0</v>
      </c>
    </row>
    <row r="1694" spans="1:16">
      <c r="A1694" s="1">
        <v>44866</v>
      </c>
      <c r="B1694" t="s">
        <v>123</v>
      </c>
      <c r="C1694" t="s">
        <v>14</v>
      </c>
      <c r="D1694" t="s">
        <v>15</v>
      </c>
      <c r="E1694" t="s">
        <v>33</v>
      </c>
      <c r="F1694" t="s">
        <v>24</v>
      </c>
      <c r="G1694" t="s">
        <v>40</v>
      </c>
      <c r="H1694" t="s">
        <v>837</v>
      </c>
      <c r="I1694">
        <v>2</v>
      </c>
      <c r="J1694" t="s">
        <v>46</v>
      </c>
      <c r="K1694" t="str">
        <f t="shared" si="26"/>
        <v>31209</v>
      </c>
      <c r="L1694">
        <v>0</v>
      </c>
      <c r="M1694">
        <v>0</v>
      </c>
      <c r="N1694">
        <v>0</v>
      </c>
      <c r="O1694">
        <v>0</v>
      </c>
      <c r="P1694" s="8">
        <v>0</v>
      </c>
    </row>
    <row r="1695" spans="1:16">
      <c r="A1695" s="1">
        <v>44866</v>
      </c>
      <c r="B1695" t="s">
        <v>123</v>
      </c>
      <c r="C1695" t="s">
        <v>14</v>
      </c>
      <c r="D1695" t="s">
        <v>15</v>
      </c>
      <c r="E1695" t="s">
        <v>33</v>
      </c>
      <c r="F1695" t="s">
        <v>24</v>
      </c>
      <c r="G1695" t="s">
        <v>40</v>
      </c>
      <c r="H1695" t="s">
        <v>837</v>
      </c>
      <c r="I1695">
        <v>2</v>
      </c>
      <c r="J1695" t="s">
        <v>47</v>
      </c>
      <c r="K1695" t="str">
        <f t="shared" si="26"/>
        <v>31400</v>
      </c>
      <c r="L1695">
        <v>0</v>
      </c>
      <c r="M1695">
        <v>0</v>
      </c>
      <c r="N1695">
        <v>0</v>
      </c>
      <c r="O1695">
        <v>0</v>
      </c>
      <c r="P1695" s="8">
        <v>0</v>
      </c>
    </row>
    <row r="1696" spans="1:16">
      <c r="A1696" s="1">
        <v>44866</v>
      </c>
      <c r="B1696" t="s">
        <v>123</v>
      </c>
      <c r="C1696" t="s">
        <v>14</v>
      </c>
      <c r="D1696" t="s">
        <v>15</v>
      </c>
      <c r="E1696" t="s">
        <v>33</v>
      </c>
      <c r="F1696" t="s">
        <v>24</v>
      </c>
      <c r="G1696" t="s">
        <v>40</v>
      </c>
      <c r="H1696" t="s">
        <v>837</v>
      </c>
      <c r="I1696">
        <v>2</v>
      </c>
      <c r="J1696" t="s">
        <v>48</v>
      </c>
      <c r="K1696" t="str">
        <f t="shared" si="26"/>
        <v>31500</v>
      </c>
      <c r="L1696">
        <v>0</v>
      </c>
      <c r="M1696">
        <v>0</v>
      </c>
      <c r="N1696">
        <v>0</v>
      </c>
      <c r="O1696">
        <v>0</v>
      </c>
      <c r="P1696" s="8">
        <v>0</v>
      </c>
    </row>
    <row r="1697" spans="1:16">
      <c r="A1697" s="1">
        <v>44866</v>
      </c>
      <c r="B1697" t="s">
        <v>123</v>
      </c>
      <c r="C1697" t="s">
        <v>14</v>
      </c>
      <c r="D1697" t="s">
        <v>15</v>
      </c>
      <c r="E1697" t="s">
        <v>33</v>
      </c>
      <c r="F1697" t="s">
        <v>24</v>
      </c>
      <c r="G1697" t="s">
        <v>40</v>
      </c>
      <c r="H1697" t="s">
        <v>837</v>
      </c>
      <c r="I1697">
        <v>2</v>
      </c>
      <c r="J1697" t="s">
        <v>49</v>
      </c>
      <c r="K1697" t="str">
        <f t="shared" si="26"/>
        <v>31600</v>
      </c>
      <c r="L1697">
        <v>0</v>
      </c>
      <c r="M1697">
        <v>0</v>
      </c>
      <c r="N1697">
        <v>0</v>
      </c>
      <c r="O1697">
        <v>0</v>
      </c>
      <c r="P1697" s="8">
        <v>0</v>
      </c>
    </row>
    <row r="1698" spans="1:16">
      <c r="A1698" s="1">
        <v>44866</v>
      </c>
      <c r="B1698" t="s">
        <v>123</v>
      </c>
      <c r="C1698" t="s">
        <v>14</v>
      </c>
      <c r="D1698" t="s">
        <v>15</v>
      </c>
      <c r="E1698" t="s">
        <v>33</v>
      </c>
      <c r="F1698" t="s">
        <v>17</v>
      </c>
      <c r="G1698" t="s">
        <v>40</v>
      </c>
      <c r="H1698" t="s">
        <v>837</v>
      </c>
      <c r="I1698">
        <v>2</v>
      </c>
      <c r="J1698" t="s">
        <v>41</v>
      </c>
      <c r="K1698" t="str">
        <f t="shared" si="26"/>
        <v>31001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1:16">
      <c r="A1699" s="1">
        <v>44866</v>
      </c>
      <c r="B1699" t="s">
        <v>123</v>
      </c>
      <c r="C1699" t="s">
        <v>14</v>
      </c>
      <c r="D1699" t="s">
        <v>15</v>
      </c>
      <c r="E1699" t="s">
        <v>33</v>
      </c>
      <c r="F1699" t="s">
        <v>17</v>
      </c>
      <c r="G1699" t="s">
        <v>40</v>
      </c>
      <c r="H1699" t="s">
        <v>837</v>
      </c>
      <c r="I1699">
        <v>2</v>
      </c>
      <c r="J1699" t="s">
        <v>43</v>
      </c>
      <c r="K1699" t="str">
        <f t="shared" si="26"/>
        <v>31100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1:16">
      <c r="A1700" s="1">
        <v>44866</v>
      </c>
      <c r="B1700" t="s">
        <v>123</v>
      </c>
      <c r="C1700" t="s">
        <v>14</v>
      </c>
      <c r="D1700" t="s">
        <v>15</v>
      </c>
      <c r="E1700" t="s">
        <v>33</v>
      </c>
      <c r="F1700" t="s">
        <v>17</v>
      </c>
      <c r="G1700" t="s">
        <v>40</v>
      </c>
      <c r="H1700" t="s">
        <v>837</v>
      </c>
      <c r="I1700">
        <v>2</v>
      </c>
      <c r="J1700" t="s">
        <v>44</v>
      </c>
      <c r="K1700" t="str">
        <f t="shared" si="26"/>
        <v>31201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1:16">
      <c r="A1701" s="1">
        <v>44866</v>
      </c>
      <c r="B1701" t="s">
        <v>123</v>
      </c>
      <c r="C1701" t="s">
        <v>14</v>
      </c>
      <c r="D1701" t="s">
        <v>15</v>
      </c>
      <c r="E1701" t="s">
        <v>33</v>
      </c>
      <c r="F1701" t="s">
        <v>17</v>
      </c>
      <c r="G1701" t="s">
        <v>40</v>
      </c>
      <c r="H1701" t="s">
        <v>837</v>
      </c>
      <c r="I1701">
        <v>2</v>
      </c>
      <c r="J1701" t="s">
        <v>47</v>
      </c>
      <c r="K1701" t="str">
        <f t="shared" si="26"/>
        <v>31400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1:16">
      <c r="A1702" s="1">
        <v>44866</v>
      </c>
      <c r="B1702" t="s">
        <v>123</v>
      </c>
      <c r="C1702" t="s">
        <v>14</v>
      </c>
      <c r="D1702" t="s">
        <v>15</v>
      </c>
      <c r="E1702" t="s">
        <v>33</v>
      </c>
      <c r="F1702" t="s">
        <v>17</v>
      </c>
      <c r="G1702" t="s">
        <v>40</v>
      </c>
      <c r="H1702" t="s">
        <v>837</v>
      </c>
      <c r="I1702">
        <v>2</v>
      </c>
      <c r="J1702" t="s">
        <v>48</v>
      </c>
      <c r="K1702" t="str">
        <f t="shared" si="26"/>
        <v>31500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>
      <c r="A1703" s="1">
        <v>44866</v>
      </c>
      <c r="B1703" t="s">
        <v>123</v>
      </c>
      <c r="C1703" t="s">
        <v>14</v>
      </c>
      <c r="D1703" t="s">
        <v>15</v>
      </c>
      <c r="E1703" t="s">
        <v>33</v>
      </c>
      <c r="F1703" t="s">
        <v>17</v>
      </c>
      <c r="G1703" t="s">
        <v>40</v>
      </c>
      <c r="H1703" t="s">
        <v>837</v>
      </c>
      <c r="I1703">
        <v>2</v>
      </c>
      <c r="J1703" t="s">
        <v>49</v>
      </c>
      <c r="K1703" t="str">
        <f t="shared" si="26"/>
        <v>31600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1:16">
      <c r="A1704" s="1">
        <v>44896</v>
      </c>
      <c r="B1704" t="s">
        <v>122</v>
      </c>
      <c r="C1704" t="s">
        <v>14</v>
      </c>
      <c r="D1704" t="s">
        <v>15</v>
      </c>
      <c r="E1704" t="s">
        <v>33</v>
      </c>
      <c r="F1704" t="s">
        <v>24</v>
      </c>
      <c r="G1704" t="s">
        <v>40</v>
      </c>
      <c r="H1704" t="s">
        <v>837</v>
      </c>
      <c r="I1704">
        <v>2</v>
      </c>
      <c r="J1704" t="s">
        <v>41</v>
      </c>
      <c r="K1704" t="str">
        <f t="shared" si="26"/>
        <v>31001</v>
      </c>
      <c r="L1704">
        <v>168504.26</v>
      </c>
      <c r="M1704">
        <v>0</v>
      </c>
      <c r="N1704">
        <v>0</v>
      </c>
      <c r="O1704">
        <v>0</v>
      </c>
      <c r="P1704" s="8">
        <v>168504.26</v>
      </c>
    </row>
    <row r="1705" spans="1:16">
      <c r="A1705" s="1">
        <v>44896</v>
      </c>
      <c r="B1705" t="s">
        <v>122</v>
      </c>
      <c r="C1705" t="s">
        <v>14</v>
      </c>
      <c r="D1705" t="s">
        <v>15</v>
      </c>
      <c r="E1705" t="s">
        <v>33</v>
      </c>
      <c r="F1705" t="s">
        <v>24</v>
      </c>
      <c r="G1705" t="s">
        <v>40</v>
      </c>
      <c r="H1705" t="s">
        <v>837</v>
      </c>
      <c r="I1705">
        <v>2</v>
      </c>
      <c r="J1705" t="s">
        <v>42</v>
      </c>
      <c r="K1705" t="str">
        <f t="shared" si="26"/>
        <v>31002</v>
      </c>
      <c r="L1705">
        <v>85743.6</v>
      </c>
      <c r="M1705">
        <v>0</v>
      </c>
      <c r="N1705">
        <v>0</v>
      </c>
      <c r="O1705">
        <v>0</v>
      </c>
      <c r="P1705" s="8">
        <v>85743.6</v>
      </c>
    </row>
    <row r="1706" spans="1:16">
      <c r="A1706" s="1">
        <v>44896</v>
      </c>
      <c r="B1706" t="s">
        <v>122</v>
      </c>
      <c r="C1706" t="s">
        <v>14</v>
      </c>
      <c r="D1706" t="s">
        <v>15</v>
      </c>
      <c r="E1706" t="s">
        <v>33</v>
      </c>
      <c r="F1706" t="s">
        <v>24</v>
      </c>
      <c r="G1706" t="s">
        <v>40</v>
      </c>
      <c r="H1706" t="s">
        <v>837</v>
      </c>
      <c r="I1706">
        <v>2</v>
      </c>
      <c r="J1706" t="s">
        <v>43</v>
      </c>
      <c r="K1706" t="str">
        <f t="shared" si="26"/>
        <v>31100</v>
      </c>
      <c r="L1706">
        <v>0</v>
      </c>
      <c r="M1706">
        <v>0</v>
      </c>
      <c r="N1706">
        <v>0</v>
      </c>
      <c r="O1706">
        <v>0</v>
      </c>
      <c r="P1706" s="8">
        <v>0</v>
      </c>
    </row>
    <row r="1707" spans="1:16">
      <c r="A1707" s="1">
        <v>44896</v>
      </c>
      <c r="B1707" t="s">
        <v>122</v>
      </c>
      <c r="C1707" t="s">
        <v>14</v>
      </c>
      <c r="D1707" t="s">
        <v>15</v>
      </c>
      <c r="E1707" t="s">
        <v>33</v>
      </c>
      <c r="F1707" t="s">
        <v>24</v>
      </c>
      <c r="G1707" t="s">
        <v>40</v>
      </c>
      <c r="H1707" t="s">
        <v>837</v>
      </c>
      <c r="I1707">
        <v>2</v>
      </c>
      <c r="J1707" t="s">
        <v>44</v>
      </c>
      <c r="K1707" t="str">
        <f t="shared" si="26"/>
        <v>31201</v>
      </c>
      <c r="L1707">
        <v>0</v>
      </c>
      <c r="M1707">
        <v>0</v>
      </c>
      <c r="N1707">
        <v>0</v>
      </c>
      <c r="O1707">
        <v>0</v>
      </c>
      <c r="P1707" s="8">
        <v>0</v>
      </c>
    </row>
    <row r="1708" spans="1:16">
      <c r="A1708" s="1">
        <v>44896</v>
      </c>
      <c r="B1708" t="s">
        <v>122</v>
      </c>
      <c r="C1708" t="s">
        <v>14</v>
      </c>
      <c r="D1708" t="s">
        <v>15</v>
      </c>
      <c r="E1708" t="s">
        <v>33</v>
      </c>
      <c r="F1708" t="s">
        <v>24</v>
      </c>
      <c r="G1708" t="s">
        <v>40</v>
      </c>
      <c r="H1708" t="s">
        <v>837</v>
      </c>
      <c r="I1708">
        <v>2</v>
      </c>
      <c r="J1708" t="s">
        <v>45</v>
      </c>
      <c r="K1708" t="str">
        <f t="shared" si="26"/>
        <v>31202</v>
      </c>
      <c r="L1708">
        <v>0</v>
      </c>
      <c r="M1708">
        <v>0</v>
      </c>
      <c r="N1708">
        <v>0</v>
      </c>
      <c r="O1708">
        <v>0</v>
      </c>
      <c r="P1708" s="8">
        <v>0</v>
      </c>
    </row>
    <row r="1709" spans="1:16">
      <c r="A1709" s="1">
        <v>44896</v>
      </c>
      <c r="B1709" t="s">
        <v>122</v>
      </c>
      <c r="C1709" t="s">
        <v>14</v>
      </c>
      <c r="D1709" t="s">
        <v>15</v>
      </c>
      <c r="E1709" t="s">
        <v>33</v>
      </c>
      <c r="F1709" t="s">
        <v>24</v>
      </c>
      <c r="G1709" t="s">
        <v>40</v>
      </c>
      <c r="H1709" t="s">
        <v>837</v>
      </c>
      <c r="I1709">
        <v>2</v>
      </c>
      <c r="J1709" t="s">
        <v>46</v>
      </c>
      <c r="K1709" t="str">
        <f t="shared" si="26"/>
        <v>31209</v>
      </c>
      <c r="L1709">
        <v>0</v>
      </c>
      <c r="M1709">
        <v>0</v>
      </c>
      <c r="N1709">
        <v>0</v>
      </c>
      <c r="O1709">
        <v>0</v>
      </c>
      <c r="P1709" s="8">
        <v>0</v>
      </c>
    </row>
    <row r="1710" spans="1:16">
      <c r="A1710" s="1">
        <v>44896</v>
      </c>
      <c r="B1710" t="s">
        <v>122</v>
      </c>
      <c r="C1710" t="s">
        <v>14</v>
      </c>
      <c r="D1710" t="s">
        <v>15</v>
      </c>
      <c r="E1710" t="s">
        <v>33</v>
      </c>
      <c r="F1710" t="s">
        <v>24</v>
      </c>
      <c r="G1710" t="s">
        <v>40</v>
      </c>
      <c r="H1710" t="s">
        <v>837</v>
      </c>
      <c r="I1710">
        <v>2</v>
      </c>
      <c r="J1710" t="s">
        <v>47</v>
      </c>
      <c r="K1710" t="str">
        <f t="shared" si="26"/>
        <v>31400</v>
      </c>
      <c r="L1710">
        <v>0</v>
      </c>
      <c r="M1710">
        <v>0</v>
      </c>
      <c r="N1710">
        <v>0</v>
      </c>
      <c r="O1710">
        <v>0</v>
      </c>
      <c r="P1710" s="8">
        <v>0</v>
      </c>
    </row>
    <row r="1711" spans="1:16">
      <c r="A1711" s="1">
        <v>44896</v>
      </c>
      <c r="B1711" t="s">
        <v>122</v>
      </c>
      <c r="C1711" t="s">
        <v>14</v>
      </c>
      <c r="D1711" t="s">
        <v>15</v>
      </c>
      <c r="E1711" t="s">
        <v>33</v>
      </c>
      <c r="F1711" t="s">
        <v>24</v>
      </c>
      <c r="G1711" t="s">
        <v>40</v>
      </c>
      <c r="H1711" t="s">
        <v>837</v>
      </c>
      <c r="I1711">
        <v>2</v>
      </c>
      <c r="J1711" t="s">
        <v>48</v>
      </c>
      <c r="K1711" t="str">
        <f t="shared" si="26"/>
        <v>31500</v>
      </c>
      <c r="L1711">
        <v>0</v>
      </c>
      <c r="M1711">
        <v>0</v>
      </c>
      <c r="N1711">
        <v>0</v>
      </c>
      <c r="O1711">
        <v>0</v>
      </c>
      <c r="P1711" s="8">
        <v>0</v>
      </c>
    </row>
    <row r="1712" spans="1:16">
      <c r="A1712" s="1">
        <v>44896</v>
      </c>
      <c r="B1712" t="s">
        <v>122</v>
      </c>
      <c r="C1712" t="s">
        <v>14</v>
      </c>
      <c r="D1712" t="s">
        <v>15</v>
      </c>
      <c r="E1712" t="s">
        <v>33</v>
      </c>
      <c r="F1712" t="s">
        <v>24</v>
      </c>
      <c r="G1712" t="s">
        <v>40</v>
      </c>
      <c r="H1712" t="s">
        <v>837</v>
      </c>
      <c r="I1712">
        <v>2</v>
      </c>
      <c r="J1712" t="s">
        <v>49</v>
      </c>
      <c r="K1712" t="str">
        <f t="shared" si="26"/>
        <v>31600</v>
      </c>
      <c r="L1712">
        <v>0</v>
      </c>
      <c r="M1712">
        <v>0</v>
      </c>
      <c r="N1712">
        <v>0</v>
      </c>
      <c r="O1712">
        <v>0</v>
      </c>
      <c r="P1712" s="8">
        <v>0</v>
      </c>
    </row>
    <row r="1713" spans="1:16">
      <c r="A1713" s="1">
        <v>44896</v>
      </c>
      <c r="B1713" t="s">
        <v>122</v>
      </c>
      <c r="C1713" t="s">
        <v>14</v>
      </c>
      <c r="D1713" t="s">
        <v>15</v>
      </c>
      <c r="E1713" t="s">
        <v>33</v>
      </c>
      <c r="F1713" t="s">
        <v>17</v>
      </c>
      <c r="G1713" t="s">
        <v>40</v>
      </c>
      <c r="H1713" t="s">
        <v>837</v>
      </c>
      <c r="I1713">
        <v>2</v>
      </c>
      <c r="J1713" t="s">
        <v>41</v>
      </c>
      <c r="K1713" t="str">
        <f t="shared" si="26"/>
        <v>31001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1:16">
      <c r="A1714" s="1">
        <v>44896</v>
      </c>
      <c r="B1714" t="s">
        <v>122</v>
      </c>
      <c r="C1714" t="s">
        <v>14</v>
      </c>
      <c r="D1714" t="s">
        <v>15</v>
      </c>
      <c r="E1714" t="s">
        <v>33</v>
      </c>
      <c r="F1714" t="s">
        <v>17</v>
      </c>
      <c r="G1714" t="s">
        <v>40</v>
      </c>
      <c r="H1714" t="s">
        <v>837</v>
      </c>
      <c r="I1714">
        <v>2</v>
      </c>
      <c r="J1714" t="s">
        <v>43</v>
      </c>
      <c r="K1714" t="str">
        <f t="shared" si="26"/>
        <v>31100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1:16">
      <c r="A1715" s="1">
        <v>44896</v>
      </c>
      <c r="B1715" t="s">
        <v>122</v>
      </c>
      <c r="C1715" t="s">
        <v>14</v>
      </c>
      <c r="D1715" t="s">
        <v>15</v>
      </c>
      <c r="E1715" t="s">
        <v>33</v>
      </c>
      <c r="F1715" t="s">
        <v>17</v>
      </c>
      <c r="G1715" t="s">
        <v>40</v>
      </c>
      <c r="H1715" t="s">
        <v>837</v>
      </c>
      <c r="I1715">
        <v>2</v>
      </c>
      <c r="J1715" t="s">
        <v>44</v>
      </c>
      <c r="K1715" t="str">
        <f t="shared" si="26"/>
        <v>31201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1:16">
      <c r="A1716" s="1">
        <v>44896</v>
      </c>
      <c r="B1716" t="s">
        <v>122</v>
      </c>
      <c r="C1716" t="s">
        <v>14</v>
      </c>
      <c r="D1716" t="s">
        <v>15</v>
      </c>
      <c r="E1716" t="s">
        <v>33</v>
      </c>
      <c r="F1716" t="s">
        <v>17</v>
      </c>
      <c r="G1716" t="s">
        <v>40</v>
      </c>
      <c r="H1716" t="s">
        <v>837</v>
      </c>
      <c r="I1716">
        <v>2</v>
      </c>
      <c r="J1716" t="s">
        <v>47</v>
      </c>
      <c r="K1716" t="str">
        <f t="shared" si="26"/>
        <v>31400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1:16">
      <c r="A1717" s="1">
        <v>44896</v>
      </c>
      <c r="B1717" t="s">
        <v>122</v>
      </c>
      <c r="C1717" t="s">
        <v>14</v>
      </c>
      <c r="D1717" t="s">
        <v>15</v>
      </c>
      <c r="E1717" t="s">
        <v>33</v>
      </c>
      <c r="F1717" t="s">
        <v>17</v>
      </c>
      <c r="G1717" t="s">
        <v>40</v>
      </c>
      <c r="H1717" t="s">
        <v>837</v>
      </c>
      <c r="I1717">
        <v>2</v>
      </c>
      <c r="J1717" t="s">
        <v>48</v>
      </c>
      <c r="K1717" t="str">
        <f t="shared" si="26"/>
        <v>31500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1:16">
      <c r="A1718" s="1">
        <v>44896</v>
      </c>
      <c r="B1718" t="s">
        <v>122</v>
      </c>
      <c r="C1718" t="s">
        <v>14</v>
      </c>
      <c r="D1718" t="s">
        <v>15</v>
      </c>
      <c r="E1718" t="s">
        <v>33</v>
      </c>
      <c r="F1718" t="s">
        <v>17</v>
      </c>
      <c r="G1718" t="s">
        <v>40</v>
      </c>
      <c r="H1718" t="s">
        <v>837</v>
      </c>
      <c r="I1718">
        <v>2</v>
      </c>
      <c r="J1718" t="s">
        <v>49</v>
      </c>
      <c r="K1718" t="str">
        <f t="shared" si="26"/>
        <v>31600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1:16">
      <c r="A1719" s="1">
        <v>44531</v>
      </c>
      <c r="B1719" t="s">
        <v>13</v>
      </c>
      <c r="C1719" t="s">
        <v>14</v>
      </c>
      <c r="D1719" t="s">
        <v>15</v>
      </c>
      <c r="E1719" t="s">
        <v>33</v>
      </c>
      <c r="F1719" t="s">
        <v>24</v>
      </c>
      <c r="G1719" t="s">
        <v>40</v>
      </c>
      <c r="H1719" t="s">
        <v>837</v>
      </c>
      <c r="I1719">
        <v>2</v>
      </c>
      <c r="J1719" t="s">
        <v>41</v>
      </c>
      <c r="K1719" t="str">
        <f t="shared" si="26"/>
        <v>31001</v>
      </c>
      <c r="L1719">
        <v>168504.26</v>
      </c>
      <c r="M1719">
        <v>0</v>
      </c>
      <c r="N1719">
        <v>0</v>
      </c>
      <c r="O1719">
        <v>0</v>
      </c>
      <c r="P1719" s="8">
        <v>168504.26</v>
      </c>
    </row>
    <row r="1720" spans="1:16">
      <c r="A1720" s="1">
        <v>44531</v>
      </c>
      <c r="B1720" t="s">
        <v>13</v>
      </c>
      <c r="C1720" t="s">
        <v>14</v>
      </c>
      <c r="D1720" t="s">
        <v>15</v>
      </c>
      <c r="E1720" t="s">
        <v>33</v>
      </c>
      <c r="F1720" t="s">
        <v>24</v>
      </c>
      <c r="G1720" t="s">
        <v>40</v>
      </c>
      <c r="H1720" t="s">
        <v>837</v>
      </c>
      <c r="I1720">
        <v>2</v>
      </c>
      <c r="J1720" t="s">
        <v>42</v>
      </c>
      <c r="K1720" t="str">
        <f t="shared" si="26"/>
        <v>31002</v>
      </c>
      <c r="L1720">
        <v>85743.6</v>
      </c>
      <c r="M1720">
        <v>0</v>
      </c>
      <c r="N1720">
        <v>0</v>
      </c>
      <c r="O1720">
        <v>0</v>
      </c>
      <c r="P1720" s="8">
        <v>85743.6</v>
      </c>
    </row>
    <row r="1721" spans="1:16">
      <c r="A1721" s="1">
        <v>44531</v>
      </c>
      <c r="B1721" t="s">
        <v>13</v>
      </c>
      <c r="C1721" t="s">
        <v>14</v>
      </c>
      <c r="D1721" t="s">
        <v>15</v>
      </c>
      <c r="E1721" t="s">
        <v>33</v>
      </c>
      <c r="F1721" t="s">
        <v>24</v>
      </c>
      <c r="G1721" t="s">
        <v>40</v>
      </c>
      <c r="H1721" t="s">
        <v>837</v>
      </c>
      <c r="I1721">
        <v>2</v>
      </c>
      <c r="J1721" t="s">
        <v>43</v>
      </c>
      <c r="K1721" t="str">
        <f t="shared" si="26"/>
        <v>31100</v>
      </c>
      <c r="L1721">
        <v>0</v>
      </c>
      <c r="M1721">
        <v>0</v>
      </c>
      <c r="N1721">
        <v>0</v>
      </c>
      <c r="O1721">
        <v>0</v>
      </c>
      <c r="P1721" s="8">
        <v>0</v>
      </c>
    </row>
    <row r="1722" spans="1:16">
      <c r="A1722" s="1">
        <v>44531</v>
      </c>
      <c r="B1722" t="s">
        <v>13</v>
      </c>
      <c r="C1722" t="s">
        <v>14</v>
      </c>
      <c r="D1722" t="s">
        <v>15</v>
      </c>
      <c r="E1722" t="s">
        <v>33</v>
      </c>
      <c r="F1722" t="s">
        <v>24</v>
      </c>
      <c r="G1722" t="s">
        <v>40</v>
      </c>
      <c r="H1722" t="s">
        <v>837</v>
      </c>
      <c r="I1722">
        <v>2</v>
      </c>
      <c r="J1722" t="s">
        <v>44</v>
      </c>
      <c r="K1722" t="str">
        <f t="shared" si="26"/>
        <v>31201</v>
      </c>
      <c r="L1722">
        <v>0</v>
      </c>
      <c r="M1722">
        <v>0</v>
      </c>
      <c r="N1722">
        <v>0</v>
      </c>
      <c r="O1722">
        <v>0</v>
      </c>
      <c r="P1722" s="8">
        <v>0</v>
      </c>
    </row>
    <row r="1723" spans="1:16">
      <c r="A1723" s="1">
        <v>44531</v>
      </c>
      <c r="B1723" t="s">
        <v>13</v>
      </c>
      <c r="C1723" t="s">
        <v>14</v>
      </c>
      <c r="D1723" t="s">
        <v>15</v>
      </c>
      <c r="E1723" t="s">
        <v>33</v>
      </c>
      <c r="F1723" t="s">
        <v>24</v>
      </c>
      <c r="G1723" t="s">
        <v>40</v>
      </c>
      <c r="H1723" t="s">
        <v>837</v>
      </c>
      <c r="I1723">
        <v>2</v>
      </c>
      <c r="J1723" t="s">
        <v>45</v>
      </c>
      <c r="K1723" t="str">
        <f t="shared" si="26"/>
        <v>31202</v>
      </c>
      <c r="L1723">
        <v>0</v>
      </c>
      <c r="M1723">
        <v>0</v>
      </c>
      <c r="N1723">
        <v>0</v>
      </c>
      <c r="O1723">
        <v>0</v>
      </c>
      <c r="P1723" s="8">
        <v>0</v>
      </c>
    </row>
    <row r="1724" spans="1:16">
      <c r="A1724" s="1">
        <v>44531</v>
      </c>
      <c r="B1724" t="s">
        <v>13</v>
      </c>
      <c r="C1724" t="s">
        <v>14</v>
      </c>
      <c r="D1724" t="s">
        <v>15</v>
      </c>
      <c r="E1724" t="s">
        <v>33</v>
      </c>
      <c r="F1724" t="s">
        <v>24</v>
      </c>
      <c r="G1724" t="s">
        <v>40</v>
      </c>
      <c r="H1724" t="s">
        <v>837</v>
      </c>
      <c r="I1724">
        <v>2</v>
      </c>
      <c r="J1724" t="s">
        <v>46</v>
      </c>
      <c r="K1724" t="str">
        <f t="shared" si="26"/>
        <v>31209</v>
      </c>
      <c r="L1724">
        <v>0</v>
      </c>
      <c r="M1724">
        <v>0</v>
      </c>
      <c r="N1724">
        <v>0</v>
      </c>
      <c r="O1724">
        <v>0</v>
      </c>
      <c r="P1724" s="8">
        <v>0</v>
      </c>
    </row>
    <row r="1725" spans="1:16">
      <c r="A1725" s="1">
        <v>44531</v>
      </c>
      <c r="B1725" t="s">
        <v>13</v>
      </c>
      <c r="C1725" t="s">
        <v>14</v>
      </c>
      <c r="D1725" t="s">
        <v>15</v>
      </c>
      <c r="E1725" t="s">
        <v>33</v>
      </c>
      <c r="F1725" t="s">
        <v>24</v>
      </c>
      <c r="G1725" t="s">
        <v>40</v>
      </c>
      <c r="H1725" t="s">
        <v>837</v>
      </c>
      <c r="I1725">
        <v>2</v>
      </c>
      <c r="J1725" t="s">
        <v>47</v>
      </c>
      <c r="K1725" t="str">
        <f t="shared" si="26"/>
        <v>31400</v>
      </c>
      <c r="L1725">
        <v>0</v>
      </c>
      <c r="M1725">
        <v>0</v>
      </c>
      <c r="N1725">
        <v>0</v>
      </c>
      <c r="O1725">
        <v>0</v>
      </c>
      <c r="P1725" s="8">
        <v>0</v>
      </c>
    </row>
    <row r="1726" spans="1:16">
      <c r="A1726" s="1">
        <v>44531</v>
      </c>
      <c r="B1726" t="s">
        <v>13</v>
      </c>
      <c r="C1726" t="s">
        <v>14</v>
      </c>
      <c r="D1726" t="s">
        <v>15</v>
      </c>
      <c r="E1726" t="s">
        <v>33</v>
      </c>
      <c r="F1726" t="s">
        <v>24</v>
      </c>
      <c r="G1726" t="s">
        <v>40</v>
      </c>
      <c r="H1726" t="s">
        <v>837</v>
      </c>
      <c r="I1726">
        <v>2</v>
      </c>
      <c r="J1726" t="s">
        <v>48</v>
      </c>
      <c r="K1726" t="str">
        <f t="shared" si="26"/>
        <v>31500</v>
      </c>
      <c r="L1726">
        <v>0</v>
      </c>
      <c r="M1726">
        <v>0</v>
      </c>
      <c r="N1726">
        <v>0</v>
      </c>
      <c r="O1726">
        <v>0</v>
      </c>
      <c r="P1726" s="8">
        <v>0</v>
      </c>
    </row>
    <row r="1727" spans="1:16">
      <c r="A1727" s="1">
        <v>44531</v>
      </c>
      <c r="B1727" t="s">
        <v>13</v>
      </c>
      <c r="C1727" t="s">
        <v>14</v>
      </c>
      <c r="D1727" t="s">
        <v>15</v>
      </c>
      <c r="E1727" t="s">
        <v>33</v>
      </c>
      <c r="F1727" t="s">
        <v>24</v>
      </c>
      <c r="G1727" t="s">
        <v>40</v>
      </c>
      <c r="H1727" t="s">
        <v>837</v>
      </c>
      <c r="I1727">
        <v>2</v>
      </c>
      <c r="J1727" t="s">
        <v>49</v>
      </c>
      <c r="K1727" t="str">
        <f t="shared" si="26"/>
        <v>31600</v>
      </c>
      <c r="L1727">
        <v>0</v>
      </c>
      <c r="M1727">
        <v>0</v>
      </c>
      <c r="N1727">
        <v>0</v>
      </c>
      <c r="O1727">
        <v>0</v>
      </c>
      <c r="P1727" s="8">
        <v>0</v>
      </c>
    </row>
    <row r="1728" spans="1:16">
      <c r="A1728" s="1">
        <v>44531</v>
      </c>
      <c r="B1728" t="s">
        <v>13</v>
      </c>
      <c r="C1728" t="s">
        <v>14</v>
      </c>
      <c r="D1728" t="s">
        <v>15</v>
      </c>
      <c r="E1728" t="s">
        <v>33</v>
      </c>
      <c r="F1728" t="s">
        <v>17</v>
      </c>
      <c r="G1728" t="s">
        <v>40</v>
      </c>
      <c r="H1728" t="s">
        <v>837</v>
      </c>
      <c r="I1728">
        <v>2</v>
      </c>
      <c r="J1728" t="s">
        <v>41</v>
      </c>
      <c r="K1728" t="str">
        <f t="shared" si="26"/>
        <v>31001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1:16">
      <c r="A1729" s="1">
        <v>44531</v>
      </c>
      <c r="B1729" t="s">
        <v>13</v>
      </c>
      <c r="C1729" t="s">
        <v>14</v>
      </c>
      <c r="D1729" t="s">
        <v>15</v>
      </c>
      <c r="E1729" t="s">
        <v>33</v>
      </c>
      <c r="F1729" t="s">
        <v>17</v>
      </c>
      <c r="G1729" t="s">
        <v>40</v>
      </c>
      <c r="H1729" t="s">
        <v>837</v>
      </c>
      <c r="I1729">
        <v>2</v>
      </c>
      <c r="J1729" t="s">
        <v>43</v>
      </c>
      <c r="K1729" t="str">
        <f t="shared" si="26"/>
        <v>31100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>
      <c r="A1730" s="1">
        <v>44531</v>
      </c>
      <c r="B1730" t="s">
        <v>13</v>
      </c>
      <c r="C1730" t="s">
        <v>14</v>
      </c>
      <c r="D1730" t="s">
        <v>15</v>
      </c>
      <c r="E1730" t="s">
        <v>33</v>
      </c>
      <c r="F1730" t="s">
        <v>17</v>
      </c>
      <c r="G1730" t="s">
        <v>40</v>
      </c>
      <c r="H1730" t="s">
        <v>837</v>
      </c>
      <c r="I1730">
        <v>2</v>
      </c>
      <c r="J1730" t="s">
        <v>44</v>
      </c>
      <c r="K1730" t="str">
        <f t="shared" ref="K1730:K1793" si="27">MID(J1730,2,5)</f>
        <v>31201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1:16">
      <c r="A1731" s="1">
        <v>44531</v>
      </c>
      <c r="B1731" t="s">
        <v>13</v>
      </c>
      <c r="C1731" t="s">
        <v>14</v>
      </c>
      <c r="D1731" t="s">
        <v>15</v>
      </c>
      <c r="E1731" t="s">
        <v>33</v>
      </c>
      <c r="F1731" t="s">
        <v>17</v>
      </c>
      <c r="G1731" t="s">
        <v>40</v>
      </c>
      <c r="H1731" t="s">
        <v>837</v>
      </c>
      <c r="I1731">
        <v>2</v>
      </c>
      <c r="J1731" t="s">
        <v>47</v>
      </c>
      <c r="K1731" t="str">
        <f t="shared" si="27"/>
        <v>31400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1:16">
      <c r="A1732" s="1">
        <v>44531</v>
      </c>
      <c r="B1732" t="s">
        <v>13</v>
      </c>
      <c r="C1732" t="s">
        <v>14</v>
      </c>
      <c r="D1732" t="s">
        <v>15</v>
      </c>
      <c r="E1732" t="s">
        <v>33</v>
      </c>
      <c r="F1732" t="s">
        <v>17</v>
      </c>
      <c r="G1732" t="s">
        <v>40</v>
      </c>
      <c r="H1732" t="s">
        <v>837</v>
      </c>
      <c r="I1732">
        <v>2</v>
      </c>
      <c r="J1732" t="s">
        <v>48</v>
      </c>
      <c r="K1732" t="str">
        <f t="shared" si="27"/>
        <v>31500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1:16">
      <c r="A1733" s="1">
        <v>44531</v>
      </c>
      <c r="B1733" t="s">
        <v>13</v>
      </c>
      <c r="C1733" t="s">
        <v>14</v>
      </c>
      <c r="D1733" t="s">
        <v>15</v>
      </c>
      <c r="E1733" t="s">
        <v>33</v>
      </c>
      <c r="F1733" t="s">
        <v>17</v>
      </c>
      <c r="G1733" t="s">
        <v>40</v>
      </c>
      <c r="H1733" t="s">
        <v>837</v>
      </c>
      <c r="I1733">
        <v>2</v>
      </c>
      <c r="J1733" t="s">
        <v>49</v>
      </c>
      <c r="K1733" t="str">
        <f t="shared" si="27"/>
        <v>31600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1:16">
      <c r="A1734" s="1">
        <v>44562</v>
      </c>
      <c r="B1734" t="s">
        <v>133</v>
      </c>
      <c r="C1734" t="s">
        <v>14</v>
      </c>
      <c r="D1734" t="s">
        <v>15</v>
      </c>
      <c r="E1734" t="s">
        <v>33</v>
      </c>
      <c r="F1734" t="s">
        <v>24</v>
      </c>
      <c r="G1734" t="s">
        <v>59</v>
      </c>
      <c r="H1734" t="s">
        <v>528</v>
      </c>
      <c r="I1734">
        <v>6</v>
      </c>
      <c r="J1734" t="s">
        <v>60</v>
      </c>
      <c r="K1734" t="str">
        <f t="shared" si="27"/>
        <v>35001</v>
      </c>
      <c r="L1734">
        <v>1988509.0899999999</v>
      </c>
      <c r="M1734">
        <v>0</v>
      </c>
      <c r="N1734">
        <v>0</v>
      </c>
      <c r="O1734">
        <v>0</v>
      </c>
      <c r="P1734" s="8">
        <v>1988509.0899999999</v>
      </c>
    </row>
    <row r="1735" spans="1:16">
      <c r="A1735" s="1">
        <v>44562</v>
      </c>
      <c r="B1735" t="s">
        <v>133</v>
      </c>
      <c r="C1735" t="s">
        <v>14</v>
      </c>
      <c r="D1735" t="s">
        <v>15</v>
      </c>
      <c r="E1735" t="s">
        <v>33</v>
      </c>
      <c r="F1735" t="s">
        <v>24</v>
      </c>
      <c r="G1735" t="s">
        <v>59</v>
      </c>
      <c r="H1735" t="s">
        <v>528</v>
      </c>
      <c r="I1735">
        <v>6</v>
      </c>
      <c r="J1735" t="s">
        <v>61</v>
      </c>
      <c r="K1735" t="str">
        <f t="shared" si="27"/>
        <v>35002</v>
      </c>
      <c r="L1735">
        <v>4313014.6500000004</v>
      </c>
      <c r="M1735">
        <v>0</v>
      </c>
      <c r="N1735">
        <v>0</v>
      </c>
      <c r="O1735">
        <v>0</v>
      </c>
      <c r="P1735" s="8">
        <v>4313014.6500000004</v>
      </c>
    </row>
    <row r="1736" spans="1:16">
      <c r="A1736" s="1">
        <v>44562</v>
      </c>
      <c r="B1736" t="s">
        <v>133</v>
      </c>
      <c r="C1736" t="s">
        <v>14</v>
      </c>
      <c r="D1736" t="s">
        <v>15</v>
      </c>
      <c r="E1736" t="s">
        <v>33</v>
      </c>
      <c r="F1736" t="s">
        <v>24</v>
      </c>
      <c r="G1736" t="s">
        <v>59</v>
      </c>
      <c r="H1736" t="s">
        <v>528</v>
      </c>
      <c r="I1736">
        <v>6</v>
      </c>
      <c r="J1736" t="s">
        <v>62</v>
      </c>
      <c r="K1736" t="str">
        <f t="shared" si="27"/>
        <v>35003</v>
      </c>
      <c r="L1736">
        <v>0</v>
      </c>
      <c r="M1736">
        <v>0</v>
      </c>
      <c r="N1736">
        <v>0</v>
      </c>
      <c r="O1736">
        <v>0</v>
      </c>
      <c r="P1736" s="8">
        <v>0</v>
      </c>
    </row>
    <row r="1737" spans="1:16">
      <c r="A1737" s="1">
        <v>44562</v>
      </c>
      <c r="B1737" t="s">
        <v>133</v>
      </c>
      <c r="C1737" t="s">
        <v>14</v>
      </c>
      <c r="D1737" t="s">
        <v>15</v>
      </c>
      <c r="E1737" t="s">
        <v>33</v>
      </c>
      <c r="F1737" t="s">
        <v>24</v>
      </c>
      <c r="G1737" t="s">
        <v>59</v>
      </c>
      <c r="H1737" t="s">
        <v>528</v>
      </c>
      <c r="I1737">
        <v>6</v>
      </c>
      <c r="J1737" t="s">
        <v>63</v>
      </c>
      <c r="K1737" t="str">
        <f t="shared" si="27"/>
        <v>35200</v>
      </c>
      <c r="L1737">
        <v>10463520.74</v>
      </c>
      <c r="M1737">
        <v>0</v>
      </c>
      <c r="N1737">
        <v>0</v>
      </c>
      <c r="O1737">
        <v>0</v>
      </c>
      <c r="P1737" s="8">
        <v>10463520.74</v>
      </c>
    </row>
    <row r="1738" spans="1:16">
      <c r="A1738" s="1">
        <v>44562</v>
      </c>
      <c r="B1738" t="s">
        <v>133</v>
      </c>
      <c r="C1738" t="s">
        <v>14</v>
      </c>
      <c r="D1738" t="s">
        <v>15</v>
      </c>
      <c r="E1738" t="s">
        <v>33</v>
      </c>
      <c r="F1738" t="s">
        <v>24</v>
      </c>
      <c r="G1738" t="s">
        <v>59</v>
      </c>
      <c r="H1738" t="s">
        <v>528</v>
      </c>
      <c r="I1738">
        <v>6</v>
      </c>
      <c r="J1738" t="s">
        <v>64</v>
      </c>
      <c r="K1738" t="str">
        <f t="shared" si="27"/>
        <v>35205</v>
      </c>
      <c r="L1738">
        <v>274154.33</v>
      </c>
      <c r="M1738">
        <v>0</v>
      </c>
      <c r="N1738">
        <v>0</v>
      </c>
      <c r="O1738">
        <v>0</v>
      </c>
      <c r="P1738" s="8">
        <v>274154.33</v>
      </c>
    </row>
    <row r="1739" spans="1:16">
      <c r="A1739" s="1">
        <v>44562</v>
      </c>
      <c r="B1739" t="s">
        <v>133</v>
      </c>
      <c r="C1739" t="s">
        <v>14</v>
      </c>
      <c r="D1739" t="s">
        <v>15</v>
      </c>
      <c r="E1739" t="s">
        <v>33</v>
      </c>
      <c r="F1739" t="s">
        <v>24</v>
      </c>
      <c r="G1739" t="s">
        <v>59</v>
      </c>
      <c r="H1739" t="s">
        <v>528</v>
      </c>
      <c r="I1739">
        <v>6</v>
      </c>
      <c r="J1739" t="s">
        <v>65</v>
      </c>
      <c r="K1739" t="str">
        <f t="shared" si="27"/>
        <v>35259</v>
      </c>
      <c r="L1739">
        <v>220613.03</v>
      </c>
      <c r="M1739">
        <v>0</v>
      </c>
      <c r="N1739">
        <v>0</v>
      </c>
      <c r="O1739">
        <v>0</v>
      </c>
      <c r="P1739" s="8">
        <v>220613.03</v>
      </c>
    </row>
    <row r="1740" spans="1:16">
      <c r="A1740" s="1">
        <v>44562</v>
      </c>
      <c r="B1740" t="s">
        <v>133</v>
      </c>
      <c r="C1740" t="s">
        <v>14</v>
      </c>
      <c r="D1740" t="s">
        <v>15</v>
      </c>
      <c r="E1740" t="s">
        <v>33</v>
      </c>
      <c r="F1740" t="s">
        <v>24</v>
      </c>
      <c r="G1740" t="s">
        <v>59</v>
      </c>
      <c r="H1740" t="s">
        <v>528</v>
      </c>
      <c r="I1740">
        <v>6</v>
      </c>
      <c r="J1740" t="s">
        <v>66</v>
      </c>
      <c r="K1740" t="str">
        <f t="shared" si="27"/>
        <v>35300</v>
      </c>
      <c r="L1740">
        <v>101144293.13</v>
      </c>
      <c r="M1740">
        <v>582499.29</v>
      </c>
      <c r="N1740">
        <v>-125460.01000000001</v>
      </c>
      <c r="O1740">
        <v>0</v>
      </c>
      <c r="P1740" s="8">
        <v>101601332.41</v>
      </c>
    </row>
    <row r="1741" spans="1:16">
      <c r="A1741" s="1">
        <v>44562</v>
      </c>
      <c r="B1741" t="s">
        <v>133</v>
      </c>
      <c r="C1741" t="s">
        <v>14</v>
      </c>
      <c r="D1741" t="s">
        <v>15</v>
      </c>
      <c r="E1741" t="s">
        <v>33</v>
      </c>
      <c r="F1741" t="s">
        <v>24</v>
      </c>
      <c r="G1741" t="s">
        <v>59</v>
      </c>
      <c r="H1741" t="s">
        <v>528</v>
      </c>
      <c r="I1741">
        <v>6</v>
      </c>
      <c r="J1741" t="s">
        <v>67</v>
      </c>
      <c r="K1741" t="str">
        <f t="shared" si="27"/>
        <v>35301</v>
      </c>
      <c r="L1741">
        <v>8243520.1799999997</v>
      </c>
      <c r="M1741">
        <v>0</v>
      </c>
      <c r="N1741">
        <v>0</v>
      </c>
      <c r="O1741">
        <v>0</v>
      </c>
      <c r="P1741" s="8">
        <v>8243520.1799999997</v>
      </c>
    </row>
    <row r="1742" spans="1:16">
      <c r="A1742" s="1">
        <v>44562</v>
      </c>
      <c r="B1742" t="s">
        <v>133</v>
      </c>
      <c r="C1742" t="s">
        <v>14</v>
      </c>
      <c r="D1742" t="s">
        <v>15</v>
      </c>
      <c r="E1742" t="s">
        <v>33</v>
      </c>
      <c r="F1742" t="s">
        <v>24</v>
      </c>
      <c r="G1742" t="s">
        <v>59</v>
      </c>
      <c r="H1742" t="s">
        <v>528</v>
      </c>
      <c r="I1742">
        <v>6</v>
      </c>
      <c r="J1742" t="s">
        <v>68</v>
      </c>
      <c r="K1742" t="str">
        <f t="shared" si="27"/>
        <v>35359</v>
      </c>
      <c r="L1742">
        <v>4227063.49</v>
      </c>
      <c r="M1742">
        <v>0</v>
      </c>
      <c r="N1742">
        <v>0</v>
      </c>
      <c r="O1742">
        <v>0</v>
      </c>
      <c r="P1742" s="8">
        <v>4227063.49</v>
      </c>
    </row>
    <row r="1743" spans="1:16">
      <c r="A1743" s="1">
        <v>44562</v>
      </c>
      <c r="B1743" t="s">
        <v>133</v>
      </c>
      <c r="C1743" t="s">
        <v>14</v>
      </c>
      <c r="D1743" t="s">
        <v>15</v>
      </c>
      <c r="E1743" t="s">
        <v>33</v>
      </c>
      <c r="F1743" t="s">
        <v>24</v>
      </c>
      <c r="G1743" t="s">
        <v>59</v>
      </c>
      <c r="H1743" t="s">
        <v>528</v>
      </c>
      <c r="I1743">
        <v>6</v>
      </c>
      <c r="J1743" t="s">
        <v>69</v>
      </c>
      <c r="K1743" t="str">
        <f t="shared" si="27"/>
        <v>35500</v>
      </c>
      <c r="L1743">
        <v>54543168.270000003</v>
      </c>
      <c r="M1743">
        <v>1758353.52</v>
      </c>
      <c r="N1743">
        <v>-506638.01</v>
      </c>
      <c r="O1743">
        <v>0</v>
      </c>
      <c r="P1743" s="8">
        <v>55794883.780000001</v>
      </c>
    </row>
    <row r="1744" spans="1:16">
      <c r="A1744" s="1">
        <v>44562</v>
      </c>
      <c r="B1744" t="s">
        <v>133</v>
      </c>
      <c r="C1744" t="s">
        <v>14</v>
      </c>
      <c r="D1744" t="s">
        <v>15</v>
      </c>
      <c r="E1744" t="s">
        <v>33</v>
      </c>
      <c r="F1744" t="s">
        <v>24</v>
      </c>
      <c r="G1744" t="s">
        <v>59</v>
      </c>
      <c r="H1744" t="s">
        <v>528</v>
      </c>
      <c r="I1744">
        <v>6</v>
      </c>
      <c r="J1744" t="s">
        <v>70</v>
      </c>
      <c r="K1744" t="str">
        <f t="shared" si="27"/>
        <v>35600</v>
      </c>
      <c r="L1744">
        <v>53882261.420000002</v>
      </c>
      <c r="M1744">
        <v>782539.03</v>
      </c>
      <c r="N1744">
        <v>-23225.670000000002</v>
      </c>
      <c r="O1744">
        <v>0</v>
      </c>
      <c r="P1744" s="8">
        <v>54641574.780000001</v>
      </c>
    </row>
    <row r="1745" spans="1:16">
      <c r="A1745" s="1">
        <v>44562</v>
      </c>
      <c r="B1745" t="s">
        <v>133</v>
      </c>
      <c r="C1745" t="s">
        <v>14</v>
      </c>
      <c r="D1745" t="s">
        <v>15</v>
      </c>
      <c r="E1745" t="s">
        <v>33</v>
      </c>
      <c r="F1745" t="s">
        <v>24</v>
      </c>
      <c r="G1745" t="s">
        <v>59</v>
      </c>
      <c r="H1745" t="s">
        <v>528</v>
      </c>
      <c r="I1745">
        <v>6</v>
      </c>
      <c r="J1745" t="s">
        <v>71</v>
      </c>
      <c r="K1745" t="str">
        <f t="shared" si="27"/>
        <v>35700</v>
      </c>
      <c r="L1745">
        <v>0</v>
      </c>
      <c r="M1745">
        <v>0</v>
      </c>
      <c r="N1745">
        <v>0</v>
      </c>
      <c r="O1745">
        <v>0</v>
      </c>
      <c r="P1745" s="8">
        <v>0</v>
      </c>
    </row>
    <row r="1746" spans="1:16">
      <c r="A1746" s="1">
        <v>44562</v>
      </c>
      <c r="B1746" t="s">
        <v>133</v>
      </c>
      <c r="C1746" t="s">
        <v>14</v>
      </c>
      <c r="D1746" t="s">
        <v>15</v>
      </c>
      <c r="E1746" t="s">
        <v>33</v>
      </c>
      <c r="F1746" t="s">
        <v>24</v>
      </c>
      <c r="G1746" t="s">
        <v>59</v>
      </c>
      <c r="H1746" t="s">
        <v>528</v>
      </c>
      <c r="I1746">
        <v>6</v>
      </c>
      <c r="J1746" t="s">
        <v>72</v>
      </c>
      <c r="K1746" t="str">
        <f t="shared" si="27"/>
        <v>35800</v>
      </c>
      <c r="L1746">
        <v>0</v>
      </c>
      <c r="M1746">
        <v>0</v>
      </c>
      <c r="N1746">
        <v>0</v>
      </c>
      <c r="O1746">
        <v>0</v>
      </c>
      <c r="P1746" s="8">
        <v>0</v>
      </c>
    </row>
    <row r="1747" spans="1:16">
      <c r="A1747" s="1">
        <v>44562</v>
      </c>
      <c r="B1747" t="s">
        <v>133</v>
      </c>
      <c r="C1747" t="s">
        <v>14</v>
      </c>
      <c r="D1747" t="s">
        <v>15</v>
      </c>
      <c r="E1747" t="s">
        <v>33</v>
      </c>
      <c r="F1747" t="s">
        <v>118</v>
      </c>
      <c r="G1747" t="s">
        <v>59</v>
      </c>
      <c r="H1747" t="s">
        <v>528</v>
      </c>
      <c r="I1747">
        <v>6</v>
      </c>
      <c r="J1747" t="s">
        <v>62</v>
      </c>
      <c r="K1747" t="str">
        <f t="shared" si="27"/>
        <v>35003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1:16">
      <c r="A1748" s="1">
        <v>44562</v>
      </c>
      <c r="B1748" t="s">
        <v>133</v>
      </c>
      <c r="C1748" t="s">
        <v>14</v>
      </c>
      <c r="D1748" t="s">
        <v>15</v>
      </c>
      <c r="E1748" t="s">
        <v>33</v>
      </c>
      <c r="F1748" t="s">
        <v>119</v>
      </c>
      <c r="G1748" t="s">
        <v>59</v>
      </c>
      <c r="H1748" t="s">
        <v>528</v>
      </c>
      <c r="I1748">
        <v>6</v>
      </c>
      <c r="J1748" t="s">
        <v>66</v>
      </c>
      <c r="K1748" t="str">
        <f t="shared" si="27"/>
        <v>35300</v>
      </c>
      <c r="L1748">
        <v>158336.61000000002</v>
      </c>
      <c r="M1748">
        <v>0</v>
      </c>
      <c r="N1748">
        <v>0</v>
      </c>
      <c r="O1748">
        <v>0</v>
      </c>
      <c r="P1748" s="9">
        <v>158336.61000000002</v>
      </c>
    </row>
    <row r="1749" spans="1:16">
      <c r="A1749" s="1">
        <v>44562</v>
      </c>
      <c r="B1749" t="s">
        <v>133</v>
      </c>
      <c r="C1749" t="s">
        <v>14</v>
      </c>
      <c r="D1749" t="s">
        <v>15</v>
      </c>
      <c r="E1749" t="s">
        <v>33</v>
      </c>
      <c r="F1749" t="s">
        <v>17</v>
      </c>
      <c r="G1749" t="s">
        <v>59</v>
      </c>
      <c r="H1749" t="s">
        <v>528</v>
      </c>
      <c r="I1749">
        <v>6</v>
      </c>
      <c r="J1749" t="s">
        <v>60</v>
      </c>
      <c r="K1749" t="str">
        <f t="shared" si="27"/>
        <v>35001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1:16">
      <c r="A1750" s="1">
        <v>44562</v>
      </c>
      <c r="B1750" t="s">
        <v>133</v>
      </c>
      <c r="C1750" t="s">
        <v>14</v>
      </c>
      <c r="D1750" t="s">
        <v>15</v>
      </c>
      <c r="E1750" t="s">
        <v>33</v>
      </c>
      <c r="F1750" t="s">
        <v>17</v>
      </c>
      <c r="G1750" t="s">
        <v>59</v>
      </c>
      <c r="H1750" t="s">
        <v>528</v>
      </c>
      <c r="I1750">
        <v>6</v>
      </c>
      <c r="J1750" t="s">
        <v>61</v>
      </c>
      <c r="K1750" t="str">
        <f t="shared" si="27"/>
        <v>35002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1:16">
      <c r="A1751" s="1">
        <v>44562</v>
      </c>
      <c r="B1751" t="s">
        <v>133</v>
      </c>
      <c r="C1751" t="s">
        <v>14</v>
      </c>
      <c r="D1751" t="s">
        <v>15</v>
      </c>
      <c r="E1751" t="s">
        <v>33</v>
      </c>
      <c r="F1751" t="s">
        <v>17</v>
      </c>
      <c r="G1751" t="s">
        <v>59</v>
      </c>
      <c r="H1751" t="s">
        <v>528</v>
      </c>
      <c r="I1751">
        <v>6</v>
      </c>
      <c r="J1751" t="s">
        <v>63</v>
      </c>
      <c r="K1751" t="str">
        <f t="shared" si="27"/>
        <v>35200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1:16">
      <c r="A1752" s="1">
        <v>44562</v>
      </c>
      <c r="B1752" t="s">
        <v>133</v>
      </c>
      <c r="C1752" t="s">
        <v>14</v>
      </c>
      <c r="D1752" t="s">
        <v>15</v>
      </c>
      <c r="E1752" t="s">
        <v>33</v>
      </c>
      <c r="F1752" t="s">
        <v>17</v>
      </c>
      <c r="G1752" t="s">
        <v>59</v>
      </c>
      <c r="H1752" t="s">
        <v>528</v>
      </c>
      <c r="I1752">
        <v>6</v>
      </c>
      <c r="J1752" t="s">
        <v>66</v>
      </c>
      <c r="K1752" t="str">
        <f t="shared" si="27"/>
        <v>35300</v>
      </c>
      <c r="L1752">
        <v>867068.97</v>
      </c>
      <c r="M1752">
        <v>-818452.94000000006</v>
      </c>
      <c r="N1752">
        <v>0</v>
      </c>
      <c r="O1752">
        <v>0</v>
      </c>
      <c r="P1752">
        <v>48616.03</v>
      </c>
    </row>
    <row r="1753" spans="1:16">
      <c r="A1753" s="1">
        <v>44562</v>
      </c>
      <c r="B1753" t="s">
        <v>133</v>
      </c>
      <c r="C1753" t="s">
        <v>14</v>
      </c>
      <c r="D1753" t="s">
        <v>15</v>
      </c>
      <c r="E1753" t="s">
        <v>33</v>
      </c>
      <c r="F1753" t="s">
        <v>17</v>
      </c>
      <c r="G1753" t="s">
        <v>59</v>
      </c>
      <c r="H1753" t="s">
        <v>528</v>
      </c>
      <c r="I1753">
        <v>6</v>
      </c>
      <c r="J1753" t="s">
        <v>67</v>
      </c>
      <c r="K1753" t="str">
        <f t="shared" si="27"/>
        <v>35301</v>
      </c>
      <c r="L1753">
        <v>22762.21</v>
      </c>
      <c r="M1753">
        <v>-22762.21</v>
      </c>
      <c r="N1753">
        <v>0</v>
      </c>
      <c r="O1753">
        <v>0</v>
      </c>
      <c r="P1753">
        <v>0</v>
      </c>
    </row>
    <row r="1754" spans="1:16">
      <c r="A1754" s="1">
        <v>44562</v>
      </c>
      <c r="B1754" t="s">
        <v>133</v>
      </c>
      <c r="C1754" t="s">
        <v>14</v>
      </c>
      <c r="D1754" t="s">
        <v>15</v>
      </c>
      <c r="E1754" t="s">
        <v>33</v>
      </c>
      <c r="F1754" t="s">
        <v>17</v>
      </c>
      <c r="G1754" t="s">
        <v>59</v>
      </c>
      <c r="H1754" t="s">
        <v>528</v>
      </c>
      <c r="I1754">
        <v>6</v>
      </c>
      <c r="J1754" t="s">
        <v>121</v>
      </c>
      <c r="K1754" t="str">
        <f t="shared" si="27"/>
        <v>35400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1:16">
      <c r="A1755" s="1">
        <v>44562</v>
      </c>
      <c r="B1755" t="s">
        <v>133</v>
      </c>
      <c r="C1755" t="s">
        <v>14</v>
      </c>
      <c r="D1755" t="s">
        <v>15</v>
      </c>
      <c r="E1755" t="s">
        <v>33</v>
      </c>
      <c r="F1755" t="s">
        <v>17</v>
      </c>
      <c r="G1755" t="s">
        <v>59</v>
      </c>
      <c r="H1755" t="s">
        <v>528</v>
      </c>
      <c r="I1755">
        <v>6</v>
      </c>
      <c r="J1755" t="s">
        <v>69</v>
      </c>
      <c r="K1755" t="str">
        <f t="shared" si="27"/>
        <v>35500</v>
      </c>
      <c r="L1755">
        <v>1932927.02</v>
      </c>
      <c r="M1755">
        <v>-1837051.21</v>
      </c>
      <c r="N1755">
        <v>0</v>
      </c>
      <c r="O1755">
        <v>0</v>
      </c>
      <c r="P1755">
        <v>95875.81</v>
      </c>
    </row>
    <row r="1756" spans="1:16">
      <c r="A1756" s="1">
        <v>44562</v>
      </c>
      <c r="B1756" t="s">
        <v>133</v>
      </c>
      <c r="C1756" t="s">
        <v>14</v>
      </c>
      <c r="D1756" t="s">
        <v>15</v>
      </c>
      <c r="E1756" t="s">
        <v>33</v>
      </c>
      <c r="F1756" t="s">
        <v>17</v>
      </c>
      <c r="G1756" t="s">
        <v>59</v>
      </c>
      <c r="H1756" t="s">
        <v>528</v>
      </c>
      <c r="I1756">
        <v>6</v>
      </c>
      <c r="J1756" t="s">
        <v>70</v>
      </c>
      <c r="K1756" t="str">
        <f t="shared" si="27"/>
        <v>35600</v>
      </c>
      <c r="L1756">
        <v>724367.98</v>
      </c>
      <c r="M1756">
        <v>-724367.98</v>
      </c>
      <c r="N1756">
        <v>0</v>
      </c>
      <c r="O1756">
        <v>0</v>
      </c>
      <c r="P1756">
        <v>0</v>
      </c>
    </row>
    <row r="1757" spans="1:16">
      <c r="A1757" s="1">
        <v>44562</v>
      </c>
      <c r="B1757" t="s">
        <v>133</v>
      </c>
      <c r="C1757" t="s">
        <v>14</v>
      </c>
      <c r="D1757" t="s">
        <v>15</v>
      </c>
      <c r="E1757" t="s">
        <v>33</v>
      </c>
      <c r="F1757" t="s">
        <v>17</v>
      </c>
      <c r="G1757" t="s">
        <v>59</v>
      </c>
      <c r="H1757" t="s">
        <v>528</v>
      </c>
      <c r="I1757">
        <v>6</v>
      </c>
      <c r="J1757" t="s">
        <v>71</v>
      </c>
      <c r="K1757" t="str">
        <f t="shared" si="27"/>
        <v>35700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1:16">
      <c r="A1758" s="1">
        <v>44562</v>
      </c>
      <c r="B1758" t="s">
        <v>133</v>
      </c>
      <c r="C1758" t="s">
        <v>14</v>
      </c>
      <c r="D1758" t="s">
        <v>15</v>
      </c>
      <c r="E1758" t="s">
        <v>33</v>
      </c>
      <c r="F1758" t="s">
        <v>17</v>
      </c>
      <c r="G1758" t="s">
        <v>59</v>
      </c>
      <c r="H1758" t="s">
        <v>528</v>
      </c>
      <c r="I1758">
        <v>6</v>
      </c>
      <c r="J1758" t="s">
        <v>72</v>
      </c>
      <c r="K1758" t="str">
        <f t="shared" si="27"/>
        <v>35800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>
      <c r="A1759" s="1">
        <v>44593</v>
      </c>
      <c r="B1759" t="s">
        <v>132</v>
      </c>
      <c r="C1759" t="s">
        <v>14</v>
      </c>
      <c r="D1759" t="s">
        <v>15</v>
      </c>
      <c r="E1759" t="s">
        <v>33</v>
      </c>
      <c r="F1759" t="s">
        <v>24</v>
      </c>
      <c r="G1759" t="s">
        <v>59</v>
      </c>
      <c r="H1759" t="s">
        <v>528</v>
      </c>
      <c r="I1759">
        <v>6</v>
      </c>
      <c r="J1759" t="s">
        <v>60</v>
      </c>
      <c r="K1759" t="str">
        <f t="shared" si="27"/>
        <v>35001</v>
      </c>
      <c r="L1759">
        <v>1988509.0899999999</v>
      </c>
      <c r="M1759">
        <v>0</v>
      </c>
      <c r="N1759">
        <v>0</v>
      </c>
      <c r="O1759">
        <v>0</v>
      </c>
      <c r="P1759" s="8">
        <v>1988509.0899999999</v>
      </c>
    </row>
    <row r="1760" spans="1:16">
      <c r="A1760" s="1">
        <v>44593</v>
      </c>
      <c r="B1760" t="s">
        <v>132</v>
      </c>
      <c r="C1760" t="s">
        <v>14</v>
      </c>
      <c r="D1760" t="s">
        <v>15</v>
      </c>
      <c r="E1760" t="s">
        <v>33</v>
      </c>
      <c r="F1760" t="s">
        <v>24</v>
      </c>
      <c r="G1760" t="s">
        <v>59</v>
      </c>
      <c r="H1760" t="s">
        <v>528</v>
      </c>
      <c r="I1760">
        <v>6</v>
      </c>
      <c r="J1760" t="s">
        <v>61</v>
      </c>
      <c r="K1760" t="str">
        <f t="shared" si="27"/>
        <v>35002</v>
      </c>
      <c r="L1760">
        <v>4313014.6500000004</v>
      </c>
      <c r="M1760">
        <v>0</v>
      </c>
      <c r="N1760">
        <v>0</v>
      </c>
      <c r="O1760">
        <v>0</v>
      </c>
      <c r="P1760" s="8">
        <v>4313014.6500000004</v>
      </c>
    </row>
    <row r="1761" spans="1:16">
      <c r="A1761" s="1">
        <v>44593</v>
      </c>
      <c r="B1761" t="s">
        <v>132</v>
      </c>
      <c r="C1761" t="s">
        <v>14</v>
      </c>
      <c r="D1761" t="s">
        <v>15</v>
      </c>
      <c r="E1761" t="s">
        <v>33</v>
      </c>
      <c r="F1761" t="s">
        <v>24</v>
      </c>
      <c r="G1761" t="s">
        <v>59</v>
      </c>
      <c r="H1761" t="s">
        <v>528</v>
      </c>
      <c r="I1761">
        <v>6</v>
      </c>
      <c r="J1761" t="s">
        <v>62</v>
      </c>
      <c r="K1761" t="str">
        <f t="shared" si="27"/>
        <v>35003</v>
      </c>
      <c r="L1761">
        <v>0</v>
      </c>
      <c r="M1761">
        <v>0</v>
      </c>
      <c r="N1761">
        <v>0</v>
      </c>
      <c r="O1761">
        <v>0</v>
      </c>
      <c r="P1761" s="8">
        <v>0</v>
      </c>
    </row>
    <row r="1762" spans="1:16">
      <c r="A1762" s="1">
        <v>44593</v>
      </c>
      <c r="B1762" t="s">
        <v>132</v>
      </c>
      <c r="C1762" t="s">
        <v>14</v>
      </c>
      <c r="D1762" t="s">
        <v>15</v>
      </c>
      <c r="E1762" t="s">
        <v>33</v>
      </c>
      <c r="F1762" t="s">
        <v>24</v>
      </c>
      <c r="G1762" t="s">
        <v>59</v>
      </c>
      <c r="H1762" t="s">
        <v>528</v>
      </c>
      <c r="I1762">
        <v>6</v>
      </c>
      <c r="J1762" t="s">
        <v>63</v>
      </c>
      <c r="K1762" t="str">
        <f t="shared" si="27"/>
        <v>35200</v>
      </c>
      <c r="L1762">
        <v>10463520.74</v>
      </c>
      <c r="M1762">
        <v>0</v>
      </c>
      <c r="N1762">
        <v>0</v>
      </c>
      <c r="O1762">
        <v>0</v>
      </c>
      <c r="P1762" s="8">
        <v>10463520.74</v>
      </c>
    </row>
    <row r="1763" spans="1:16">
      <c r="A1763" s="1">
        <v>44593</v>
      </c>
      <c r="B1763" t="s">
        <v>132</v>
      </c>
      <c r="C1763" t="s">
        <v>14</v>
      </c>
      <c r="D1763" t="s">
        <v>15</v>
      </c>
      <c r="E1763" t="s">
        <v>33</v>
      </c>
      <c r="F1763" t="s">
        <v>24</v>
      </c>
      <c r="G1763" t="s">
        <v>59</v>
      </c>
      <c r="H1763" t="s">
        <v>528</v>
      </c>
      <c r="I1763">
        <v>6</v>
      </c>
      <c r="J1763" t="s">
        <v>64</v>
      </c>
      <c r="K1763" t="str">
        <f t="shared" si="27"/>
        <v>35205</v>
      </c>
      <c r="L1763">
        <v>274154.33</v>
      </c>
      <c r="M1763">
        <v>0</v>
      </c>
      <c r="N1763">
        <v>0</v>
      </c>
      <c r="O1763">
        <v>0</v>
      </c>
      <c r="P1763" s="8">
        <v>274154.33</v>
      </c>
    </row>
    <row r="1764" spans="1:16">
      <c r="A1764" s="1">
        <v>44593</v>
      </c>
      <c r="B1764" t="s">
        <v>132</v>
      </c>
      <c r="C1764" t="s">
        <v>14</v>
      </c>
      <c r="D1764" t="s">
        <v>15</v>
      </c>
      <c r="E1764" t="s">
        <v>33</v>
      </c>
      <c r="F1764" t="s">
        <v>24</v>
      </c>
      <c r="G1764" t="s">
        <v>59</v>
      </c>
      <c r="H1764" t="s">
        <v>528</v>
      </c>
      <c r="I1764">
        <v>6</v>
      </c>
      <c r="J1764" t="s">
        <v>65</v>
      </c>
      <c r="K1764" t="str">
        <f t="shared" si="27"/>
        <v>35259</v>
      </c>
      <c r="L1764">
        <v>220613.03</v>
      </c>
      <c r="M1764">
        <v>0</v>
      </c>
      <c r="N1764">
        <v>0</v>
      </c>
      <c r="O1764">
        <v>0</v>
      </c>
      <c r="P1764" s="8">
        <v>220613.03</v>
      </c>
    </row>
    <row r="1765" spans="1:16">
      <c r="A1765" s="1">
        <v>44593</v>
      </c>
      <c r="B1765" t="s">
        <v>132</v>
      </c>
      <c r="C1765" t="s">
        <v>14</v>
      </c>
      <c r="D1765" t="s">
        <v>15</v>
      </c>
      <c r="E1765" t="s">
        <v>33</v>
      </c>
      <c r="F1765" t="s">
        <v>24</v>
      </c>
      <c r="G1765" t="s">
        <v>59</v>
      </c>
      <c r="H1765" t="s">
        <v>528</v>
      </c>
      <c r="I1765">
        <v>6</v>
      </c>
      <c r="J1765" t="s">
        <v>66</v>
      </c>
      <c r="K1765" t="str">
        <f t="shared" si="27"/>
        <v>35300</v>
      </c>
      <c r="L1765">
        <v>101601332.41</v>
      </c>
      <c r="M1765">
        <v>-11016.72</v>
      </c>
      <c r="N1765">
        <v>0</v>
      </c>
      <c r="O1765">
        <v>0</v>
      </c>
      <c r="P1765" s="8">
        <v>101590315.69</v>
      </c>
    </row>
    <row r="1766" spans="1:16">
      <c r="A1766" s="1">
        <v>44593</v>
      </c>
      <c r="B1766" t="s">
        <v>132</v>
      </c>
      <c r="C1766" t="s">
        <v>14</v>
      </c>
      <c r="D1766" t="s">
        <v>15</v>
      </c>
      <c r="E1766" t="s">
        <v>33</v>
      </c>
      <c r="F1766" t="s">
        <v>24</v>
      </c>
      <c r="G1766" t="s">
        <v>59</v>
      </c>
      <c r="H1766" t="s">
        <v>528</v>
      </c>
      <c r="I1766">
        <v>6</v>
      </c>
      <c r="J1766" t="s">
        <v>67</v>
      </c>
      <c r="K1766" t="str">
        <f t="shared" si="27"/>
        <v>35301</v>
      </c>
      <c r="L1766">
        <v>8243520.1799999997</v>
      </c>
      <c r="M1766">
        <v>0</v>
      </c>
      <c r="N1766">
        <v>0</v>
      </c>
      <c r="O1766">
        <v>0</v>
      </c>
      <c r="P1766" s="8">
        <v>8243520.1799999997</v>
      </c>
    </row>
    <row r="1767" spans="1:16">
      <c r="A1767" s="1">
        <v>44593</v>
      </c>
      <c r="B1767" t="s">
        <v>132</v>
      </c>
      <c r="C1767" t="s">
        <v>14</v>
      </c>
      <c r="D1767" t="s">
        <v>15</v>
      </c>
      <c r="E1767" t="s">
        <v>33</v>
      </c>
      <c r="F1767" t="s">
        <v>24</v>
      </c>
      <c r="G1767" t="s">
        <v>59</v>
      </c>
      <c r="H1767" t="s">
        <v>528</v>
      </c>
      <c r="I1767">
        <v>6</v>
      </c>
      <c r="J1767" t="s">
        <v>68</v>
      </c>
      <c r="K1767" t="str">
        <f t="shared" si="27"/>
        <v>35359</v>
      </c>
      <c r="L1767">
        <v>4227063.49</v>
      </c>
      <c r="M1767">
        <v>0</v>
      </c>
      <c r="N1767">
        <v>0</v>
      </c>
      <c r="O1767">
        <v>0</v>
      </c>
      <c r="P1767" s="8">
        <v>4227063.49</v>
      </c>
    </row>
    <row r="1768" spans="1:16">
      <c r="A1768" s="1">
        <v>44593</v>
      </c>
      <c r="B1768" t="s">
        <v>132</v>
      </c>
      <c r="C1768" t="s">
        <v>14</v>
      </c>
      <c r="D1768" t="s">
        <v>15</v>
      </c>
      <c r="E1768" t="s">
        <v>33</v>
      </c>
      <c r="F1768" t="s">
        <v>24</v>
      </c>
      <c r="G1768" t="s">
        <v>59</v>
      </c>
      <c r="H1768" t="s">
        <v>528</v>
      </c>
      <c r="I1768">
        <v>6</v>
      </c>
      <c r="J1768" t="s">
        <v>69</v>
      </c>
      <c r="K1768" t="str">
        <f t="shared" si="27"/>
        <v>35500</v>
      </c>
      <c r="L1768">
        <v>55794883.780000001</v>
      </c>
      <c r="M1768">
        <v>143852.61000000002</v>
      </c>
      <c r="N1768">
        <v>-7287.71</v>
      </c>
      <c r="O1768">
        <v>0</v>
      </c>
      <c r="P1768" s="8">
        <v>55931448.68</v>
      </c>
    </row>
    <row r="1769" spans="1:16">
      <c r="A1769" s="1">
        <v>44593</v>
      </c>
      <c r="B1769" t="s">
        <v>132</v>
      </c>
      <c r="C1769" t="s">
        <v>14</v>
      </c>
      <c r="D1769" t="s">
        <v>15</v>
      </c>
      <c r="E1769" t="s">
        <v>33</v>
      </c>
      <c r="F1769" t="s">
        <v>24</v>
      </c>
      <c r="G1769" t="s">
        <v>59</v>
      </c>
      <c r="H1769" t="s">
        <v>528</v>
      </c>
      <c r="I1769">
        <v>6</v>
      </c>
      <c r="J1769" t="s">
        <v>70</v>
      </c>
      <c r="K1769" t="str">
        <f t="shared" si="27"/>
        <v>35600</v>
      </c>
      <c r="L1769">
        <v>54641574.780000001</v>
      </c>
      <c r="M1769">
        <v>1479.54</v>
      </c>
      <c r="N1769">
        <v>0</v>
      </c>
      <c r="O1769">
        <v>0</v>
      </c>
      <c r="P1769" s="8">
        <v>54643054.32</v>
      </c>
    </row>
    <row r="1770" spans="1:16">
      <c r="A1770" s="1">
        <v>44593</v>
      </c>
      <c r="B1770" t="s">
        <v>132</v>
      </c>
      <c r="C1770" t="s">
        <v>14</v>
      </c>
      <c r="D1770" t="s">
        <v>15</v>
      </c>
      <c r="E1770" t="s">
        <v>33</v>
      </c>
      <c r="F1770" t="s">
        <v>24</v>
      </c>
      <c r="G1770" t="s">
        <v>59</v>
      </c>
      <c r="H1770" t="s">
        <v>528</v>
      </c>
      <c r="I1770">
        <v>6</v>
      </c>
      <c r="J1770" t="s">
        <v>71</v>
      </c>
      <c r="K1770" t="str">
        <f t="shared" si="27"/>
        <v>35700</v>
      </c>
      <c r="L1770">
        <v>0</v>
      </c>
      <c r="M1770">
        <v>0</v>
      </c>
      <c r="N1770">
        <v>0</v>
      </c>
      <c r="O1770">
        <v>0</v>
      </c>
      <c r="P1770" s="8">
        <v>0</v>
      </c>
    </row>
    <row r="1771" spans="1:16">
      <c r="A1771" s="1">
        <v>44593</v>
      </c>
      <c r="B1771" t="s">
        <v>132</v>
      </c>
      <c r="C1771" t="s">
        <v>14</v>
      </c>
      <c r="D1771" t="s">
        <v>15</v>
      </c>
      <c r="E1771" t="s">
        <v>33</v>
      </c>
      <c r="F1771" t="s">
        <v>24</v>
      </c>
      <c r="G1771" t="s">
        <v>59</v>
      </c>
      <c r="H1771" t="s">
        <v>528</v>
      </c>
      <c r="I1771">
        <v>6</v>
      </c>
      <c r="J1771" t="s">
        <v>72</v>
      </c>
      <c r="K1771" t="str">
        <f t="shared" si="27"/>
        <v>35800</v>
      </c>
      <c r="L1771">
        <v>0</v>
      </c>
      <c r="M1771">
        <v>0</v>
      </c>
      <c r="N1771">
        <v>0</v>
      </c>
      <c r="O1771">
        <v>0</v>
      </c>
      <c r="P1771" s="8">
        <v>0</v>
      </c>
    </row>
    <row r="1772" spans="1:16">
      <c r="A1772" s="1">
        <v>44593</v>
      </c>
      <c r="B1772" t="s">
        <v>132</v>
      </c>
      <c r="C1772" t="s">
        <v>14</v>
      </c>
      <c r="D1772" t="s">
        <v>15</v>
      </c>
      <c r="E1772" t="s">
        <v>33</v>
      </c>
      <c r="F1772" t="s">
        <v>118</v>
      </c>
      <c r="G1772" t="s">
        <v>59</v>
      </c>
      <c r="H1772" t="s">
        <v>528</v>
      </c>
      <c r="I1772">
        <v>6</v>
      </c>
      <c r="J1772" t="s">
        <v>62</v>
      </c>
      <c r="K1772" t="str">
        <f t="shared" si="27"/>
        <v>35003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1:16">
      <c r="A1773" s="1">
        <v>44593</v>
      </c>
      <c r="B1773" t="s">
        <v>132</v>
      </c>
      <c r="C1773" t="s">
        <v>14</v>
      </c>
      <c r="D1773" t="s">
        <v>15</v>
      </c>
      <c r="E1773" t="s">
        <v>33</v>
      </c>
      <c r="F1773" t="s">
        <v>119</v>
      </c>
      <c r="G1773" t="s">
        <v>59</v>
      </c>
      <c r="H1773" t="s">
        <v>528</v>
      </c>
      <c r="I1773">
        <v>6</v>
      </c>
      <c r="J1773" t="s">
        <v>66</v>
      </c>
      <c r="K1773" t="str">
        <f t="shared" si="27"/>
        <v>35300</v>
      </c>
      <c r="L1773">
        <v>158336.61000000002</v>
      </c>
      <c r="M1773">
        <v>0</v>
      </c>
      <c r="N1773">
        <v>0</v>
      </c>
      <c r="O1773">
        <v>0</v>
      </c>
      <c r="P1773" s="9">
        <v>158336.61000000002</v>
      </c>
    </row>
    <row r="1774" spans="1:16">
      <c r="A1774" s="1">
        <v>44593</v>
      </c>
      <c r="B1774" t="s">
        <v>132</v>
      </c>
      <c r="C1774" t="s">
        <v>14</v>
      </c>
      <c r="D1774" t="s">
        <v>15</v>
      </c>
      <c r="E1774" t="s">
        <v>33</v>
      </c>
      <c r="F1774" t="s">
        <v>17</v>
      </c>
      <c r="G1774" t="s">
        <v>59</v>
      </c>
      <c r="H1774" t="s">
        <v>528</v>
      </c>
      <c r="I1774">
        <v>6</v>
      </c>
      <c r="J1774" t="s">
        <v>60</v>
      </c>
      <c r="K1774" t="str">
        <f t="shared" si="27"/>
        <v>35001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1:16">
      <c r="A1775" s="1">
        <v>44593</v>
      </c>
      <c r="B1775" t="s">
        <v>132</v>
      </c>
      <c r="C1775" t="s">
        <v>14</v>
      </c>
      <c r="D1775" t="s">
        <v>15</v>
      </c>
      <c r="E1775" t="s">
        <v>33</v>
      </c>
      <c r="F1775" t="s">
        <v>17</v>
      </c>
      <c r="G1775" t="s">
        <v>59</v>
      </c>
      <c r="H1775" t="s">
        <v>528</v>
      </c>
      <c r="I1775">
        <v>6</v>
      </c>
      <c r="J1775" t="s">
        <v>61</v>
      </c>
      <c r="K1775" t="str">
        <f t="shared" si="27"/>
        <v>35002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1:16">
      <c r="A1776" s="1">
        <v>44593</v>
      </c>
      <c r="B1776" t="s">
        <v>132</v>
      </c>
      <c r="C1776" t="s">
        <v>14</v>
      </c>
      <c r="D1776" t="s">
        <v>15</v>
      </c>
      <c r="E1776" t="s">
        <v>33</v>
      </c>
      <c r="F1776" t="s">
        <v>17</v>
      </c>
      <c r="G1776" t="s">
        <v>59</v>
      </c>
      <c r="H1776" t="s">
        <v>528</v>
      </c>
      <c r="I1776">
        <v>6</v>
      </c>
      <c r="J1776" t="s">
        <v>63</v>
      </c>
      <c r="K1776" t="str">
        <f t="shared" si="27"/>
        <v>35200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1:16">
      <c r="A1777" s="1">
        <v>44593</v>
      </c>
      <c r="B1777" t="s">
        <v>132</v>
      </c>
      <c r="C1777" t="s">
        <v>14</v>
      </c>
      <c r="D1777" t="s">
        <v>15</v>
      </c>
      <c r="E1777" t="s">
        <v>33</v>
      </c>
      <c r="F1777" t="s">
        <v>17</v>
      </c>
      <c r="G1777" t="s">
        <v>59</v>
      </c>
      <c r="H1777" t="s">
        <v>528</v>
      </c>
      <c r="I1777">
        <v>6</v>
      </c>
      <c r="J1777" t="s">
        <v>66</v>
      </c>
      <c r="K1777" t="str">
        <f t="shared" si="27"/>
        <v>35300</v>
      </c>
      <c r="L1777">
        <v>48616.03</v>
      </c>
      <c r="M1777">
        <v>-38773.71</v>
      </c>
      <c r="N1777">
        <v>0</v>
      </c>
      <c r="O1777">
        <v>0</v>
      </c>
      <c r="P1777">
        <v>9842.32</v>
      </c>
    </row>
    <row r="1778" spans="1:16">
      <c r="A1778" s="1">
        <v>44593</v>
      </c>
      <c r="B1778" t="s">
        <v>132</v>
      </c>
      <c r="C1778" t="s">
        <v>14</v>
      </c>
      <c r="D1778" t="s">
        <v>15</v>
      </c>
      <c r="E1778" t="s">
        <v>33</v>
      </c>
      <c r="F1778" t="s">
        <v>17</v>
      </c>
      <c r="G1778" t="s">
        <v>59</v>
      </c>
      <c r="H1778" t="s">
        <v>528</v>
      </c>
      <c r="I1778">
        <v>6</v>
      </c>
      <c r="J1778" t="s">
        <v>67</v>
      </c>
      <c r="K1778" t="str">
        <f t="shared" si="27"/>
        <v>35301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1:16">
      <c r="A1779" s="1">
        <v>44593</v>
      </c>
      <c r="B1779" t="s">
        <v>132</v>
      </c>
      <c r="C1779" t="s">
        <v>14</v>
      </c>
      <c r="D1779" t="s">
        <v>15</v>
      </c>
      <c r="E1779" t="s">
        <v>33</v>
      </c>
      <c r="F1779" t="s">
        <v>17</v>
      </c>
      <c r="G1779" t="s">
        <v>59</v>
      </c>
      <c r="H1779" t="s">
        <v>528</v>
      </c>
      <c r="I1779">
        <v>6</v>
      </c>
      <c r="J1779" t="s">
        <v>121</v>
      </c>
      <c r="K1779" t="str">
        <f t="shared" si="27"/>
        <v>35400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1:16">
      <c r="A1780" s="1">
        <v>44593</v>
      </c>
      <c r="B1780" t="s">
        <v>132</v>
      </c>
      <c r="C1780" t="s">
        <v>14</v>
      </c>
      <c r="D1780" t="s">
        <v>15</v>
      </c>
      <c r="E1780" t="s">
        <v>33</v>
      </c>
      <c r="F1780" t="s">
        <v>17</v>
      </c>
      <c r="G1780" t="s">
        <v>59</v>
      </c>
      <c r="H1780" t="s">
        <v>528</v>
      </c>
      <c r="I1780">
        <v>6</v>
      </c>
      <c r="J1780" t="s">
        <v>69</v>
      </c>
      <c r="K1780" t="str">
        <f t="shared" si="27"/>
        <v>35500</v>
      </c>
      <c r="L1780">
        <v>95875.81</v>
      </c>
      <c r="M1780">
        <v>-95875.81</v>
      </c>
      <c r="N1780">
        <v>0</v>
      </c>
      <c r="O1780">
        <v>0</v>
      </c>
      <c r="P1780">
        <v>0</v>
      </c>
    </row>
    <row r="1781" spans="1:16">
      <c r="A1781" s="1">
        <v>44593</v>
      </c>
      <c r="B1781" t="s">
        <v>132</v>
      </c>
      <c r="C1781" t="s">
        <v>14</v>
      </c>
      <c r="D1781" t="s">
        <v>15</v>
      </c>
      <c r="E1781" t="s">
        <v>33</v>
      </c>
      <c r="F1781" t="s">
        <v>17</v>
      </c>
      <c r="G1781" t="s">
        <v>59</v>
      </c>
      <c r="H1781" t="s">
        <v>528</v>
      </c>
      <c r="I1781">
        <v>6</v>
      </c>
      <c r="J1781" t="s">
        <v>70</v>
      </c>
      <c r="K1781" t="str">
        <f t="shared" si="27"/>
        <v>35600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1:16">
      <c r="A1782" s="1">
        <v>44593</v>
      </c>
      <c r="B1782" t="s">
        <v>132</v>
      </c>
      <c r="C1782" t="s">
        <v>14</v>
      </c>
      <c r="D1782" t="s">
        <v>15</v>
      </c>
      <c r="E1782" t="s">
        <v>33</v>
      </c>
      <c r="F1782" t="s">
        <v>17</v>
      </c>
      <c r="G1782" t="s">
        <v>59</v>
      </c>
      <c r="H1782" t="s">
        <v>528</v>
      </c>
      <c r="I1782">
        <v>6</v>
      </c>
      <c r="J1782" t="s">
        <v>71</v>
      </c>
      <c r="K1782" t="str">
        <f t="shared" si="27"/>
        <v>35700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1:16">
      <c r="A1783" s="1">
        <v>44593</v>
      </c>
      <c r="B1783" t="s">
        <v>132</v>
      </c>
      <c r="C1783" t="s">
        <v>14</v>
      </c>
      <c r="D1783" t="s">
        <v>15</v>
      </c>
      <c r="E1783" t="s">
        <v>33</v>
      </c>
      <c r="F1783" t="s">
        <v>17</v>
      </c>
      <c r="G1783" t="s">
        <v>59</v>
      </c>
      <c r="H1783" t="s">
        <v>528</v>
      </c>
      <c r="I1783">
        <v>6</v>
      </c>
      <c r="J1783" t="s">
        <v>72</v>
      </c>
      <c r="K1783" t="str">
        <f t="shared" si="27"/>
        <v>35800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1:16">
      <c r="A1784" s="1">
        <v>44621</v>
      </c>
      <c r="B1784" t="s">
        <v>131</v>
      </c>
      <c r="C1784" t="s">
        <v>14</v>
      </c>
      <c r="D1784" t="s">
        <v>15</v>
      </c>
      <c r="E1784" t="s">
        <v>33</v>
      </c>
      <c r="F1784" t="s">
        <v>24</v>
      </c>
      <c r="G1784" t="s">
        <v>59</v>
      </c>
      <c r="H1784" t="s">
        <v>528</v>
      </c>
      <c r="I1784">
        <v>6</v>
      </c>
      <c r="J1784" t="s">
        <v>60</v>
      </c>
      <c r="K1784" t="str">
        <f t="shared" si="27"/>
        <v>35001</v>
      </c>
      <c r="L1784">
        <v>1988509.0899999999</v>
      </c>
      <c r="M1784">
        <v>0</v>
      </c>
      <c r="N1784">
        <v>0</v>
      </c>
      <c r="O1784">
        <v>0</v>
      </c>
      <c r="P1784" s="8">
        <v>1988509.0899999999</v>
      </c>
    </row>
    <row r="1785" spans="1:16">
      <c r="A1785" s="1">
        <v>44621</v>
      </c>
      <c r="B1785" t="s">
        <v>131</v>
      </c>
      <c r="C1785" t="s">
        <v>14</v>
      </c>
      <c r="D1785" t="s">
        <v>15</v>
      </c>
      <c r="E1785" t="s">
        <v>33</v>
      </c>
      <c r="F1785" t="s">
        <v>24</v>
      </c>
      <c r="G1785" t="s">
        <v>59</v>
      </c>
      <c r="H1785" t="s">
        <v>528</v>
      </c>
      <c r="I1785">
        <v>6</v>
      </c>
      <c r="J1785" t="s">
        <v>61</v>
      </c>
      <c r="K1785" t="str">
        <f t="shared" si="27"/>
        <v>35002</v>
      </c>
      <c r="L1785">
        <v>4313014.6500000004</v>
      </c>
      <c r="M1785">
        <v>0</v>
      </c>
      <c r="N1785">
        <v>0</v>
      </c>
      <c r="O1785">
        <v>0</v>
      </c>
      <c r="P1785" s="8">
        <v>4313014.6500000004</v>
      </c>
    </row>
    <row r="1786" spans="1:16">
      <c r="A1786" s="1">
        <v>44621</v>
      </c>
      <c r="B1786" t="s">
        <v>131</v>
      </c>
      <c r="C1786" t="s">
        <v>14</v>
      </c>
      <c r="D1786" t="s">
        <v>15</v>
      </c>
      <c r="E1786" t="s">
        <v>33</v>
      </c>
      <c r="F1786" t="s">
        <v>24</v>
      </c>
      <c r="G1786" t="s">
        <v>59</v>
      </c>
      <c r="H1786" t="s">
        <v>528</v>
      </c>
      <c r="I1786">
        <v>6</v>
      </c>
      <c r="J1786" t="s">
        <v>62</v>
      </c>
      <c r="K1786" t="str">
        <f t="shared" si="27"/>
        <v>35003</v>
      </c>
      <c r="L1786">
        <v>0</v>
      </c>
      <c r="M1786">
        <v>0</v>
      </c>
      <c r="N1786">
        <v>0</v>
      </c>
      <c r="O1786">
        <v>0</v>
      </c>
      <c r="P1786" s="8">
        <v>0</v>
      </c>
    </row>
    <row r="1787" spans="1:16">
      <c r="A1787" s="1">
        <v>44621</v>
      </c>
      <c r="B1787" t="s">
        <v>131</v>
      </c>
      <c r="C1787" t="s">
        <v>14</v>
      </c>
      <c r="D1787" t="s">
        <v>15</v>
      </c>
      <c r="E1787" t="s">
        <v>33</v>
      </c>
      <c r="F1787" t="s">
        <v>24</v>
      </c>
      <c r="G1787" t="s">
        <v>59</v>
      </c>
      <c r="H1787" t="s">
        <v>528</v>
      </c>
      <c r="I1787">
        <v>6</v>
      </c>
      <c r="J1787" t="s">
        <v>63</v>
      </c>
      <c r="K1787" t="str">
        <f t="shared" si="27"/>
        <v>35200</v>
      </c>
      <c r="L1787">
        <v>10463520.74</v>
      </c>
      <c r="M1787">
        <v>0</v>
      </c>
      <c r="N1787">
        <v>0</v>
      </c>
      <c r="O1787">
        <v>0</v>
      </c>
      <c r="P1787" s="8">
        <v>10463520.74</v>
      </c>
    </row>
    <row r="1788" spans="1:16">
      <c r="A1788" s="1">
        <v>44621</v>
      </c>
      <c r="B1788" t="s">
        <v>131</v>
      </c>
      <c r="C1788" t="s">
        <v>14</v>
      </c>
      <c r="D1788" t="s">
        <v>15</v>
      </c>
      <c r="E1788" t="s">
        <v>33</v>
      </c>
      <c r="F1788" t="s">
        <v>24</v>
      </c>
      <c r="G1788" t="s">
        <v>59</v>
      </c>
      <c r="H1788" t="s">
        <v>528</v>
      </c>
      <c r="I1788">
        <v>6</v>
      </c>
      <c r="J1788" t="s">
        <v>64</v>
      </c>
      <c r="K1788" t="str">
        <f t="shared" si="27"/>
        <v>35205</v>
      </c>
      <c r="L1788">
        <v>274154.33</v>
      </c>
      <c r="M1788">
        <v>0</v>
      </c>
      <c r="N1788">
        <v>0</v>
      </c>
      <c r="O1788">
        <v>0</v>
      </c>
      <c r="P1788" s="8">
        <v>274154.33</v>
      </c>
    </row>
    <row r="1789" spans="1:16">
      <c r="A1789" s="1">
        <v>44621</v>
      </c>
      <c r="B1789" t="s">
        <v>131</v>
      </c>
      <c r="C1789" t="s">
        <v>14</v>
      </c>
      <c r="D1789" t="s">
        <v>15</v>
      </c>
      <c r="E1789" t="s">
        <v>33</v>
      </c>
      <c r="F1789" t="s">
        <v>24</v>
      </c>
      <c r="G1789" t="s">
        <v>59</v>
      </c>
      <c r="H1789" t="s">
        <v>528</v>
      </c>
      <c r="I1789">
        <v>6</v>
      </c>
      <c r="J1789" t="s">
        <v>65</v>
      </c>
      <c r="K1789" t="str">
        <f t="shared" si="27"/>
        <v>35259</v>
      </c>
      <c r="L1789">
        <v>220613.03</v>
      </c>
      <c r="M1789">
        <v>0</v>
      </c>
      <c r="N1789">
        <v>0</v>
      </c>
      <c r="O1789">
        <v>0</v>
      </c>
      <c r="P1789" s="8">
        <v>220613.03</v>
      </c>
    </row>
    <row r="1790" spans="1:16">
      <c r="A1790" s="1">
        <v>44621</v>
      </c>
      <c r="B1790" t="s">
        <v>131</v>
      </c>
      <c r="C1790" t="s">
        <v>14</v>
      </c>
      <c r="D1790" t="s">
        <v>15</v>
      </c>
      <c r="E1790" t="s">
        <v>33</v>
      </c>
      <c r="F1790" t="s">
        <v>24</v>
      </c>
      <c r="G1790" t="s">
        <v>59</v>
      </c>
      <c r="H1790" t="s">
        <v>528</v>
      </c>
      <c r="I1790">
        <v>6</v>
      </c>
      <c r="J1790" t="s">
        <v>66</v>
      </c>
      <c r="K1790" t="str">
        <f t="shared" si="27"/>
        <v>35300</v>
      </c>
      <c r="L1790">
        <v>101590315.69</v>
      </c>
      <c r="M1790">
        <v>0</v>
      </c>
      <c r="N1790">
        <v>0</v>
      </c>
      <c r="O1790">
        <v>0</v>
      </c>
      <c r="P1790" s="8">
        <v>101590315.69</v>
      </c>
    </row>
    <row r="1791" spans="1:16">
      <c r="A1791" s="1">
        <v>44621</v>
      </c>
      <c r="B1791" t="s">
        <v>131</v>
      </c>
      <c r="C1791" t="s">
        <v>14</v>
      </c>
      <c r="D1791" t="s">
        <v>15</v>
      </c>
      <c r="E1791" t="s">
        <v>33</v>
      </c>
      <c r="F1791" t="s">
        <v>24</v>
      </c>
      <c r="G1791" t="s">
        <v>59</v>
      </c>
      <c r="H1791" t="s">
        <v>528</v>
      </c>
      <c r="I1791">
        <v>6</v>
      </c>
      <c r="J1791" t="s">
        <v>67</v>
      </c>
      <c r="K1791" t="str">
        <f t="shared" si="27"/>
        <v>35301</v>
      </c>
      <c r="L1791">
        <v>8243520.1799999997</v>
      </c>
      <c r="M1791">
        <v>0</v>
      </c>
      <c r="N1791">
        <v>0</v>
      </c>
      <c r="O1791">
        <v>0</v>
      </c>
      <c r="P1791" s="8">
        <v>8243520.1799999997</v>
      </c>
    </row>
    <row r="1792" spans="1:16">
      <c r="A1792" s="1">
        <v>44621</v>
      </c>
      <c r="B1792" t="s">
        <v>131</v>
      </c>
      <c r="C1792" t="s">
        <v>14</v>
      </c>
      <c r="D1792" t="s">
        <v>15</v>
      </c>
      <c r="E1792" t="s">
        <v>33</v>
      </c>
      <c r="F1792" t="s">
        <v>24</v>
      </c>
      <c r="G1792" t="s">
        <v>59</v>
      </c>
      <c r="H1792" t="s">
        <v>528</v>
      </c>
      <c r="I1792">
        <v>6</v>
      </c>
      <c r="J1792" t="s">
        <v>68</v>
      </c>
      <c r="K1792" t="str">
        <f t="shared" si="27"/>
        <v>35359</v>
      </c>
      <c r="L1792">
        <v>4227063.49</v>
      </c>
      <c r="M1792">
        <v>0</v>
      </c>
      <c r="N1792">
        <v>0</v>
      </c>
      <c r="O1792">
        <v>0</v>
      </c>
      <c r="P1792" s="8">
        <v>4227063.49</v>
      </c>
    </row>
    <row r="1793" spans="1:16">
      <c r="A1793" s="1">
        <v>44621</v>
      </c>
      <c r="B1793" t="s">
        <v>131</v>
      </c>
      <c r="C1793" t="s">
        <v>14</v>
      </c>
      <c r="D1793" t="s">
        <v>15</v>
      </c>
      <c r="E1793" t="s">
        <v>33</v>
      </c>
      <c r="F1793" t="s">
        <v>24</v>
      </c>
      <c r="G1793" t="s">
        <v>59</v>
      </c>
      <c r="H1793" t="s">
        <v>528</v>
      </c>
      <c r="I1793">
        <v>6</v>
      </c>
      <c r="J1793" t="s">
        <v>69</v>
      </c>
      <c r="K1793" t="str">
        <f t="shared" si="27"/>
        <v>35500</v>
      </c>
      <c r="L1793">
        <v>55931448.68</v>
      </c>
      <c r="M1793">
        <v>3984.12</v>
      </c>
      <c r="N1793">
        <v>0</v>
      </c>
      <c r="O1793">
        <v>0</v>
      </c>
      <c r="P1793" s="8">
        <v>55935432.799999997</v>
      </c>
    </row>
    <row r="1794" spans="1:16">
      <c r="A1794" s="1">
        <v>44621</v>
      </c>
      <c r="B1794" t="s">
        <v>131</v>
      </c>
      <c r="C1794" t="s">
        <v>14</v>
      </c>
      <c r="D1794" t="s">
        <v>15</v>
      </c>
      <c r="E1794" t="s">
        <v>33</v>
      </c>
      <c r="F1794" t="s">
        <v>24</v>
      </c>
      <c r="G1794" t="s">
        <v>59</v>
      </c>
      <c r="H1794" t="s">
        <v>528</v>
      </c>
      <c r="I1794">
        <v>6</v>
      </c>
      <c r="J1794" t="s">
        <v>70</v>
      </c>
      <c r="K1794" t="str">
        <f t="shared" ref="K1794:K1857" si="28">MID(J1794,2,5)</f>
        <v>35600</v>
      </c>
      <c r="L1794">
        <v>54643054.32</v>
      </c>
      <c r="M1794">
        <v>2148.17</v>
      </c>
      <c r="N1794">
        <v>0</v>
      </c>
      <c r="O1794">
        <v>-1220.05</v>
      </c>
      <c r="P1794" s="8">
        <v>54643982.439999998</v>
      </c>
    </row>
    <row r="1795" spans="1:16">
      <c r="A1795" s="1">
        <v>44621</v>
      </c>
      <c r="B1795" t="s">
        <v>131</v>
      </c>
      <c r="C1795" t="s">
        <v>14</v>
      </c>
      <c r="D1795" t="s">
        <v>15</v>
      </c>
      <c r="E1795" t="s">
        <v>33</v>
      </c>
      <c r="F1795" t="s">
        <v>24</v>
      </c>
      <c r="G1795" t="s">
        <v>59</v>
      </c>
      <c r="H1795" t="s">
        <v>528</v>
      </c>
      <c r="I1795">
        <v>6</v>
      </c>
      <c r="J1795" t="s">
        <v>71</v>
      </c>
      <c r="K1795" t="str">
        <f t="shared" si="28"/>
        <v>35700</v>
      </c>
      <c r="L1795">
        <v>0</v>
      </c>
      <c r="M1795">
        <v>0</v>
      </c>
      <c r="N1795">
        <v>0</v>
      </c>
      <c r="O1795">
        <v>0</v>
      </c>
      <c r="P1795" s="8">
        <v>0</v>
      </c>
    </row>
    <row r="1796" spans="1:16">
      <c r="A1796" s="1">
        <v>44621</v>
      </c>
      <c r="B1796" t="s">
        <v>131</v>
      </c>
      <c r="C1796" t="s">
        <v>14</v>
      </c>
      <c r="D1796" t="s">
        <v>15</v>
      </c>
      <c r="E1796" t="s">
        <v>33</v>
      </c>
      <c r="F1796" t="s">
        <v>24</v>
      </c>
      <c r="G1796" t="s">
        <v>59</v>
      </c>
      <c r="H1796" t="s">
        <v>528</v>
      </c>
      <c r="I1796">
        <v>6</v>
      </c>
      <c r="J1796" t="s">
        <v>72</v>
      </c>
      <c r="K1796" t="str">
        <f t="shared" si="28"/>
        <v>35800</v>
      </c>
      <c r="L1796">
        <v>0</v>
      </c>
      <c r="M1796">
        <v>0</v>
      </c>
      <c r="N1796">
        <v>0</v>
      </c>
      <c r="O1796">
        <v>0</v>
      </c>
      <c r="P1796" s="8">
        <v>0</v>
      </c>
    </row>
    <row r="1797" spans="1:16">
      <c r="A1797" s="1">
        <v>44621</v>
      </c>
      <c r="B1797" t="s">
        <v>131</v>
      </c>
      <c r="C1797" t="s">
        <v>14</v>
      </c>
      <c r="D1797" t="s">
        <v>15</v>
      </c>
      <c r="E1797" t="s">
        <v>33</v>
      </c>
      <c r="F1797" t="s">
        <v>118</v>
      </c>
      <c r="G1797" t="s">
        <v>59</v>
      </c>
      <c r="H1797" t="s">
        <v>528</v>
      </c>
      <c r="I1797">
        <v>6</v>
      </c>
      <c r="J1797" t="s">
        <v>62</v>
      </c>
      <c r="K1797" t="str">
        <f t="shared" si="28"/>
        <v>35003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1:16">
      <c r="A1798" s="1">
        <v>44621</v>
      </c>
      <c r="B1798" t="s">
        <v>131</v>
      </c>
      <c r="C1798" t="s">
        <v>14</v>
      </c>
      <c r="D1798" t="s">
        <v>15</v>
      </c>
      <c r="E1798" t="s">
        <v>33</v>
      </c>
      <c r="F1798" t="s">
        <v>119</v>
      </c>
      <c r="G1798" t="s">
        <v>59</v>
      </c>
      <c r="H1798" t="s">
        <v>528</v>
      </c>
      <c r="I1798">
        <v>6</v>
      </c>
      <c r="J1798" t="s">
        <v>66</v>
      </c>
      <c r="K1798" t="str">
        <f t="shared" si="28"/>
        <v>35300</v>
      </c>
      <c r="L1798">
        <v>158336.61000000002</v>
      </c>
      <c r="M1798">
        <v>0</v>
      </c>
      <c r="N1798">
        <v>0</v>
      </c>
      <c r="O1798">
        <v>0</v>
      </c>
      <c r="P1798" s="9">
        <v>158336.61000000002</v>
      </c>
    </row>
    <row r="1799" spans="1:16">
      <c r="A1799" s="1">
        <v>44621</v>
      </c>
      <c r="B1799" t="s">
        <v>131</v>
      </c>
      <c r="C1799" t="s">
        <v>14</v>
      </c>
      <c r="D1799" t="s">
        <v>15</v>
      </c>
      <c r="E1799" t="s">
        <v>33</v>
      </c>
      <c r="F1799" t="s">
        <v>17</v>
      </c>
      <c r="G1799" t="s">
        <v>59</v>
      </c>
      <c r="H1799" t="s">
        <v>528</v>
      </c>
      <c r="I1799">
        <v>6</v>
      </c>
      <c r="J1799" t="s">
        <v>60</v>
      </c>
      <c r="K1799" t="str">
        <f t="shared" si="28"/>
        <v>35001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1:16">
      <c r="A1800" s="1">
        <v>44621</v>
      </c>
      <c r="B1800" t="s">
        <v>131</v>
      </c>
      <c r="C1800" t="s">
        <v>14</v>
      </c>
      <c r="D1800" t="s">
        <v>15</v>
      </c>
      <c r="E1800" t="s">
        <v>33</v>
      </c>
      <c r="F1800" t="s">
        <v>17</v>
      </c>
      <c r="G1800" t="s">
        <v>59</v>
      </c>
      <c r="H1800" t="s">
        <v>528</v>
      </c>
      <c r="I1800">
        <v>6</v>
      </c>
      <c r="J1800" t="s">
        <v>61</v>
      </c>
      <c r="K1800" t="str">
        <f t="shared" si="28"/>
        <v>35002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1:16">
      <c r="A1801" s="1">
        <v>44621</v>
      </c>
      <c r="B1801" t="s">
        <v>131</v>
      </c>
      <c r="C1801" t="s">
        <v>14</v>
      </c>
      <c r="D1801" t="s">
        <v>15</v>
      </c>
      <c r="E1801" t="s">
        <v>33</v>
      </c>
      <c r="F1801" t="s">
        <v>17</v>
      </c>
      <c r="G1801" t="s">
        <v>59</v>
      </c>
      <c r="H1801" t="s">
        <v>528</v>
      </c>
      <c r="I1801">
        <v>6</v>
      </c>
      <c r="J1801" t="s">
        <v>63</v>
      </c>
      <c r="K1801" t="str">
        <f t="shared" si="28"/>
        <v>35200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1:16">
      <c r="A1802" s="1">
        <v>44621</v>
      </c>
      <c r="B1802" t="s">
        <v>131</v>
      </c>
      <c r="C1802" t="s">
        <v>14</v>
      </c>
      <c r="D1802" t="s">
        <v>15</v>
      </c>
      <c r="E1802" t="s">
        <v>33</v>
      </c>
      <c r="F1802" t="s">
        <v>17</v>
      </c>
      <c r="G1802" t="s">
        <v>59</v>
      </c>
      <c r="H1802" t="s">
        <v>528</v>
      </c>
      <c r="I1802">
        <v>6</v>
      </c>
      <c r="J1802" t="s">
        <v>66</v>
      </c>
      <c r="K1802" t="str">
        <f t="shared" si="28"/>
        <v>35300</v>
      </c>
      <c r="L1802">
        <v>9842.32</v>
      </c>
      <c r="M1802">
        <v>64139.360000000001</v>
      </c>
      <c r="N1802">
        <v>0</v>
      </c>
      <c r="O1802">
        <v>0</v>
      </c>
      <c r="P1802">
        <v>73981.680000000008</v>
      </c>
    </row>
    <row r="1803" spans="1:16">
      <c r="A1803" s="1">
        <v>44621</v>
      </c>
      <c r="B1803" t="s">
        <v>131</v>
      </c>
      <c r="C1803" t="s">
        <v>14</v>
      </c>
      <c r="D1803" t="s">
        <v>15</v>
      </c>
      <c r="E1803" t="s">
        <v>33</v>
      </c>
      <c r="F1803" t="s">
        <v>17</v>
      </c>
      <c r="G1803" t="s">
        <v>59</v>
      </c>
      <c r="H1803" t="s">
        <v>528</v>
      </c>
      <c r="I1803">
        <v>6</v>
      </c>
      <c r="J1803" t="s">
        <v>67</v>
      </c>
      <c r="K1803" t="str">
        <f t="shared" si="28"/>
        <v>35301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1:16">
      <c r="A1804" s="1">
        <v>44621</v>
      </c>
      <c r="B1804" t="s">
        <v>131</v>
      </c>
      <c r="C1804" t="s">
        <v>14</v>
      </c>
      <c r="D1804" t="s">
        <v>15</v>
      </c>
      <c r="E1804" t="s">
        <v>33</v>
      </c>
      <c r="F1804" t="s">
        <v>17</v>
      </c>
      <c r="G1804" t="s">
        <v>59</v>
      </c>
      <c r="H1804" t="s">
        <v>528</v>
      </c>
      <c r="I1804">
        <v>6</v>
      </c>
      <c r="J1804" t="s">
        <v>121</v>
      </c>
      <c r="K1804" t="str">
        <f t="shared" si="28"/>
        <v>35400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>
      <c r="A1805" s="1">
        <v>44621</v>
      </c>
      <c r="B1805" t="s">
        <v>131</v>
      </c>
      <c r="C1805" t="s">
        <v>14</v>
      </c>
      <c r="D1805" t="s">
        <v>15</v>
      </c>
      <c r="E1805" t="s">
        <v>33</v>
      </c>
      <c r="F1805" t="s">
        <v>17</v>
      </c>
      <c r="G1805" t="s">
        <v>59</v>
      </c>
      <c r="H1805" t="s">
        <v>528</v>
      </c>
      <c r="I1805">
        <v>6</v>
      </c>
      <c r="J1805" t="s">
        <v>69</v>
      </c>
      <c r="K1805" t="str">
        <f t="shared" si="28"/>
        <v>35500</v>
      </c>
      <c r="L1805">
        <v>0</v>
      </c>
      <c r="M1805">
        <v>25368.43</v>
      </c>
      <c r="N1805">
        <v>0</v>
      </c>
      <c r="O1805">
        <v>0</v>
      </c>
      <c r="P1805">
        <v>25368.43</v>
      </c>
    </row>
    <row r="1806" spans="1:16">
      <c r="A1806" s="1">
        <v>44621</v>
      </c>
      <c r="B1806" t="s">
        <v>131</v>
      </c>
      <c r="C1806" t="s">
        <v>14</v>
      </c>
      <c r="D1806" t="s">
        <v>15</v>
      </c>
      <c r="E1806" t="s">
        <v>33</v>
      </c>
      <c r="F1806" t="s">
        <v>17</v>
      </c>
      <c r="G1806" t="s">
        <v>59</v>
      </c>
      <c r="H1806" t="s">
        <v>528</v>
      </c>
      <c r="I1806">
        <v>6</v>
      </c>
      <c r="J1806" t="s">
        <v>70</v>
      </c>
      <c r="K1806" t="str">
        <f t="shared" si="28"/>
        <v>35600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1:16">
      <c r="A1807" s="1">
        <v>44621</v>
      </c>
      <c r="B1807" t="s">
        <v>131</v>
      </c>
      <c r="C1807" t="s">
        <v>14</v>
      </c>
      <c r="D1807" t="s">
        <v>15</v>
      </c>
      <c r="E1807" t="s">
        <v>33</v>
      </c>
      <c r="F1807" t="s">
        <v>17</v>
      </c>
      <c r="G1807" t="s">
        <v>59</v>
      </c>
      <c r="H1807" t="s">
        <v>528</v>
      </c>
      <c r="I1807">
        <v>6</v>
      </c>
      <c r="J1807" t="s">
        <v>71</v>
      </c>
      <c r="K1807" t="str">
        <f t="shared" si="28"/>
        <v>35700</v>
      </c>
      <c r="L1807">
        <v>0</v>
      </c>
      <c r="M1807">
        <v>4563.5</v>
      </c>
      <c r="N1807">
        <v>0</v>
      </c>
      <c r="O1807">
        <v>0</v>
      </c>
      <c r="P1807">
        <v>4563.5</v>
      </c>
    </row>
    <row r="1808" spans="1:16">
      <c r="A1808" s="1">
        <v>44621</v>
      </c>
      <c r="B1808" t="s">
        <v>131</v>
      </c>
      <c r="C1808" t="s">
        <v>14</v>
      </c>
      <c r="D1808" t="s">
        <v>15</v>
      </c>
      <c r="E1808" t="s">
        <v>33</v>
      </c>
      <c r="F1808" t="s">
        <v>17</v>
      </c>
      <c r="G1808" t="s">
        <v>59</v>
      </c>
      <c r="H1808" t="s">
        <v>528</v>
      </c>
      <c r="I1808">
        <v>6</v>
      </c>
      <c r="J1808" t="s">
        <v>72</v>
      </c>
      <c r="K1808" t="str">
        <f t="shared" si="28"/>
        <v>35800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1:16">
      <c r="A1809" s="1">
        <v>44652</v>
      </c>
      <c r="B1809" t="s">
        <v>130</v>
      </c>
      <c r="C1809" t="s">
        <v>14</v>
      </c>
      <c r="D1809" t="s">
        <v>15</v>
      </c>
      <c r="E1809" t="s">
        <v>33</v>
      </c>
      <c r="F1809" t="s">
        <v>24</v>
      </c>
      <c r="G1809" t="s">
        <v>59</v>
      </c>
      <c r="H1809" t="s">
        <v>528</v>
      </c>
      <c r="I1809">
        <v>6</v>
      </c>
      <c r="J1809" t="s">
        <v>60</v>
      </c>
      <c r="K1809" t="str">
        <f t="shared" si="28"/>
        <v>35001</v>
      </c>
      <c r="L1809">
        <v>1988509.0899999999</v>
      </c>
      <c r="M1809">
        <v>0</v>
      </c>
      <c r="N1809">
        <v>0</v>
      </c>
      <c r="O1809">
        <v>0</v>
      </c>
      <c r="P1809" s="8">
        <v>1988509.0899999999</v>
      </c>
    </row>
    <row r="1810" spans="1:16">
      <c r="A1810" s="1">
        <v>44652</v>
      </c>
      <c r="B1810" t="s">
        <v>130</v>
      </c>
      <c r="C1810" t="s">
        <v>14</v>
      </c>
      <c r="D1810" t="s">
        <v>15</v>
      </c>
      <c r="E1810" t="s">
        <v>33</v>
      </c>
      <c r="F1810" t="s">
        <v>24</v>
      </c>
      <c r="G1810" t="s">
        <v>59</v>
      </c>
      <c r="H1810" t="s">
        <v>528</v>
      </c>
      <c r="I1810">
        <v>6</v>
      </c>
      <c r="J1810" t="s">
        <v>61</v>
      </c>
      <c r="K1810" t="str">
        <f t="shared" si="28"/>
        <v>35002</v>
      </c>
      <c r="L1810">
        <v>4313014.6500000004</v>
      </c>
      <c r="M1810">
        <v>0</v>
      </c>
      <c r="N1810">
        <v>0</v>
      </c>
      <c r="O1810">
        <v>0</v>
      </c>
      <c r="P1810" s="8">
        <v>4313014.6500000004</v>
      </c>
    </row>
    <row r="1811" spans="1:16">
      <c r="A1811" s="1">
        <v>44652</v>
      </c>
      <c r="B1811" t="s">
        <v>130</v>
      </c>
      <c r="C1811" t="s">
        <v>14</v>
      </c>
      <c r="D1811" t="s">
        <v>15</v>
      </c>
      <c r="E1811" t="s">
        <v>33</v>
      </c>
      <c r="F1811" t="s">
        <v>24</v>
      </c>
      <c r="G1811" t="s">
        <v>59</v>
      </c>
      <c r="H1811" t="s">
        <v>528</v>
      </c>
      <c r="I1811">
        <v>6</v>
      </c>
      <c r="J1811" t="s">
        <v>62</v>
      </c>
      <c r="K1811" t="str">
        <f t="shared" si="28"/>
        <v>35003</v>
      </c>
      <c r="L1811">
        <v>0</v>
      </c>
      <c r="M1811">
        <v>0</v>
      </c>
      <c r="N1811">
        <v>0</v>
      </c>
      <c r="O1811">
        <v>0</v>
      </c>
      <c r="P1811" s="8">
        <v>0</v>
      </c>
    </row>
    <row r="1812" spans="1:16">
      <c r="A1812" s="1">
        <v>44652</v>
      </c>
      <c r="B1812" t="s">
        <v>130</v>
      </c>
      <c r="C1812" t="s">
        <v>14</v>
      </c>
      <c r="D1812" t="s">
        <v>15</v>
      </c>
      <c r="E1812" t="s">
        <v>33</v>
      </c>
      <c r="F1812" t="s">
        <v>24</v>
      </c>
      <c r="G1812" t="s">
        <v>59</v>
      </c>
      <c r="H1812" t="s">
        <v>528</v>
      </c>
      <c r="I1812">
        <v>6</v>
      </c>
      <c r="J1812" t="s">
        <v>63</v>
      </c>
      <c r="K1812" t="str">
        <f t="shared" si="28"/>
        <v>35200</v>
      </c>
      <c r="L1812">
        <v>10463520.74</v>
      </c>
      <c r="M1812">
        <v>0</v>
      </c>
      <c r="N1812">
        <v>0</v>
      </c>
      <c r="O1812">
        <v>0</v>
      </c>
      <c r="P1812" s="8">
        <v>10463520.74</v>
      </c>
    </row>
    <row r="1813" spans="1:16">
      <c r="A1813" s="1">
        <v>44652</v>
      </c>
      <c r="B1813" t="s">
        <v>130</v>
      </c>
      <c r="C1813" t="s">
        <v>14</v>
      </c>
      <c r="D1813" t="s">
        <v>15</v>
      </c>
      <c r="E1813" t="s">
        <v>33</v>
      </c>
      <c r="F1813" t="s">
        <v>24</v>
      </c>
      <c r="G1813" t="s">
        <v>59</v>
      </c>
      <c r="H1813" t="s">
        <v>528</v>
      </c>
      <c r="I1813">
        <v>6</v>
      </c>
      <c r="J1813" t="s">
        <v>64</v>
      </c>
      <c r="K1813" t="str">
        <f t="shared" si="28"/>
        <v>35205</v>
      </c>
      <c r="L1813">
        <v>274154.33</v>
      </c>
      <c r="M1813">
        <v>0</v>
      </c>
      <c r="N1813">
        <v>0</v>
      </c>
      <c r="O1813">
        <v>0</v>
      </c>
      <c r="P1813" s="8">
        <v>274154.33</v>
      </c>
    </row>
    <row r="1814" spans="1:16">
      <c r="A1814" s="1">
        <v>44652</v>
      </c>
      <c r="B1814" t="s">
        <v>130</v>
      </c>
      <c r="C1814" t="s">
        <v>14</v>
      </c>
      <c r="D1814" t="s">
        <v>15</v>
      </c>
      <c r="E1814" t="s">
        <v>33</v>
      </c>
      <c r="F1814" t="s">
        <v>24</v>
      </c>
      <c r="G1814" t="s">
        <v>59</v>
      </c>
      <c r="H1814" t="s">
        <v>528</v>
      </c>
      <c r="I1814">
        <v>6</v>
      </c>
      <c r="J1814" t="s">
        <v>65</v>
      </c>
      <c r="K1814" t="str">
        <f t="shared" si="28"/>
        <v>35259</v>
      </c>
      <c r="L1814">
        <v>220613.03</v>
      </c>
      <c r="M1814">
        <v>0</v>
      </c>
      <c r="N1814">
        <v>0</v>
      </c>
      <c r="O1814">
        <v>0</v>
      </c>
      <c r="P1814" s="8">
        <v>220613.03</v>
      </c>
    </row>
    <row r="1815" spans="1:16">
      <c r="A1815" s="1">
        <v>44652</v>
      </c>
      <c r="B1815" t="s">
        <v>130</v>
      </c>
      <c r="C1815" t="s">
        <v>14</v>
      </c>
      <c r="D1815" t="s">
        <v>15</v>
      </c>
      <c r="E1815" t="s">
        <v>33</v>
      </c>
      <c r="F1815" t="s">
        <v>24</v>
      </c>
      <c r="G1815" t="s">
        <v>59</v>
      </c>
      <c r="H1815" t="s">
        <v>528</v>
      </c>
      <c r="I1815">
        <v>6</v>
      </c>
      <c r="J1815" t="s">
        <v>66</v>
      </c>
      <c r="K1815" t="str">
        <f t="shared" si="28"/>
        <v>35300</v>
      </c>
      <c r="L1815">
        <v>101590315.69</v>
      </c>
      <c r="M1815">
        <v>0</v>
      </c>
      <c r="N1815">
        <v>0</v>
      </c>
      <c r="O1815">
        <v>0</v>
      </c>
      <c r="P1815" s="8">
        <v>101590315.69</v>
      </c>
    </row>
    <row r="1816" spans="1:16">
      <c r="A1816" s="1">
        <v>44652</v>
      </c>
      <c r="B1816" t="s">
        <v>130</v>
      </c>
      <c r="C1816" t="s">
        <v>14</v>
      </c>
      <c r="D1816" t="s">
        <v>15</v>
      </c>
      <c r="E1816" t="s">
        <v>33</v>
      </c>
      <c r="F1816" t="s">
        <v>24</v>
      </c>
      <c r="G1816" t="s">
        <v>59</v>
      </c>
      <c r="H1816" t="s">
        <v>528</v>
      </c>
      <c r="I1816">
        <v>6</v>
      </c>
      <c r="J1816" t="s">
        <v>67</v>
      </c>
      <c r="K1816" t="str">
        <f t="shared" si="28"/>
        <v>35301</v>
      </c>
      <c r="L1816">
        <v>8243520.1799999997</v>
      </c>
      <c r="M1816">
        <v>0</v>
      </c>
      <c r="N1816">
        <v>0</v>
      </c>
      <c r="O1816">
        <v>0</v>
      </c>
      <c r="P1816" s="8">
        <v>8243520.1799999997</v>
      </c>
    </row>
    <row r="1817" spans="1:16">
      <c r="A1817" s="1">
        <v>44652</v>
      </c>
      <c r="B1817" t="s">
        <v>130</v>
      </c>
      <c r="C1817" t="s">
        <v>14</v>
      </c>
      <c r="D1817" t="s">
        <v>15</v>
      </c>
      <c r="E1817" t="s">
        <v>33</v>
      </c>
      <c r="F1817" t="s">
        <v>24</v>
      </c>
      <c r="G1817" t="s">
        <v>59</v>
      </c>
      <c r="H1817" t="s">
        <v>528</v>
      </c>
      <c r="I1817">
        <v>6</v>
      </c>
      <c r="J1817" t="s">
        <v>68</v>
      </c>
      <c r="K1817" t="str">
        <f t="shared" si="28"/>
        <v>35359</v>
      </c>
      <c r="L1817">
        <v>4227063.49</v>
      </c>
      <c r="M1817">
        <v>0</v>
      </c>
      <c r="N1817">
        <v>0</v>
      </c>
      <c r="O1817">
        <v>0</v>
      </c>
      <c r="P1817" s="8">
        <v>4227063.49</v>
      </c>
    </row>
    <row r="1818" spans="1:16">
      <c r="A1818" s="1">
        <v>44652</v>
      </c>
      <c r="B1818" t="s">
        <v>130</v>
      </c>
      <c r="C1818" t="s">
        <v>14</v>
      </c>
      <c r="D1818" t="s">
        <v>15</v>
      </c>
      <c r="E1818" t="s">
        <v>33</v>
      </c>
      <c r="F1818" t="s">
        <v>24</v>
      </c>
      <c r="G1818" t="s">
        <v>59</v>
      </c>
      <c r="H1818" t="s">
        <v>528</v>
      </c>
      <c r="I1818">
        <v>6</v>
      </c>
      <c r="J1818" t="s">
        <v>69</v>
      </c>
      <c r="K1818" t="str">
        <f t="shared" si="28"/>
        <v>35500</v>
      </c>
      <c r="L1818">
        <v>55935432.799999997</v>
      </c>
      <c r="M1818">
        <v>0.6</v>
      </c>
      <c r="N1818">
        <v>0</v>
      </c>
      <c r="O1818">
        <v>0</v>
      </c>
      <c r="P1818" s="8">
        <v>55935433.399999999</v>
      </c>
    </row>
    <row r="1819" spans="1:16">
      <c r="A1819" s="1">
        <v>44652</v>
      </c>
      <c r="B1819" t="s">
        <v>130</v>
      </c>
      <c r="C1819" t="s">
        <v>14</v>
      </c>
      <c r="D1819" t="s">
        <v>15</v>
      </c>
      <c r="E1819" t="s">
        <v>33</v>
      </c>
      <c r="F1819" t="s">
        <v>24</v>
      </c>
      <c r="G1819" t="s">
        <v>59</v>
      </c>
      <c r="H1819" t="s">
        <v>528</v>
      </c>
      <c r="I1819">
        <v>6</v>
      </c>
      <c r="J1819" t="s">
        <v>70</v>
      </c>
      <c r="K1819" t="str">
        <f t="shared" si="28"/>
        <v>35600</v>
      </c>
      <c r="L1819">
        <v>54643982.439999998</v>
      </c>
      <c r="M1819">
        <v>1290.1000000000001</v>
      </c>
      <c r="N1819">
        <v>0</v>
      </c>
      <c r="O1819">
        <v>0</v>
      </c>
      <c r="P1819" s="8">
        <v>54645272.539999999</v>
      </c>
    </row>
    <row r="1820" spans="1:16">
      <c r="A1820" s="1">
        <v>44652</v>
      </c>
      <c r="B1820" t="s">
        <v>130</v>
      </c>
      <c r="C1820" t="s">
        <v>14</v>
      </c>
      <c r="D1820" t="s">
        <v>15</v>
      </c>
      <c r="E1820" t="s">
        <v>33</v>
      </c>
      <c r="F1820" t="s">
        <v>24</v>
      </c>
      <c r="G1820" t="s">
        <v>59</v>
      </c>
      <c r="H1820" t="s">
        <v>528</v>
      </c>
      <c r="I1820">
        <v>6</v>
      </c>
      <c r="J1820" t="s">
        <v>71</v>
      </c>
      <c r="K1820" t="str">
        <f t="shared" si="28"/>
        <v>35700</v>
      </c>
      <c r="L1820">
        <v>0</v>
      </c>
      <c r="M1820">
        <v>0</v>
      </c>
      <c r="N1820">
        <v>0</v>
      </c>
      <c r="O1820">
        <v>0</v>
      </c>
      <c r="P1820" s="8">
        <v>0</v>
      </c>
    </row>
    <row r="1821" spans="1:16">
      <c r="A1821" s="1">
        <v>44652</v>
      </c>
      <c r="B1821" t="s">
        <v>130</v>
      </c>
      <c r="C1821" t="s">
        <v>14</v>
      </c>
      <c r="D1821" t="s">
        <v>15</v>
      </c>
      <c r="E1821" t="s">
        <v>33</v>
      </c>
      <c r="F1821" t="s">
        <v>24</v>
      </c>
      <c r="G1821" t="s">
        <v>59</v>
      </c>
      <c r="H1821" t="s">
        <v>528</v>
      </c>
      <c r="I1821">
        <v>6</v>
      </c>
      <c r="J1821" t="s">
        <v>72</v>
      </c>
      <c r="K1821" t="str">
        <f t="shared" si="28"/>
        <v>35800</v>
      </c>
      <c r="L1821">
        <v>0</v>
      </c>
      <c r="M1821">
        <v>0</v>
      </c>
      <c r="N1821">
        <v>0</v>
      </c>
      <c r="O1821">
        <v>0</v>
      </c>
      <c r="P1821" s="8">
        <v>0</v>
      </c>
    </row>
    <row r="1822" spans="1:16">
      <c r="A1822" s="1">
        <v>44652</v>
      </c>
      <c r="B1822" t="s">
        <v>130</v>
      </c>
      <c r="C1822" t="s">
        <v>14</v>
      </c>
      <c r="D1822" t="s">
        <v>15</v>
      </c>
      <c r="E1822" t="s">
        <v>33</v>
      </c>
      <c r="F1822" t="s">
        <v>118</v>
      </c>
      <c r="G1822" t="s">
        <v>59</v>
      </c>
      <c r="H1822" t="s">
        <v>528</v>
      </c>
      <c r="I1822">
        <v>6</v>
      </c>
      <c r="J1822" t="s">
        <v>62</v>
      </c>
      <c r="K1822" t="str">
        <f t="shared" si="28"/>
        <v>35003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1:16">
      <c r="A1823" s="1">
        <v>44652</v>
      </c>
      <c r="B1823" t="s">
        <v>130</v>
      </c>
      <c r="C1823" t="s">
        <v>14</v>
      </c>
      <c r="D1823" t="s">
        <v>15</v>
      </c>
      <c r="E1823" t="s">
        <v>33</v>
      </c>
      <c r="F1823" t="s">
        <v>119</v>
      </c>
      <c r="G1823" t="s">
        <v>59</v>
      </c>
      <c r="H1823" t="s">
        <v>528</v>
      </c>
      <c r="I1823">
        <v>6</v>
      </c>
      <c r="J1823" t="s">
        <v>66</v>
      </c>
      <c r="K1823" t="str">
        <f t="shared" si="28"/>
        <v>35300</v>
      </c>
      <c r="L1823">
        <v>158336.61000000002</v>
      </c>
      <c r="M1823">
        <v>0</v>
      </c>
      <c r="N1823">
        <v>0</v>
      </c>
      <c r="O1823">
        <v>0</v>
      </c>
      <c r="P1823" s="9">
        <v>158336.61000000002</v>
      </c>
    </row>
    <row r="1824" spans="1:16">
      <c r="A1824" s="1">
        <v>44652</v>
      </c>
      <c r="B1824" t="s">
        <v>130</v>
      </c>
      <c r="C1824" t="s">
        <v>14</v>
      </c>
      <c r="D1824" t="s">
        <v>15</v>
      </c>
      <c r="E1824" t="s">
        <v>33</v>
      </c>
      <c r="F1824" t="s">
        <v>17</v>
      </c>
      <c r="G1824" t="s">
        <v>59</v>
      </c>
      <c r="H1824" t="s">
        <v>528</v>
      </c>
      <c r="I1824">
        <v>6</v>
      </c>
      <c r="J1824" t="s">
        <v>60</v>
      </c>
      <c r="K1824" t="str">
        <f t="shared" si="28"/>
        <v>35001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1:16">
      <c r="A1825" s="1">
        <v>44652</v>
      </c>
      <c r="B1825" t="s">
        <v>130</v>
      </c>
      <c r="C1825" t="s">
        <v>14</v>
      </c>
      <c r="D1825" t="s">
        <v>15</v>
      </c>
      <c r="E1825" t="s">
        <v>33</v>
      </c>
      <c r="F1825" t="s">
        <v>17</v>
      </c>
      <c r="G1825" t="s">
        <v>59</v>
      </c>
      <c r="H1825" t="s">
        <v>528</v>
      </c>
      <c r="I1825">
        <v>6</v>
      </c>
      <c r="J1825" t="s">
        <v>61</v>
      </c>
      <c r="K1825" t="str">
        <f t="shared" si="28"/>
        <v>35002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1:16">
      <c r="A1826" s="1">
        <v>44652</v>
      </c>
      <c r="B1826" t="s">
        <v>130</v>
      </c>
      <c r="C1826" t="s">
        <v>14</v>
      </c>
      <c r="D1826" t="s">
        <v>15</v>
      </c>
      <c r="E1826" t="s">
        <v>33</v>
      </c>
      <c r="F1826" t="s">
        <v>17</v>
      </c>
      <c r="G1826" t="s">
        <v>59</v>
      </c>
      <c r="H1826" t="s">
        <v>528</v>
      </c>
      <c r="I1826">
        <v>6</v>
      </c>
      <c r="J1826" t="s">
        <v>63</v>
      </c>
      <c r="K1826" t="str">
        <f t="shared" si="28"/>
        <v>35200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1:16">
      <c r="A1827" s="1">
        <v>44652</v>
      </c>
      <c r="B1827" t="s">
        <v>130</v>
      </c>
      <c r="C1827" t="s">
        <v>14</v>
      </c>
      <c r="D1827" t="s">
        <v>15</v>
      </c>
      <c r="E1827" t="s">
        <v>33</v>
      </c>
      <c r="F1827" t="s">
        <v>17</v>
      </c>
      <c r="G1827" t="s">
        <v>59</v>
      </c>
      <c r="H1827" t="s">
        <v>528</v>
      </c>
      <c r="I1827">
        <v>6</v>
      </c>
      <c r="J1827" t="s">
        <v>66</v>
      </c>
      <c r="K1827" t="str">
        <f t="shared" si="28"/>
        <v>35300</v>
      </c>
      <c r="L1827">
        <v>73981.680000000008</v>
      </c>
      <c r="M1827">
        <v>2888007.4699999997</v>
      </c>
      <c r="N1827">
        <v>0</v>
      </c>
      <c r="O1827">
        <v>0</v>
      </c>
      <c r="P1827">
        <v>2961989.15</v>
      </c>
    </row>
    <row r="1828" spans="1:16">
      <c r="A1828" s="1">
        <v>44652</v>
      </c>
      <c r="B1828" t="s">
        <v>130</v>
      </c>
      <c r="C1828" t="s">
        <v>14</v>
      </c>
      <c r="D1828" t="s">
        <v>15</v>
      </c>
      <c r="E1828" t="s">
        <v>33</v>
      </c>
      <c r="F1828" t="s">
        <v>17</v>
      </c>
      <c r="G1828" t="s">
        <v>59</v>
      </c>
      <c r="H1828" t="s">
        <v>528</v>
      </c>
      <c r="I1828">
        <v>6</v>
      </c>
      <c r="J1828" t="s">
        <v>67</v>
      </c>
      <c r="K1828" t="str">
        <f t="shared" si="28"/>
        <v>35301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1:16">
      <c r="A1829" s="1">
        <v>44652</v>
      </c>
      <c r="B1829" t="s">
        <v>130</v>
      </c>
      <c r="C1829" t="s">
        <v>14</v>
      </c>
      <c r="D1829" t="s">
        <v>15</v>
      </c>
      <c r="E1829" t="s">
        <v>33</v>
      </c>
      <c r="F1829" t="s">
        <v>17</v>
      </c>
      <c r="G1829" t="s">
        <v>59</v>
      </c>
      <c r="H1829" t="s">
        <v>528</v>
      </c>
      <c r="I1829">
        <v>6</v>
      </c>
      <c r="J1829" t="s">
        <v>121</v>
      </c>
      <c r="K1829" t="str">
        <f t="shared" si="28"/>
        <v>35400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1:16">
      <c r="A1830" s="1">
        <v>44652</v>
      </c>
      <c r="B1830" t="s">
        <v>130</v>
      </c>
      <c r="C1830" t="s">
        <v>14</v>
      </c>
      <c r="D1830" t="s">
        <v>15</v>
      </c>
      <c r="E1830" t="s">
        <v>33</v>
      </c>
      <c r="F1830" t="s">
        <v>17</v>
      </c>
      <c r="G1830" t="s">
        <v>59</v>
      </c>
      <c r="H1830" t="s">
        <v>528</v>
      </c>
      <c r="I1830">
        <v>6</v>
      </c>
      <c r="J1830" t="s">
        <v>69</v>
      </c>
      <c r="K1830" t="str">
        <f t="shared" si="28"/>
        <v>35500</v>
      </c>
      <c r="L1830">
        <v>25368.43</v>
      </c>
      <c r="M1830">
        <v>8954357.8000000007</v>
      </c>
      <c r="N1830">
        <v>0</v>
      </c>
      <c r="O1830">
        <v>0</v>
      </c>
      <c r="P1830">
        <v>8979726.2300000004</v>
      </c>
    </row>
    <row r="1831" spans="1:16">
      <c r="A1831" s="1">
        <v>44652</v>
      </c>
      <c r="B1831" t="s">
        <v>130</v>
      </c>
      <c r="C1831" t="s">
        <v>14</v>
      </c>
      <c r="D1831" t="s">
        <v>15</v>
      </c>
      <c r="E1831" t="s">
        <v>33</v>
      </c>
      <c r="F1831" t="s">
        <v>17</v>
      </c>
      <c r="G1831" t="s">
        <v>59</v>
      </c>
      <c r="H1831" t="s">
        <v>528</v>
      </c>
      <c r="I1831">
        <v>6</v>
      </c>
      <c r="J1831" t="s">
        <v>70</v>
      </c>
      <c r="K1831" t="str">
        <f t="shared" si="28"/>
        <v>35600</v>
      </c>
      <c r="L1831">
        <v>0</v>
      </c>
      <c r="M1831">
        <v>4477218.16</v>
      </c>
      <c r="N1831">
        <v>0</v>
      </c>
      <c r="O1831">
        <v>0</v>
      </c>
      <c r="P1831">
        <v>4477218.16</v>
      </c>
    </row>
    <row r="1832" spans="1:16">
      <c r="A1832" s="1">
        <v>44652</v>
      </c>
      <c r="B1832" t="s">
        <v>130</v>
      </c>
      <c r="C1832" t="s">
        <v>14</v>
      </c>
      <c r="D1832" t="s">
        <v>15</v>
      </c>
      <c r="E1832" t="s">
        <v>33</v>
      </c>
      <c r="F1832" t="s">
        <v>17</v>
      </c>
      <c r="G1832" t="s">
        <v>59</v>
      </c>
      <c r="H1832" t="s">
        <v>528</v>
      </c>
      <c r="I1832">
        <v>6</v>
      </c>
      <c r="J1832" t="s">
        <v>71</v>
      </c>
      <c r="K1832" t="str">
        <f t="shared" si="28"/>
        <v>35700</v>
      </c>
      <c r="L1832">
        <v>4563.5</v>
      </c>
      <c r="M1832">
        <v>-1.61</v>
      </c>
      <c r="N1832">
        <v>0</v>
      </c>
      <c r="O1832">
        <v>0</v>
      </c>
      <c r="P1832">
        <v>4561.8900000000003</v>
      </c>
    </row>
    <row r="1833" spans="1:16">
      <c r="A1833" s="1">
        <v>44652</v>
      </c>
      <c r="B1833" t="s">
        <v>130</v>
      </c>
      <c r="C1833" t="s">
        <v>14</v>
      </c>
      <c r="D1833" t="s">
        <v>15</v>
      </c>
      <c r="E1833" t="s">
        <v>33</v>
      </c>
      <c r="F1833" t="s">
        <v>17</v>
      </c>
      <c r="G1833" t="s">
        <v>59</v>
      </c>
      <c r="H1833" t="s">
        <v>528</v>
      </c>
      <c r="I1833">
        <v>6</v>
      </c>
      <c r="J1833" t="s">
        <v>72</v>
      </c>
      <c r="K1833" t="str">
        <f t="shared" si="28"/>
        <v>35800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1:16">
      <c r="A1834" s="1">
        <v>44682</v>
      </c>
      <c r="B1834" t="s">
        <v>129</v>
      </c>
      <c r="C1834" t="s">
        <v>14</v>
      </c>
      <c r="D1834" t="s">
        <v>15</v>
      </c>
      <c r="E1834" t="s">
        <v>33</v>
      </c>
      <c r="F1834" t="s">
        <v>24</v>
      </c>
      <c r="G1834" t="s">
        <v>59</v>
      </c>
      <c r="H1834" t="s">
        <v>528</v>
      </c>
      <c r="I1834">
        <v>6</v>
      </c>
      <c r="J1834" t="s">
        <v>60</v>
      </c>
      <c r="K1834" t="str">
        <f t="shared" si="28"/>
        <v>35001</v>
      </c>
      <c r="L1834">
        <v>1988509.0899999999</v>
      </c>
      <c r="M1834">
        <v>0</v>
      </c>
      <c r="N1834">
        <v>0</v>
      </c>
      <c r="O1834">
        <v>0</v>
      </c>
      <c r="P1834" s="8">
        <v>1988509.0899999999</v>
      </c>
    </row>
    <row r="1835" spans="1:16">
      <c r="A1835" s="1">
        <v>44682</v>
      </c>
      <c r="B1835" t="s">
        <v>129</v>
      </c>
      <c r="C1835" t="s">
        <v>14</v>
      </c>
      <c r="D1835" t="s">
        <v>15</v>
      </c>
      <c r="E1835" t="s">
        <v>33</v>
      </c>
      <c r="F1835" t="s">
        <v>24</v>
      </c>
      <c r="G1835" t="s">
        <v>59</v>
      </c>
      <c r="H1835" t="s">
        <v>528</v>
      </c>
      <c r="I1835">
        <v>6</v>
      </c>
      <c r="J1835" t="s">
        <v>61</v>
      </c>
      <c r="K1835" t="str">
        <f t="shared" si="28"/>
        <v>35002</v>
      </c>
      <c r="L1835">
        <v>4313014.6500000004</v>
      </c>
      <c r="M1835">
        <v>0</v>
      </c>
      <c r="N1835">
        <v>0</v>
      </c>
      <c r="O1835">
        <v>0</v>
      </c>
      <c r="P1835" s="8">
        <v>4313014.6500000004</v>
      </c>
    </row>
    <row r="1836" spans="1:16">
      <c r="A1836" s="1">
        <v>44682</v>
      </c>
      <c r="B1836" t="s">
        <v>129</v>
      </c>
      <c r="C1836" t="s">
        <v>14</v>
      </c>
      <c r="D1836" t="s">
        <v>15</v>
      </c>
      <c r="E1836" t="s">
        <v>33</v>
      </c>
      <c r="F1836" t="s">
        <v>24</v>
      </c>
      <c r="G1836" t="s">
        <v>59</v>
      </c>
      <c r="H1836" t="s">
        <v>528</v>
      </c>
      <c r="I1836">
        <v>6</v>
      </c>
      <c r="J1836" t="s">
        <v>62</v>
      </c>
      <c r="K1836" t="str">
        <f t="shared" si="28"/>
        <v>35003</v>
      </c>
      <c r="L1836">
        <v>0</v>
      </c>
      <c r="M1836">
        <v>0</v>
      </c>
      <c r="N1836">
        <v>0</v>
      </c>
      <c r="O1836">
        <v>0</v>
      </c>
      <c r="P1836" s="8">
        <v>0</v>
      </c>
    </row>
    <row r="1837" spans="1:16">
      <c r="A1837" s="1">
        <v>44682</v>
      </c>
      <c r="B1837" t="s">
        <v>129</v>
      </c>
      <c r="C1837" t="s">
        <v>14</v>
      </c>
      <c r="D1837" t="s">
        <v>15</v>
      </c>
      <c r="E1837" t="s">
        <v>33</v>
      </c>
      <c r="F1837" t="s">
        <v>24</v>
      </c>
      <c r="G1837" t="s">
        <v>59</v>
      </c>
      <c r="H1837" t="s">
        <v>528</v>
      </c>
      <c r="I1837">
        <v>6</v>
      </c>
      <c r="J1837" t="s">
        <v>63</v>
      </c>
      <c r="K1837" t="str">
        <f t="shared" si="28"/>
        <v>35200</v>
      </c>
      <c r="L1837">
        <v>10463520.74</v>
      </c>
      <c r="M1837">
        <v>0</v>
      </c>
      <c r="N1837">
        <v>0</v>
      </c>
      <c r="O1837">
        <v>0</v>
      </c>
      <c r="P1837" s="8">
        <v>10463520.74</v>
      </c>
    </row>
    <row r="1838" spans="1:16">
      <c r="A1838" s="1">
        <v>44682</v>
      </c>
      <c r="B1838" t="s">
        <v>129</v>
      </c>
      <c r="C1838" t="s">
        <v>14</v>
      </c>
      <c r="D1838" t="s">
        <v>15</v>
      </c>
      <c r="E1838" t="s">
        <v>33</v>
      </c>
      <c r="F1838" t="s">
        <v>24</v>
      </c>
      <c r="G1838" t="s">
        <v>59</v>
      </c>
      <c r="H1838" t="s">
        <v>528</v>
      </c>
      <c r="I1838">
        <v>6</v>
      </c>
      <c r="J1838" t="s">
        <v>64</v>
      </c>
      <c r="K1838" t="str">
        <f t="shared" si="28"/>
        <v>35205</v>
      </c>
      <c r="L1838">
        <v>274154.33</v>
      </c>
      <c r="M1838">
        <v>0</v>
      </c>
      <c r="N1838">
        <v>0</v>
      </c>
      <c r="O1838">
        <v>0</v>
      </c>
      <c r="P1838" s="8">
        <v>274154.33</v>
      </c>
    </row>
    <row r="1839" spans="1:16">
      <c r="A1839" s="1">
        <v>44682</v>
      </c>
      <c r="B1839" t="s">
        <v>129</v>
      </c>
      <c r="C1839" t="s">
        <v>14</v>
      </c>
      <c r="D1839" t="s">
        <v>15</v>
      </c>
      <c r="E1839" t="s">
        <v>33</v>
      </c>
      <c r="F1839" t="s">
        <v>24</v>
      </c>
      <c r="G1839" t="s">
        <v>59</v>
      </c>
      <c r="H1839" t="s">
        <v>528</v>
      </c>
      <c r="I1839">
        <v>6</v>
      </c>
      <c r="J1839" t="s">
        <v>65</v>
      </c>
      <c r="K1839" t="str">
        <f t="shared" si="28"/>
        <v>35259</v>
      </c>
      <c r="L1839">
        <v>220613.03</v>
      </c>
      <c r="M1839">
        <v>0</v>
      </c>
      <c r="N1839">
        <v>0</v>
      </c>
      <c r="O1839">
        <v>0</v>
      </c>
      <c r="P1839" s="8">
        <v>220613.03</v>
      </c>
    </row>
    <row r="1840" spans="1:16">
      <c r="A1840" s="1">
        <v>44682</v>
      </c>
      <c r="B1840" t="s">
        <v>129</v>
      </c>
      <c r="C1840" t="s">
        <v>14</v>
      </c>
      <c r="D1840" t="s">
        <v>15</v>
      </c>
      <c r="E1840" t="s">
        <v>33</v>
      </c>
      <c r="F1840" t="s">
        <v>24</v>
      </c>
      <c r="G1840" t="s">
        <v>59</v>
      </c>
      <c r="H1840" t="s">
        <v>528</v>
      </c>
      <c r="I1840">
        <v>6</v>
      </c>
      <c r="J1840" t="s">
        <v>66</v>
      </c>
      <c r="K1840" t="str">
        <f t="shared" si="28"/>
        <v>35300</v>
      </c>
      <c r="L1840">
        <v>101590315.69</v>
      </c>
      <c r="M1840">
        <v>0</v>
      </c>
      <c r="N1840">
        <v>0</v>
      </c>
      <c r="O1840">
        <v>15497.42</v>
      </c>
      <c r="P1840" s="8">
        <v>101605813.11</v>
      </c>
    </row>
    <row r="1841" spans="1:16">
      <c r="A1841" s="1">
        <v>44682</v>
      </c>
      <c r="B1841" t="s">
        <v>129</v>
      </c>
      <c r="C1841" t="s">
        <v>14</v>
      </c>
      <c r="D1841" t="s">
        <v>15</v>
      </c>
      <c r="E1841" t="s">
        <v>33</v>
      </c>
      <c r="F1841" t="s">
        <v>24</v>
      </c>
      <c r="G1841" t="s">
        <v>59</v>
      </c>
      <c r="H1841" t="s">
        <v>528</v>
      </c>
      <c r="I1841">
        <v>6</v>
      </c>
      <c r="J1841" t="s">
        <v>67</v>
      </c>
      <c r="K1841" t="str">
        <f t="shared" si="28"/>
        <v>35301</v>
      </c>
      <c r="L1841">
        <v>8243520.1799999997</v>
      </c>
      <c r="M1841">
        <v>0</v>
      </c>
      <c r="N1841">
        <v>0</v>
      </c>
      <c r="O1841">
        <v>0</v>
      </c>
      <c r="P1841" s="8">
        <v>8243520.1799999997</v>
      </c>
    </row>
    <row r="1842" spans="1:16">
      <c r="A1842" s="1">
        <v>44682</v>
      </c>
      <c r="B1842" t="s">
        <v>129</v>
      </c>
      <c r="C1842" t="s">
        <v>14</v>
      </c>
      <c r="D1842" t="s">
        <v>15</v>
      </c>
      <c r="E1842" t="s">
        <v>33</v>
      </c>
      <c r="F1842" t="s">
        <v>24</v>
      </c>
      <c r="G1842" t="s">
        <v>59</v>
      </c>
      <c r="H1842" t="s">
        <v>528</v>
      </c>
      <c r="I1842">
        <v>6</v>
      </c>
      <c r="J1842" t="s">
        <v>68</v>
      </c>
      <c r="K1842" t="str">
        <f t="shared" si="28"/>
        <v>35359</v>
      </c>
      <c r="L1842">
        <v>4227063.49</v>
      </c>
      <c r="M1842">
        <v>0</v>
      </c>
      <c r="N1842">
        <v>0</v>
      </c>
      <c r="O1842">
        <v>0</v>
      </c>
      <c r="P1842" s="8">
        <v>4227063.49</v>
      </c>
    </row>
    <row r="1843" spans="1:16">
      <c r="A1843" s="1">
        <v>44682</v>
      </c>
      <c r="B1843" t="s">
        <v>129</v>
      </c>
      <c r="C1843" t="s">
        <v>14</v>
      </c>
      <c r="D1843" t="s">
        <v>15</v>
      </c>
      <c r="E1843" t="s">
        <v>33</v>
      </c>
      <c r="F1843" t="s">
        <v>24</v>
      </c>
      <c r="G1843" t="s">
        <v>59</v>
      </c>
      <c r="H1843" t="s">
        <v>528</v>
      </c>
      <c r="I1843">
        <v>6</v>
      </c>
      <c r="J1843" t="s">
        <v>69</v>
      </c>
      <c r="K1843" t="str">
        <f t="shared" si="28"/>
        <v>35500</v>
      </c>
      <c r="L1843">
        <v>55935433.399999999</v>
      </c>
      <c r="M1843">
        <v>7192.75</v>
      </c>
      <c r="N1843">
        <v>0</v>
      </c>
      <c r="O1843">
        <v>0</v>
      </c>
      <c r="P1843" s="8">
        <v>55942626.149999999</v>
      </c>
    </row>
    <row r="1844" spans="1:16">
      <c r="A1844" s="1">
        <v>44682</v>
      </c>
      <c r="B1844" t="s">
        <v>129</v>
      </c>
      <c r="C1844" t="s">
        <v>14</v>
      </c>
      <c r="D1844" t="s">
        <v>15</v>
      </c>
      <c r="E1844" t="s">
        <v>33</v>
      </c>
      <c r="F1844" t="s">
        <v>24</v>
      </c>
      <c r="G1844" t="s">
        <v>59</v>
      </c>
      <c r="H1844" t="s">
        <v>528</v>
      </c>
      <c r="I1844">
        <v>6</v>
      </c>
      <c r="J1844" t="s">
        <v>70</v>
      </c>
      <c r="K1844" t="str">
        <f t="shared" si="28"/>
        <v>35600</v>
      </c>
      <c r="L1844">
        <v>54645272.539999999</v>
      </c>
      <c r="M1844">
        <v>3865.08</v>
      </c>
      <c r="N1844">
        <v>0</v>
      </c>
      <c r="O1844">
        <v>0</v>
      </c>
      <c r="P1844" s="8">
        <v>54649137.619999997</v>
      </c>
    </row>
    <row r="1845" spans="1:16">
      <c r="A1845" s="1">
        <v>44682</v>
      </c>
      <c r="B1845" t="s">
        <v>129</v>
      </c>
      <c r="C1845" t="s">
        <v>14</v>
      </c>
      <c r="D1845" t="s">
        <v>15</v>
      </c>
      <c r="E1845" t="s">
        <v>33</v>
      </c>
      <c r="F1845" t="s">
        <v>24</v>
      </c>
      <c r="G1845" t="s">
        <v>59</v>
      </c>
      <c r="H1845" t="s">
        <v>528</v>
      </c>
      <c r="I1845">
        <v>6</v>
      </c>
      <c r="J1845" t="s">
        <v>71</v>
      </c>
      <c r="K1845" t="str">
        <f t="shared" si="28"/>
        <v>35700</v>
      </c>
      <c r="L1845">
        <v>0</v>
      </c>
      <c r="M1845">
        <v>0</v>
      </c>
      <c r="N1845">
        <v>0</v>
      </c>
      <c r="O1845">
        <v>0</v>
      </c>
      <c r="P1845" s="8">
        <v>0</v>
      </c>
    </row>
    <row r="1846" spans="1:16">
      <c r="A1846" s="1">
        <v>44682</v>
      </c>
      <c r="B1846" t="s">
        <v>129</v>
      </c>
      <c r="C1846" t="s">
        <v>14</v>
      </c>
      <c r="D1846" t="s">
        <v>15</v>
      </c>
      <c r="E1846" t="s">
        <v>33</v>
      </c>
      <c r="F1846" t="s">
        <v>24</v>
      </c>
      <c r="G1846" t="s">
        <v>59</v>
      </c>
      <c r="H1846" t="s">
        <v>528</v>
      </c>
      <c r="I1846">
        <v>6</v>
      </c>
      <c r="J1846" t="s">
        <v>72</v>
      </c>
      <c r="K1846" t="str">
        <f t="shared" si="28"/>
        <v>35800</v>
      </c>
      <c r="L1846">
        <v>0</v>
      </c>
      <c r="M1846">
        <v>0</v>
      </c>
      <c r="N1846">
        <v>0</v>
      </c>
      <c r="O1846">
        <v>0</v>
      </c>
      <c r="P1846" s="8">
        <v>0</v>
      </c>
    </row>
    <row r="1847" spans="1:16">
      <c r="A1847" s="1">
        <v>44682</v>
      </c>
      <c r="B1847" t="s">
        <v>129</v>
      </c>
      <c r="C1847" t="s">
        <v>14</v>
      </c>
      <c r="D1847" t="s">
        <v>15</v>
      </c>
      <c r="E1847" t="s">
        <v>33</v>
      </c>
      <c r="F1847" t="s">
        <v>118</v>
      </c>
      <c r="G1847" t="s">
        <v>59</v>
      </c>
      <c r="H1847" t="s">
        <v>528</v>
      </c>
      <c r="I1847">
        <v>6</v>
      </c>
      <c r="J1847" t="s">
        <v>62</v>
      </c>
      <c r="K1847" t="str">
        <f t="shared" si="28"/>
        <v>35003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1:16">
      <c r="A1848" s="1">
        <v>44682</v>
      </c>
      <c r="B1848" t="s">
        <v>129</v>
      </c>
      <c r="C1848" t="s">
        <v>14</v>
      </c>
      <c r="D1848" t="s">
        <v>15</v>
      </c>
      <c r="E1848" t="s">
        <v>33</v>
      </c>
      <c r="F1848" t="s">
        <v>119</v>
      </c>
      <c r="G1848" t="s">
        <v>59</v>
      </c>
      <c r="H1848" t="s">
        <v>528</v>
      </c>
      <c r="I1848">
        <v>6</v>
      </c>
      <c r="J1848" t="s">
        <v>66</v>
      </c>
      <c r="K1848" t="str">
        <f t="shared" si="28"/>
        <v>35300</v>
      </c>
      <c r="L1848">
        <v>158336.61000000002</v>
      </c>
      <c r="M1848">
        <v>0</v>
      </c>
      <c r="N1848">
        <v>0</v>
      </c>
      <c r="O1848">
        <v>0</v>
      </c>
      <c r="P1848" s="9">
        <v>158336.61000000002</v>
      </c>
    </row>
    <row r="1849" spans="1:16">
      <c r="A1849" s="1">
        <v>44682</v>
      </c>
      <c r="B1849" t="s">
        <v>129</v>
      </c>
      <c r="C1849" t="s">
        <v>14</v>
      </c>
      <c r="D1849" t="s">
        <v>15</v>
      </c>
      <c r="E1849" t="s">
        <v>33</v>
      </c>
      <c r="F1849" t="s">
        <v>17</v>
      </c>
      <c r="G1849" t="s">
        <v>59</v>
      </c>
      <c r="H1849" t="s">
        <v>528</v>
      </c>
      <c r="I1849">
        <v>6</v>
      </c>
      <c r="J1849" t="s">
        <v>60</v>
      </c>
      <c r="K1849" t="str">
        <f t="shared" si="28"/>
        <v>35001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1:16">
      <c r="A1850" s="1">
        <v>44682</v>
      </c>
      <c r="B1850" t="s">
        <v>129</v>
      </c>
      <c r="C1850" t="s">
        <v>14</v>
      </c>
      <c r="D1850" t="s">
        <v>15</v>
      </c>
      <c r="E1850" t="s">
        <v>33</v>
      </c>
      <c r="F1850" t="s">
        <v>17</v>
      </c>
      <c r="G1850" t="s">
        <v>59</v>
      </c>
      <c r="H1850" t="s">
        <v>528</v>
      </c>
      <c r="I1850">
        <v>6</v>
      </c>
      <c r="J1850" t="s">
        <v>61</v>
      </c>
      <c r="K1850" t="str">
        <f t="shared" si="28"/>
        <v>35002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1:16">
      <c r="A1851" s="1">
        <v>44682</v>
      </c>
      <c r="B1851" t="s">
        <v>129</v>
      </c>
      <c r="C1851" t="s">
        <v>14</v>
      </c>
      <c r="D1851" t="s">
        <v>15</v>
      </c>
      <c r="E1851" t="s">
        <v>33</v>
      </c>
      <c r="F1851" t="s">
        <v>17</v>
      </c>
      <c r="G1851" t="s">
        <v>59</v>
      </c>
      <c r="H1851" t="s">
        <v>528</v>
      </c>
      <c r="I1851">
        <v>6</v>
      </c>
      <c r="J1851" t="s">
        <v>63</v>
      </c>
      <c r="K1851" t="str">
        <f t="shared" si="28"/>
        <v>35200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1:16">
      <c r="A1852" s="1">
        <v>44682</v>
      </c>
      <c r="B1852" t="s">
        <v>129</v>
      </c>
      <c r="C1852" t="s">
        <v>14</v>
      </c>
      <c r="D1852" t="s">
        <v>15</v>
      </c>
      <c r="E1852" t="s">
        <v>33</v>
      </c>
      <c r="F1852" t="s">
        <v>17</v>
      </c>
      <c r="G1852" t="s">
        <v>59</v>
      </c>
      <c r="H1852" t="s">
        <v>528</v>
      </c>
      <c r="I1852">
        <v>6</v>
      </c>
      <c r="J1852" t="s">
        <v>66</v>
      </c>
      <c r="K1852" t="str">
        <f t="shared" si="28"/>
        <v>35300</v>
      </c>
      <c r="L1852">
        <v>2961989.15</v>
      </c>
      <c r="M1852">
        <v>159054.33000000002</v>
      </c>
      <c r="N1852">
        <v>0</v>
      </c>
      <c r="O1852">
        <v>0</v>
      </c>
      <c r="P1852">
        <v>3121043.48</v>
      </c>
    </row>
    <row r="1853" spans="1:16">
      <c r="A1853" s="1">
        <v>44682</v>
      </c>
      <c r="B1853" t="s">
        <v>129</v>
      </c>
      <c r="C1853" t="s">
        <v>14</v>
      </c>
      <c r="D1853" t="s">
        <v>15</v>
      </c>
      <c r="E1853" t="s">
        <v>33</v>
      </c>
      <c r="F1853" t="s">
        <v>17</v>
      </c>
      <c r="G1853" t="s">
        <v>59</v>
      </c>
      <c r="H1853" t="s">
        <v>528</v>
      </c>
      <c r="I1853">
        <v>6</v>
      </c>
      <c r="J1853" t="s">
        <v>67</v>
      </c>
      <c r="K1853" t="str">
        <f t="shared" si="28"/>
        <v>35301</v>
      </c>
      <c r="L1853">
        <v>0</v>
      </c>
      <c r="M1853">
        <v>172989.45</v>
      </c>
      <c r="N1853">
        <v>0</v>
      </c>
      <c r="O1853">
        <v>0</v>
      </c>
      <c r="P1853">
        <v>172989.45</v>
      </c>
    </row>
    <row r="1854" spans="1:16">
      <c r="A1854" s="1">
        <v>44682</v>
      </c>
      <c r="B1854" t="s">
        <v>129</v>
      </c>
      <c r="C1854" t="s">
        <v>14</v>
      </c>
      <c r="D1854" t="s">
        <v>15</v>
      </c>
      <c r="E1854" t="s">
        <v>33</v>
      </c>
      <c r="F1854" t="s">
        <v>17</v>
      </c>
      <c r="G1854" t="s">
        <v>59</v>
      </c>
      <c r="H1854" t="s">
        <v>528</v>
      </c>
      <c r="I1854">
        <v>6</v>
      </c>
      <c r="J1854" t="s">
        <v>121</v>
      </c>
      <c r="K1854" t="str">
        <f t="shared" si="28"/>
        <v>35400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1:16">
      <c r="A1855" s="1">
        <v>44682</v>
      </c>
      <c r="B1855" t="s">
        <v>129</v>
      </c>
      <c r="C1855" t="s">
        <v>14</v>
      </c>
      <c r="D1855" t="s">
        <v>15</v>
      </c>
      <c r="E1855" t="s">
        <v>33</v>
      </c>
      <c r="F1855" t="s">
        <v>17</v>
      </c>
      <c r="G1855" t="s">
        <v>59</v>
      </c>
      <c r="H1855" t="s">
        <v>528</v>
      </c>
      <c r="I1855">
        <v>6</v>
      </c>
      <c r="J1855" t="s">
        <v>69</v>
      </c>
      <c r="K1855" t="str">
        <f t="shared" si="28"/>
        <v>35500</v>
      </c>
      <c r="L1855">
        <v>8979726.2300000004</v>
      </c>
      <c r="M1855">
        <v>280489.82</v>
      </c>
      <c r="N1855">
        <v>0</v>
      </c>
      <c r="O1855">
        <v>0</v>
      </c>
      <c r="P1855">
        <v>9260216.0500000007</v>
      </c>
    </row>
    <row r="1856" spans="1:16">
      <c r="A1856" s="1">
        <v>44682</v>
      </c>
      <c r="B1856" t="s">
        <v>129</v>
      </c>
      <c r="C1856" t="s">
        <v>14</v>
      </c>
      <c r="D1856" t="s">
        <v>15</v>
      </c>
      <c r="E1856" t="s">
        <v>33</v>
      </c>
      <c r="F1856" t="s">
        <v>17</v>
      </c>
      <c r="G1856" t="s">
        <v>59</v>
      </c>
      <c r="H1856" t="s">
        <v>528</v>
      </c>
      <c r="I1856">
        <v>6</v>
      </c>
      <c r="J1856" t="s">
        <v>70</v>
      </c>
      <c r="K1856" t="str">
        <f t="shared" si="28"/>
        <v>35600</v>
      </c>
      <c r="L1856">
        <v>4477218.16</v>
      </c>
      <c r="M1856">
        <v>40834.050000000003</v>
      </c>
      <c r="N1856">
        <v>0</v>
      </c>
      <c r="O1856">
        <v>0</v>
      </c>
      <c r="P1856">
        <v>4518052.21</v>
      </c>
    </row>
    <row r="1857" spans="1:16">
      <c r="A1857" s="1">
        <v>44682</v>
      </c>
      <c r="B1857" t="s">
        <v>129</v>
      </c>
      <c r="C1857" t="s">
        <v>14</v>
      </c>
      <c r="D1857" t="s">
        <v>15</v>
      </c>
      <c r="E1857" t="s">
        <v>33</v>
      </c>
      <c r="F1857" t="s">
        <v>17</v>
      </c>
      <c r="G1857" t="s">
        <v>59</v>
      </c>
      <c r="H1857" t="s">
        <v>528</v>
      </c>
      <c r="I1857">
        <v>6</v>
      </c>
      <c r="J1857" t="s">
        <v>71</v>
      </c>
      <c r="K1857" t="str">
        <f t="shared" si="28"/>
        <v>35700</v>
      </c>
      <c r="L1857">
        <v>4561.8900000000003</v>
      </c>
      <c r="M1857">
        <v>0</v>
      </c>
      <c r="N1857">
        <v>0</v>
      </c>
      <c r="O1857">
        <v>0</v>
      </c>
      <c r="P1857">
        <v>4561.8900000000003</v>
      </c>
    </row>
    <row r="1858" spans="1:16">
      <c r="A1858" s="1">
        <v>44682</v>
      </c>
      <c r="B1858" t="s">
        <v>129</v>
      </c>
      <c r="C1858" t="s">
        <v>14</v>
      </c>
      <c r="D1858" t="s">
        <v>15</v>
      </c>
      <c r="E1858" t="s">
        <v>33</v>
      </c>
      <c r="F1858" t="s">
        <v>17</v>
      </c>
      <c r="G1858" t="s">
        <v>59</v>
      </c>
      <c r="H1858" t="s">
        <v>528</v>
      </c>
      <c r="I1858">
        <v>6</v>
      </c>
      <c r="J1858" t="s">
        <v>72</v>
      </c>
      <c r="K1858" t="str">
        <f t="shared" ref="K1858:K1921" si="29">MID(J1858,2,5)</f>
        <v>35800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1:16">
      <c r="A1859" s="1">
        <v>44713</v>
      </c>
      <c r="B1859" t="s">
        <v>128</v>
      </c>
      <c r="C1859" t="s">
        <v>14</v>
      </c>
      <c r="D1859" t="s">
        <v>15</v>
      </c>
      <c r="E1859" t="s">
        <v>33</v>
      </c>
      <c r="F1859" t="s">
        <v>24</v>
      </c>
      <c r="G1859" t="s">
        <v>59</v>
      </c>
      <c r="H1859" t="s">
        <v>528</v>
      </c>
      <c r="I1859">
        <v>6</v>
      </c>
      <c r="J1859" t="s">
        <v>60</v>
      </c>
      <c r="K1859" t="str">
        <f t="shared" si="29"/>
        <v>35001</v>
      </c>
      <c r="L1859">
        <v>1988509.0899999999</v>
      </c>
      <c r="M1859">
        <v>0</v>
      </c>
      <c r="N1859">
        <v>0</v>
      </c>
      <c r="O1859">
        <v>0</v>
      </c>
      <c r="P1859" s="8">
        <v>1988509.0899999999</v>
      </c>
    </row>
    <row r="1860" spans="1:16">
      <c r="A1860" s="1">
        <v>44713</v>
      </c>
      <c r="B1860" t="s">
        <v>128</v>
      </c>
      <c r="C1860" t="s">
        <v>14</v>
      </c>
      <c r="D1860" t="s">
        <v>15</v>
      </c>
      <c r="E1860" t="s">
        <v>33</v>
      </c>
      <c r="F1860" t="s">
        <v>24</v>
      </c>
      <c r="G1860" t="s">
        <v>59</v>
      </c>
      <c r="H1860" t="s">
        <v>528</v>
      </c>
      <c r="I1860">
        <v>6</v>
      </c>
      <c r="J1860" t="s">
        <v>61</v>
      </c>
      <c r="K1860" t="str">
        <f t="shared" si="29"/>
        <v>35002</v>
      </c>
      <c r="L1860">
        <v>4313014.6500000004</v>
      </c>
      <c r="M1860">
        <v>0</v>
      </c>
      <c r="N1860">
        <v>0</v>
      </c>
      <c r="O1860">
        <v>0</v>
      </c>
      <c r="P1860" s="8">
        <v>4313014.6500000004</v>
      </c>
    </row>
    <row r="1861" spans="1:16">
      <c r="A1861" s="1">
        <v>44713</v>
      </c>
      <c r="B1861" t="s">
        <v>128</v>
      </c>
      <c r="C1861" t="s">
        <v>14</v>
      </c>
      <c r="D1861" t="s">
        <v>15</v>
      </c>
      <c r="E1861" t="s">
        <v>33</v>
      </c>
      <c r="F1861" t="s">
        <v>24</v>
      </c>
      <c r="G1861" t="s">
        <v>59</v>
      </c>
      <c r="H1861" t="s">
        <v>528</v>
      </c>
      <c r="I1861">
        <v>6</v>
      </c>
      <c r="J1861" t="s">
        <v>62</v>
      </c>
      <c r="K1861" t="str">
        <f t="shared" si="29"/>
        <v>35003</v>
      </c>
      <c r="L1861">
        <v>0</v>
      </c>
      <c r="M1861">
        <v>0</v>
      </c>
      <c r="N1861">
        <v>0</v>
      </c>
      <c r="O1861">
        <v>0</v>
      </c>
      <c r="P1861" s="8">
        <v>0</v>
      </c>
    </row>
    <row r="1862" spans="1:16">
      <c r="A1862" s="1">
        <v>44713</v>
      </c>
      <c r="B1862" t="s">
        <v>128</v>
      </c>
      <c r="C1862" t="s">
        <v>14</v>
      </c>
      <c r="D1862" t="s">
        <v>15</v>
      </c>
      <c r="E1862" t="s">
        <v>33</v>
      </c>
      <c r="F1862" t="s">
        <v>24</v>
      </c>
      <c r="G1862" t="s">
        <v>59</v>
      </c>
      <c r="H1862" t="s">
        <v>528</v>
      </c>
      <c r="I1862">
        <v>6</v>
      </c>
      <c r="J1862" t="s">
        <v>63</v>
      </c>
      <c r="K1862" t="str">
        <f t="shared" si="29"/>
        <v>35200</v>
      </c>
      <c r="L1862">
        <v>10463520.74</v>
      </c>
      <c r="M1862">
        <v>0</v>
      </c>
      <c r="N1862">
        <v>0</v>
      </c>
      <c r="O1862">
        <v>0</v>
      </c>
      <c r="P1862" s="8">
        <v>10463520.74</v>
      </c>
    </row>
    <row r="1863" spans="1:16">
      <c r="A1863" s="1">
        <v>44713</v>
      </c>
      <c r="B1863" t="s">
        <v>128</v>
      </c>
      <c r="C1863" t="s">
        <v>14</v>
      </c>
      <c r="D1863" t="s">
        <v>15</v>
      </c>
      <c r="E1863" t="s">
        <v>33</v>
      </c>
      <c r="F1863" t="s">
        <v>24</v>
      </c>
      <c r="G1863" t="s">
        <v>59</v>
      </c>
      <c r="H1863" t="s">
        <v>528</v>
      </c>
      <c r="I1863">
        <v>6</v>
      </c>
      <c r="J1863" t="s">
        <v>64</v>
      </c>
      <c r="K1863" t="str">
        <f t="shared" si="29"/>
        <v>35205</v>
      </c>
      <c r="L1863">
        <v>274154.33</v>
      </c>
      <c r="M1863">
        <v>0</v>
      </c>
      <c r="N1863">
        <v>0</v>
      </c>
      <c r="O1863">
        <v>0</v>
      </c>
      <c r="P1863" s="8">
        <v>274154.33</v>
      </c>
    </row>
    <row r="1864" spans="1:16">
      <c r="A1864" s="1">
        <v>44713</v>
      </c>
      <c r="B1864" t="s">
        <v>128</v>
      </c>
      <c r="C1864" t="s">
        <v>14</v>
      </c>
      <c r="D1864" t="s">
        <v>15</v>
      </c>
      <c r="E1864" t="s">
        <v>33</v>
      </c>
      <c r="F1864" t="s">
        <v>24</v>
      </c>
      <c r="G1864" t="s">
        <v>59</v>
      </c>
      <c r="H1864" t="s">
        <v>528</v>
      </c>
      <c r="I1864">
        <v>6</v>
      </c>
      <c r="J1864" t="s">
        <v>65</v>
      </c>
      <c r="K1864" t="str">
        <f t="shared" si="29"/>
        <v>35259</v>
      </c>
      <c r="L1864">
        <v>220613.03</v>
      </c>
      <c r="M1864">
        <v>0</v>
      </c>
      <c r="N1864">
        <v>0</v>
      </c>
      <c r="O1864">
        <v>0</v>
      </c>
      <c r="P1864" s="8">
        <v>220613.03</v>
      </c>
    </row>
    <row r="1865" spans="1:16">
      <c r="A1865" s="1">
        <v>44713</v>
      </c>
      <c r="B1865" t="s">
        <v>128</v>
      </c>
      <c r="C1865" t="s">
        <v>14</v>
      </c>
      <c r="D1865" t="s">
        <v>15</v>
      </c>
      <c r="E1865" t="s">
        <v>33</v>
      </c>
      <c r="F1865" t="s">
        <v>24</v>
      </c>
      <c r="G1865" t="s">
        <v>59</v>
      </c>
      <c r="H1865" t="s">
        <v>528</v>
      </c>
      <c r="I1865">
        <v>6</v>
      </c>
      <c r="J1865" t="s">
        <v>66</v>
      </c>
      <c r="K1865" t="str">
        <f t="shared" si="29"/>
        <v>35300</v>
      </c>
      <c r="L1865">
        <v>101605813.11</v>
      </c>
      <c r="M1865">
        <v>0</v>
      </c>
      <c r="N1865">
        <v>0</v>
      </c>
      <c r="O1865">
        <v>0</v>
      </c>
      <c r="P1865" s="8">
        <v>101605813.11</v>
      </c>
    </row>
    <row r="1866" spans="1:16">
      <c r="A1866" s="1">
        <v>44713</v>
      </c>
      <c r="B1866" t="s">
        <v>128</v>
      </c>
      <c r="C1866" t="s">
        <v>14</v>
      </c>
      <c r="D1866" t="s">
        <v>15</v>
      </c>
      <c r="E1866" t="s">
        <v>33</v>
      </c>
      <c r="F1866" t="s">
        <v>24</v>
      </c>
      <c r="G1866" t="s">
        <v>59</v>
      </c>
      <c r="H1866" t="s">
        <v>528</v>
      </c>
      <c r="I1866">
        <v>6</v>
      </c>
      <c r="J1866" t="s">
        <v>67</v>
      </c>
      <c r="K1866" t="str">
        <f t="shared" si="29"/>
        <v>35301</v>
      </c>
      <c r="L1866">
        <v>8243520.1799999997</v>
      </c>
      <c r="M1866">
        <v>0</v>
      </c>
      <c r="N1866">
        <v>0</v>
      </c>
      <c r="O1866">
        <v>0</v>
      </c>
      <c r="P1866" s="8">
        <v>8243520.1799999997</v>
      </c>
    </row>
    <row r="1867" spans="1:16">
      <c r="A1867" s="1">
        <v>44713</v>
      </c>
      <c r="B1867" t="s">
        <v>128</v>
      </c>
      <c r="C1867" t="s">
        <v>14</v>
      </c>
      <c r="D1867" t="s">
        <v>15</v>
      </c>
      <c r="E1867" t="s">
        <v>33</v>
      </c>
      <c r="F1867" t="s">
        <v>24</v>
      </c>
      <c r="G1867" t="s">
        <v>59</v>
      </c>
      <c r="H1867" t="s">
        <v>528</v>
      </c>
      <c r="I1867">
        <v>6</v>
      </c>
      <c r="J1867" t="s">
        <v>68</v>
      </c>
      <c r="K1867" t="str">
        <f t="shared" si="29"/>
        <v>35359</v>
      </c>
      <c r="L1867">
        <v>4227063.49</v>
      </c>
      <c r="M1867">
        <v>0</v>
      </c>
      <c r="N1867">
        <v>0</v>
      </c>
      <c r="O1867">
        <v>0</v>
      </c>
      <c r="P1867" s="8">
        <v>4227063.49</v>
      </c>
    </row>
    <row r="1868" spans="1:16">
      <c r="A1868" s="1">
        <v>44713</v>
      </c>
      <c r="B1868" t="s">
        <v>128</v>
      </c>
      <c r="C1868" t="s">
        <v>14</v>
      </c>
      <c r="D1868" t="s">
        <v>15</v>
      </c>
      <c r="E1868" t="s">
        <v>33</v>
      </c>
      <c r="F1868" t="s">
        <v>24</v>
      </c>
      <c r="G1868" t="s">
        <v>59</v>
      </c>
      <c r="H1868" t="s">
        <v>528</v>
      </c>
      <c r="I1868">
        <v>6</v>
      </c>
      <c r="J1868" t="s">
        <v>69</v>
      </c>
      <c r="K1868" t="str">
        <f t="shared" si="29"/>
        <v>35500</v>
      </c>
      <c r="L1868">
        <v>55942626.149999999</v>
      </c>
      <c r="M1868">
        <v>12757.9</v>
      </c>
      <c r="N1868">
        <v>0</v>
      </c>
      <c r="O1868">
        <v>0</v>
      </c>
      <c r="P1868" s="8">
        <v>55955384.049999997</v>
      </c>
    </row>
    <row r="1869" spans="1:16">
      <c r="A1869" s="1">
        <v>44713</v>
      </c>
      <c r="B1869" t="s">
        <v>128</v>
      </c>
      <c r="C1869" t="s">
        <v>14</v>
      </c>
      <c r="D1869" t="s">
        <v>15</v>
      </c>
      <c r="E1869" t="s">
        <v>33</v>
      </c>
      <c r="F1869" t="s">
        <v>24</v>
      </c>
      <c r="G1869" t="s">
        <v>59</v>
      </c>
      <c r="H1869" t="s">
        <v>528</v>
      </c>
      <c r="I1869">
        <v>6</v>
      </c>
      <c r="J1869" t="s">
        <v>70</v>
      </c>
      <c r="K1869" t="str">
        <f t="shared" si="29"/>
        <v>35600</v>
      </c>
      <c r="L1869">
        <v>54649137.619999997</v>
      </c>
      <c r="M1869">
        <v>10890.550000000001</v>
      </c>
      <c r="N1869">
        <v>0</v>
      </c>
      <c r="O1869">
        <v>0</v>
      </c>
      <c r="P1869" s="8">
        <v>54660028.170000002</v>
      </c>
    </row>
    <row r="1870" spans="1:16">
      <c r="A1870" s="1">
        <v>44713</v>
      </c>
      <c r="B1870" t="s">
        <v>128</v>
      </c>
      <c r="C1870" t="s">
        <v>14</v>
      </c>
      <c r="D1870" t="s">
        <v>15</v>
      </c>
      <c r="E1870" t="s">
        <v>33</v>
      </c>
      <c r="F1870" t="s">
        <v>24</v>
      </c>
      <c r="G1870" t="s">
        <v>59</v>
      </c>
      <c r="H1870" t="s">
        <v>528</v>
      </c>
      <c r="I1870">
        <v>6</v>
      </c>
      <c r="J1870" t="s">
        <v>71</v>
      </c>
      <c r="K1870" t="str">
        <f t="shared" si="29"/>
        <v>35700</v>
      </c>
      <c r="L1870">
        <v>0</v>
      </c>
      <c r="M1870">
        <v>0</v>
      </c>
      <c r="N1870">
        <v>0</v>
      </c>
      <c r="O1870">
        <v>0</v>
      </c>
      <c r="P1870" s="8">
        <v>0</v>
      </c>
    </row>
    <row r="1871" spans="1:16">
      <c r="A1871" s="1">
        <v>44713</v>
      </c>
      <c r="B1871" t="s">
        <v>128</v>
      </c>
      <c r="C1871" t="s">
        <v>14</v>
      </c>
      <c r="D1871" t="s">
        <v>15</v>
      </c>
      <c r="E1871" t="s">
        <v>33</v>
      </c>
      <c r="F1871" t="s">
        <v>24</v>
      </c>
      <c r="G1871" t="s">
        <v>59</v>
      </c>
      <c r="H1871" t="s">
        <v>528</v>
      </c>
      <c r="I1871">
        <v>6</v>
      </c>
      <c r="J1871" t="s">
        <v>72</v>
      </c>
      <c r="K1871" t="str">
        <f t="shared" si="29"/>
        <v>35800</v>
      </c>
      <c r="L1871">
        <v>0</v>
      </c>
      <c r="M1871">
        <v>0</v>
      </c>
      <c r="N1871">
        <v>0</v>
      </c>
      <c r="O1871">
        <v>0</v>
      </c>
      <c r="P1871" s="8">
        <v>0</v>
      </c>
    </row>
    <row r="1872" spans="1:16">
      <c r="A1872" s="1">
        <v>44713</v>
      </c>
      <c r="B1872" t="s">
        <v>128</v>
      </c>
      <c r="C1872" t="s">
        <v>14</v>
      </c>
      <c r="D1872" t="s">
        <v>15</v>
      </c>
      <c r="E1872" t="s">
        <v>33</v>
      </c>
      <c r="F1872" t="s">
        <v>118</v>
      </c>
      <c r="G1872" t="s">
        <v>59</v>
      </c>
      <c r="H1872" t="s">
        <v>528</v>
      </c>
      <c r="I1872">
        <v>6</v>
      </c>
      <c r="J1872" t="s">
        <v>62</v>
      </c>
      <c r="K1872" t="str">
        <f t="shared" si="29"/>
        <v>35003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1:16">
      <c r="A1873" s="1">
        <v>44713</v>
      </c>
      <c r="B1873" t="s">
        <v>128</v>
      </c>
      <c r="C1873" t="s">
        <v>14</v>
      </c>
      <c r="D1873" t="s">
        <v>15</v>
      </c>
      <c r="E1873" t="s">
        <v>33</v>
      </c>
      <c r="F1873" t="s">
        <v>119</v>
      </c>
      <c r="G1873" t="s">
        <v>59</v>
      </c>
      <c r="H1873" t="s">
        <v>528</v>
      </c>
      <c r="I1873">
        <v>6</v>
      </c>
      <c r="J1873" t="s">
        <v>66</v>
      </c>
      <c r="K1873" t="str">
        <f t="shared" si="29"/>
        <v>35300</v>
      </c>
      <c r="L1873">
        <v>158336.61000000002</v>
      </c>
      <c r="M1873">
        <v>0</v>
      </c>
      <c r="N1873">
        <v>0</v>
      </c>
      <c r="O1873">
        <v>0</v>
      </c>
      <c r="P1873" s="9">
        <v>158336.61000000002</v>
      </c>
    </row>
    <row r="1874" spans="1:16">
      <c r="A1874" s="1">
        <v>44713</v>
      </c>
      <c r="B1874" t="s">
        <v>128</v>
      </c>
      <c r="C1874" t="s">
        <v>14</v>
      </c>
      <c r="D1874" t="s">
        <v>15</v>
      </c>
      <c r="E1874" t="s">
        <v>33</v>
      </c>
      <c r="F1874" t="s">
        <v>17</v>
      </c>
      <c r="G1874" t="s">
        <v>59</v>
      </c>
      <c r="H1874" t="s">
        <v>528</v>
      </c>
      <c r="I1874">
        <v>6</v>
      </c>
      <c r="J1874" t="s">
        <v>60</v>
      </c>
      <c r="K1874" t="str">
        <f t="shared" si="29"/>
        <v>35001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1:16">
      <c r="A1875" s="1">
        <v>44713</v>
      </c>
      <c r="B1875" t="s">
        <v>128</v>
      </c>
      <c r="C1875" t="s">
        <v>14</v>
      </c>
      <c r="D1875" t="s">
        <v>15</v>
      </c>
      <c r="E1875" t="s">
        <v>33</v>
      </c>
      <c r="F1875" t="s">
        <v>17</v>
      </c>
      <c r="G1875" t="s">
        <v>59</v>
      </c>
      <c r="H1875" t="s">
        <v>528</v>
      </c>
      <c r="I1875">
        <v>6</v>
      </c>
      <c r="J1875" t="s">
        <v>61</v>
      </c>
      <c r="K1875" t="str">
        <f t="shared" si="29"/>
        <v>35002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1:16">
      <c r="A1876" s="1">
        <v>44713</v>
      </c>
      <c r="B1876" t="s">
        <v>128</v>
      </c>
      <c r="C1876" t="s">
        <v>14</v>
      </c>
      <c r="D1876" t="s">
        <v>15</v>
      </c>
      <c r="E1876" t="s">
        <v>33</v>
      </c>
      <c r="F1876" t="s">
        <v>17</v>
      </c>
      <c r="G1876" t="s">
        <v>59</v>
      </c>
      <c r="H1876" t="s">
        <v>528</v>
      </c>
      <c r="I1876">
        <v>6</v>
      </c>
      <c r="J1876" t="s">
        <v>63</v>
      </c>
      <c r="K1876" t="str">
        <f t="shared" si="29"/>
        <v>35200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1:16">
      <c r="A1877" s="1">
        <v>44713</v>
      </c>
      <c r="B1877" t="s">
        <v>128</v>
      </c>
      <c r="C1877" t="s">
        <v>14</v>
      </c>
      <c r="D1877" t="s">
        <v>15</v>
      </c>
      <c r="E1877" t="s">
        <v>33</v>
      </c>
      <c r="F1877" t="s">
        <v>17</v>
      </c>
      <c r="G1877" t="s">
        <v>59</v>
      </c>
      <c r="H1877" t="s">
        <v>528</v>
      </c>
      <c r="I1877">
        <v>6</v>
      </c>
      <c r="J1877" t="s">
        <v>66</v>
      </c>
      <c r="K1877" t="str">
        <f t="shared" si="29"/>
        <v>35300</v>
      </c>
      <c r="L1877">
        <v>3121043.48</v>
      </c>
      <c r="M1877">
        <v>34442.25</v>
      </c>
      <c r="N1877">
        <v>0</v>
      </c>
      <c r="O1877">
        <v>0</v>
      </c>
      <c r="P1877">
        <v>3155485.73</v>
      </c>
    </row>
    <row r="1878" spans="1:16">
      <c r="A1878" s="1">
        <v>44713</v>
      </c>
      <c r="B1878" t="s">
        <v>128</v>
      </c>
      <c r="C1878" t="s">
        <v>14</v>
      </c>
      <c r="D1878" t="s">
        <v>15</v>
      </c>
      <c r="E1878" t="s">
        <v>33</v>
      </c>
      <c r="F1878" t="s">
        <v>17</v>
      </c>
      <c r="G1878" t="s">
        <v>59</v>
      </c>
      <c r="H1878" t="s">
        <v>528</v>
      </c>
      <c r="I1878">
        <v>6</v>
      </c>
      <c r="J1878" t="s">
        <v>67</v>
      </c>
      <c r="K1878" t="str">
        <f t="shared" si="29"/>
        <v>35301</v>
      </c>
      <c r="L1878">
        <v>172989.45</v>
      </c>
      <c r="M1878">
        <v>13372.59</v>
      </c>
      <c r="N1878">
        <v>0</v>
      </c>
      <c r="O1878">
        <v>0</v>
      </c>
      <c r="P1878">
        <v>186362.04</v>
      </c>
    </row>
    <row r="1879" spans="1:16">
      <c r="A1879" s="1">
        <v>44713</v>
      </c>
      <c r="B1879" t="s">
        <v>128</v>
      </c>
      <c r="C1879" t="s">
        <v>14</v>
      </c>
      <c r="D1879" t="s">
        <v>15</v>
      </c>
      <c r="E1879" t="s">
        <v>33</v>
      </c>
      <c r="F1879" t="s">
        <v>17</v>
      </c>
      <c r="G1879" t="s">
        <v>59</v>
      </c>
      <c r="H1879" t="s">
        <v>528</v>
      </c>
      <c r="I1879">
        <v>6</v>
      </c>
      <c r="J1879" t="s">
        <v>121</v>
      </c>
      <c r="K1879" t="str">
        <f t="shared" si="29"/>
        <v>35400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1:16">
      <c r="A1880" s="1">
        <v>44713</v>
      </c>
      <c r="B1880" t="s">
        <v>128</v>
      </c>
      <c r="C1880" t="s">
        <v>14</v>
      </c>
      <c r="D1880" t="s">
        <v>15</v>
      </c>
      <c r="E1880" t="s">
        <v>33</v>
      </c>
      <c r="F1880" t="s">
        <v>17</v>
      </c>
      <c r="G1880" t="s">
        <v>59</v>
      </c>
      <c r="H1880" t="s">
        <v>528</v>
      </c>
      <c r="I1880">
        <v>6</v>
      </c>
      <c r="J1880" t="s">
        <v>69</v>
      </c>
      <c r="K1880" t="str">
        <f t="shared" si="29"/>
        <v>35500</v>
      </c>
      <c r="L1880">
        <v>9260216.0500000007</v>
      </c>
      <c r="M1880">
        <v>878289.22</v>
      </c>
      <c r="N1880">
        <v>0</v>
      </c>
      <c r="O1880">
        <v>0</v>
      </c>
      <c r="P1880">
        <v>10138505.27</v>
      </c>
    </row>
    <row r="1881" spans="1:16">
      <c r="A1881" s="1">
        <v>44713</v>
      </c>
      <c r="B1881" t="s">
        <v>128</v>
      </c>
      <c r="C1881" t="s">
        <v>14</v>
      </c>
      <c r="D1881" t="s">
        <v>15</v>
      </c>
      <c r="E1881" t="s">
        <v>33</v>
      </c>
      <c r="F1881" t="s">
        <v>17</v>
      </c>
      <c r="G1881" t="s">
        <v>59</v>
      </c>
      <c r="H1881" t="s">
        <v>528</v>
      </c>
      <c r="I1881">
        <v>6</v>
      </c>
      <c r="J1881" t="s">
        <v>70</v>
      </c>
      <c r="K1881" t="str">
        <f t="shared" si="29"/>
        <v>35600</v>
      </c>
      <c r="L1881">
        <v>4518052.21</v>
      </c>
      <c r="M1881">
        <v>435123.88</v>
      </c>
      <c r="N1881">
        <v>0</v>
      </c>
      <c r="O1881">
        <v>0</v>
      </c>
      <c r="P1881">
        <v>4953176.09</v>
      </c>
    </row>
    <row r="1882" spans="1:16">
      <c r="A1882" s="1">
        <v>44713</v>
      </c>
      <c r="B1882" t="s">
        <v>128</v>
      </c>
      <c r="C1882" t="s">
        <v>14</v>
      </c>
      <c r="D1882" t="s">
        <v>15</v>
      </c>
      <c r="E1882" t="s">
        <v>33</v>
      </c>
      <c r="F1882" t="s">
        <v>17</v>
      </c>
      <c r="G1882" t="s">
        <v>59</v>
      </c>
      <c r="H1882" t="s">
        <v>528</v>
      </c>
      <c r="I1882">
        <v>6</v>
      </c>
      <c r="J1882" t="s">
        <v>71</v>
      </c>
      <c r="K1882" t="str">
        <f t="shared" si="29"/>
        <v>35700</v>
      </c>
      <c r="L1882">
        <v>4561.8900000000003</v>
      </c>
      <c r="M1882">
        <v>0</v>
      </c>
      <c r="N1882">
        <v>0</v>
      </c>
      <c r="O1882">
        <v>0</v>
      </c>
      <c r="P1882">
        <v>4561.8900000000003</v>
      </c>
    </row>
    <row r="1883" spans="1:16">
      <c r="A1883" s="1">
        <v>44713</v>
      </c>
      <c r="B1883" t="s">
        <v>128</v>
      </c>
      <c r="C1883" t="s">
        <v>14</v>
      </c>
      <c r="D1883" t="s">
        <v>15</v>
      </c>
      <c r="E1883" t="s">
        <v>33</v>
      </c>
      <c r="F1883" t="s">
        <v>17</v>
      </c>
      <c r="G1883" t="s">
        <v>59</v>
      </c>
      <c r="H1883" t="s">
        <v>528</v>
      </c>
      <c r="I1883">
        <v>6</v>
      </c>
      <c r="J1883" t="s">
        <v>72</v>
      </c>
      <c r="K1883" t="str">
        <f t="shared" si="29"/>
        <v>35800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1:16">
      <c r="A1884" s="1">
        <v>44743</v>
      </c>
      <c r="B1884" t="s">
        <v>127</v>
      </c>
      <c r="C1884" t="s">
        <v>14</v>
      </c>
      <c r="D1884" t="s">
        <v>15</v>
      </c>
      <c r="E1884" t="s">
        <v>33</v>
      </c>
      <c r="F1884" t="s">
        <v>24</v>
      </c>
      <c r="G1884" t="s">
        <v>59</v>
      </c>
      <c r="H1884" t="s">
        <v>528</v>
      </c>
      <c r="I1884">
        <v>6</v>
      </c>
      <c r="J1884" t="s">
        <v>60</v>
      </c>
      <c r="K1884" t="str">
        <f t="shared" si="29"/>
        <v>35001</v>
      </c>
      <c r="L1884">
        <v>1988509.0899999999</v>
      </c>
      <c r="M1884">
        <v>0</v>
      </c>
      <c r="N1884">
        <v>0</v>
      </c>
      <c r="O1884">
        <v>0</v>
      </c>
      <c r="P1884" s="8">
        <v>1988509.0899999999</v>
      </c>
    </row>
    <row r="1885" spans="1:16">
      <c r="A1885" s="1">
        <v>44743</v>
      </c>
      <c r="B1885" t="s">
        <v>127</v>
      </c>
      <c r="C1885" t="s">
        <v>14</v>
      </c>
      <c r="D1885" t="s">
        <v>15</v>
      </c>
      <c r="E1885" t="s">
        <v>33</v>
      </c>
      <c r="F1885" t="s">
        <v>24</v>
      </c>
      <c r="G1885" t="s">
        <v>59</v>
      </c>
      <c r="H1885" t="s">
        <v>528</v>
      </c>
      <c r="I1885">
        <v>6</v>
      </c>
      <c r="J1885" t="s">
        <v>61</v>
      </c>
      <c r="K1885" t="str">
        <f t="shared" si="29"/>
        <v>35002</v>
      </c>
      <c r="L1885">
        <v>4313014.6500000004</v>
      </c>
      <c r="M1885">
        <v>0</v>
      </c>
      <c r="N1885">
        <v>0</v>
      </c>
      <c r="O1885">
        <v>0</v>
      </c>
      <c r="P1885" s="8">
        <v>4313014.6500000004</v>
      </c>
    </row>
    <row r="1886" spans="1:16">
      <c r="A1886" s="1">
        <v>44743</v>
      </c>
      <c r="B1886" t="s">
        <v>127</v>
      </c>
      <c r="C1886" t="s">
        <v>14</v>
      </c>
      <c r="D1886" t="s">
        <v>15</v>
      </c>
      <c r="E1886" t="s">
        <v>33</v>
      </c>
      <c r="F1886" t="s">
        <v>24</v>
      </c>
      <c r="G1886" t="s">
        <v>59</v>
      </c>
      <c r="H1886" t="s">
        <v>528</v>
      </c>
      <c r="I1886">
        <v>6</v>
      </c>
      <c r="J1886" t="s">
        <v>62</v>
      </c>
      <c r="K1886" t="str">
        <f t="shared" si="29"/>
        <v>35003</v>
      </c>
      <c r="L1886">
        <v>0</v>
      </c>
      <c r="M1886">
        <v>0</v>
      </c>
      <c r="N1886">
        <v>0</v>
      </c>
      <c r="O1886">
        <v>0</v>
      </c>
      <c r="P1886" s="8">
        <v>0</v>
      </c>
    </row>
    <row r="1887" spans="1:16">
      <c r="A1887" s="1">
        <v>44743</v>
      </c>
      <c r="B1887" t="s">
        <v>127</v>
      </c>
      <c r="C1887" t="s">
        <v>14</v>
      </c>
      <c r="D1887" t="s">
        <v>15</v>
      </c>
      <c r="E1887" t="s">
        <v>33</v>
      </c>
      <c r="F1887" t="s">
        <v>24</v>
      </c>
      <c r="G1887" t="s">
        <v>59</v>
      </c>
      <c r="H1887" t="s">
        <v>528</v>
      </c>
      <c r="I1887">
        <v>6</v>
      </c>
      <c r="J1887" t="s">
        <v>63</v>
      </c>
      <c r="K1887" t="str">
        <f t="shared" si="29"/>
        <v>35200</v>
      </c>
      <c r="L1887">
        <v>10463520.74</v>
      </c>
      <c r="M1887">
        <v>0</v>
      </c>
      <c r="N1887">
        <v>0</v>
      </c>
      <c r="O1887">
        <v>0</v>
      </c>
      <c r="P1887" s="8">
        <v>10463520.74</v>
      </c>
    </row>
    <row r="1888" spans="1:16">
      <c r="A1888" s="1">
        <v>44743</v>
      </c>
      <c r="B1888" t="s">
        <v>127</v>
      </c>
      <c r="C1888" t="s">
        <v>14</v>
      </c>
      <c r="D1888" t="s">
        <v>15</v>
      </c>
      <c r="E1888" t="s">
        <v>33</v>
      </c>
      <c r="F1888" t="s">
        <v>24</v>
      </c>
      <c r="G1888" t="s">
        <v>59</v>
      </c>
      <c r="H1888" t="s">
        <v>528</v>
      </c>
      <c r="I1888">
        <v>6</v>
      </c>
      <c r="J1888" t="s">
        <v>64</v>
      </c>
      <c r="K1888" t="str">
        <f t="shared" si="29"/>
        <v>35205</v>
      </c>
      <c r="L1888">
        <v>274154.33</v>
      </c>
      <c r="M1888">
        <v>0</v>
      </c>
      <c r="N1888">
        <v>0</v>
      </c>
      <c r="O1888">
        <v>0</v>
      </c>
      <c r="P1888" s="8">
        <v>274154.33</v>
      </c>
    </row>
    <row r="1889" spans="1:16">
      <c r="A1889" s="1">
        <v>44743</v>
      </c>
      <c r="B1889" t="s">
        <v>127</v>
      </c>
      <c r="C1889" t="s">
        <v>14</v>
      </c>
      <c r="D1889" t="s">
        <v>15</v>
      </c>
      <c r="E1889" t="s">
        <v>33</v>
      </c>
      <c r="F1889" t="s">
        <v>24</v>
      </c>
      <c r="G1889" t="s">
        <v>59</v>
      </c>
      <c r="H1889" t="s">
        <v>528</v>
      </c>
      <c r="I1889">
        <v>6</v>
      </c>
      <c r="J1889" t="s">
        <v>65</v>
      </c>
      <c r="K1889" t="str">
        <f t="shared" si="29"/>
        <v>35259</v>
      </c>
      <c r="L1889">
        <v>220613.03</v>
      </c>
      <c r="M1889">
        <v>0</v>
      </c>
      <c r="N1889">
        <v>0</v>
      </c>
      <c r="O1889">
        <v>0</v>
      </c>
      <c r="P1889" s="8">
        <v>220613.03</v>
      </c>
    </row>
    <row r="1890" spans="1:16">
      <c r="A1890" s="1">
        <v>44743</v>
      </c>
      <c r="B1890" t="s">
        <v>127</v>
      </c>
      <c r="C1890" t="s">
        <v>14</v>
      </c>
      <c r="D1890" t="s">
        <v>15</v>
      </c>
      <c r="E1890" t="s">
        <v>33</v>
      </c>
      <c r="F1890" t="s">
        <v>24</v>
      </c>
      <c r="G1890" t="s">
        <v>59</v>
      </c>
      <c r="H1890" t="s">
        <v>528</v>
      </c>
      <c r="I1890">
        <v>6</v>
      </c>
      <c r="J1890" t="s">
        <v>66</v>
      </c>
      <c r="K1890" t="str">
        <f t="shared" si="29"/>
        <v>35300</v>
      </c>
      <c r="L1890">
        <v>101605813.11</v>
      </c>
      <c r="M1890">
        <v>0</v>
      </c>
      <c r="N1890">
        <v>0</v>
      </c>
      <c r="O1890">
        <v>0</v>
      </c>
      <c r="P1890" s="8">
        <v>101605813.11</v>
      </c>
    </row>
    <row r="1891" spans="1:16">
      <c r="A1891" s="1">
        <v>44743</v>
      </c>
      <c r="B1891" t="s">
        <v>127</v>
      </c>
      <c r="C1891" t="s">
        <v>14</v>
      </c>
      <c r="D1891" t="s">
        <v>15</v>
      </c>
      <c r="E1891" t="s">
        <v>33</v>
      </c>
      <c r="F1891" t="s">
        <v>24</v>
      </c>
      <c r="G1891" t="s">
        <v>59</v>
      </c>
      <c r="H1891" t="s">
        <v>528</v>
      </c>
      <c r="I1891">
        <v>6</v>
      </c>
      <c r="J1891" t="s">
        <v>67</v>
      </c>
      <c r="K1891" t="str">
        <f t="shared" si="29"/>
        <v>35301</v>
      </c>
      <c r="L1891">
        <v>8243520.1799999997</v>
      </c>
      <c r="M1891">
        <v>0</v>
      </c>
      <c r="N1891">
        <v>0</v>
      </c>
      <c r="O1891">
        <v>0</v>
      </c>
      <c r="P1891" s="8">
        <v>8243520.1799999997</v>
      </c>
    </row>
    <row r="1892" spans="1:16">
      <c r="A1892" s="1">
        <v>44743</v>
      </c>
      <c r="B1892" t="s">
        <v>127</v>
      </c>
      <c r="C1892" t="s">
        <v>14</v>
      </c>
      <c r="D1892" t="s">
        <v>15</v>
      </c>
      <c r="E1892" t="s">
        <v>33</v>
      </c>
      <c r="F1892" t="s">
        <v>24</v>
      </c>
      <c r="G1892" t="s">
        <v>59</v>
      </c>
      <c r="H1892" t="s">
        <v>528</v>
      </c>
      <c r="I1892">
        <v>6</v>
      </c>
      <c r="J1892" t="s">
        <v>68</v>
      </c>
      <c r="K1892" t="str">
        <f t="shared" si="29"/>
        <v>35359</v>
      </c>
      <c r="L1892">
        <v>4227063.49</v>
      </c>
      <c r="M1892">
        <v>0</v>
      </c>
      <c r="N1892">
        <v>0</v>
      </c>
      <c r="O1892">
        <v>0</v>
      </c>
      <c r="P1892" s="8">
        <v>4227063.49</v>
      </c>
    </row>
    <row r="1893" spans="1:16">
      <c r="A1893" s="1">
        <v>44743</v>
      </c>
      <c r="B1893" t="s">
        <v>127</v>
      </c>
      <c r="C1893" t="s">
        <v>14</v>
      </c>
      <c r="D1893" t="s">
        <v>15</v>
      </c>
      <c r="E1893" t="s">
        <v>33</v>
      </c>
      <c r="F1893" t="s">
        <v>24</v>
      </c>
      <c r="G1893" t="s">
        <v>59</v>
      </c>
      <c r="H1893" t="s">
        <v>528</v>
      </c>
      <c r="I1893">
        <v>6</v>
      </c>
      <c r="J1893" t="s">
        <v>69</v>
      </c>
      <c r="K1893" t="str">
        <f t="shared" si="29"/>
        <v>35500</v>
      </c>
      <c r="L1893">
        <v>55955384.049999997</v>
      </c>
      <c r="M1893">
        <v>143.64000000000001</v>
      </c>
      <c r="N1893">
        <v>0</v>
      </c>
      <c r="O1893">
        <v>0</v>
      </c>
      <c r="P1893" s="8">
        <v>55955527.689999998</v>
      </c>
    </row>
    <row r="1894" spans="1:16">
      <c r="A1894" s="1">
        <v>44743</v>
      </c>
      <c r="B1894" t="s">
        <v>127</v>
      </c>
      <c r="C1894" t="s">
        <v>14</v>
      </c>
      <c r="D1894" t="s">
        <v>15</v>
      </c>
      <c r="E1894" t="s">
        <v>33</v>
      </c>
      <c r="F1894" t="s">
        <v>24</v>
      </c>
      <c r="G1894" t="s">
        <v>59</v>
      </c>
      <c r="H1894" t="s">
        <v>528</v>
      </c>
      <c r="I1894">
        <v>6</v>
      </c>
      <c r="J1894" t="s">
        <v>70</v>
      </c>
      <c r="K1894" t="str">
        <f t="shared" si="29"/>
        <v>35600</v>
      </c>
      <c r="L1894">
        <v>54660028.170000002</v>
      </c>
      <c r="M1894">
        <v>79.81</v>
      </c>
      <c r="N1894">
        <v>0</v>
      </c>
      <c r="O1894">
        <v>0</v>
      </c>
      <c r="P1894" s="8">
        <v>54660107.979999997</v>
      </c>
    </row>
    <row r="1895" spans="1:16">
      <c r="A1895" s="1">
        <v>44743</v>
      </c>
      <c r="B1895" t="s">
        <v>127</v>
      </c>
      <c r="C1895" t="s">
        <v>14</v>
      </c>
      <c r="D1895" t="s">
        <v>15</v>
      </c>
      <c r="E1895" t="s">
        <v>33</v>
      </c>
      <c r="F1895" t="s">
        <v>24</v>
      </c>
      <c r="G1895" t="s">
        <v>59</v>
      </c>
      <c r="H1895" t="s">
        <v>528</v>
      </c>
      <c r="I1895">
        <v>6</v>
      </c>
      <c r="J1895" t="s">
        <v>71</v>
      </c>
      <c r="K1895" t="str">
        <f t="shared" si="29"/>
        <v>35700</v>
      </c>
      <c r="L1895">
        <v>0</v>
      </c>
      <c r="M1895">
        <v>0</v>
      </c>
      <c r="N1895">
        <v>0</v>
      </c>
      <c r="O1895">
        <v>0</v>
      </c>
      <c r="P1895" s="8">
        <v>0</v>
      </c>
    </row>
    <row r="1896" spans="1:16">
      <c r="A1896" s="1">
        <v>44743</v>
      </c>
      <c r="B1896" t="s">
        <v>127</v>
      </c>
      <c r="C1896" t="s">
        <v>14</v>
      </c>
      <c r="D1896" t="s">
        <v>15</v>
      </c>
      <c r="E1896" t="s">
        <v>33</v>
      </c>
      <c r="F1896" t="s">
        <v>24</v>
      </c>
      <c r="G1896" t="s">
        <v>59</v>
      </c>
      <c r="H1896" t="s">
        <v>528</v>
      </c>
      <c r="I1896">
        <v>6</v>
      </c>
      <c r="J1896" t="s">
        <v>72</v>
      </c>
      <c r="K1896" t="str">
        <f t="shared" si="29"/>
        <v>35800</v>
      </c>
      <c r="L1896">
        <v>0</v>
      </c>
      <c r="M1896">
        <v>0</v>
      </c>
      <c r="N1896">
        <v>0</v>
      </c>
      <c r="O1896">
        <v>0</v>
      </c>
      <c r="P1896" s="8">
        <v>0</v>
      </c>
    </row>
    <row r="1897" spans="1:16">
      <c r="A1897" s="1">
        <v>44743</v>
      </c>
      <c r="B1897" t="s">
        <v>127</v>
      </c>
      <c r="C1897" t="s">
        <v>14</v>
      </c>
      <c r="D1897" t="s">
        <v>15</v>
      </c>
      <c r="E1897" t="s">
        <v>33</v>
      </c>
      <c r="F1897" t="s">
        <v>118</v>
      </c>
      <c r="G1897" t="s">
        <v>59</v>
      </c>
      <c r="H1897" t="s">
        <v>528</v>
      </c>
      <c r="I1897">
        <v>6</v>
      </c>
      <c r="J1897" t="s">
        <v>62</v>
      </c>
      <c r="K1897" t="str">
        <f t="shared" si="29"/>
        <v>35003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1:16">
      <c r="A1898" s="1">
        <v>44743</v>
      </c>
      <c r="B1898" t="s">
        <v>127</v>
      </c>
      <c r="C1898" t="s">
        <v>14</v>
      </c>
      <c r="D1898" t="s">
        <v>15</v>
      </c>
      <c r="E1898" t="s">
        <v>33</v>
      </c>
      <c r="F1898" t="s">
        <v>119</v>
      </c>
      <c r="G1898" t="s">
        <v>59</v>
      </c>
      <c r="H1898" t="s">
        <v>528</v>
      </c>
      <c r="I1898">
        <v>6</v>
      </c>
      <c r="J1898" t="s">
        <v>66</v>
      </c>
      <c r="K1898" t="str">
        <f t="shared" si="29"/>
        <v>35300</v>
      </c>
      <c r="L1898">
        <v>158336.61000000002</v>
      </c>
      <c r="M1898">
        <v>0</v>
      </c>
      <c r="N1898">
        <v>0</v>
      </c>
      <c r="O1898">
        <v>0</v>
      </c>
      <c r="P1898" s="9">
        <v>158336.61000000002</v>
      </c>
    </row>
    <row r="1899" spans="1:16">
      <c r="A1899" s="1">
        <v>44743</v>
      </c>
      <c r="B1899" t="s">
        <v>127</v>
      </c>
      <c r="C1899" t="s">
        <v>14</v>
      </c>
      <c r="D1899" t="s">
        <v>15</v>
      </c>
      <c r="E1899" t="s">
        <v>33</v>
      </c>
      <c r="F1899" t="s">
        <v>17</v>
      </c>
      <c r="G1899" t="s">
        <v>59</v>
      </c>
      <c r="H1899" t="s">
        <v>528</v>
      </c>
      <c r="I1899">
        <v>6</v>
      </c>
      <c r="J1899" t="s">
        <v>60</v>
      </c>
      <c r="K1899" t="str">
        <f t="shared" si="29"/>
        <v>35001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1:16">
      <c r="A1900" s="1">
        <v>44743</v>
      </c>
      <c r="B1900" t="s">
        <v>127</v>
      </c>
      <c r="C1900" t="s">
        <v>14</v>
      </c>
      <c r="D1900" t="s">
        <v>15</v>
      </c>
      <c r="E1900" t="s">
        <v>33</v>
      </c>
      <c r="F1900" t="s">
        <v>17</v>
      </c>
      <c r="G1900" t="s">
        <v>59</v>
      </c>
      <c r="H1900" t="s">
        <v>528</v>
      </c>
      <c r="I1900">
        <v>6</v>
      </c>
      <c r="J1900" t="s">
        <v>61</v>
      </c>
      <c r="K1900" t="str">
        <f t="shared" si="29"/>
        <v>35002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1:16">
      <c r="A1901" s="1">
        <v>44743</v>
      </c>
      <c r="B1901" t="s">
        <v>127</v>
      </c>
      <c r="C1901" t="s">
        <v>14</v>
      </c>
      <c r="D1901" t="s">
        <v>15</v>
      </c>
      <c r="E1901" t="s">
        <v>33</v>
      </c>
      <c r="F1901" t="s">
        <v>17</v>
      </c>
      <c r="G1901" t="s">
        <v>59</v>
      </c>
      <c r="H1901" t="s">
        <v>528</v>
      </c>
      <c r="I1901">
        <v>6</v>
      </c>
      <c r="J1901" t="s">
        <v>63</v>
      </c>
      <c r="K1901" t="str">
        <f t="shared" si="29"/>
        <v>35200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1:16">
      <c r="A1902" s="1">
        <v>44743</v>
      </c>
      <c r="B1902" t="s">
        <v>127</v>
      </c>
      <c r="C1902" t="s">
        <v>14</v>
      </c>
      <c r="D1902" t="s">
        <v>15</v>
      </c>
      <c r="E1902" t="s">
        <v>33</v>
      </c>
      <c r="F1902" t="s">
        <v>17</v>
      </c>
      <c r="G1902" t="s">
        <v>59</v>
      </c>
      <c r="H1902" t="s">
        <v>528</v>
      </c>
      <c r="I1902">
        <v>6</v>
      </c>
      <c r="J1902" t="s">
        <v>66</v>
      </c>
      <c r="K1902" t="str">
        <f t="shared" si="29"/>
        <v>35300</v>
      </c>
      <c r="L1902">
        <v>3155485.73</v>
      </c>
      <c r="M1902">
        <v>101487.95</v>
      </c>
      <c r="N1902">
        <v>0</v>
      </c>
      <c r="O1902">
        <v>0</v>
      </c>
      <c r="P1902">
        <v>3256973.68</v>
      </c>
    </row>
    <row r="1903" spans="1:16">
      <c r="A1903" s="1">
        <v>44743</v>
      </c>
      <c r="B1903" t="s">
        <v>127</v>
      </c>
      <c r="C1903" t="s">
        <v>14</v>
      </c>
      <c r="D1903" t="s">
        <v>15</v>
      </c>
      <c r="E1903" t="s">
        <v>33</v>
      </c>
      <c r="F1903" t="s">
        <v>17</v>
      </c>
      <c r="G1903" t="s">
        <v>59</v>
      </c>
      <c r="H1903" t="s">
        <v>528</v>
      </c>
      <c r="I1903">
        <v>6</v>
      </c>
      <c r="J1903" t="s">
        <v>67</v>
      </c>
      <c r="K1903" t="str">
        <f t="shared" si="29"/>
        <v>35301</v>
      </c>
      <c r="L1903">
        <v>186362.04</v>
      </c>
      <c r="M1903">
        <v>-1746.6200000000001</v>
      </c>
      <c r="N1903">
        <v>0</v>
      </c>
      <c r="O1903">
        <v>0</v>
      </c>
      <c r="P1903">
        <v>184615.42</v>
      </c>
    </row>
    <row r="1904" spans="1:16">
      <c r="A1904" s="1">
        <v>44743</v>
      </c>
      <c r="B1904" t="s">
        <v>127</v>
      </c>
      <c r="C1904" t="s">
        <v>14</v>
      </c>
      <c r="D1904" t="s">
        <v>15</v>
      </c>
      <c r="E1904" t="s">
        <v>33</v>
      </c>
      <c r="F1904" t="s">
        <v>17</v>
      </c>
      <c r="G1904" t="s">
        <v>59</v>
      </c>
      <c r="H1904" t="s">
        <v>528</v>
      </c>
      <c r="I1904">
        <v>6</v>
      </c>
      <c r="J1904" t="s">
        <v>121</v>
      </c>
      <c r="K1904" t="str">
        <f t="shared" si="29"/>
        <v>35400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1:16">
      <c r="A1905" s="1">
        <v>44743</v>
      </c>
      <c r="B1905" t="s">
        <v>127</v>
      </c>
      <c r="C1905" t="s">
        <v>14</v>
      </c>
      <c r="D1905" t="s">
        <v>15</v>
      </c>
      <c r="E1905" t="s">
        <v>33</v>
      </c>
      <c r="F1905" t="s">
        <v>17</v>
      </c>
      <c r="G1905" t="s">
        <v>59</v>
      </c>
      <c r="H1905" t="s">
        <v>528</v>
      </c>
      <c r="I1905">
        <v>6</v>
      </c>
      <c r="J1905" t="s">
        <v>69</v>
      </c>
      <c r="K1905" t="str">
        <f t="shared" si="29"/>
        <v>35500</v>
      </c>
      <c r="L1905">
        <v>10138505.27</v>
      </c>
      <c r="M1905">
        <v>73694.64</v>
      </c>
      <c r="N1905">
        <v>0</v>
      </c>
      <c r="O1905">
        <v>0</v>
      </c>
      <c r="P1905">
        <v>10212199.91</v>
      </c>
    </row>
    <row r="1906" spans="1:16">
      <c r="A1906" s="1">
        <v>44743</v>
      </c>
      <c r="B1906" t="s">
        <v>127</v>
      </c>
      <c r="C1906" t="s">
        <v>14</v>
      </c>
      <c r="D1906" t="s">
        <v>15</v>
      </c>
      <c r="E1906" t="s">
        <v>33</v>
      </c>
      <c r="F1906" t="s">
        <v>17</v>
      </c>
      <c r="G1906" t="s">
        <v>59</v>
      </c>
      <c r="H1906" t="s">
        <v>528</v>
      </c>
      <c r="I1906">
        <v>6</v>
      </c>
      <c r="J1906" t="s">
        <v>70</v>
      </c>
      <c r="K1906" t="str">
        <f t="shared" si="29"/>
        <v>35600</v>
      </c>
      <c r="L1906">
        <v>4953176.09</v>
      </c>
      <c r="M1906">
        <v>36998.620000000003</v>
      </c>
      <c r="N1906">
        <v>0</v>
      </c>
      <c r="O1906">
        <v>0</v>
      </c>
      <c r="P1906">
        <v>4990174.71</v>
      </c>
    </row>
    <row r="1907" spans="1:16">
      <c r="A1907" s="1">
        <v>44743</v>
      </c>
      <c r="B1907" t="s">
        <v>127</v>
      </c>
      <c r="C1907" t="s">
        <v>14</v>
      </c>
      <c r="D1907" t="s">
        <v>15</v>
      </c>
      <c r="E1907" t="s">
        <v>33</v>
      </c>
      <c r="F1907" t="s">
        <v>17</v>
      </c>
      <c r="G1907" t="s">
        <v>59</v>
      </c>
      <c r="H1907" t="s">
        <v>528</v>
      </c>
      <c r="I1907">
        <v>6</v>
      </c>
      <c r="J1907" t="s">
        <v>71</v>
      </c>
      <c r="K1907" t="str">
        <f t="shared" si="29"/>
        <v>35700</v>
      </c>
      <c r="L1907">
        <v>4561.8900000000003</v>
      </c>
      <c r="M1907">
        <v>0</v>
      </c>
      <c r="N1907">
        <v>0</v>
      </c>
      <c r="O1907">
        <v>0</v>
      </c>
      <c r="P1907">
        <v>4561.8900000000003</v>
      </c>
    </row>
    <row r="1908" spans="1:16">
      <c r="A1908" s="1">
        <v>44743</v>
      </c>
      <c r="B1908" t="s">
        <v>127</v>
      </c>
      <c r="C1908" t="s">
        <v>14</v>
      </c>
      <c r="D1908" t="s">
        <v>15</v>
      </c>
      <c r="E1908" t="s">
        <v>33</v>
      </c>
      <c r="F1908" t="s">
        <v>17</v>
      </c>
      <c r="G1908" t="s">
        <v>59</v>
      </c>
      <c r="H1908" t="s">
        <v>528</v>
      </c>
      <c r="I1908">
        <v>6</v>
      </c>
      <c r="J1908" t="s">
        <v>72</v>
      </c>
      <c r="K1908" t="str">
        <f t="shared" si="29"/>
        <v>35800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1:16">
      <c r="A1909" s="1">
        <v>44774</v>
      </c>
      <c r="B1909" t="s">
        <v>126</v>
      </c>
      <c r="C1909" t="s">
        <v>14</v>
      </c>
      <c r="D1909" t="s">
        <v>15</v>
      </c>
      <c r="E1909" t="s">
        <v>33</v>
      </c>
      <c r="F1909" t="s">
        <v>24</v>
      </c>
      <c r="G1909" t="s">
        <v>59</v>
      </c>
      <c r="H1909" t="s">
        <v>528</v>
      </c>
      <c r="I1909">
        <v>6</v>
      </c>
      <c r="J1909" t="s">
        <v>60</v>
      </c>
      <c r="K1909" t="str">
        <f t="shared" si="29"/>
        <v>35001</v>
      </c>
      <c r="L1909">
        <v>1988509.0899999999</v>
      </c>
      <c r="M1909">
        <v>0</v>
      </c>
      <c r="N1909">
        <v>0</v>
      </c>
      <c r="O1909">
        <v>0</v>
      </c>
      <c r="P1909" s="8">
        <v>1988509.0899999999</v>
      </c>
    </row>
    <row r="1910" spans="1:16">
      <c r="A1910" s="1">
        <v>44774</v>
      </c>
      <c r="B1910" t="s">
        <v>126</v>
      </c>
      <c r="C1910" t="s">
        <v>14</v>
      </c>
      <c r="D1910" t="s">
        <v>15</v>
      </c>
      <c r="E1910" t="s">
        <v>33</v>
      </c>
      <c r="F1910" t="s">
        <v>24</v>
      </c>
      <c r="G1910" t="s">
        <v>59</v>
      </c>
      <c r="H1910" t="s">
        <v>528</v>
      </c>
      <c r="I1910">
        <v>6</v>
      </c>
      <c r="J1910" t="s">
        <v>61</v>
      </c>
      <c r="K1910" t="str">
        <f t="shared" si="29"/>
        <v>35002</v>
      </c>
      <c r="L1910">
        <v>4313014.6500000004</v>
      </c>
      <c r="M1910">
        <v>0</v>
      </c>
      <c r="N1910">
        <v>0</v>
      </c>
      <c r="O1910">
        <v>0</v>
      </c>
      <c r="P1910" s="8">
        <v>4313014.6500000004</v>
      </c>
    </row>
    <row r="1911" spans="1:16">
      <c r="A1911" s="1">
        <v>44774</v>
      </c>
      <c r="B1911" t="s">
        <v>126</v>
      </c>
      <c r="C1911" t="s">
        <v>14</v>
      </c>
      <c r="D1911" t="s">
        <v>15</v>
      </c>
      <c r="E1911" t="s">
        <v>33</v>
      </c>
      <c r="F1911" t="s">
        <v>24</v>
      </c>
      <c r="G1911" t="s">
        <v>59</v>
      </c>
      <c r="H1911" t="s">
        <v>528</v>
      </c>
      <c r="I1911">
        <v>6</v>
      </c>
      <c r="J1911" t="s">
        <v>62</v>
      </c>
      <c r="K1911" t="str">
        <f t="shared" si="29"/>
        <v>35003</v>
      </c>
      <c r="L1911">
        <v>0</v>
      </c>
      <c r="M1911">
        <v>0</v>
      </c>
      <c r="N1911">
        <v>0</v>
      </c>
      <c r="O1911">
        <v>0</v>
      </c>
      <c r="P1911" s="8">
        <v>0</v>
      </c>
    </row>
    <row r="1912" spans="1:16">
      <c r="A1912" s="1">
        <v>44774</v>
      </c>
      <c r="B1912" t="s">
        <v>126</v>
      </c>
      <c r="C1912" t="s">
        <v>14</v>
      </c>
      <c r="D1912" t="s">
        <v>15</v>
      </c>
      <c r="E1912" t="s">
        <v>33</v>
      </c>
      <c r="F1912" t="s">
        <v>24</v>
      </c>
      <c r="G1912" t="s">
        <v>59</v>
      </c>
      <c r="H1912" t="s">
        <v>528</v>
      </c>
      <c r="I1912">
        <v>6</v>
      </c>
      <c r="J1912" t="s">
        <v>63</v>
      </c>
      <c r="K1912" t="str">
        <f t="shared" si="29"/>
        <v>35200</v>
      </c>
      <c r="L1912">
        <v>10463520.74</v>
      </c>
      <c r="M1912">
        <v>0</v>
      </c>
      <c r="N1912">
        <v>0</v>
      </c>
      <c r="O1912">
        <v>0</v>
      </c>
      <c r="P1912" s="8">
        <v>10463520.74</v>
      </c>
    </row>
    <row r="1913" spans="1:16">
      <c r="A1913" s="1">
        <v>44774</v>
      </c>
      <c r="B1913" t="s">
        <v>126</v>
      </c>
      <c r="C1913" t="s">
        <v>14</v>
      </c>
      <c r="D1913" t="s">
        <v>15</v>
      </c>
      <c r="E1913" t="s">
        <v>33</v>
      </c>
      <c r="F1913" t="s">
        <v>24</v>
      </c>
      <c r="G1913" t="s">
        <v>59</v>
      </c>
      <c r="H1913" t="s">
        <v>528</v>
      </c>
      <c r="I1913">
        <v>6</v>
      </c>
      <c r="J1913" t="s">
        <v>64</v>
      </c>
      <c r="K1913" t="str">
        <f t="shared" si="29"/>
        <v>35205</v>
      </c>
      <c r="L1913">
        <v>274154.33</v>
      </c>
      <c r="M1913">
        <v>0</v>
      </c>
      <c r="N1913">
        <v>0</v>
      </c>
      <c r="O1913">
        <v>0</v>
      </c>
      <c r="P1913" s="8">
        <v>274154.33</v>
      </c>
    </row>
    <row r="1914" spans="1:16">
      <c r="A1914" s="1">
        <v>44774</v>
      </c>
      <c r="B1914" t="s">
        <v>126</v>
      </c>
      <c r="C1914" t="s">
        <v>14</v>
      </c>
      <c r="D1914" t="s">
        <v>15</v>
      </c>
      <c r="E1914" t="s">
        <v>33</v>
      </c>
      <c r="F1914" t="s">
        <v>24</v>
      </c>
      <c r="G1914" t="s">
        <v>59</v>
      </c>
      <c r="H1914" t="s">
        <v>528</v>
      </c>
      <c r="I1914">
        <v>6</v>
      </c>
      <c r="J1914" t="s">
        <v>65</v>
      </c>
      <c r="K1914" t="str">
        <f t="shared" si="29"/>
        <v>35259</v>
      </c>
      <c r="L1914">
        <v>220613.03</v>
      </c>
      <c r="M1914">
        <v>0</v>
      </c>
      <c r="N1914">
        <v>0</v>
      </c>
      <c r="O1914">
        <v>0</v>
      </c>
      <c r="P1914" s="8">
        <v>220613.03</v>
      </c>
    </row>
    <row r="1915" spans="1:16">
      <c r="A1915" s="1">
        <v>44774</v>
      </c>
      <c r="B1915" t="s">
        <v>126</v>
      </c>
      <c r="C1915" t="s">
        <v>14</v>
      </c>
      <c r="D1915" t="s">
        <v>15</v>
      </c>
      <c r="E1915" t="s">
        <v>33</v>
      </c>
      <c r="F1915" t="s">
        <v>24</v>
      </c>
      <c r="G1915" t="s">
        <v>59</v>
      </c>
      <c r="H1915" t="s">
        <v>528</v>
      </c>
      <c r="I1915">
        <v>6</v>
      </c>
      <c r="J1915" t="s">
        <v>66</v>
      </c>
      <c r="K1915" t="str">
        <f t="shared" si="29"/>
        <v>35300</v>
      </c>
      <c r="L1915">
        <v>101605813.11</v>
      </c>
      <c r="M1915">
        <v>9275.64</v>
      </c>
      <c r="N1915">
        <v>0</v>
      </c>
      <c r="O1915">
        <v>0</v>
      </c>
      <c r="P1915" s="8">
        <v>101615088.75</v>
      </c>
    </row>
    <row r="1916" spans="1:16">
      <c r="A1916" s="1">
        <v>44774</v>
      </c>
      <c r="B1916" t="s">
        <v>126</v>
      </c>
      <c r="C1916" t="s">
        <v>14</v>
      </c>
      <c r="D1916" t="s">
        <v>15</v>
      </c>
      <c r="E1916" t="s">
        <v>33</v>
      </c>
      <c r="F1916" t="s">
        <v>24</v>
      </c>
      <c r="G1916" t="s">
        <v>59</v>
      </c>
      <c r="H1916" t="s">
        <v>528</v>
      </c>
      <c r="I1916">
        <v>6</v>
      </c>
      <c r="J1916" t="s">
        <v>67</v>
      </c>
      <c r="K1916" t="str">
        <f t="shared" si="29"/>
        <v>35301</v>
      </c>
      <c r="L1916">
        <v>8243520.1799999997</v>
      </c>
      <c r="M1916">
        <v>0</v>
      </c>
      <c r="N1916">
        <v>0</v>
      </c>
      <c r="O1916">
        <v>0</v>
      </c>
      <c r="P1916" s="8">
        <v>8243520.1799999997</v>
      </c>
    </row>
    <row r="1917" spans="1:16">
      <c r="A1917" s="1">
        <v>44774</v>
      </c>
      <c r="B1917" t="s">
        <v>126</v>
      </c>
      <c r="C1917" t="s">
        <v>14</v>
      </c>
      <c r="D1917" t="s">
        <v>15</v>
      </c>
      <c r="E1917" t="s">
        <v>33</v>
      </c>
      <c r="F1917" t="s">
        <v>24</v>
      </c>
      <c r="G1917" t="s">
        <v>59</v>
      </c>
      <c r="H1917" t="s">
        <v>528</v>
      </c>
      <c r="I1917">
        <v>6</v>
      </c>
      <c r="J1917" t="s">
        <v>68</v>
      </c>
      <c r="K1917" t="str">
        <f t="shared" si="29"/>
        <v>35359</v>
      </c>
      <c r="L1917">
        <v>4227063.49</v>
      </c>
      <c r="M1917">
        <v>0</v>
      </c>
      <c r="N1917">
        <v>0</v>
      </c>
      <c r="O1917">
        <v>0</v>
      </c>
      <c r="P1917" s="8">
        <v>4227063.49</v>
      </c>
    </row>
    <row r="1918" spans="1:16">
      <c r="A1918" s="1">
        <v>44774</v>
      </c>
      <c r="B1918" t="s">
        <v>126</v>
      </c>
      <c r="C1918" t="s">
        <v>14</v>
      </c>
      <c r="D1918" t="s">
        <v>15</v>
      </c>
      <c r="E1918" t="s">
        <v>33</v>
      </c>
      <c r="F1918" t="s">
        <v>24</v>
      </c>
      <c r="G1918" t="s">
        <v>59</v>
      </c>
      <c r="H1918" t="s">
        <v>528</v>
      </c>
      <c r="I1918">
        <v>6</v>
      </c>
      <c r="J1918" t="s">
        <v>69</v>
      </c>
      <c r="K1918" t="str">
        <f t="shared" si="29"/>
        <v>35500</v>
      </c>
      <c r="L1918">
        <v>55955527.689999998</v>
      </c>
      <c r="M1918">
        <v>25289.97</v>
      </c>
      <c r="N1918">
        <v>0</v>
      </c>
      <c r="O1918">
        <v>0</v>
      </c>
      <c r="P1918" s="8">
        <v>55980817.659999996</v>
      </c>
    </row>
    <row r="1919" spans="1:16">
      <c r="A1919" s="1">
        <v>44774</v>
      </c>
      <c r="B1919" t="s">
        <v>126</v>
      </c>
      <c r="C1919" t="s">
        <v>14</v>
      </c>
      <c r="D1919" t="s">
        <v>15</v>
      </c>
      <c r="E1919" t="s">
        <v>33</v>
      </c>
      <c r="F1919" t="s">
        <v>24</v>
      </c>
      <c r="G1919" t="s">
        <v>59</v>
      </c>
      <c r="H1919" t="s">
        <v>528</v>
      </c>
      <c r="I1919">
        <v>6</v>
      </c>
      <c r="J1919" t="s">
        <v>70</v>
      </c>
      <c r="K1919" t="str">
        <f t="shared" si="29"/>
        <v>35600</v>
      </c>
      <c r="L1919">
        <v>54660107.979999997</v>
      </c>
      <c r="M1919">
        <v>64706.04</v>
      </c>
      <c r="N1919">
        <v>0</v>
      </c>
      <c r="O1919">
        <v>0</v>
      </c>
      <c r="P1919" s="8">
        <v>54724814.020000003</v>
      </c>
    </row>
    <row r="1920" spans="1:16">
      <c r="A1920" s="1">
        <v>44774</v>
      </c>
      <c r="B1920" t="s">
        <v>126</v>
      </c>
      <c r="C1920" t="s">
        <v>14</v>
      </c>
      <c r="D1920" t="s">
        <v>15</v>
      </c>
      <c r="E1920" t="s">
        <v>33</v>
      </c>
      <c r="F1920" t="s">
        <v>24</v>
      </c>
      <c r="G1920" t="s">
        <v>59</v>
      </c>
      <c r="H1920" t="s">
        <v>528</v>
      </c>
      <c r="I1920">
        <v>6</v>
      </c>
      <c r="J1920" t="s">
        <v>71</v>
      </c>
      <c r="K1920" t="str">
        <f t="shared" si="29"/>
        <v>35700</v>
      </c>
      <c r="L1920">
        <v>0</v>
      </c>
      <c r="M1920">
        <v>0</v>
      </c>
      <c r="N1920">
        <v>0</v>
      </c>
      <c r="O1920">
        <v>0</v>
      </c>
      <c r="P1920" s="8">
        <v>0</v>
      </c>
    </row>
    <row r="1921" spans="1:16">
      <c r="A1921" s="1">
        <v>44774</v>
      </c>
      <c r="B1921" t="s">
        <v>126</v>
      </c>
      <c r="C1921" t="s">
        <v>14</v>
      </c>
      <c r="D1921" t="s">
        <v>15</v>
      </c>
      <c r="E1921" t="s">
        <v>33</v>
      </c>
      <c r="F1921" t="s">
        <v>24</v>
      </c>
      <c r="G1921" t="s">
        <v>59</v>
      </c>
      <c r="H1921" t="s">
        <v>528</v>
      </c>
      <c r="I1921">
        <v>6</v>
      </c>
      <c r="J1921" t="s">
        <v>72</v>
      </c>
      <c r="K1921" t="str">
        <f t="shared" si="29"/>
        <v>35800</v>
      </c>
      <c r="L1921">
        <v>0</v>
      </c>
      <c r="M1921">
        <v>0</v>
      </c>
      <c r="N1921">
        <v>0</v>
      </c>
      <c r="O1921">
        <v>0</v>
      </c>
      <c r="P1921" s="8">
        <v>0</v>
      </c>
    </row>
    <row r="1922" spans="1:16">
      <c r="A1922" s="1">
        <v>44774</v>
      </c>
      <c r="B1922" t="s">
        <v>126</v>
      </c>
      <c r="C1922" t="s">
        <v>14</v>
      </c>
      <c r="D1922" t="s">
        <v>15</v>
      </c>
      <c r="E1922" t="s">
        <v>33</v>
      </c>
      <c r="F1922" t="s">
        <v>118</v>
      </c>
      <c r="G1922" t="s">
        <v>59</v>
      </c>
      <c r="H1922" t="s">
        <v>528</v>
      </c>
      <c r="I1922">
        <v>6</v>
      </c>
      <c r="J1922" t="s">
        <v>62</v>
      </c>
      <c r="K1922" t="str">
        <f t="shared" ref="K1922:K1985" si="30">MID(J1922,2,5)</f>
        <v>35003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1:16">
      <c r="A1923" s="1">
        <v>44774</v>
      </c>
      <c r="B1923" t="s">
        <v>126</v>
      </c>
      <c r="C1923" t="s">
        <v>14</v>
      </c>
      <c r="D1923" t="s">
        <v>15</v>
      </c>
      <c r="E1923" t="s">
        <v>33</v>
      </c>
      <c r="F1923" t="s">
        <v>119</v>
      </c>
      <c r="G1923" t="s">
        <v>59</v>
      </c>
      <c r="H1923" t="s">
        <v>528</v>
      </c>
      <c r="I1923">
        <v>6</v>
      </c>
      <c r="J1923" t="s">
        <v>66</v>
      </c>
      <c r="K1923" t="str">
        <f t="shared" si="30"/>
        <v>35300</v>
      </c>
      <c r="L1923">
        <v>158336.61000000002</v>
      </c>
      <c r="M1923">
        <v>0</v>
      </c>
      <c r="N1923">
        <v>0</v>
      </c>
      <c r="O1923">
        <v>0</v>
      </c>
      <c r="P1923" s="9">
        <v>158336.61000000002</v>
      </c>
    </row>
    <row r="1924" spans="1:16">
      <c r="A1924" s="1">
        <v>44774</v>
      </c>
      <c r="B1924" t="s">
        <v>126</v>
      </c>
      <c r="C1924" t="s">
        <v>14</v>
      </c>
      <c r="D1924" t="s">
        <v>15</v>
      </c>
      <c r="E1924" t="s">
        <v>33</v>
      </c>
      <c r="F1924" t="s">
        <v>17</v>
      </c>
      <c r="G1924" t="s">
        <v>59</v>
      </c>
      <c r="H1924" t="s">
        <v>528</v>
      </c>
      <c r="I1924">
        <v>6</v>
      </c>
      <c r="J1924" t="s">
        <v>60</v>
      </c>
      <c r="K1924" t="str">
        <f t="shared" si="30"/>
        <v>35001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1:16">
      <c r="A1925" s="1">
        <v>44774</v>
      </c>
      <c r="B1925" t="s">
        <v>126</v>
      </c>
      <c r="C1925" t="s">
        <v>14</v>
      </c>
      <c r="D1925" t="s">
        <v>15</v>
      </c>
      <c r="E1925" t="s">
        <v>33</v>
      </c>
      <c r="F1925" t="s">
        <v>17</v>
      </c>
      <c r="G1925" t="s">
        <v>59</v>
      </c>
      <c r="H1925" t="s">
        <v>528</v>
      </c>
      <c r="I1925">
        <v>6</v>
      </c>
      <c r="J1925" t="s">
        <v>61</v>
      </c>
      <c r="K1925" t="str">
        <f t="shared" si="30"/>
        <v>35002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1:16">
      <c r="A1926" s="1">
        <v>44774</v>
      </c>
      <c r="B1926" t="s">
        <v>126</v>
      </c>
      <c r="C1926" t="s">
        <v>14</v>
      </c>
      <c r="D1926" t="s">
        <v>15</v>
      </c>
      <c r="E1926" t="s">
        <v>33</v>
      </c>
      <c r="F1926" t="s">
        <v>17</v>
      </c>
      <c r="G1926" t="s">
        <v>59</v>
      </c>
      <c r="H1926" t="s">
        <v>528</v>
      </c>
      <c r="I1926">
        <v>6</v>
      </c>
      <c r="J1926" t="s">
        <v>63</v>
      </c>
      <c r="K1926" t="str">
        <f t="shared" si="30"/>
        <v>35200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1:16">
      <c r="A1927" s="1">
        <v>44774</v>
      </c>
      <c r="B1927" t="s">
        <v>126</v>
      </c>
      <c r="C1927" t="s">
        <v>14</v>
      </c>
      <c r="D1927" t="s">
        <v>15</v>
      </c>
      <c r="E1927" t="s">
        <v>33</v>
      </c>
      <c r="F1927" t="s">
        <v>17</v>
      </c>
      <c r="G1927" t="s">
        <v>59</v>
      </c>
      <c r="H1927" t="s">
        <v>528</v>
      </c>
      <c r="I1927">
        <v>6</v>
      </c>
      <c r="J1927" t="s">
        <v>66</v>
      </c>
      <c r="K1927" t="str">
        <f t="shared" si="30"/>
        <v>35300</v>
      </c>
      <c r="L1927">
        <v>3256973.68</v>
      </c>
      <c r="M1927">
        <v>-76393.3</v>
      </c>
      <c r="N1927">
        <v>0</v>
      </c>
      <c r="O1927">
        <v>0</v>
      </c>
      <c r="P1927">
        <v>3180580.38</v>
      </c>
    </row>
    <row r="1928" spans="1:16">
      <c r="A1928" s="1">
        <v>44774</v>
      </c>
      <c r="B1928" t="s">
        <v>126</v>
      </c>
      <c r="C1928" t="s">
        <v>14</v>
      </c>
      <c r="D1928" t="s">
        <v>15</v>
      </c>
      <c r="E1928" t="s">
        <v>33</v>
      </c>
      <c r="F1928" t="s">
        <v>17</v>
      </c>
      <c r="G1928" t="s">
        <v>59</v>
      </c>
      <c r="H1928" t="s">
        <v>528</v>
      </c>
      <c r="I1928">
        <v>6</v>
      </c>
      <c r="J1928" t="s">
        <v>67</v>
      </c>
      <c r="K1928" t="str">
        <f t="shared" si="30"/>
        <v>35301</v>
      </c>
      <c r="L1928">
        <v>184615.42</v>
      </c>
      <c r="M1928">
        <v>0</v>
      </c>
      <c r="N1928">
        <v>0</v>
      </c>
      <c r="O1928">
        <v>0</v>
      </c>
      <c r="P1928">
        <v>184615.42</v>
      </c>
    </row>
    <row r="1929" spans="1:16">
      <c r="A1929" s="1">
        <v>44774</v>
      </c>
      <c r="B1929" t="s">
        <v>126</v>
      </c>
      <c r="C1929" t="s">
        <v>14</v>
      </c>
      <c r="D1929" t="s">
        <v>15</v>
      </c>
      <c r="E1929" t="s">
        <v>33</v>
      </c>
      <c r="F1929" t="s">
        <v>17</v>
      </c>
      <c r="G1929" t="s">
        <v>59</v>
      </c>
      <c r="H1929" t="s">
        <v>528</v>
      </c>
      <c r="I1929">
        <v>6</v>
      </c>
      <c r="J1929" t="s">
        <v>121</v>
      </c>
      <c r="K1929" t="str">
        <f t="shared" si="30"/>
        <v>35400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1:16">
      <c r="A1930" s="1">
        <v>44774</v>
      </c>
      <c r="B1930" t="s">
        <v>126</v>
      </c>
      <c r="C1930" t="s">
        <v>14</v>
      </c>
      <c r="D1930" t="s">
        <v>15</v>
      </c>
      <c r="E1930" t="s">
        <v>33</v>
      </c>
      <c r="F1930" t="s">
        <v>17</v>
      </c>
      <c r="G1930" t="s">
        <v>59</v>
      </c>
      <c r="H1930" t="s">
        <v>528</v>
      </c>
      <c r="I1930">
        <v>6</v>
      </c>
      <c r="J1930" t="s">
        <v>69</v>
      </c>
      <c r="K1930" t="str">
        <f t="shared" si="30"/>
        <v>35500</v>
      </c>
      <c r="L1930">
        <v>10212199.91</v>
      </c>
      <c r="M1930">
        <v>-12734.06</v>
      </c>
      <c r="N1930">
        <v>0</v>
      </c>
      <c r="O1930">
        <v>0</v>
      </c>
      <c r="P1930">
        <v>10199465.85</v>
      </c>
    </row>
    <row r="1931" spans="1:16">
      <c r="A1931" s="1">
        <v>44774</v>
      </c>
      <c r="B1931" t="s">
        <v>126</v>
      </c>
      <c r="C1931" t="s">
        <v>14</v>
      </c>
      <c r="D1931" t="s">
        <v>15</v>
      </c>
      <c r="E1931" t="s">
        <v>33</v>
      </c>
      <c r="F1931" t="s">
        <v>17</v>
      </c>
      <c r="G1931" t="s">
        <v>59</v>
      </c>
      <c r="H1931" t="s">
        <v>528</v>
      </c>
      <c r="I1931">
        <v>6</v>
      </c>
      <c r="J1931" t="s">
        <v>70</v>
      </c>
      <c r="K1931" t="str">
        <f t="shared" si="30"/>
        <v>35600</v>
      </c>
      <c r="L1931">
        <v>4990174.71</v>
      </c>
      <c r="M1931">
        <v>6284.37</v>
      </c>
      <c r="N1931">
        <v>0</v>
      </c>
      <c r="O1931">
        <v>0</v>
      </c>
      <c r="P1931">
        <v>4996459.08</v>
      </c>
    </row>
    <row r="1932" spans="1:16">
      <c r="A1932" s="1">
        <v>44774</v>
      </c>
      <c r="B1932" t="s">
        <v>126</v>
      </c>
      <c r="C1932" t="s">
        <v>14</v>
      </c>
      <c r="D1932" t="s">
        <v>15</v>
      </c>
      <c r="E1932" t="s">
        <v>33</v>
      </c>
      <c r="F1932" t="s">
        <v>17</v>
      </c>
      <c r="G1932" t="s">
        <v>59</v>
      </c>
      <c r="H1932" t="s">
        <v>528</v>
      </c>
      <c r="I1932">
        <v>6</v>
      </c>
      <c r="J1932" t="s">
        <v>71</v>
      </c>
      <c r="K1932" t="str">
        <f t="shared" si="30"/>
        <v>35700</v>
      </c>
      <c r="L1932">
        <v>4561.8900000000003</v>
      </c>
      <c r="M1932">
        <v>-4561.8900000000003</v>
      </c>
      <c r="N1932">
        <v>0</v>
      </c>
      <c r="O1932">
        <v>0</v>
      </c>
      <c r="P1932">
        <v>0</v>
      </c>
    </row>
    <row r="1933" spans="1:16">
      <c r="A1933" s="1">
        <v>44774</v>
      </c>
      <c r="B1933" t="s">
        <v>126</v>
      </c>
      <c r="C1933" t="s">
        <v>14</v>
      </c>
      <c r="D1933" t="s">
        <v>15</v>
      </c>
      <c r="E1933" t="s">
        <v>33</v>
      </c>
      <c r="F1933" t="s">
        <v>17</v>
      </c>
      <c r="G1933" t="s">
        <v>59</v>
      </c>
      <c r="H1933" t="s">
        <v>528</v>
      </c>
      <c r="I1933">
        <v>6</v>
      </c>
      <c r="J1933" t="s">
        <v>72</v>
      </c>
      <c r="K1933" t="str">
        <f t="shared" si="30"/>
        <v>35800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1:16">
      <c r="A1934" s="1">
        <v>44805</v>
      </c>
      <c r="B1934" t="s">
        <v>125</v>
      </c>
      <c r="C1934" t="s">
        <v>14</v>
      </c>
      <c r="D1934" t="s">
        <v>15</v>
      </c>
      <c r="E1934" t="s">
        <v>33</v>
      </c>
      <c r="F1934" t="s">
        <v>24</v>
      </c>
      <c r="G1934" t="s">
        <v>59</v>
      </c>
      <c r="H1934" t="s">
        <v>528</v>
      </c>
      <c r="I1934">
        <v>6</v>
      </c>
      <c r="J1934" t="s">
        <v>60</v>
      </c>
      <c r="K1934" t="str">
        <f t="shared" si="30"/>
        <v>35001</v>
      </c>
      <c r="L1934">
        <v>1988509.0899999999</v>
      </c>
      <c r="M1934">
        <v>0</v>
      </c>
      <c r="N1934">
        <v>0</v>
      </c>
      <c r="O1934">
        <v>0</v>
      </c>
      <c r="P1934" s="8">
        <v>1988509.0899999999</v>
      </c>
    </row>
    <row r="1935" spans="1:16">
      <c r="A1935" s="1">
        <v>44805</v>
      </c>
      <c r="B1935" t="s">
        <v>125</v>
      </c>
      <c r="C1935" t="s">
        <v>14</v>
      </c>
      <c r="D1935" t="s">
        <v>15</v>
      </c>
      <c r="E1935" t="s">
        <v>33</v>
      </c>
      <c r="F1935" t="s">
        <v>24</v>
      </c>
      <c r="G1935" t="s">
        <v>59</v>
      </c>
      <c r="H1935" t="s">
        <v>528</v>
      </c>
      <c r="I1935">
        <v>6</v>
      </c>
      <c r="J1935" t="s">
        <v>61</v>
      </c>
      <c r="K1935" t="str">
        <f t="shared" si="30"/>
        <v>35002</v>
      </c>
      <c r="L1935">
        <v>4313014.6500000004</v>
      </c>
      <c r="M1935">
        <v>0</v>
      </c>
      <c r="N1935">
        <v>0</v>
      </c>
      <c r="O1935">
        <v>0</v>
      </c>
      <c r="P1935" s="8">
        <v>4313014.6500000004</v>
      </c>
    </row>
    <row r="1936" spans="1:16">
      <c r="A1936" s="1">
        <v>44805</v>
      </c>
      <c r="B1936" t="s">
        <v>125</v>
      </c>
      <c r="C1936" t="s">
        <v>14</v>
      </c>
      <c r="D1936" t="s">
        <v>15</v>
      </c>
      <c r="E1936" t="s">
        <v>33</v>
      </c>
      <c r="F1936" t="s">
        <v>24</v>
      </c>
      <c r="G1936" t="s">
        <v>59</v>
      </c>
      <c r="H1936" t="s">
        <v>528</v>
      </c>
      <c r="I1936">
        <v>6</v>
      </c>
      <c r="J1936" t="s">
        <v>62</v>
      </c>
      <c r="K1936" t="str">
        <f t="shared" si="30"/>
        <v>35003</v>
      </c>
      <c r="L1936">
        <v>0</v>
      </c>
      <c r="M1936">
        <v>0</v>
      </c>
      <c r="N1936">
        <v>0</v>
      </c>
      <c r="O1936">
        <v>0</v>
      </c>
      <c r="P1936" s="8">
        <v>0</v>
      </c>
    </row>
    <row r="1937" spans="1:16">
      <c r="A1937" s="1">
        <v>44805</v>
      </c>
      <c r="B1937" t="s">
        <v>125</v>
      </c>
      <c r="C1937" t="s">
        <v>14</v>
      </c>
      <c r="D1937" t="s">
        <v>15</v>
      </c>
      <c r="E1937" t="s">
        <v>33</v>
      </c>
      <c r="F1937" t="s">
        <v>24</v>
      </c>
      <c r="G1937" t="s">
        <v>59</v>
      </c>
      <c r="H1937" t="s">
        <v>528</v>
      </c>
      <c r="I1937">
        <v>6</v>
      </c>
      <c r="J1937" t="s">
        <v>63</v>
      </c>
      <c r="K1937" t="str">
        <f t="shared" si="30"/>
        <v>35200</v>
      </c>
      <c r="L1937">
        <v>10463520.74</v>
      </c>
      <c r="M1937">
        <v>0</v>
      </c>
      <c r="N1937">
        <v>0</v>
      </c>
      <c r="O1937">
        <v>0</v>
      </c>
      <c r="P1937" s="8">
        <v>10463520.74</v>
      </c>
    </row>
    <row r="1938" spans="1:16">
      <c r="A1938" s="1">
        <v>44805</v>
      </c>
      <c r="B1938" t="s">
        <v>125</v>
      </c>
      <c r="C1938" t="s">
        <v>14</v>
      </c>
      <c r="D1938" t="s">
        <v>15</v>
      </c>
      <c r="E1938" t="s">
        <v>33</v>
      </c>
      <c r="F1938" t="s">
        <v>24</v>
      </c>
      <c r="G1938" t="s">
        <v>59</v>
      </c>
      <c r="H1938" t="s">
        <v>528</v>
      </c>
      <c r="I1938">
        <v>6</v>
      </c>
      <c r="J1938" t="s">
        <v>64</v>
      </c>
      <c r="K1938" t="str">
        <f t="shared" si="30"/>
        <v>35205</v>
      </c>
      <c r="L1938">
        <v>274154.33</v>
      </c>
      <c r="M1938">
        <v>0</v>
      </c>
      <c r="N1938">
        <v>0</v>
      </c>
      <c r="O1938">
        <v>0</v>
      </c>
      <c r="P1938" s="8">
        <v>274154.33</v>
      </c>
    </row>
    <row r="1939" spans="1:16">
      <c r="A1939" s="1">
        <v>44805</v>
      </c>
      <c r="B1939" t="s">
        <v>125</v>
      </c>
      <c r="C1939" t="s">
        <v>14</v>
      </c>
      <c r="D1939" t="s">
        <v>15</v>
      </c>
      <c r="E1939" t="s">
        <v>33</v>
      </c>
      <c r="F1939" t="s">
        <v>24</v>
      </c>
      <c r="G1939" t="s">
        <v>59</v>
      </c>
      <c r="H1939" t="s">
        <v>528</v>
      </c>
      <c r="I1939">
        <v>6</v>
      </c>
      <c r="J1939" t="s">
        <v>65</v>
      </c>
      <c r="K1939" t="str">
        <f t="shared" si="30"/>
        <v>35259</v>
      </c>
      <c r="L1939">
        <v>220613.03</v>
      </c>
      <c r="M1939">
        <v>0</v>
      </c>
      <c r="N1939">
        <v>0</v>
      </c>
      <c r="O1939">
        <v>0</v>
      </c>
      <c r="P1939" s="8">
        <v>220613.03</v>
      </c>
    </row>
    <row r="1940" spans="1:16">
      <c r="A1940" s="1">
        <v>44805</v>
      </c>
      <c r="B1940" t="s">
        <v>125</v>
      </c>
      <c r="C1940" t="s">
        <v>14</v>
      </c>
      <c r="D1940" t="s">
        <v>15</v>
      </c>
      <c r="E1940" t="s">
        <v>33</v>
      </c>
      <c r="F1940" t="s">
        <v>24</v>
      </c>
      <c r="G1940" t="s">
        <v>59</v>
      </c>
      <c r="H1940" t="s">
        <v>528</v>
      </c>
      <c r="I1940">
        <v>6</v>
      </c>
      <c r="J1940" t="s">
        <v>66</v>
      </c>
      <c r="K1940" t="str">
        <f t="shared" si="30"/>
        <v>35300</v>
      </c>
      <c r="L1940">
        <v>101615088.75</v>
      </c>
      <c r="M1940">
        <v>297777.89</v>
      </c>
      <c r="N1940">
        <v>0</v>
      </c>
      <c r="O1940">
        <v>0</v>
      </c>
      <c r="P1940" s="8">
        <v>101912866.64</v>
      </c>
    </row>
    <row r="1941" spans="1:16">
      <c r="A1941" s="1">
        <v>44805</v>
      </c>
      <c r="B1941" t="s">
        <v>125</v>
      </c>
      <c r="C1941" t="s">
        <v>14</v>
      </c>
      <c r="D1941" t="s">
        <v>15</v>
      </c>
      <c r="E1941" t="s">
        <v>33</v>
      </c>
      <c r="F1941" t="s">
        <v>24</v>
      </c>
      <c r="G1941" t="s">
        <v>59</v>
      </c>
      <c r="H1941" t="s">
        <v>528</v>
      </c>
      <c r="I1941">
        <v>6</v>
      </c>
      <c r="J1941" t="s">
        <v>67</v>
      </c>
      <c r="K1941" t="str">
        <f t="shared" si="30"/>
        <v>35301</v>
      </c>
      <c r="L1941">
        <v>8243520.1799999997</v>
      </c>
      <c r="M1941">
        <v>0</v>
      </c>
      <c r="N1941">
        <v>0</v>
      </c>
      <c r="O1941">
        <v>0</v>
      </c>
      <c r="P1941" s="8">
        <v>8243520.1799999997</v>
      </c>
    </row>
    <row r="1942" spans="1:16">
      <c r="A1942" s="1">
        <v>44805</v>
      </c>
      <c r="B1942" t="s">
        <v>125</v>
      </c>
      <c r="C1942" t="s">
        <v>14</v>
      </c>
      <c r="D1942" t="s">
        <v>15</v>
      </c>
      <c r="E1942" t="s">
        <v>33</v>
      </c>
      <c r="F1942" t="s">
        <v>24</v>
      </c>
      <c r="G1942" t="s">
        <v>59</v>
      </c>
      <c r="H1942" t="s">
        <v>528</v>
      </c>
      <c r="I1942">
        <v>6</v>
      </c>
      <c r="J1942" t="s">
        <v>68</v>
      </c>
      <c r="K1942" t="str">
        <f t="shared" si="30"/>
        <v>35359</v>
      </c>
      <c r="L1942">
        <v>4227063.49</v>
      </c>
      <c r="M1942">
        <v>0</v>
      </c>
      <c r="N1942">
        <v>0</v>
      </c>
      <c r="O1942">
        <v>0</v>
      </c>
      <c r="P1942" s="8">
        <v>4227063.49</v>
      </c>
    </row>
    <row r="1943" spans="1:16">
      <c r="A1943" s="1">
        <v>44805</v>
      </c>
      <c r="B1943" t="s">
        <v>125</v>
      </c>
      <c r="C1943" t="s">
        <v>14</v>
      </c>
      <c r="D1943" t="s">
        <v>15</v>
      </c>
      <c r="E1943" t="s">
        <v>33</v>
      </c>
      <c r="F1943" t="s">
        <v>24</v>
      </c>
      <c r="G1943" t="s">
        <v>59</v>
      </c>
      <c r="H1943" t="s">
        <v>528</v>
      </c>
      <c r="I1943">
        <v>6</v>
      </c>
      <c r="J1943" t="s">
        <v>69</v>
      </c>
      <c r="K1943" t="str">
        <f t="shared" si="30"/>
        <v>35500</v>
      </c>
      <c r="L1943">
        <v>55980817.659999996</v>
      </c>
      <c r="M1943">
        <v>107146.14</v>
      </c>
      <c r="N1943">
        <v>0</v>
      </c>
      <c r="O1943">
        <v>0</v>
      </c>
      <c r="P1943" s="8">
        <v>56087963.799999997</v>
      </c>
    </row>
    <row r="1944" spans="1:16">
      <c r="A1944" s="1">
        <v>44805</v>
      </c>
      <c r="B1944" t="s">
        <v>125</v>
      </c>
      <c r="C1944" t="s">
        <v>14</v>
      </c>
      <c r="D1944" t="s">
        <v>15</v>
      </c>
      <c r="E1944" t="s">
        <v>33</v>
      </c>
      <c r="F1944" t="s">
        <v>24</v>
      </c>
      <c r="G1944" t="s">
        <v>59</v>
      </c>
      <c r="H1944" t="s">
        <v>528</v>
      </c>
      <c r="I1944">
        <v>6</v>
      </c>
      <c r="J1944" t="s">
        <v>70</v>
      </c>
      <c r="K1944" t="str">
        <f t="shared" si="30"/>
        <v>35600</v>
      </c>
      <c r="L1944">
        <v>54724814.020000003</v>
      </c>
      <c r="M1944">
        <v>0</v>
      </c>
      <c r="N1944">
        <v>0</v>
      </c>
      <c r="O1944">
        <v>0</v>
      </c>
      <c r="P1944" s="8">
        <v>54724814.020000003</v>
      </c>
    </row>
    <row r="1945" spans="1:16">
      <c r="A1945" s="1">
        <v>44805</v>
      </c>
      <c r="B1945" t="s">
        <v>125</v>
      </c>
      <c r="C1945" t="s">
        <v>14</v>
      </c>
      <c r="D1945" t="s">
        <v>15</v>
      </c>
      <c r="E1945" t="s">
        <v>33</v>
      </c>
      <c r="F1945" t="s">
        <v>24</v>
      </c>
      <c r="G1945" t="s">
        <v>59</v>
      </c>
      <c r="H1945" t="s">
        <v>528</v>
      </c>
      <c r="I1945">
        <v>6</v>
      </c>
      <c r="J1945" t="s">
        <v>71</v>
      </c>
      <c r="K1945" t="str">
        <f t="shared" si="30"/>
        <v>35700</v>
      </c>
      <c r="L1945">
        <v>0</v>
      </c>
      <c r="M1945">
        <v>0</v>
      </c>
      <c r="N1945">
        <v>0</v>
      </c>
      <c r="O1945">
        <v>0</v>
      </c>
      <c r="P1945" s="8">
        <v>0</v>
      </c>
    </row>
    <row r="1946" spans="1:16">
      <c r="A1946" s="1">
        <v>44805</v>
      </c>
      <c r="B1946" t="s">
        <v>125</v>
      </c>
      <c r="C1946" t="s">
        <v>14</v>
      </c>
      <c r="D1946" t="s">
        <v>15</v>
      </c>
      <c r="E1946" t="s">
        <v>33</v>
      </c>
      <c r="F1946" t="s">
        <v>24</v>
      </c>
      <c r="G1946" t="s">
        <v>59</v>
      </c>
      <c r="H1946" t="s">
        <v>528</v>
      </c>
      <c r="I1946">
        <v>6</v>
      </c>
      <c r="J1946" t="s">
        <v>72</v>
      </c>
      <c r="K1946" t="str">
        <f t="shared" si="30"/>
        <v>35800</v>
      </c>
      <c r="L1946">
        <v>0</v>
      </c>
      <c r="M1946">
        <v>0</v>
      </c>
      <c r="N1946">
        <v>0</v>
      </c>
      <c r="O1946">
        <v>0</v>
      </c>
      <c r="P1946" s="8">
        <v>0</v>
      </c>
    </row>
    <row r="1947" spans="1:16">
      <c r="A1947" s="1">
        <v>44805</v>
      </c>
      <c r="B1947" t="s">
        <v>125</v>
      </c>
      <c r="C1947" t="s">
        <v>14</v>
      </c>
      <c r="D1947" t="s">
        <v>15</v>
      </c>
      <c r="E1947" t="s">
        <v>33</v>
      </c>
      <c r="F1947" t="s">
        <v>118</v>
      </c>
      <c r="G1947" t="s">
        <v>59</v>
      </c>
      <c r="H1947" t="s">
        <v>528</v>
      </c>
      <c r="I1947">
        <v>6</v>
      </c>
      <c r="J1947" t="s">
        <v>62</v>
      </c>
      <c r="K1947" t="str">
        <f t="shared" si="30"/>
        <v>35003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1:16">
      <c r="A1948" s="1">
        <v>44805</v>
      </c>
      <c r="B1948" t="s">
        <v>125</v>
      </c>
      <c r="C1948" t="s">
        <v>14</v>
      </c>
      <c r="D1948" t="s">
        <v>15</v>
      </c>
      <c r="E1948" t="s">
        <v>33</v>
      </c>
      <c r="F1948" t="s">
        <v>119</v>
      </c>
      <c r="G1948" t="s">
        <v>59</v>
      </c>
      <c r="H1948" t="s">
        <v>528</v>
      </c>
      <c r="I1948">
        <v>6</v>
      </c>
      <c r="J1948" t="s">
        <v>66</v>
      </c>
      <c r="K1948" t="str">
        <f t="shared" si="30"/>
        <v>35300</v>
      </c>
      <c r="L1948">
        <v>158336.61000000002</v>
      </c>
      <c r="M1948">
        <v>0</v>
      </c>
      <c r="N1948">
        <v>0</v>
      </c>
      <c r="O1948">
        <v>0</v>
      </c>
      <c r="P1948" s="9">
        <v>158336.61000000002</v>
      </c>
    </row>
    <row r="1949" spans="1:16">
      <c r="A1949" s="1">
        <v>44805</v>
      </c>
      <c r="B1949" t="s">
        <v>125</v>
      </c>
      <c r="C1949" t="s">
        <v>14</v>
      </c>
      <c r="D1949" t="s">
        <v>15</v>
      </c>
      <c r="E1949" t="s">
        <v>33</v>
      </c>
      <c r="F1949" t="s">
        <v>17</v>
      </c>
      <c r="G1949" t="s">
        <v>59</v>
      </c>
      <c r="H1949" t="s">
        <v>528</v>
      </c>
      <c r="I1949">
        <v>6</v>
      </c>
      <c r="J1949" t="s">
        <v>60</v>
      </c>
      <c r="K1949" t="str">
        <f t="shared" si="30"/>
        <v>35001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1:16">
      <c r="A1950" s="1">
        <v>44805</v>
      </c>
      <c r="B1950" t="s">
        <v>125</v>
      </c>
      <c r="C1950" t="s">
        <v>14</v>
      </c>
      <c r="D1950" t="s">
        <v>15</v>
      </c>
      <c r="E1950" t="s">
        <v>33</v>
      </c>
      <c r="F1950" t="s">
        <v>17</v>
      </c>
      <c r="G1950" t="s">
        <v>59</v>
      </c>
      <c r="H1950" t="s">
        <v>528</v>
      </c>
      <c r="I1950">
        <v>6</v>
      </c>
      <c r="J1950" t="s">
        <v>61</v>
      </c>
      <c r="K1950" t="str">
        <f t="shared" si="30"/>
        <v>35002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1:16">
      <c r="A1951" s="1">
        <v>44805</v>
      </c>
      <c r="B1951" t="s">
        <v>125</v>
      </c>
      <c r="C1951" t="s">
        <v>14</v>
      </c>
      <c r="D1951" t="s">
        <v>15</v>
      </c>
      <c r="E1951" t="s">
        <v>33</v>
      </c>
      <c r="F1951" t="s">
        <v>17</v>
      </c>
      <c r="G1951" t="s">
        <v>59</v>
      </c>
      <c r="H1951" t="s">
        <v>528</v>
      </c>
      <c r="I1951">
        <v>6</v>
      </c>
      <c r="J1951" t="s">
        <v>63</v>
      </c>
      <c r="K1951" t="str">
        <f t="shared" si="30"/>
        <v>35200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1:16">
      <c r="A1952" s="1">
        <v>44805</v>
      </c>
      <c r="B1952" t="s">
        <v>125</v>
      </c>
      <c r="C1952" t="s">
        <v>14</v>
      </c>
      <c r="D1952" t="s">
        <v>15</v>
      </c>
      <c r="E1952" t="s">
        <v>33</v>
      </c>
      <c r="F1952" t="s">
        <v>17</v>
      </c>
      <c r="G1952" t="s">
        <v>59</v>
      </c>
      <c r="H1952" t="s">
        <v>528</v>
      </c>
      <c r="I1952">
        <v>6</v>
      </c>
      <c r="J1952" t="s">
        <v>66</v>
      </c>
      <c r="K1952" t="str">
        <f t="shared" si="30"/>
        <v>35300</v>
      </c>
      <c r="L1952">
        <v>3180580.38</v>
      </c>
      <c r="M1952">
        <v>-107031.93000000001</v>
      </c>
      <c r="N1952">
        <v>0</v>
      </c>
      <c r="O1952">
        <v>0</v>
      </c>
      <c r="P1952">
        <v>3073548.45</v>
      </c>
    </row>
    <row r="1953" spans="1:16">
      <c r="A1953" s="1">
        <v>44805</v>
      </c>
      <c r="B1953" t="s">
        <v>125</v>
      </c>
      <c r="C1953" t="s">
        <v>14</v>
      </c>
      <c r="D1953" t="s">
        <v>15</v>
      </c>
      <c r="E1953" t="s">
        <v>33</v>
      </c>
      <c r="F1953" t="s">
        <v>17</v>
      </c>
      <c r="G1953" t="s">
        <v>59</v>
      </c>
      <c r="H1953" t="s">
        <v>528</v>
      </c>
      <c r="I1953">
        <v>6</v>
      </c>
      <c r="J1953" t="s">
        <v>67</v>
      </c>
      <c r="K1953" t="str">
        <f t="shared" si="30"/>
        <v>35301</v>
      </c>
      <c r="L1953">
        <v>184615.42</v>
      </c>
      <c r="M1953">
        <v>-184615.42</v>
      </c>
      <c r="N1953">
        <v>0</v>
      </c>
      <c r="O1953">
        <v>0</v>
      </c>
      <c r="P1953">
        <v>0</v>
      </c>
    </row>
    <row r="1954" spans="1:16">
      <c r="A1954" s="1">
        <v>44805</v>
      </c>
      <c r="B1954" t="s">
        <v>125</v>
      </c>
      <c r="C1954" t="s">
        <v>14</v>
      </c>
      <c r="D1954" t="s">
        <v>15</v>
      </c>
      <c r="E1954" t="s">
        <v>33</v>
      </c>
      <c r="F1954" t="s">
        <v>17</v>
      </c>
      <c r="G1954" t="s">
        <v>59</v>
      </c>
      <c r="H1954" t="s">
        <v>528</v>
      </c>
      <c r="I1954">
        <v>6</v>
      </c>
      <c r="J1954" t="s">
        <v>121</v>
      </c>
      <c r="K1954" t="str">
        <f t="shared" si="30"/>
        <v>35400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1:16">
      <c r="A1955" s="1">
        <v>44805</v>
      </c>
      <c r="B1955" t="s">
        <v>125</v>
      </c>
      <c r="C1955" t="s">
        <v>14</v>
      </c>
      <c r="D1955" t="s">
        <v>15</v>
      </c>
      <c r="E1955" t="s">
        <v>33</v>
      </c>
      <c r="F1955" t="s">
        <v>17</v>
      </c>
      <c r="G1955" t="s">
        <v>59</v>
      </c>
      <c r="H1955" t="s">
        <v>528</v>
      </c>
      <c r="I1955">
        <v>6</v>
      </c>
      <c r="J1955" t="s">
        <v>69</v>
      </c>
      <c r="K1955" t="str">
        <f t="shared" si="30"/>
        <v>35500</v>
      </c>
      <c r="L1955">
        <v>10199465.85</v>
      </c>
      <c r="M1955">
        <v>-134611.34</v>
      </c>
      <c r="N1955">
        <v>0</v>
      </c>
      <c r="O1955">
        <v>0</v>
      </c>
      <c r="P1955">
        <v>10064854.51</v>
      </c>
    </row>
    <row r="1956" spans="1:16">
      <c r="A1956" s="1">
        <v>44805</v>
      </c>
      <c r="B1956" t="s">
        <v>125</v>
      </c>
      <c r="C1956" t="s">
        <v>14</v>
      </c>
      <c r="D1956" t="s">
        <v>15</v>
      </c>
      <c r="E1956" t="s">
        <v>33</v>
      </c>
      <c r="F1956" t="s">
        <v>17</v>
      </c>
      <c r="G1956" t="s">
        <v>59</v>
      </c>
      <c r="H1956" t="s">
        <v>528</v>
      </c>
      <c r="I1956">
        <v>6</v>
      </c>
      <c r="J1956" t="s">
        <v>70</v>
      </c>
      <c r="K1956" t="str">
        <f t="shared" si="30"/>
        <v>35600</v>
      </c>
      <c r="L1956">
        <v>4996459.08</v>
      </c>
      <c r="M1956">
        <v>-13732.6</v>
      </c>
      <c r="N1956">
        <v>0</v>
      </c>
      <c r="O1956">
        <v>0</v>
      </c>
      <c r="P1956">
        <v>4982726.4800000004</v>
      </c>
    </row>
    <row r="1957" spans="1:16">
      <c r="A1957" s="1">
        <v>44805</v>
      </c>
      <c r="B1957" t="s">
        <v>125</v>
      </c>
      <c r="C1957" t="s">
        <v>14</v>
      </c>
      <c r="D1957" t="s">
        <v>15</v>
      </c>
      <c r="E1957" t="s">
        <v>33</v>
      </c>
      <c r="F1957" t="s">
        <v>17</v>
      </c>
      <c r="G1957" t="s">
        <v>59</v>
      </c>
      <c r="H1957" t="s">
        <v>528</v>
      </c>
      <c r="I1957">
        <v>6</v>
      </c>
      <c r="J1957" t="s">
        <v>71</v>
      </c>
      <c r="K1957" t="str">
        <f t="shared" si="30"/>
        <v>35700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1:16">
      <c r="A1958" s="1">
        <v>44805</v>
      </c>
      <c r="B1958" t="s">
        <v>125</v>
      </c>
      <c r="C1958" t="s">
        <v>14</v>
      </c>
      <c r="D1958" t="s">
        <v>15</v>
      </c>
      <c r="E1958" t="s">
        <v>33</v>
      </c>
      <c r="F1958" t="s">
        <v>17</v>
      </c>
      <c r="G1958" t="s">
        <v>59</v>
      </c>
      <c r="H1958" t="s">
        <v>528</v>
      </c>
      <c r="I1958">
        <v>6</v>
      </c>
      <c r="J1958" t="s">
        <v>72</v>
      </c>
      <c r="K1958" t="str">
        <f t="shared" si="30"/>
        <v>35800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1:16">
      <c r="A1959" s="1">
        <v>44835</v>
      </c>
      <c r="B1959" t="s">
        <v>124</v>
      </c>
      <c r="C1959" t="s">
        <v>14</v>
      </c>
      <c r="D1959" t="s">
        <v>15</v>
      </c>
      <c r="E1959" t="s">
        <v>33</v>
      </c>
      <c r="F1959" t="s">
        <v>24</v>
      </c>
      <c r="G1959" t="s">
        <v>59</v>
      </c>
      <c r="H1959" t="s">
        <v>528</v>
      </c>
      <c r="I1959">
        <v>6</v>
      </c>
      <c r="J1959" t="s">
        <v>60</v>
      </c>
      <c r="K1959" t="str">
        <f t="shared" si="30"/>
        <v>35001</v>
      </c>
      <c r="L1959">
        <v>1988509.0899999999</v>
      </c>
      <c r="M1959">
        <v>0</v>
      </c>
      <c r="N1959">
        <v>0</v>
      </c>
      <c r="O1959">
        <v>0</v>
      </c>
      <c r="P1959" s="8">
        <v>1988509.0899999999</v>
      </c>
    </row>
    <row r="1960" spans="1:16">
      <c r="A1960" s="1">
        <v>44835</v>
      </c>
      <c r="B1960" t="s">
        <v>124</v>
      </c>
      <c r="C1960" t="s">
        <v>14</v>
      </c>
      <c r="D1960" t="s">
        <v>15</v>
      </c>
      <c r="E1960" t="s">
        <v>33</v>
      </c>
      <c r="F1960" t="s">
        <v>24</v>
      </c>
      <c r="G1960" t="s">
        <v>59</v>
      </c>
      <c r="H1960" t="s">
        <v>528</v>
      </c>
      <c r="I1960">
        <v>6</v>
      </c>
      <c r="J1960" t="s">
        <v>61</v>
      </c>
      <c r="K1960" t="str">
        <f t="shared" si="30"/>
        <v>35002</v>
      </c>
      <c r="L1960">
        <v>4313014.6500000004</v>
      </c>
      <c r="M1960">
        <v>0</v>
      </c>
      <c r="N1960">
        <v>0</v>
      </c>
      <c r="O1960">
        <v>0</v>
      </c>
      <c r="P1960" s="8">
        <v>4313014.6500000004</v>
      </c>
    </row>
    <row r="1961" spans="1:16">
      <c r="A1961" s="1">
        <v>44835</v>
      </c>
      <c r="B1961" t="s">
        <v>124</v>
      </c>
      <c r="C1961" t="s">
        <v>14</v>
      </c>
      <c r="D1961" t="s">
        <v>15</v>
      </c>
      <c r="E1961" t="s">
        <v>33</v>
      </c>
      <c r="F1961" t="s">
        <v>24</v>
      </c>
      <c r="G1961" t="s">
        <v>59</v>
      </c>
      <c r="H1961" t="s">
        <v>528</v>
      </c>
      <c r="I1961">
        <v>6</v>
      </c>
      <c r="J1961" t="s">
        <v>62</v>
      </c>
      <c r="K1961" t="str">
        <f t="shared" si="30"/>
        <v>35003</v>
      </c>
      <c r="L1961">
        <v>0</v>
      </c>
      <c r="M1961">
        <v>0</v>
      </c>
      <c r="N1961">
        <v>0</v>
      </c>
      <c r="O1961">
        <v>0</v>
      </c>
      <c r="P1961" s="8">
        <v>0</v>
      </c>
    </row>
    <row r="1962" spans="1:16">
      <c r="A1962" s="1">
        <v>44835</v>
      </c>
      <c r="B1962" t="s">
        <v>124</v>
      </c>
      <c r="C1962" t="s">
        <v>14</v>
      </c>
      <c r="D1962" t="s">
        <v>15</v>
      </c>
      <c r="E1962" t="s">
        <v>33</v>
      </c>
      <c r="F1962" t="s">
        <v>24</v>
      </c>
      <c r="G1962" t="s">
        <v>59</v>
      </c>
      <c r="H1962" t="s">
        <v>528</v>
      </c>
      <c r="I1962">
        <v>6</v>
      </c>
      <c r="J1962" t="s">
        <v>63</v>
      </c>
      <c r="K1962" t="str">
        <f t="shared" si="30"/>
        <v>35200</v>
      </c>
      <c r="L1962">
        <v>10463520.74</v>
      </c>
      <c r="M1962">
        <v>0</v>
      </c>
      <c r="N1962">
        <v>0</v>
      </c>
      <c r="O1962">
        <v>0</v>
      </c>
      <c r="P1962" s="8">
        <v>10463520.74</v>
      </c>
    </row>
    <row r="1963" spans="1:16">
      <c r="A1963" s="1">
        <v>44835</v>
      </c>
      <c r="B1963" t="s">
        <v>124</v>
      </c>
      <c r="C1963" t="s">
        <v>14</v>
      </c>
      <c r="D1963" t="s">
        <v>15</v>
      </c>
      <c r="E1963" t="s">
        <v>33</v>
      </c>
      <c r="F1963" t="s">
        <v>24</v>
      </c>
      <c r="G1963" t="s">
        <v>59</v>
      </c>
      <c r="H1963" t="s">
        <v>528</v>
      </c>
      <c r="I1963">
        <v>6</v>
      </c>
      <c r="J1963" t="s">
        <v>64</v>
      </c>
      <c r="K1963" t="str">
        <f t="shared" si="30"/>
        <v>35205</v>
      </c>
      <c r="L1963">
        <v>274154.33</v>
      </c>
      <c r="M1963">
        <v>0</v>
      </c>
      <c r="N1963">
        <v>0</v>
      </c>
      <c r="O1963">
        <v>0</v>
      </c>
      <c r="P1963" s="8">
        <v>274154.33</v>
      </c>
    </row>
    <row r="1964" spans="1:16">
      <c r="A1964" s="1">
        <v>44835</v>
      </c>
      <c r="B1964" t="s">
        <v>124</v>
      </c>
      <c r="C1964" t="s">
        <v>14</v>
      </c>
      <c r="D1964" t="s">
        <v>15</v>
      </c>
      <c r="E1964" t="s">
        <v>33</v>
      </c>
      <c r="F1964" t="s">
        <v>24</v>
      </c>
      <c r="G1964" t="s">
        <v>59</v>
      </c>
      <c r="H1964" t="s">
        <v>528</v>
      </c>
      <c r="I1964">
        <v>6</v>
      </c>
      <c r="J1964" t="s">
        <v>65</v>
      </c>
      <c r="K1964" t="str">
        <f t="shared" si="30"/>
        <v>35259</v>
      </c>
      <c r="L1964">
        <v>220613.03</v>
      </c>
      <c r="M1964">
        <v>0</v>
      </c>
      <c r="N1964">
        <v>0</v>
      </c>
      <c r="O1964">
        <v>0</v>
      </c>
      <c r="P1964" s="8">
        <v>220613.03</v>
      </c>
    </row>
    <row r="1965" spans="1:16">
      <c r="A1965" s="1">
        <v>44835</v>
      </c>
      <c r="B1965" t="s">
        <v>124</v>
      </c>
      <c r="C1965" t="s">
        <v>14</v>
      </c>
      <c r="D1965" t="s">
        <v>15</v>
      </c>
      <c r="E1965" t="s">
        <v>33</v>
      </c>
      <c r="F1965" t="s">
        <v>24</v>
      </c>
      <c r="G1965" t="s">
        <v>59</v>
      </c>
      <c r="H1965" t="s">
        <v>528</v>
      </c>
      <c r="I1965">
        <v>6</v>
      </c>
      <c r="J1965" t="s">
        <v>66</v>
      </c>
      <c r="K1965" t="str">
        <f t="shared" si="30"/>
        <v>35300</v>
      </c>
      <c r="L1965">
        <v>101912866.64</v>
      </c>
      <c r="M1965">
        <v>0</v>
      </c>
      <c r="N1965">
        <v>0</v>
      </c>
      <c r="O1965">
        <v>0</v>
      </c>
      <c r="P1965" s="8">
        <v>101912866.64</v>
      </c>
    </row>
    <row r="1966" spans="1:16">
      <c r="A1966" s="1">
        <v>44835</v>
      </c>
      <c r="B1966" t="s">
        <v>124</v>
      </c>
      <c r="C1966" t="s">
        <v>14</v>
      </c>
      <c r="D1966" t="s">
        <v>15</v>
      </c>
      <c r="E1966" t="s">
        <v>33</v>
      </c>
      <c r="F1966" t="s">
        <v>24</v>
      </c>
      <c r="G1966" t="s">
        <v>59</v>
      </c>
      <c r="H1966" t="s">
        <v>528</v>
      </c>
      <c r="I1966">
        <v>6</v>
      </c>
      <c r="J1966" t="s">
        <v>67</v>
      </c>
      <c r="K1966" t="str">
        <f t="shared" si="30"/>
        <v>35301</v>
      </c>
      <c r="L1966">
        <v>8243520.1799999997</v>
      </c>
      <c r="M1966">
        <v>0</v>
      </c>
      <c r="N1966">
        <v>0</v>
      </c>
      <c r="O1966">
        <v>0</v>
      </c>
      <c r="P1966" s="8">
        <v>8243520.1799999997</v>
      </c>
    </row>
    <row r="1967" spans="1:16">
      <c r="A1967" s="1">
        <v>44835</v>
      </c>
      <c r="B1967" t="s">
        <v>124</v>
      </c>
      <c r="C1967" t="s">
        <v>14</v>
      </c>
      <c r="D1967" t="s">
        <v>15</v>
      </c>
      <c r="E1967" t="s">
        <v>33</v>
      </c>
      <c r="F1967" t="s">
        <v>24</v>
      </c>
      <c r="G1967" t="s">
        <v>59</v>
      </c>
      <c r="H1967" t="s">
        <v>528</v>
      </c>
      <c r="I1967">
        <v>6</v>
      </c>
      <c r="J1967" t="s">
        <v>68</v>
      </c>
      <c r="K1967" t="str">
        <f t="shared" si="30"/>
        <v>35359</v>
      </c>
      <c r="L1967">
        <v>4227063.49</v>
      </c>
      <c r="M1967">
        <v>0</v>
      </c>
      <c r="N1967">
        <v>0</v>
      </c>
      <c r="O1967">
        <v>0</v>
      </c>
      <c r="P1967" s="8">
        <v>4227063.49</v>
      </c>
    </row>
    <row r="1968" spans="1:16">
      <c r="A1968" s="1">
        <v>44835</v>
      </c>
      <c r="B1968" t="s">
        <v>124</v>
      </c>
      <c r="C1968" t="s">
        <v>14</v>
      </c>
      <c r="D1968" t="s">
        <v>15</v>
      </c>
      <c r="E1968" t="s">
        <v>33</v>
      </c>
      <c r="F1968" t="s">
        <v>24</v>
      </c>
      <c r="G1968" t="s">
        <v>59</v>
      </c>
      <c r="H1968" t="s">
        <v>528</v>
      </c>
      <c r="I1968">
        <v>6</v>
      </c>
      <c r="J1968" t="s">
        <v>69</v>
      </c>
      <c r="K1968" t="str">
        <f t="shared" si="30"/>
        <v>35500</v>
      </c>
      <c r="L1968">
        <v>56087963.799999997</v>
      </c>
      <c r="M1968">
        <v>87253.400000000009</v>
      </c>
      <c r="N1968">
        <v>0</v>
      </c>
      <c r="O1968">
        <v>0</v>
      </c>
      <c r="P1968" s="8">
        <v>56175217.200000003</v>
      </c>
    </row>
    <row r="1969" spans="1:16">
      <c r="A1969" s="1">
        <v>44835</v>
      </c>
      <c r="B1969" t="s">
        <v>124</v>
      </c>
      <c r="C1969" t="s">
        <v>14</v>
      </c>
      <c r="D1969" t="s">
        <v>15</v>
      </c>
      <c r="E1969" t="s">
        <v>33</v>
      </c>
      <c r="F1969" t="s">
        <v>24</v>
      </c>
      <c r="G1969" t="s">
        <v>59</v>
      </c>
      <c r="H1969" t="s">
        <v>528</v>
      </c>
      <c r="I1969">
        <v>6</v>
      </c>
      <c r="J1969" t="s">
        <v>70</v>
      </c>
      <c r="K1969" t="str">
        <f t="shared" si="30"/>
        <v>35600</v>
      </c>
      <c r="L1969">
        <v>54724814.020000003</v>
      </c>
      <c r="M1969">
        <v>0</v>
      </c>
      <c r="N1969">
        <v>0</v>
      </c>
      <c r="O1969">
        <v>0</v>
      </c>
      <c r="P1969" s="8">
        <v>54724814.020000003</v>
      </c>
    </row>
    <row r="1970" spans="1:16">
      <c r="A1970" s="1">
        <v>44835</v>
      </c>
      <c r="B1970" t="s">
        <v>124</v>
      </c>
      <c r="C1970" t="s">
        <v>14</v>
      </c>
      <c r="D1970" t="s">
        <v>15</v>
      </c>
      <c r="E1970" t="s">
        <v>33</v>
      </c>
      <c r="F1970" t="s">
        <v>24</v>
      </c>
      <c r="G1970" t="s">
        <v>59</v>
      </c>
      <c r="H1970" t="s">
        <v>528</v>
      </c>
      <c r="I1970">
        <v>6</v>
      </c>
      <c r="J1970" t="s">
        <v>71</v>
      </c>
      <c r="K1970" t="str">
        <f t="shared" si="30"/>
        <v>35700</v>
      </c>
      <c r="L1970">
        <v>0</v>
      </c>
      <c r="M1970">
        <v>0</v>
      </c>
      <c r="N1970">
        <v>0</v>
      </c>
      <c r="O1970">
        <v>0</v>
      </c>
      <c r="P1970" s="8">
        <v>0</v>
      </c>
    </row>
    <row r="1971" spans="1:16">
      <c r="A1971" s="1">
        <v>44835</v>
      </c>
      <c r="B1971" t="s">
        <v>124</v>
      </c>
      <c r="C1971" t="s">
        <v>14</v>
      </c>
      <c r="D1971" t="s">
        <v>15</v>
      </c>
      <c r="E1971" t="s">
        <v>33</v>
      </c>
      <c r="F1971" t="s">
        <v>24</v>
      </c>
      <c r="G1971" t="s">
        <v>59</v>
      </c>
      <c r="H1971" t="s">
        <v>528</v>
      </c>
      <c r="I1971">
        <v>6</v>
      </c>
      <c r="J1971" t="s">
        <v>72</v>
      </c>
      <c r="K1971" t="str">
        <f t="shared" si="30"/>
        <v>35800</v>
      </c>
      <c r="L1971">
        <v>0</v>
      </c>
      <c r="M1971">
        <v>0</v>
      </c>
      <c r="N1971">
        <v>0</v>
      </c>
      <c r="O1971">
        <v>0</v>
      </c>
      <c r="P1971" s="8">
        <v>0</v>
      </c>
    </row>
    <row r="1972" spans="1:16">
      <c r="A1972" s="1">
        <v>44835</v>
      </c>
      <c r="B1972" t="s">
        <v>124</v>
      </c>
      <c r="C1972" t="s">
        <v>14</v>
      </c>
      <c r="D1972" t="s">
        <v>15</v>
      </c>
      <c r="E1972" t="s">
        <v>33</v>
      </c>
      <c r="F1972" t="s">
        <v>118</v>
      </c>
      <c r="G1972" t="s">
        <v>59</v>
      </c>
      <c r="H1972" t="s">
        <v>528</v>
      </c>
      <c r="I1972">
        <v>6</v>
      </c>
      <c r="J1972" t="s">
        <v>62</v>
      </c>
      <c r="K1972" t="str">
        <f t="shared" si="30"/>
        <v>35003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1:16">
      <c r="A1973" s="1">
        <v>44835</v>
      </c>
      <c r="B1973" t="s">
        <v>124</v>
      </c>
      <c r="C1973" t="s">
        <v>14</v>
      </c>
      <c r="D1973" t="s">
        <v>15</v>
      </c>
      <c r="E1973" t="s">
        <v>33</v>
      </c>
      <c r="F1973" t="s">
        <v>119</v>
      </c>
      <c r="G1973" t="s">
        <v>59</v>
      </c>
      <c r="H1973" t="s">
        <v>528</v>
      </c>
      <c r="I1973">
        <v>6</v>
      </c>
      <c r="J1973" t="s">
        <v>66</v>
      </c>
      <c r="K1973" t="str">
        <f t="shared" si="30"/>
        <v>35300</v>
      </c>
      <c r="L1973">
        <v>158336.61000000002</v>
      </c>
      <c r="M1973">
        <v>0</v>
      </c>
      <c r="N1973">
        <v>0</v>
      </c>
      <c r="O1973">
        <v>0</v>
      </c>
      <c r="P1973" s="9">
        <v>158336.61000000002</v>
      </c>
    </row>
    <row r="1974" spans="1:16">
      <c r="A1974" s="1">
        <v>44835</v>
      </c>
      <c r="B1974" t="s">
        <v>124</v>
      </c>
      <c r="C1974" t="s">
        <v>14</v>
      </c>
      <c r="D1974" t="s">
        <v>15</v>
      </c>
      <c r="E1974" t="s">
        <v>33</v>
      </c>
      <c r="F1974" t="s">
        <v>17</v>
      </c>
      <c r="G1974" t="s">
        <v>59</v>
      </c>
      <c r="H1974" t="s">
        <v>528</v>
      </c>
      <c r="I1974">
        <v>6</v>
      </c>
      <c r="J1974" t="s">
        <v>60</v>
      </c>
      <c r="K1974" t="str">
        <f t="shared" si="30"/>
        <v>35001</v>
      </c>
      <c r="L1974">
        <v>0</v>
      </c>
      <c r="M1974">
        <v>1081662.08</v>
      </c>
      <c r="N1974">
        <v>0</v>
      </c>
      <c r="O1974">
        <v>0</v>
      </c>
      <c r="P1974">
        <v>1081662.08</v>
      </c>
    </row>
    <row r="1975" spans="1:16">
      <c r="A1975" s="1">
        <v>44835</v>
      </c>
      <c r="B1975" t="s">
        <v>124</v>
      </c>
      <c r="C1975" t="s">
        <v>14</v>
      </c>
      <c r="D1975" t="s">
        <v>15</v>
      </c>
      <c r="E1975" t="s">
        <v>33</v>
      </c>
      <c r="F1975" t="s">
        <v>17</v>
      </c>
      <c r="G1975" t="s">
        <v>59</v>
      </c>
      <c r="H1975" t="s">
        <v>528</v>
      </c>
      <c r="I1975">
        <v>6</v>
      </c>
      <c r="J1975" t="s">
        <v>61</v>
      </c>
      <c r="K1975" t="str">
        <f t="shared" si="30"/>
        <v>35002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1:16">
      <c r="A1976" s="1">
        <v>44835</v>
      </c>
      <c r="B1976" t="s">
        <v>124</v>
      </c>
      <c r="C1976" t="s">
        <v>14</v>
      </c>
      <c r="D1976" t="s">
        <v>15</v>
      </c>
      <c r="E1976" t="s">
        <v>33</v>
      </c>
      <c r="F1976" t="s">
        <v>17</v>
      </c>
      <c r="G1976" t="s">
        <v>59</v>
      </c>
      <c r="H1976" t="s">
        <v>528</v>
      </c>
      <c r="I1976">
        <v>6</v>
      </c>
      <c r="J1976" t="s">
        <v>63</v>
      </c>
      <c r="K1976" t="str">
        <f t="shared" si="30"/>
        <v>35200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1:16">
      <c r="A1977" s="1">
        <v>44835</v>
      </c>
      <c r="B1977" t="s">
        <v>124</v>
      </c>
      <c r="C1977" t="s">
        <v>14</v>
      </c>
      <c r="D1977" t="s">
        <v>15</v>
      </c>
      <c r="E1977" t="s">
        <v>33</v>
      </c>
      <c r="F1977" t="s">
        <v>17</v>
      </c>
      <c r="G1977" t="s">
        <v>59</v>
      </c>
      <c r="H1977" t="s">
        <v>528</v>
      </c>
      <c r="I1977">
        <v>6</v>
      </c>
      <c r="J1977" t="s">
        <v>66</v>
      </c>
      <c r="K1977" t="str">
        <f t="shared" si="30"/>
        <v>35300</v>
      </c>
      <c r="L1977">
        <v>3073548.45</v>
      </c>
      <c r="M1977">
        <v>960.33</v>
      </c>
      <c r="N1977">
        <v>0</v>
      </c>
      <c r="O1977">
        <v>0</v>
      </c>
      <c r="P1977">
        <v>3074508.78</v>
      </c>
    </row>
    <row r="1978" spans="1:16">
      <c r="A1978" s="1">
        <v>44835</v>
      </c>
      <c r="B1978" t="s">
        <v>124</v>
      </c>
      <c r="C1978" t="s">
        <v>14</v>
      </c>
      <c r="D1978" t="s">
        <v>15</v>
      </c>
      <c r="E1978" t="s">
        <v>33</v>
      </c>
      <c r="F1978" t="s">
        <v>17</v>
      </c>
      <c r="G1978" t="s">
        <v>59</v>
      </c>
      <c r="H1978" t="s">
        <v>528</v>
      </c>
      <c r="I1978">
        <v>6</v>
      </c>
      <c r="J1978" t="s">
        <v>67</v>
      </c>
      <c r="K1978" t="str">
        <f t="shared" si="30"/>
        <v>35301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1:16">
      <c r="A1979" s="1">
        <v>44835</v>
      </c>
      <c r="B1979" t="s">
        <v>124</v>
      </c>
      <c r="C1979" t="s">
        <v>14</v>
      </c>
      <c r="D1979" t="s">
        <v>15</v>
      </c>
      <c r="E1979" t="s">
        <v>33</v>
      </c>
      <c r="F1979" t="s">
        <v>17</v>
      </c>
      <c r="G1979" t="s">
        <v>59</v>
      </c>
      <c r="H1979" t="s">
        <v>528</v>
      </c>
      <c r="I1979">
        <v>6</v>
      </c>
      <c r="J1979" t="s">
        <v>121</v>
      </c>
      <c r="K1979" t="str">
        <f t="shared" si="30"/>
        <v>35400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1:16">
      <c r="A1980" s="1">
        <v>44835</v>
      </c>
      <c r="B1980" t="s">
        <v>124</v>
      </c>
      <c r="C1980" t="s">
        <v>14</v>
      </c>
      <c r="D1980" t="s">
        <v>15</v>
      </c>
      <c r="E1980" t="s">
        <v>33</v>
      </c>
      <c r="F1980" t="s">
        <v>17</v>
      </c>
      <c r="G1980" t="s">
        <v>59</v>
      </c>
      <c r="H1980" t="s">
        <v>528</v>
      </c>
      <c r="I1980">
        <v>6</v>
      </c>
      <c r="J1980" t="s">
        <v>69</v>
      </c>
      <c r="K1980" t="str">
        <f t="shared" si="30"/>
        <v>35500</v>
      </c>
      <c r="L1980">
        <v>10064854.51</v>
      </c>
      <c r="M1980">
        <v>-84233.430000000008</v>
      </c>
      <c r="N1980">
        <v>0</v>
      </c>
      <c r="O1980">
        <v>0</v>
      </c>
      <c r="P1980">
        <v>9980621.0800000001</v>
      </c>
    </row>
    <row r="1981" spans="1:16">
      <c r="A1981" s="1">
        <v>44835</v>
      </c>
      <c r="B1981" t="s">
        <v>124</v>
      </c>
      <c r="C1981" t="s">
        <v>14</v>
      </c>
      <c r="D1981" t="s">
        <v>15</v>
      </c>
      <c r="E1981" t="s">
        <v>33</v>
      </c>
      <c r="F1981" t="s">
        <v>17</v>
      </c>
      <c r="G1981" t="s">
        <v>59</v>
      </c>
      <c r="H1981" t="s">
        <v>528</v>
      </c>
      <c r="I1981">
        <v>6</v>
      </c>
      <c r="J1981" t="s">
        <v>70</v>
      </c>
      <c r="K1981" t="str">
        <f t="shared" si="30"/>
        <v>35600</v>
      </c>
      <c r="L1981">
        <v>4982726.4800000004</v>
      </c>
      <c r="M1981">
        <v>2219.89</v>
      </c>
      <c r="N1981">
        <v>0</v>
      </c>
      <c r="O1981">
        <v>0</v>
      </c>
      <c r="P1981">
        <v>4984946.37</v>
      </c>
    </row>
    <row r="1982" spans="1:16">
      <c r="A1982" s="1">
        <v>44835</v>
      </c>
      <c r="B1982" t="s">
        <v>124</v>
      </c>
      <c r="C1982" t="s">
        <v>14</v>
      </c>
      <c r="D1982" t="s">
        <v>15</v>
      </c>
      <c r="E1982" t="s">
        <v>33</v>
      </c>
      <c r="F1982" t="s">
        <v>17</v>
      </c>
      <c r="G1982" t="s">
        <v>59</v>
      </c>
      <c r="H1982" t="s">
        <v>528</v>
      </c>
      <c r="I1982">
        <v>6</v>
      </c>
      <c r="J1982" t="s">
        <v>71</v>
      </c>
      <c r="K1982" t="str">
        <f t="shared" si="30"/>
        <v>35700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1:16">
      <c r="A1983" s="1">
        <v>44835</v>
      </c>
      <c r="B1983" t="s">
        <v>124</v>
      </c>
      <c r="C1983" t="s">
        <v>14</v>
      </c>
      <c r="D1983" t="s">
        <v>15</v>
      </c>
      <c r="E1983" t="s">
        <v>33</v>
      </c>
      <c r="F1983" t="s">
        <v>17</v>
      </c>
      <c r="G1983" t="s">
        <v>59</v>
      </c>
      <c r="H1983" t="s">
        <v>528</v>
      </c>
      <c r="I1983">
        <v>6</v>
      </c>
      <c r="J1983" t="s">
        <v>72</v>
      </c>
      <c r="K1983" t="str">
        <f t="shared" si="30"/>
        <v>35800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1:16">
      <c r="A1984" s="1">
        <v>44866</v>
      </c>
      <c r="B1984" t="s">
        <v>123</v>
      </c>
      <c r="C1984" t="s">
        <v>14</v>
      </c>
      <c r="D1984" t="s">
        <v>15</v>
      </c>
      <c r="E1984" t="s">
        <v>33</v>
      </c>
      <c r="F1984" t="s">
        <v>24</v>
      </c>
      <c r="G1984" t="s">
        <v>59</v>
      </c>
      <c r="H1984" t="s">
        <v>528</v>
      </c>
      <c r="I1984">
        <v>6</v>
      </c>
      <c r="J1984" t="s">
        <v>60</v>
      </c>
      <c r="K1984" t="str">
        <f t="shared" si="30"/>
        <v>35001</v>
      </c>
      <c r="L1984">
        <v>1988509.0899999999</v>
      </c>
      <c r="M1984">
        <v>1089295.06</v>
      </c>
      <c r="N1984">
        <v>0</v>
      </c>
      <c r="O1984">
        <v>0</v>
      </c>
      <c r="P1984" s="8">
        <v>3077804.15</v>
      </c>
    </row>
    <row r="1985" spans="1:16">
      <c r="A1985" s="1">
        <v>44866</v>
      </c>
      <c r="B1985" t="s">
        <v>123</v>
      </c>
      <c r="C1985" t="s">
        <v>14</v>
      </c>
      <c r="D1985" t="s">
        <v>15</v>
      </c>
      <c r="E1985" t="s">
        <v>33</v>
      </c>
      <c r="F1985" t="s">
        <v>24</v>
      </c>
      <c r="G1985" t="s">
        <v>59</v>
      </c>
      <c r="H1985" t="s">
        <v>528</v>
      </c>
      <c r="I1985">
        <v>6</v>
      </c>
      <c r="J1985" t="s">
        <v>61</v>
      </c>
      <c r="K1985" t="str">
        <f t="shared" si="30"/>
        <v>35002</v>
      </c>
      <c r="L1985">
        <v>4313014.6500000004</v>
      </c>
      <c r="M1985">
        <v>0</v>
      </c>
      <c r="N1985">
        <v>0</v>
      </c>
      <c r="O1985">
        <v>0</v>
      </c>
      <c r="P1985" s="8">
        <v>4313014.6500000004</v>
      </c>
    </row>
    <row r="1986" spans="1:16">
      <c r="A1986" s="1">
        <v>44866</v>
      </c>
      <c r="B1986" t="s">
        <v>123</v>
      </c>
      <c r="C1986" t="s">
        <v>14</v>
      </c>
      <c r="D1986" t="s">
        <v>15</v>
      </c>
      <c r="E1986" t="s">
        <v>33</v>
      </c>
      <c r="F1986" t="s">
        <v>24</v>
      </c>
      <c r="G1986" t="s">
        <v>59</v>
      </c>
      <c r="H1986" t="s">
        <v>528</v>
      </c>
      <c r="I1986">
        <v>6</v>
      </c>
      <c r="J1986" t="s">
        <v>62</v>
      </c>
      <c r="K1986" t="str">
        <f t="shared" ref="K1986:K2049" si="31">MID(J1986,2,5)</f>
        <v>35003</v>
      </c>
      <c r="L1986">
        <v>0</v>
      </c>
      <c r="M1986">
        <v>0</v>
      </c>
      <c r="N1986">
        <v>0</v>
      </c>
      <c r="O1986">
        <v>0</v>
      </c>
      <c r="P1986" s="8">
        <v>0</v>
      </c>
    </row>
    <row r="1987" spans="1:16">
      <c r="A1987" s="1">
        <v>44866</v>
      </c>
      <c r="B1987" t="s">
        <v>123</v>
      </c>
      <c r="C1987" t="s">
        <v>14</v>
      </c>
      <c r="D1987" t="s">
        <v>15</v>
      </c>
      <c r="E1987" t="s">
        <v>33</v>
      </c>
      <c r="F1987" t="s">
        <v>24</v>
      </c>
      <c r="G1987" t="s">
        <v>59</v>
      </c>
      <c r="H1987" t="s">
        <v>528</v>
      </c>
      <c r="I1987">
        <v>6</v>
      </c>
      <c r="J1987" t="s">
        <v>63</v>
      </c>
      <c r="K1987" t="str">
        <f t="shared" si="31"/>
        <v>35200</v>
      </c>
      <c r="L1987">
        <v>10463520.74</v>
      </c>
      <c r="M1987">
        <v>0</v>
      </c>
      <c r="N1987">
        <v>0</v>
      </c>
      <c r="O1987">
        <v>0</v>
      </c>
      <c r="P1987" s="8">
        <v>10463520.74</v>
      </c>
    </row>
    <row r="1988" spans="1:16">
      <c r="A1988" s="1">
        <v>44866</v>
      </c>
      <c r="B1988" t="s">
        <v>123</v>
      </c>
      <c r="C1988" t="s">
        <v>14</v>
      </c>
      <c r="D1988" t="s">
        <v>15</v>
      </c>
      <c r="E1988" t="s">
        <v>33</v>
      </c>
      <c r="F1988" t="s">
        <v>24</v>
      </c>
      <c r="G1988" t="s">
        <v>59</v>
      </c>
      <c r="H1988" t="s">
        <v>528</v>
      </c>
      <c r="I1988">
        <v>6</v>
      </c>
      <c r="J1988" t="s">
        <v>64</v>
      </c>
      <c r="K1988" t="str">
        <f t="shared" si="31"/>
        <v>35205</v>
      </c>
      <c r="L1988">
        <v>274154.33</v>
      </c>
      <c r="M1988">
        <v>22700.37</v>
      </c>
      <c r="N1988">
        <v>0</v>
      </c>
      <c r="O1988">
        <v>0</v>
      </c>
      <c r="P1988" s="8">
        <v>296854.7</v>
      </c>
    </row>
    <row r="1989" spans="1:16">
      <c r="A1989" s="1">
        <v>44866</v>
      </c>
      <c r="B1989" t="s">
        <v>123</v>
      </c>
      <c r="C1989" t="s">
        <v>14</v>
      </c>
      <c r="D1989" t="s">
        <v>15</v>
      </c>
      <c r="E1989" t="s">
        <v>33</v>
      </c>
      <c r="F1989" t="s">
        <v>24</v>
      </c>
      <c r="G1989" t="s">
        <v>59</v>
      </c>
      <c r="H1989" t="s">
        <v>528</v>
      </c>
      <c r="I1989">
        <v>6</v>
      </c>
      <c r="J1989" t="s">
        <v>65</v>
      </c>
      <c r="K1989" t="str">
        <f t="shared" si="31"/>
        <v>35259</v>
      </c>
      <c r="L1989">
        <v>220613.03</v>
      </c>
      <c r="M1989">
        <v>0</v>
      </c>
      <c r="N1989">
        <v>0</v>
      </c>
      <c r="O1989">
        <v>0</v>
      </c>
      <c r="P1989" s="8">
        <v>220613.03</v>
      </c>
    </row>
    <row r="1990" spans="1:16">
      <c r="A1990" s="1">
        <v>44866</v>
      </c>
      <c r="B1990" t="s">
        <v>123</v>
      </c>
      <c r="C1990" t="s">
        <v>14</v>
      </c>
      <c r="D1990" t="s">
        <v>15</v>
      </c>
      <c r="E1990" t="s">
        <v>33</v>
      </c>
      <c r="F1990" t="s">
        <v>24</v>
      </c>
      <c r="G1990" t="s">
        <v>59</v>
      </c>
      <c r="H1990" t="s">
        <v>528</v>
      </c>
      <c r="I1990">
        <v>6</v>
      </c>
      <c r="J1990" t="s">
        <v>66</v>
      </c>
      <c r="K1990" t="str">
        <f t="shared" si="31"/>
        <v>35300</v>
      </c>
      <c r="L1990">
        <v>101912866.64</v>
      </c>
      <c r="M1990">
        <v>866049.69000000006</v>
      </c>
      <c r="N1990">
        <v>-80242.84</v>
      </c>
      <c r="O1990">
        <v>0</v>
      </c>
      <c r="P1990" s="8">
        <v>102698673.48999999</v>
      </c>
    </row>
    <row r="1991" spans="1:16">
      <c r="A1991" s="1">
        <v>44866</v>
      </c>
      <c r="B1991" t="s">
        <v>123</v>
      </c>
      <c r="C1991" t="s">
        <v>14</v>
      </c>
      <c r="D1991" t="s">
        <v>15</v>
      </c>
      <c r="E1991" t="s">
        <v>33</v>
      </c>
      <c r="F1991" t="s">
        <v>24</v>
      </c>
      <c r="G1991" t="s">
        <v>59</v>
      </c>
      <c r="H1991" t="s">
        <v>528</v>
      </c>
      <c r="I1991">
        <v>6</v>
      </c>
      <c r="J1991" t="s">
        <v>67</v>
      </c>
      <c r="K1991" t="str">
        <f t="shared" si="31"/>
        <v>35301</v>
      </c>
      <c r="L1991">
        <v>8243520.1799999997</v>
      </c>
      <c r="M1991">
        <v>0</v>
      </c>
      <c r="N1991">
        <v>0</v>
      </c>
      <c r="O1991">
        <v>0</v>
      </c>
      <c r="P1991" s="8">
        <v>8243520.1799999997</v>
      </c>
    </row>
    <row r="1992" spans="1:16">
      <c r="A1992" s="1">
        <v>44866</v>
      </c>
      <c r="B1992" t="s">
        <v>123</v>
      </c>
      <c r="C1992" t="s">
        <v>14</v>
      </c>
      <c r="D1992" t="s">
        <v>15</v>
      </c>
      <c r="E1992" t="s">
        <v>33</v>
      </c>
      <c r="F1992" t="s">
        <v>24</v>
      </c>
      <c r="G1992" t="s">
        <v>59</v>
      </c>
      <c r="H1992" t="s">
        <v>528</v>
      </c>
      <c r="I1992">
        <v>6</v>
      </c>
      <c r="J1992" t="s">
        <v>68</v>
      </c>
      <c r="K1992" t="str">
        <f t="shared" si="31"/>
        <v>35359</v>
      </c>
      <c r="L1992">
        <v>4227063.49</v>
      </c>
      <c r="M1992">
        <v>0</v>
      </c>
      <c r="N1992">
        <v>0</v>
      </c>
      <c r="O1992">
        <v>0</v>
      </c>
      <c r="P1992" s="8">
        <v>4227063.49</v>
      </c>
    </row>
    <row r="1993" spans="1:16">
      <c r="A1993" s="1">
        <v>44866</v>
      </c>
      <c r="B1993" t="s">
        <v>123</v>
      </c>
      <c r="C1993" t="s">
        <v>14</v>
      </c>
      <c r="D1993" t="s">
        <v>15</v>
      </c>
      <c r="E1993" t="s">
        <v>33</v>
      </c>
      <c r="F1993" t="s">
        <v>24</v>
      </c>
      <c r="G1993" t="s">
        <v>59</v>
      </c>
      <c r="H1993" t="s">
        <v>528</v>
      </c>
      <c r="I1993">
        <v>6</v>
      </c>
      <c r="J1993" t="s">
        <v>69</v>
      </c>
      <c r="K1993" t="str">
        <f t="shared" si="31"/>
        <v>35500</v>
      </c>
      <c r="L1993">
        <v>56175217.200000003</v>
      </c>
      <c r="M1993">
        <v>10728.37</v>
      </c>
      <c r="N1993">
        <v>0</v>
      </c>
      <c r="O1993">
        <v>0</v>
      </c>
      <c r="P1993" s="8">
        <v>56185945.57</v>
      </c>
    </row>
    <row r="1994" spans="1:16">
      <c r="A1994" s="1">
        <v>44866</v>
      </c>
      <c r="B1994" t="s">
        <v>123</v>
      </c>
      <c r="C1994" t="s">
        <v>14</v>
      </c>
      <c r="D1994" t="s">
        <v>15</v>
      </c>
      <c r="E1994" t="s">
        <v>33</v>
      </c>
      <c r="F1994" t="s">
        <v>24</v>
      </c>
      <c r="G1994" t="s">
        <v>59</v>
      </c>
      <c r="H1994" t="s">
        <v>528</v>
      </c>
      <c r="I1994">
        <v>6</v>
      </c>
      <c r="J1994" t="s">
        <v>70</v>
      </c>
      <c r="K1994" t="str">
        <f t="shared" si="31"/>
        <v>35600</v>
      </c>
      <c r="L1994">
        <v>54724814.020000003</v>
      </c>
      <c r="M1994">
        <v>0</v>
      </c>
      <c r="N1994">
        <v>0</v>
      </c>
      <c r="O1994">
        <v>0</v>
      </c>
      <c r="P1994" s="8">
        <v>54724814.020000003</v>
      </c>
    </row>
    <row r="1995" spans="1:16">
      <c r="A1995" s="1">
        <v>44866</v>
      </c>
      <c r="B1995" t="s">
        <v>123</v>
      </c>
      <c r="C1995" t="s">
        <v>14</v>
      </c>
      <c r="D1995" t="s">
        <v>15</v>
      </c>
      <c r="E1995" t="s">
        <v>33</v>
      </c>
      <c r="F1995" t="s">
        <v>24</v>
      </c>
      <c r="G1995" t="s">
        <v>59</v>
      </c>
      <c r="H1995" t="s">
        <v>528</v>
      </c>
      <c r="I1995">
        <v>6</v>
      </c>
      <c r="J1995" t="s">
        <v>71</v>
      </c>
      <c r="K1995" t="str">
        <f t="shared" si="31"/>
        <v>35700</v>
      </c>
      <c r="L1995">
        <v>0</v>
      </c>
      <c r="M1995">
        <v>0</v>
      </c>
      <c r="N1995">
        <v>0</v>
      </c>
      <c r="O1995">
        <v>0</v>
      </c>
      <c r="P1995" s="8">
        <v>0</v>
      </c>
    </row>
    <row r="1996" spans="1:16">
      <c r="A1996" s="1">
        <v>44866</v>
      </c>
      <c r="B1996" t="s">
        <v>123</v>
      </c>
      <c r="C1996" t="s">
        <v>14</v>
      </c>
      <c r="D1996" t="s">
        <v>15</v>
      </c>
      <c r="E1996" t="s">
        <v>33</v>
      </c>
      <c r="F1996" t="s">
        <v>24</v>
      </c>
      <c r="G1996" t="s">
        <v>59</v>
      </c>
      <c r="H1996" t="s">
        <v>528</v>
      </c>
      <c r="I1996">
        <v>6</v>
      </c>
      <c r="J1996" t="s">
        <v>72</v>
      </c>
      <c r="K1996" t="str">
        <f t="shared" si="31"/>
        <v>35800</v>
      </c>
      <c r="L1996">
        <v>0</v>
      </c>
      <c r="M1996">
        <v>0</v>
      </c>
      <c r="N1996">
        <v>0</v>
      </c>
      <c r="O1996">
        <v>0</v>
      </c>
      <c r="P1996" s="8">
        <v>0</v>
      </c>
    </row>
    <row r="1997" spans="1:16">
      <c r="A1997" s="1">
        <v>44866</v>
      </c>
      <c r="B1997" t="s">
        <v>123</v>
      </c>
      <c r="C1997" t="s">
        <v>14</v>
      </c>
      <c r="D1997" t="s">
        <v>15</v>
      </c>
      <c r="E1997" t="s">
        <v>33</v>
      </c>
      <c r="F1997" t="s">
        <v>118</v>
      </c>
      <c r="G1997" t="s">
        <v>59</v>
      </c>
      <c r="H1997" t="s">
        <v>528</v>
      </c>
      <c r="I1997">
        <v>6</v>
      </c>
      <c r="J1997" t="s">
        <v>62</v>
      </c>
      <c r="K1997" t="str">
        <f t="shared" si="31"/>
        <v>35003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1:16">
      <c r="A1998" s="1">
        <v>44866</v>
      </c>
      <c r="B1998" t="s">
        <v>123</v>
      </c>
      <c r="C1998" t="s">
        <v>14</v>
      </c>
      <c r="D1998" t="s">
        <v>15</v>
      </c>
      <c r="E1998" t="s">
        <v>33</v>
      </c>
      <c r="F1998" t="s">
        <v>119</v>
      </c>
      <c r="G1998" t="s">
        <v>59</v>
      </c>
      <c r="H1998" t="s">
        <v>528</v>
      </c>
      <c r="I1998">
        <v>6</v>
      </c>
      <c r="J1998" t="s">
        <v>66</v>
      </c>
      <c r="K1998" t="str">
        <f t="shared" si="31"/>
        <v>35300</v>
      </c>
      <c r="L1998">
        <v>158336.61000000002</v>
      </c>
      <c r="M1998">
        <v>0</v>
      </c>
      <c r="N1998">
        <v>0</v>
      </c>
      <c r="O1998">
        <v>0</v>
      </c>
      <c r="P1998" s="9">
        <v>158336.61000000002</v>
      </c>
    </row>
    <row r="1999" spans="1:16">
      <c r="A1999" s="1">
        <v>44866</v>
      </c>
      <c r="B1999" t="s">
        <v>123</v>
      </c>
      <c r="C1999" t="s">
        <v>14</v>
      </c>
      <c r="D1999" t="s">
        <v>15</v>
      </c>
      <c r="E1999" t="s">
        <v>33</v>
      </c>
      <c r="F1999" t="s">
        <v>17</v>
      </c>
      <c r="G1999" t="s">
        <v>59</v>
      </c>
      <c r="H1999" t="s">
        <v>528</v>
      </c>
      <c r="I1999">
        <v>6</v>
      </c>
      <c r="J1999" t="s">
        <v>60</v>
      </c>
      <c r="K1999" t="str">
        <f t="shared" si="31"/>
        <v>35001</v>
      </c>
      <c r="L1999">
        <v>1081662.08</v>
      </c>
      <c r="M1999">
        <v>-1081662.08</v>
      </c>
      <c r="N1999">
        <v>0</v>
      </c>
      <c r="O1999">
        <v>0</v>
      </c>
      <c r="P1999">
        <v>0</v>
      </c>
    </row>
    <row r="2000" spans="1:16">
      <c r="A2000" s="1">
        <v>44866</v>
      </c>
      <c r="B2000" t="s">
        <v>123</v>
      </c>
      <c r="C2000" t="s">
        <v>14</v>
      </c>
      <c r="D2000" t="s">
        <v>15</v>
      </c>
      <c r="E2000" t="s">
        <v>33</v>
      </c>
      <c r="F2000" t="s">
        <v>17</v>
      </c>
      <c r="G2000" t="s">
        <v>59</v>
      </c>
      <c r="H2000" t="s">
        <v>528</v>
      </c>
      <c r="I2000">
        <v>6</v>
      </c>
      <c r="J2000" t="s">
        <v>61</v>
      </c>
      <c r="K2000" t="str">
        <f t="shared" si="31"/>
        <v>35002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1:16">
      <c r="A2001" s="1">
        <v>44866</v>
      </c>
      <c r="B2001" t="s">
        <v>123</v>
      </c>
      <c r="C2001" t="s">
        <v>14</v>
      </c>
      <c r="D2001" t="s">
        <v>15</v>
      </c>
      <c r="E2001" t="s">
        <v>33</v>
      </c>
      <c r="F2001" t="s">
        <v>17</v>
      </c>
      <c r="G2001" t="s">
        <v>59</v>
      </c>
      <c r="H2001" t="s">
        <v>528</v>
      </c>
      <c r="I2001">
        <v>6</v>
      </c>
      <c r="J2001" t="s">
        <v>63</v>
      </c>
      <c r="K2001" t="str">
        <f t="shared" si="31"/>
        <v>35200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1:16">
      <c r="A2002" s="1">
        <v>44866</v>
      </c>
      <c r="B2002" t="s">
        <v>123</v>
      </c>
      <c r="C2002" t="s">
        <v>14</v>
      </c>
      <c r="D2002" t="s">
        <v>15</v>
      </c>
      <c r="E2002" t="s">
        <v>33</v>
      </c>
      <c r="F2002" t="s">
        <v>17</v>
      </c>
      <c r="G2002" t="s">
        <v>59</v>
      </c>
      <c r="H2002" t="s">
        <v>528</v>
      </c>
      <c r="I2002">
        <v>6</v>
      </c>
      <c r="J2002" t="s">
        <v>66</v>
      </c>
      <c r="K2002" t="str">
        <f t="shared" si="31"/>
        <v>35300</v>
      </c>
      <c r="L2002">
        <v>3074508.78</v>
      </c>
      <c r="M2002">
        <v>1816535.42</v>
      </c>
      <c r="N2002">
        <v>0</v>
      </c>
      <c r="O2002">
        <v>0</v>
      </c>
      <c r="P2002">
        <v>4891044.2</v>
      </c>
    </row>
    <row r="2003" spans="1:16">
      <c r="A2003" s="1">
        <v>44866</v>
      </c>
      <c r="B2003" t="s">
        <v>123</v>
      </c>
      <c r="C2003" t="s">
        <v>14</v>
      </c>
      <c r="D2003" t="s">
        <v>15</v>
      </c>
      <c r="E2003" t="s">
        <v>33</v>
      </c>
      <c r="F2003" t="s">
        <v>17</v>
      </c>
      <c r="G2003" t="s">
        <v>59</v>
      </c>
      <c r="H2003" t="s">
        <v>528</v>
      </c>
      <c r="I2003">
        <v>6</v>
      </c>
      <c r="J2003" t="s">
        <v>67</v>
      </c>
      <c r="K2003" t="str">
        <f t="shared" si="31"/>
        <v>35301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1:16">
      <c r="A2004" s="1">
        <v>44866</v>
      </c>
      <c r="B2004" t="s">
        <v>123</v>
      </c>
      <c r="C2004" t="s">
        <v>14</v>
      </c>
      <c r="D2004" t="s">
        <v>15</v>
      </c>
      <c r="E2004" t="s">
        <v>33</v>
      </c>
      <c r="F2004" t="s">
        <v>17</v>
      </c>
      <c r="G2004" t="s">
        <v>59</v>
      </c>
      <c r="H2004" t="s">
        <v>528</v>
      </c>
      <c r="I2004">
        <v>6</v>
      </c>
      <c r="J2004" t="s">
        <v>121</v>
      </c>
      <c r="K2004" t="str">
        <f t="shared" si="31"/>
        <v>35400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1:16">
      <c r="A2005" s="1">
        <v>44866</v>
      </c>
      <c r="B2005" t="s">
        <v>123</v>
      </c>
      <c r="C2005" t="s">
        <v>14</v>
      </c>
      <c r="D2005" t="s">
        <v>15</v>
      </c>
      <c r="E2005" t="s">
        <v>33</v>
      </c>
      <c r="F2005" t="s">
        <v>17</v>
      </c>
      <c r="G2005" t="s">
        <v>59</v>
      </c>
      <c r="H2005" t="s">
        <v>528</v>
      </c>
      <c r="I2005">
        <v>6</v>
      </c>
      <c r="J2005" t="s">
        <v>69</v>
      </c>
      <c r="K2005" t="str">
        <f t="shared" si="31"/>
        <v>35500</v>
      </c>
      <c r="L2005">
        <v>9980621.0800000001</v>
      </c>
      <c r="M2005">
        <v>-400246.19</v>
      </c>
      <c r="N2005">
        <v>0</v>
      </c>
      <c r="O2005">
        <v>0</v>
      </c>
      <c r="P2005">
        <v>9580374.8900000006</v>
      </c>
    </row>
    <row r="2006" spans="1:16">
      <c r="A2006" s="1">
        <v>44866</v>
      </c>
      <c r="B2006" t="s">
        <v>123</v>
      </c>
      <c r="C2006" t="s">
        <v>14</v>
      </c>
      <c r="D2006" t="s">
        <v>15</v>
      </c>
      <c r="E2006" t="s">
        <v>33</v>
      </c>
      <c r="F2006" t="s">
        <v>17</v>
      </c>
      <c r="G2006" t="s">
        <v>59</v>
      </c>
      <c r="H2006" t="s">
        <v>528</v>
      </c>
      <c r="I2006">
        <v>6</v>
      </c>
      <c r="J2006" t="s">
        <v>70</v>
      </c>
      <c r="K2006" t="str">
        <f t="shared" si="31"/>
        <v>35600</v>
      </c>
      <c r="L2006">
        <v>4984946.37</v>
      </c>
      <c r="M2006">
        <v>-194758.9</v>
      </c>
      <c r="N2006">
        <v>0</v>
      </c>
      <c r="O2006">
        <v>0</v>
      </c>
      <c r="P2006">
        <v>4790187.47</v>
      </c>
    </row>
    <row r="2007" spans="1:16">
      <c r="A2007" s="1">
        <v>44866</v>
      </c>
      <c r="B2007" t="s">
        <v>123</v>
      </c>
      <c r="C2007" t="s">
        <v>14</v>
      </c>
      <c r="D2007" t="s">
        <v>15</v>
      </c>
      <c r="E2007" t="s">
        <v>33</v>
      </c>
      <c r="F2007" t="s">
        <v>17</v>
      </c>
      <c r="G2007" t="s">
        <v>59</v>
      </c>
      <c r="H2007" t="s">
        <v>528</v>
      </c>
      <c r="I2007">
        <v>6</v>
      </c>
      <c r="J2007" t="s">
        <v>71</v>
      </c>
      <c r="K2007" t="str">
        <f t="shared" si="31"/>
        <v>35700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1:16">
      <c r="A2008" s="1">
        <v>44866</v>
      </c>
      <c r="B2008" t="s">
        <v>123</v>
      </c>
      <c r="C2008" t="s">
        <v>14</v>
      </c>
      <c r="D2008" t="s">
        <v>15</v>
      </c>
      <c r="E2008" t="s">
        <v>33</v>
      </c>
      <c r="F2008" t="s">
        <v>17</v>
      </c>
      <c r="G2008" t="s">
        <v>59</v>
      </c>
      <c r="H2008" t="s">
        <v>528</v>
      </c>
      <c r="I2008">
        <v>6</v>
      </c>
      <c r="J2008" t="s">
        <v>72</v>
      </c>
      <c r="K2008" t="str">
        <f t="shared" si="31"/>
        <v>35800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1:16">
      <c r="A2009" s="1">
        <v>44896</v>
      </c>
      <c r="B2009" t="s">
        <v>122</v>
      </c>
      <c r="C2009" t="s">
        <v>14</v>
      </c>
      <c r="D2009" t="s">
        <v>15</v>
      </c>
      <c r="E2009" t="s">
        <v>33</v>
      </c>
      <c r="F2009" t="s">
        <v>24</v>
      </c>
      <c r="G2009" t="s">
        <v>59</v>
      </c>
      <c r="H2009" t="s">
        <v>528</v>
      </c>
      <c r="I2009">
        <v>6</v>
      </c>
      <c r="J2009" t="s">
        <v>60</v>
      </c>
      <c r="K2009" t="str">
        <f t="shared" si="31"/>
        <v>35001</v>
      </c>
      <c r="L2009">
        <v>3077804.15</v>
      </c>
      <c r="M2009">
        <v>116206.5</v>
      </c>
      <c r="N2009">
        <v>0</v>
      </c>
      <c r="O2009">
        <v>-86206.5</v>
      </c>
      <c r="P2009" s="8">
        <v>3107804.15</v>
      </c>
    </row>
    <row r="2010" spans="1:16">
      <c r="A2010" s="1">
        <v>44896</v>
      </c>
      <c r="B2010" t="s">
        <v>122</v>
      </c>
      <c r="C2010" t="s">
        <v>14</v>
      </c>
      <c r="D2010" t="s">
        <v>15</v>
      </c>
      <c r="E2010" t="s">
        <v>33</v>
      </c>
      <c r="F2010" t="s">
        <v>24</v>
      </c>
      <c r="G2010" t="s">
        <v>59</v>
      </c>
      <c r="H2010" t="s">
        <v>528</v>
      </c>
      <c r="I2010">
        <v>6</v>
      </c>
      <c r="J2010" t="s">
        <v>61</v>
      </c>
      <c r="K2010" t="str">
        <f t="shared" si="31"/>
        <v>35002</v>
      </c>
      <c r="L2010">
        <v>4313014.6500000004</v>
      </c>
      <c r="M2010">
        <v>0</v>
      </c>
      <c r="N2010">
        <v>0</v>
      </c>
      <c r="O2010">
        <v>0</v>
      </c>
      <c r="P2010" s="8">
        <v>4313014.6500000004</v>
      </c>
    </row>
    <row r="2011" spans="1:16">
      <c r="A2011" s="1">
        <v>44896</v>
      </c>
      <c r="B2011" t="s">
        <v>122</v>
      </c>
      <c r="C2011" t="s">
        <v>14</v>
      </c>
      <c r="D2011" t="s">
        <v>15</v>
      </c>
      <c r="E2011" t="s">
        <v>33</v>
      </c>
      <c r="F2011" t="s">
        <v>24</v>
      </c>
      <c r="G2011" t="s">
        <v>59</v>
      </c>
      <c r="H2011" t="s">
        <v>528</v>
      </c>
      <c r="I2011">
        <v>6</v>
      </c>
      <c r="J2011" t="s">
        <v>62</v>
      </c>
      <c r="K2011" t="str">
        <f t="shared" si="31"/>
        <v>35003</v>
      </c>
      <c r="L2011">
        <v>0</v>
      </c>
      <c r="M2011">
        <v>36879.700000000004</v>
      </c>
      <c r="N2011">
        <v>0</v>
      </c>
      <c r="O2011">
        <v>57154.85</v>
      </c>
      <c r="P2011" s="8">
        <v>94034.55</v>
      </c>
    </row>
    <row r="2012" spans="1:16">
      <c r="A2012" s="1">
        <v>44896</v>
      </c>
      <c r="B2012" t="s">
        <v>122</v>
      </c>
      <c r="C2012" t="s">
        <v>14</v>
      </c>
      <c r="D2012" t="s">
        <v>15</v>
      </c>
      <c r="E2012" t="s">
        <v>33</v>
      </c>
      <c r="F2012" t="s">
        <v>24</v>
      </c>
      <c r="G2012" t="s">
        <v>59</v>
      </c>
      <c r="H2012" t="s">
        <v>528</v>
      </c>
      <c r="I2012">
        <v>6</v>
      </c>
      <c r="J2012" t="s">
        <v>63</v>
      </c>
      <c r="K2012" t="str">
        <f t="shared" si="31"/>
        <v>35200</v>
      </c>
      <c r="L2012">
        <v>10463520.74</v>
      </c>
      <c r="M2012">
        <v>0</v>
      </c>
      <c r="N2012">
        <v>0</v>
      </c>
      <c r="O2012">
        <v>0</v>
      </c>
      <c r="P2012" s="8">
        <v>10463520.74</v>
      </c>
    </row>
    <row r="2013" spans="1:16">
      <c r="A2013" s="1">
        <v>44896</v>
      </c>
      <c r="B2013" t="s">
        <v>122</v>
      </c>
      <c r="C2013" t="s">
        <v>14</v>
      </c>
      <c r="D2013" t="s">
        <v>15</v>
      </c>
      <c r="E2013" t="s">
        <v>33</v>
      </c>
      <c r="F2013" t="s">
        <v>24</v>
      </c>
      <c r="G2013" t="s">
        <v>59</v>
      </c>
      <c r="H2013" t="s">
        <v>528</v>
      </c>
      <c r="I2013">
        <v>6</v>
      </c>
      <c r="J2013" t="s">
        <v>64</v>
      </c>
      <c r="K2013" t="str">
        <f t="shared" si="31"/>
        <v>35205</v>
      </c>
      <c r="L2013">
        <v>296854.7</v>
      </c>
      <c r="M2013">
        <v>356473.21</v>
      </c>
      <c r="N2013">
        <v>0</v>
      </c>
      <c r="O2013">
        <v>0</v>
      </c>
      <c r="P2013" s="8">
        <v>653327.91</v>
      </c>
    </row>
    <row r="2014" spans="1:16">
      <c r="A2014" s="1">
        <v>44896</v>
      </c>
      <c r="B2014" t="s">
        <v>122</v>
      </c>
      <c r="C2014" t="s">
        <v>14</v>
      </c>
      <c r="D2014" t="s">
        <v>15</v>
      </c>
      <c r="E2014" t="s">
        <v>33</v>
      </c>
      <c r="F2014" t="s">
        <v>24</v>
      </c>
      <c r="G2014" t="s">
        <v>59</v>
      </c>
      <c r="H2014" t="s">
        <v>528</v>
      </c>
      <c r="I2014">
        <v>6</v>
      </c>
      <c r="J2014" t="s">
        <v>65</v>
      </c>
      <c r="K2014" t="str">
        <f t="shared" si="31"/>
        <v>35259</v>
      </c>
      <c r="L2014">
        <v>220613.03</v>
      </c>
      <c r="M2014">
        <v>0</v>
      </c>
      <c r="N2014">
        <v>0</v>
      </c>
      <c r="O2014">
        <v>0</v>
      </c>
      <c r="P2014" s="8">
        <v>220613.03</v>
      </c>
    </row>
    <row r="2015" spans="1:16">
      <c r="A2015" s="1">
        <v>44896</v>
      </c>
      <c r="B2015" t="s">
        <v>122</v>
      </c>
      <c r="C2015" t="s">
        <v>14</v>
      </c>
      <c r="D2015" t="s">
        <v>15</v>
      </c>
      <c r="E2015" t="s">
        <v>33</v>
      </c>
      <c r="F2015" t="s">
        <v>24</v>
      </c>
      <c r="G2015" t="s">
        <v>59</v>
      </c>
      <c r="H2015" t="s">
        <v>528</v>
      </c>
      <c r="I2015">
        <v>6</v>
      </c>
      <c r="J2015" t="s">
        <v>66</v>
      </c>
      <c r="K2015" t="str">
        <f t="shared" si="31"/>
        <v>35300</v>
      </c>
      <c r="L2015">
        <v>102698673.48999999</v>
      </c>
      <c r="M2015">
        <v>1112438.3700000001</v>
      </c>
      <c r="N2015">
        <v>0</v>
      </c>
      <c r="O2015">
        <v>362462.11</v>
      </c>
      <c r="P2015" s="8">
        <v>104173573.97</v>
      </c>
    </row>
    <row r="2016" spans="1:16">
      <c r="A2016" s="1">
        <v>44896</v>
      </c>
      <c r="B2016" t="s">
        <v>122</v>
      </c>
      <c r="C2016" t="s">
        <v>14</v>
      </c>
      <c r="D2016" t="s">
        <v>15</v>
      </c>
      <c r="E2016" t="s">
        <v>33</v>
      </c>
      <c r="F2016" t="s">
        <v>24</v>
      </c>
      <c r="G2016" t="s">
        <v>59</v>
      </c>
      <c r="H2016" t="s">
        <v>528</v>
      </c>
      <c r="I2016">
        <v>6</v>
      </c>
      <c r="J2016" t="s">
        <v>67</v>
      </c>
      <c r="K2016" t="str">
        <f t="shared" si="31"/>
        <v>35301</v>
      </c>
      <c r="L2016">
        <v>8243520.1799999997</v>
      </c>
      <c r="M2016">
        <v>0</v>
      </c>
      <c r="N2016">
        <v>0</v>
      </c>
      <c r="O2016">
        <v>0</v>
      </c>
      <c r="P2016" s="8">
        <v>8243520.1799999997</v>
      </c>
    </row>
    <row r="2017" spans="1:16">
      <c r="A2017" s="1">
        <v>44896</v>
      </c>
      <c r="B2017" t="s">
        <v>122</v>
      </c>
      <c r="C2017" t="s">
        <v>14</v>
      </c>
      <c r="D2017" t="s">
        <v>15</v>
      </c>
      <c r="E2017" t="s">
        <v>33</v>
      </c>
      <c r="F2017" t="s">
        <v>24</v>
      </c>
      <c r="G2017" t="s">
        <v>59</v>
      </c>
      <c r="H2017" t="s">
        <v>528</v>
      </c>
      <c r="I2017">
        <v>6</v>
      </c>
      <c r="J2017" t="s">
        <v>68</v>
      </c>
      <c r="K2017" t="str">
        <f t="shared" si="31"/>
        <v>35359</v>
      </c>
      <c r="L2017">
        <v>4227063.49</v>
      </c>
      <c r="M2017">
        <v>0</v>
      </c>
      <c r="N2017">
        <v>0</v>
      </c>
      <c r="O2017">
        <v>-362462.11</v>
      </c>
      <c r="P2017" s="8">
        <v>3864601.38</v>
      </c>
    </row>
    <row r="2018" spans="1:16">
      <c r="A2018" s="1">
        <v>44896</v>
      </c>
      <c r="B2018" t="s">
        <v>122</v>
      </c>
      <c r="C2018" t="s">
        <v>14</v>
      </c>
      <c r="D2018" t="s">
        <v>15</v>
      </c>
      <c r="E2018" t="s">
        <v>33</v>
      </c>
      <c r="F2018" t="s">
        <v>24</v>
      </c>
      <c r="G2018" t="s">
        <v>59</v>
      </c>
      <c r="H2018" t="s">
        <v>528</v>
      </c>
      <c r="I2018">
        <v>6</v>
      </c>
      <c r="J2018" t="s">
        <v>69</v>
      </c>
      <c r="K2018" t="str">
        <f t="shared" si="31"/>
        <v>35500</v>
      </c>
      <c r="L2018">
        <v>56185945.57</v>
      </c>
      <c r="M2018">
        <v>9501884.0099999998</v>
      </c>
      <c r="N2018">
        <v>-287533.28000000003</v>
      </c>
      <c r="O2018">
        <v>0</v>
      </c>
      <c r="P2018" s="8">
        <v>65400296.299999997</v>
      </c>
    </row>
    <row r="2019" spans="1:16">
      <c r="A2019" s="1">
        <v>44896</v>
      </c>
      <c r="B2019" t="s">
        <v>122</v>
      </c>
      <c r="C2019" t="s">
        <v>14</v>
      </c>
      <c r="D2019" t="s">
        <v>15</v>
      </c>
      <c r="E2019" t="s">
        <v>33</v>
      </c>
      <c r="F2019" t="s">
        <v>24</v>
      </c>
      <c r="G2019" t="s">
        <v>59</v>
      </c>
      <c r="H2019" t="s">
        <v>528</v>
      </c>
      <c r="I2019">
        <v>6</v>
      </c>
      <c r="J2019" t="s">
        <v>70</v>
      </c>
      <c r="K2019" t="str">
        <f t="shared" si="31"/>
        <v>35600</v>
      </c>
      <c r="L2019">
        <v>54724814.020000003</v>
      </c>
      <c r="M2019">
        <v>4475697.3899999997</v>
      </c>
      <c r="N2019">
        <v>-146667.30000000002</v>
      </c>
      <c r="O2019">
        <v>0</v>
      </c>
      <c r="P2019" s="8">
        <v>59053844.109999999</v>
      </c>
    </row>
    <row r="2020" spans="1:16">
      <c r="A2020" s="1">
        <v>44896</v>
      </c>
      <c r="B2020" t="s">
        <v>122</v>
      </c>
      <c r="C2020" t="s">
        <v>14</v>
      </c>
      <c r="D2020" t="s">
        <v>15</v>
      </c>
      <c r="E2020" t="s">
        <v>33</v>
      </c>
      <c r="F2020" t="s">
        <v>24</v>
      </c>
      <c r="G2020" t="s">
        <v>59</v>
      </c>
      <c r="H2020" t="s">
        <v>528</v>
      </c>
      <c r="I2020">
        <v>6</v>
      </c>
      <c r="J2020" t="s">
        <v>71</v>
      </c>
      <c r="K2020" t="str">
        <f t="shared" si="31"/>
        <v>35700</v>
      </c>
      <c r="L2020">
        <v>0</v>
      </c>
      <c r="M2020">
        <v>0</v>
      </c>
      <c r="N2020">
        <v>0</v>
      </c>
      <c r="O2020">
        <v>0</v>
      </c>
      <c r="P2020" s="8">
        <v>0</v>
      </c>
    </row>
    <row r="2021" spans="1:16">
      <c r="A2021" s="1">
        <v>44896</v>
      </c>
      <c r="B2021" t="s">
        <v>122</v>
      </c>
      <c r="C2021" t="s">
        <v>14</v>
      </c>
      <c r="D2021" t="s">
        <v>15</v>
      </c>
      <c r="E2021" t="s">
        <v>33</v>
      </c>
      <c r="F2021" t="s">
        <v>24</v>
      </c>
      <c r="G2021" t="s">
        <v>59</v>
      </c>
      <c r="H2021" t="s">
        <v>528</v>
      </c>
      <c r="I2021">
        <v>6</v>
      </c>
      <c r="J2021" t="s">
        <v>72</v>
      </c>
      <c r="K2021" t="str">
        <f t="shared" si="31"/>
        <v>35800</v>
      </c>
      <c r="L2021">
        <v>0</v>
      </c>
      <c r="M2021">
        <v>0</v>
      </c>
      <c r="N2021">
        <v>0</v>
      </c>
      <c r="O2021">
        <v>0</v>
      </c>
      <c r="P2021" s="8">
        <v>0</v>
      </c>
    </row>
    <row r="2022" spans="1:16">
      <c r="A2022" s="1">
        <v>44896</v>
      </c>
      <c r="B2022" t="s">
        <v>122</v>
      </c>
      <c r="C2022" t="s">
        <v>14</v>
      </c>
      <c r="D2022" t="s">
        <v>15</v>
      </c>
      <c r="E2022" t="s">
        <v>33</v>
      </c>
      <c r="F2022" t="s">
        <v>118</v>
      </c>
      <c r="G2022" t="s">
        <v>59</v>
      </c>
      <c r="H2022" t="s">
        <v>528</v>
      </c>
      <c r="I2022">
        <v>6</v>
      </c>
      <c r="J2022" t="s">
        <v>62</v>
      </c>
      <c r="K2022" t="str">
        <f t="shared" si="31"/>
        <v>35003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1:16">
      <c r="A2023" s="1">
        <v>44896</v>
      </c>
      <c r="B2023" t="s">
        <v>122</v>
      </c>
      <c r="C2023" t="s">
        <v>14</v>
      </c>
      <c r="D2023" t="s">
        <v>15</v>
      </c>
      <c r="E2023" t="s">
        <v>33</v>
      </c>
      <c r="F2023" t="s">
        <v>119</v>
      </c>
      <c r="G2023" t="s">
        <v>59</v>
      </c>
      <c r="H2023" t="s">
        <v>528</v>
      </c>
      <c r="I2023">
        <v>6</v>
      </c>
      <c r="J2023" t="s">
        <v>66</v>
      </c>
      <c r="K2023" t="str">
        <f t="shared" si="31"/>
        <v>35300</v>
      </c>
      <c r="L2023">
        <v>158336.61000000002</v>
      </c>
      <c r="M2023">
        <v>0</v>
      </c>
      <c r="N2023">
        <v>0</v>
      </c>
      <c r="O2023">
        <v>0</v>
      </c>
      <c r="P2023" s="9">
        <v>158336.61000000002</v>
      </c>
    </row>
    <row r="2024" spans="1:16">
      <c r="A2024" s="1">
        <v>44896</v>
      </c>
      <c r="B2024" t="s">
        <v>122</v>
      </c>
      <c r="C2024" t="s">
        <v>14</v>
      </c>
      <c r="D2024" t="s">
        <v>15</v>
      </c>
      <c r="E2024" t="s">
        <v>33</v>
      </c>
      <c r="F2024" t="s">
        <v>17</v>
      </c>
      <c r="G2024" t="s">
        <v>59</v>
      </c>
      <c r="H2024" t="s">
        <v>528</v>
      </c>
      <c r="I2024">
        <v>6</v>
      </c>
      <c r="J2024" t="s">
        <v>60</v>
      </c>
      <c r="K2024" t="str">
        <f t="shared" si="31"/>
        <v>35001</v>
      </c>
      <c r="L2024">
        <v>0</v>
      </c>
      <c r="M2024">
        <v>34062.5</v>
      </c>
      <c r="N2024">
        <v>0</v>
      </c>
      <c r="O2024">
        <v>0</v>
      </c>
      <c r="P2024">
        <v>34062.5</v>
      </c>
    </row>
    <row r="2025" spans="1:16">
      <c r="A2025" s="1">
        <v>44896</v>
      </c>
      <c r="B2025" t="s">
        <v>122</v>
      </c>
      <c r="C2025" t="s">
        <v>14</v>
      </c>
      <c r="D2025" t="s">
        <v>15</v>
      </c>
      <c r="E2025" t="s">
        <v>33</v>
      </c>
      <c r="F2025" t="s">
        <v>17</v>
      </c>
      <c r="G2025" t="s">
        <v>59</v>
      </c>
      <c r="H2025" t="s">
        <v>528</v>
      </c>
      <c r="I2025">
        <v>6</v>
      </c>
      <c r="J2025" t="s">
        <v>61</v>
      </c>
      <c r="K2025" t="str">
        <f t="shared" si="31"/>
        <v>35002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1:16">
      <c r="A2026" s="1">
        <v>44896</v>
      </c>
      <c r="B2026" t="s">
        <v>122</v>
      </c>
      <c r="C2026" t="s">
        <v>14</v>
      </c>
      <c r="D2026" t="s">
        <v>15</v>
      </c>
      <c r="E2026" t="s">
        <v>33</v>
      </c>
      <c r="F2026" t="s">
        <v>17</v>
      </c>
      <c r="G2026" t="s">
        <v>59</v>
      </c>
      <c r="H2026" t="s">
        <v>528</v>
      </c>
      <c r="I2026">
        <v>6</v>
      </c>
      <c r="J2026" t="s">
        <v>63</v>
      </c>
      <c r="K2026" t="str">
        <f t="shared" si="31"/>
        <v>35200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1:16">
      <c r="A2027" s="1">
        <v>44896</v>
      </c>
      <c r="B2027" t="s">
        <v>122</v>
      </c>
      <c r="C2027" t="s">
        <v>14</v>
      </c>
      <c r="D2027" t="s">
        <v>15</v>
      </c>
      <c r="E2027" t="s">
        <v>33</v>
      </c>
      <c r="F2027" t="s">
        <v>17</v>
      </c>
      <c r="G2027" t="s">
        <v>59</v>
      </c>
      <c r="H2027" t="s">
        <v>528</v>
      </c>
      <c r="I2027">
        <v>6</v>
      </c>
      <c r="J2027" t="s">
        <v>66</v>
      </c>
      <c r="K2027" t="str">
        <f t="shared" si="31"/>
        <v>35300</v>
      </c>
      <c r="L2027">
        <v>4891044.2</v>
      </c>
      <c r="M2027">
        <v>-1733412.53</v>
      </c>
      <c r="N2027">
        <v>0</v>
      </c>
      <c r="O2027">
        <v>0</v>
      </c>
      <c r="P2027">
        <v>3157631.67</v>
      </c>
    </row>
    <row r="2028" spans="1:16">
      <c r="A2028" s="1">
        <v>44896</v>
      </c>
      <c r="B2028" t="s">
        <v>122</v>
      </c>
      <c r="C2028" t="s">
        <v>14</v>
      </c>
      <c r="D2028" t="s">
        <v>15</v>
      </c>
      <c r="E2028" t="s">
        <v>33</v>
      </c>
      <c r="F2028" t="s">
        <v>17</v>
      </c>
      <c r="G2028" t="s">
        <v>59</v>
      </c>
      <c r="H2028" t="s">
        <v>528</v>
      </c>
      <c r="I2028">
        <v>6</v>
      </c>
      <c r="J2028" t="s">
        <v>67</v>
      </c>
      <c r="K2028" t="str">
        <f t="shared" si="31"/>
        <v>35301</v>
      </c>
      <c r="L2028">
        <v>0</v>
      </c>
      <c r="M2028">
        <v>228351.67</v>
      </c>
      <c r="N2028">
        <v>0</v>
      </c>
      <c r="O2028">
        <v>0</v>
      </c>
      <c r="P2028">
        <v>228351.67</v>
      </c>
    </row>
    <row r="2029" spans="1:16">
      <c r="A2029" s="1">
        <v>44896</v>
      </c>
      <c r="B2029" t="s">
        <v>122</v>
      </c>
      <c r="C2029" t="s">
        <v>14</v>
      </c>
      <c r="D2029" t="s">
        <v>15</v>
      </c>
      <c r="E2029" t="s">
        <v>33</v>
      </c>
      <c r="F2029" t="s">
        <v>17</v>
      </c>
      <c r="G2029" t="s">
        <v>59</v>
      </c>
      <c r="H2029" t="s">
        <v>528</v>
      </c>
      <c r="I2029">
        <v>6</v>
      </c>
      <c r="J2029" t="s">
        <v>121</v>
      </c>
      <c r="K2029" t="str">
        <f t="shared" si="31"/>
        <v>35400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1:16">
      <c r="A2030" s="1">
        <v>44896</v>
      </c>
      <c r="B2030" t="s">
        <v>122</v>
      </c>
      <c r="C2030" t="s">
        <v>14</v>
      </c>
      <c r="D2030" t="s">
        <v>15</v>
      </c>
      <c r="E2030" t="s">
        <v>33</v>
      </c>
      <c r="F2030" t="s">
        <v>17</v>
      </c>
      <c r="G2030" t="s">
        <v>59</v>
      </c>
      <c r="H2030" t="s">
        <v>528</v>
      </c>
      <c r="I2030">
        <v>6</v>
      </c>
      <c r="J2030" t="s">
        <v>69</v>
      </c>
      <c r="K2030" t="str">
        <f t="shared" si="31"/>
        <v>35500</v>
      </c>
      <c r="L2030">
        <v>9580374.8900000006</v>
      </c>
      <c r="M2030">
        <v>-8554771.8399999999</v>
      </c>
      <c r="N2030">
        <v>0</v>
      </c>
      <c r="O2030">
        <v>0</v>
      </c>
      <c r="P2030">
        <v>1025603.05</v>
      </c>
    </row>
    <row r="2031" spans="1:16">
      <c r="A2031" s="1">
        <v>44896</v>
      </c>
      <c r="B2031" t="s">
        <v>122</v>
      </c>
      <c r="C2031" t="s">
        <v>14</v>
      </c>
      <c r="D2031" t="s">
        <v>15</v>
      </c>
      <c r="E2031" t="s">
        <v>33</v>
      </c>
      <c r="F2031" t="s">
        <v>17</v>
      </c>
      <c r="G2031" t="s">
        <v>59</v>
      </c>
      <c r="H2031" t="s">
        <v>528</v>
      </c>
      <c r="I2031">
        <v>6</v>
      </c>
      <c r="J2031" t="s">
        <v>70</v>
      </c>
      <c r="K2031" t="str">
        <f t="shared" si="31"/>
        <v>35600</v>
      </c>
      <c r="L2031">
        <v>4790187.47</v>
      </c>
      <c r="M2031">
        <v>-4372743.2</v>
      </c>
      <c r="N2031">
        <v>0</v>
      </c>
      <c r="O2031">
        <v>0</v>
      </c>
      <c r="P2031">
        <v>417444.27</v>
      </c>
    </row>
    <row r="2032" spans="1:16">
      <c r="A2032" s="1">
        <v>44896</v>
      </c>
      <c r="B2032" t="s">
        <v>122</v>
      </c>
      <c r="C2032" t="s">
        <v>14</v>
      </c>
      <c r="D2032" t="s">
        <v>15</v>
      </c>
      <c r="E2032" t="s">
        <v>33</v>
      </c>
      <c r="F2032" t="s">
        <v>17</v>
      </c>
      <c r="G2032" t="s">
        <v>59</v>
      </c>
      <c r="H2032" t="s">
        <v>528</v>
      </c>
      <c r="I2032">
        <v>6</v>
      </c>
      <c r="J2032" t="s">
        <v>71</v>
      </c>
      <c r="K2032" t="str">
        <f t="shared" si="31"/>
        <v>35700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1:16">
      <c r="A2033" s="1">
        <v>44896</v>
      </c>
      <c r="B2033" t="s">
        <v>122</v>
      </c>
      <c r="C2033" t="s">
        <v>14</v>
      </c>
      <c r="D2033" t="s">
        <v>15</v>
      </c>
      <c r="E2033" t="s">
        <v>33</v>
      </c>
      <c r="F2033" t="s">
        <v>17</v>
      </c>
      <c r="G2033" t="s">
        <v>59</v>
      </c>
      <c r="H2033" t="s">
        <v>528</v>
      </c>
      <c r="I2033">
        <v>6</v>
      </c>
      <c r="J2033" t="s">
        <v>72</v>
      </c>
      <c r="K2033" t="str">
        <f t="shared" si="31"/>
        <v>35800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1:16">
      <c r="A2034" s="1">
        <v>44531</v>
      </c>
      <c r="B2034" t="s">
        <v>13</v>
      </c>
      <c r="C2034" t="s">
        <v>14</v>
      </c>
      <c r="D2034" t="s">
        <v>15</v>
      </c>
      <c r="E2034" t="s">
        <v>33</v>
      </c>
      <c r="F2034" t="s">
        <v>24</v>
      </c>
      <c r="G2034" t="s">
        <v>59</v>
      </c>
      <c r="H2034" t="s">
        <v>528</v>
      </c>
      <c r="I2034">
        <v>6</v>
      </c>
      <c r="J2034" t="s">
        <v>60</v>
      </c>
      <c r="K2034" t="str">
        <f t="shared" si="31"/>
        <v>35001</v>
      </c>
      <c r="L2034">
        <v>1144772.3400000001</v>
      </c>
      <c r="M2034">
        <v>843736.75</v>
      </c>
      <c r="N2034">
        <v>0</v>
      </c>
      <c r="O2034">
        <v>0</v>
      </c>
      <c r="P2034" s="8">
        <v>1988509.0899999999</v>
      </c>
    </row>
    <row r="2035" spans="1:16">
      <c r="A2035" s="1">
        <v>44531</v>
      </c>
      <c r="B2035" t="s">
        <v>13</v>
      </c>
      <c r="C2035" t="s">
        <v>14</v>
      </c>
      <c r="D2035" t="s">
        <v>15</v>
      </c>
      <c r="E2035" t="s">
        <v>33</v>
      </c>
      <c r="F2035" t="s">
        <v>24</v>
      </c>
      <c r="G2035" t="s">
        <v>59</v>
      </c>
      <c r="H2035" t="s">
        <v>528</v>
      </c>
      <c r="I2035">
        <v>6</v>
      </c>
      <c r="J2035" t="s">
        <v>61</v>
      </c>
      <c r="K2035" t="str">
        <f t="shared" si="31"/>
        <v>35002</v>
      </c>
      <c r="L2035">
        <v>1945063.8599999999</v>
      </c>
      <c r="M2035">
        <v>2367950.79</v>
      </c>
      <c r="N2035">
        <v>0</v>
      </c>
      <c r="O2035">
        <v>0</v>
      </c>
      <c r="P2035" s="8">
        <v>4313014.6500000004</v>
      </c>
    </row>
    <row r="2036" spans="1:16">
      <c r="A2036" s="1">
        <v>44531</v>
      </c>
      <c r="B2036" t="s">
        <v>13</v>
      </c>
      <c r="C2036" t="s">
        <v>14</v>
      </c>
      <c r="D2036" t="s">
        <v>15</v>
      </c>
      <c r="E2036" t="s">
        <v>33</v>
      </c>
      <c r="F2036" t="s">
        <v>24</v>
      </c>
      <c r="G2036" t="s">
        <v>59</v>
      </c>
      <c r="H2036" t="s">
        <v>528</v>
      </c>
      <c r="I2036">
        <v>6</v>
      </c>
      <c r="J2036" t="s">
        <v>62</v>
      </c>
      <c r="K2036" t="str">
        <f t="shared" si="31"/>
        <v>35003</v>
      </c>
      <c r="L2036">
        <v>0</v>
      </c>
      <c r="M2036">
        <v>0</v>
      </c>
      <c r="N2036">
        <v>0</v>
      </c>
      <c r="O2036">
        <v>0</v>
      </c>
      <c r="P2036" s="8">
        <v>0</v>
      </c>
    </row>
    <row r="2037" spans="1:16">
      <c r="A2037" s="1">
        <v>44531</v>
      </c>
      <c r="B2037" t="s">
        <v>13</v>
      </c>
      <c r="C2037" t="s">
        <v>14</v>
      </c>
      <c r="D2037" t="s">
        <v>15</v>
      </c>
      <c r="E2037" t="s">
        <v>33</v>
      </c>
      <c r="F2037" t="s">
        <v>24</v>
      </c>
      <c r="G2037" t="s">
        <v>59</v>
      </c>
      <c r="H2037" t="s">
        <v>528</v>
      </c>
      <c r="I2037">
        <v>6</v>
      </c>
      <c r="J2037" t="s">
        <v>63</v>
      </c>
      <c r="K2037" t="str">
        <f t="shared" si="31"/>
        <v>35200</v>
      </c>
      <c r="L2037">
        <v>10463520.74</v>
      </c>
      <c r="M2037">
        <v>0</v>
      </c>
      <c r="N2037">
        <v>0</v>
      </c>
      <c r="O2037">
        <v>0</v>
      </c>
      <c r="P2037" s="8">
        <v>10463520.74</v>
      </c>
    </row>
    <row r="2038" spans="1:16">
      <c r="A2038" s="1">
        <v>44531</v>
      </c>
      <c r="B2038" t="s">
        <v>13</v>
      </c>
      <c r="C2038" t="s">
        <v>14</v>
      </c>
      <c r="D2038" t="s">
        <v>15</v>
      </c>
      <c r="E2038" t="s">
        <v>33</v>
      </c>
      <c r="F2038" t="s">
        <v>24</v>
      </c>
      <c r="G2038" t="s">
        <v>59</v>
      </c>
      <c r="H2038" t="s">
        <v>528</v>
      </c>
      <c r="I2038">
        <v>6</v>
      </c>
      <c r="J2038" t="s">
        <v>64</v>
      </c>
      <c r="K2038" t="str">
        <f t="shared" si="31"/>
        <v>35205</v>
      </c>
      <c r="L2038">
        <v>274154.33</v>
      </c>
      <c r="M2038">
        <v>0</v>
      </c>
      <c r="N2038">
        <v>0</v>
      </c>
      <c r="O2038">
        <v>0</v>
      </c>
      <c r="P2038" s="8">
        <v>274154.33</v>
      </c>
    </row>
    <row r="2039" spans="1:16">
      <c r="A2039" s="1">
        <v>44531</v>
      </c>
      <c r="B2039" t="s">
        <v>13</v>
      </c>
      <c r="C2039" t="s">
        <v>14</v>
      </c>
      <c r="D2039" t="s">
        <v>15</v>
      </c>
      <c r="E2039" t="s">
        <v>33</v>
      </c>
      <c r="F2039" t="s">
        <v>24</v>
      </c>
      <c r="G2039" t="s">
        <v>59</v>
      </c>
      <c r="H2039" t="s">
        <v>528</v>
      </c>
      <c r="I2039">
        <v>6</v>
      </c>
      <c r="J2039" t="s">
        <v>65</v>
      </c>
      <c r="K2039" t="str">
        <f t="shared" si="31"/>
        <v>35259</v>
      </c>
      <c r="L2039">
        <v>220613.03</v>
      </c>
      <c r="M2039">
        <v>0</v>
      </c>
      <c r="N2039">
        <v>0</v>
      </c>
      <c r="O2039">
        <v>0</v>
      </c>
      <c r="P2039" s="8">
        <v>220613.03</v>
      </c>
    </row>
    <row r="2040" spans="1:16">
      <c r="A2040" s="1">
        <v>44531</v>
      </c>
      <c r="B2040" t="s">
        <v>13</v>
      </c>
      <c r="C2040" t="s">
        <v>14</v>
      </c>
      <c r="D2040" t="s">
        <v>15</v>
      </c>
      <c r="E2040" t="s">
        <v>33</v>
      </c>
      <c r="F2040" t="s">
        <v>24</v>
      </c>
      <c r="G2040" t="s">
        <v>59</v>
      </c>
      <c r="H2040" t="s">
        <v>528</v>
      </c>
      <c r="I2040">
        <v>6</v>
      </c>
      <c r="J2040" t="s">
        <v>66</v>
      </c>
      <c r="K2040" t="str">
        <f t="shared" si="31"/>
        <v>35300</v>
      </c>
      <c r="L2040">
        <v>101013895.56999999</v>
      </c>
      <c r="M2040">
        <v>130397.56</v>
      </c>
      <c r="N2040">
        <v>0</v>
      </c>
      <c r="O2040">
        <v>0</v>
      </c>
      <c r="P2040" s="8">
        <v>101144293.13</v>
      </c>
    </row>
    <row r="2041" spans="1:16">
      <c r="A2041" s="1">
        <v>44531</v>
      </c>
      <c r="B2041" t="s">
        <v>13</v>
      </c>
      <c r="C2041" t="s">
        <v>14</v>
      </c>
      <c r="D2041" t="s">
        <v>15</v>
      </c>
      <c r="E2041" t="s">
        <v>33</v>
      </c>
      <c r="F2041" t="s">
        <v>24</v>
      </c>
      <c r="G2041" t="s">
        <v>59</v>
      </c>
      <c r="H2041" t="s">
        <v>528</v>
      </c>
      <c r="I2041">
        <v>6</v>
      </c>
      <c r="J2041" t="s">
        <v>67</v>
      </c>
      <c r="K2041" t="str">
        <f t="shared" si="31"/>
        <v>35301</v>
      </c>
      <c r="L2041">
        <v>8243520.1799999997</v>
      </c>
      <c r="M2041">
        <v>0</v>
      </c>
      <c r="N2041">
        <v>0</v>
      </c>
      <c r="O2041">
        <v>0</v>
      </c>
      <c r="P2041" s="8">
        <v>8243520.1799999997</v>
      </c>
    </row>
    <row r="2042" spans="1:16">
      <c r="A2042" s="1">
        <v>44531</v>
      </c>
      <c r="B2042" t="s">
        <v>13</v>
      </c>
      <c r="C2042" t="s">
        <v>14</v>
      </c>
      <c r="D2042" t="s">
        <v>15</v>
      </c>
      <c r="E2042" t="s">
        <v>33</v>
      </c>
      <c r="F2042" t="s">
        <v>24</v>
      </c>
      <c r="G2042" t="s">
        <v>59</v>
      </c>
      <c r="H2042" t="s">
        <v>528</v>
      </c>
      <c r="I2042">
        <v>6</v>
      </c>
      <c r="J2042" t="s">
        <v>68</v>
      </c>
      <c r="K2042" t="str">
        <f t="shared" si="31"/>
        <v>35359</v>
      </c>
      <c r="L2042">
        <v>4227063.49</v>
      </c>
      <c r="M2042">
        <v>0</v>
      </c>
      <c r="N2042">
        <v>0</v>
      </c>
      <c r="O2042">
        <v>0</v>
      </c>
      <c r="P2042" s="8">
        <v>4227063.49</v>
      </c>
    </row>
    <row r="2043" spans="1:16">
      <c r="A2043" s="1">
        <v>44531</v>
      </c>
      <c r="B2043" t="s">
        <v>13</v>
      </c>
      <c r="C2043" t="s">
        <v>14</v>
      </c>
      <c r="D2043" t="s">
        <v>15</v>
      </c>
      <c r="E2043" t="s">
        <v>33</v>
      </c>
      <c r="F2043" t="s">
        <v>24</v>
      </c>
      <c r="G2043" t="s">
        <v>59</v>
      </c>
      <c r="H2043" t="s">
        <v>528</v>
      </c>
      <c r="I2043">
        <v>6</v>
      </c>
      <c r="J2043" t="s">
        <v>69</v>
      </c>
      <c r="K2043" t="str">
        <f t="shared" si="31"/>
        <v>35500</v>
      </c>
      <c r="L2043">
        <v>54543168.270000003</v>
      </c>
      <c r="M2043">
        <v>0</v>
      </c>
      <c r="N2043">
        <v>0</v>
      </c>
      <c r="O2043">
        <v>0</v>
      </c>
      <c r="P2043" s="8">
        <v>54543168.270000003</v>
      </c>
    </row>
    <row r="2044" spans="1:16">
      <c r="A2044" s="1">
        <v>44531</v>
      </c>
      <c r="B2044" t="s">
        <v>13</v>
      </c>
      <c r="C2044" t="s">
        <v>14</v>
      </c>
      <c r="D2044" t="s">
        <v>15</v>
      </c>
      <c r="E2044" t="s">
        <v>33</v>
      </c>
      <c r="F2044" t="s">
        <v>24</v>
      </c>
      <c r="G2044" t="s">
        <v>59</v>
      </c>
      <c r="H2044" t="s">
        <v>528</v>
      </c>
      <c r="I2044">
        <v>6</v>
      </c>
      <c r="J2044" t="s">
        <v>70</v>
      </c>
      <c r="K2044" t="str">
        <f t="shared" si="31"/>
        <v>35600</v>
      </c>
      <c r="L2044">
        <v>53882261.420000002</v>
      </c>
      <c r="M2044">
        <v>0</v>
      </c>
      <c r="N2044">
        <v>0</v>
      </c>
      <c r="O2044">
        <v>0</v>
      </c>
      <c r="P2044" s="8">
        <v>53882261.420000002</v>
      </c>
    </row>
    <row r="2045" spans="1:16">
      <c r="A2045" s="1">
        <v>44531</v>
      </c>
      <c r="B2045" t="s">
        <v>13</v>
      </c>
      <c r="C2045" t="s">
        <v>14</v>
      </c>
      <c r="D2045" t="s">
        <v>15</v>
      </c>
      <c r="E2045" t="s">
        <v>33</v>
      </c>
      <c r="F2045" t="s">
        <v>24</v>
      </c>
      <c r="G2045" t="s">
        <v>59</v>
      </c>
      <c r="H2045" t="s">
        <v>528</v>
      </c>
      <c r="I2045">
        <v>6</v>
      </c>
      <c r="J2045" t="s">
        <v>71</v>
      </c>
      <c r="K2045" t="str">
        <f t="shared" si="31"/>
        <v>35700</v>
      </c>
      <c r="L2045">
        <v>0</v>
      </c>
      <c r="M2045">
        <v>0</v>
      </c>
      <c r="N2045">
        <v>0</v>
      </c>
      <c r="O2045">
        <v>0</v>
      </c>
      <c r="P2045" s="8">
        <v>0</v>
      </c>
    </row>
    <row r="2046" spans="1:16">
      <c r="A2046" s="1">
        <v>44531</v>
      </c>
      <c r="B2046" t="s">
        <v>13</v>
      </c>
      <c r="C2046" t="s">
        <v>14</v>
      </c>
      <c r="D2046" t="s">
        <v>15</v>
      </c>
      <c r="E2046" t="s">
        <v>33</v>
      </c>
      <c r="F2046" t="s">
        <v>24</v>
      </c>
      <c r="G2046" t="s">
        <v>59</v>
      </c>
      <c r="H2046" t="s">
        <v>528</v>
      </c>
      <c r="I2046">
        <v>6</v>
      </c>
      <c r="J2046" t="s">
        <v>72</v>
      </c>
      <c r="K2046" t="str">
        <f t="shared" si="31"/>
        <v>35800</v>
      </c>
      <c r="L2046">
        <v>0</v>
      </c>
      <c r="M2046">
        <v>0</v>
      </c>
      <c r="N2046">
        <v>0</v>
      </c>
      <c r="O2046">
        <v>0</v>
      </c>
      <c r="P2046" s="8">
        <v>0</v>
      </c>
    </row>
    <row r="2047" spans="1:16">
      <c r="A2047" s="1">
        <v>44531</v>
      </c>
      <c r="B2047" t="s">
        <v>13</v>
      </c>
      <c r="C2047" t="s">
        <v>14</v>
      </c>
      <c r="D2047" t="s">
        <v>15</v>
      </c>
      <c r="E2047" t="s">
        <v>33</v>
      </c>
      <c r="F2047" t="s">
        <v>118</v>
      </c>
      <c r="G2047" t="s">
        <v>59</v>
      </c>
      <c r="H2047" t="s">
        <v>528</v>
      </c>
      <c r="I2047">
        <v>6</v>
      </c>
      <c r="J2047" t="s">
        <v>62</v>
      </c>
      <c r="K2047" t="str">
        <f t="shared" si="31"/>
        <v>35003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1:16">
      <c r="A2048" s="1">
        <v>44531</v>
      </c>
      <c r="B2048" t="s">
        <v>13</v>
      </c>
      <c r="C2048" t="s">
        <v>14</v>
      </c>
      <c r="D2048" t="s">
        <v>15</v>
      </c>
      <c r="E2048" t="s">
        <v>33</v>
      </c>
      <c r="F2048" t="s">
        <v>119</v>
      </c>
      <c r="G2048" t="s">
        <v>59</v>
      </c>
      <c r="H2048" t="s">
        <v>528</v>
      </c>
      <c r="I2048">
        <v>6</v>
      </c>
      <c r="J2048" t="s">
        <v>66</v>
      </c>
      <c r="K2048" t="str">
        <f t="shared" si="31"/>
        <v>35300</v>
      </c>
      <c r="L2048">
        <v>158336.61000000002</v>
      </c>
      <c r="M2048">
        <v>0</v>
      </c>
      <c r="N2048">
        <v>0</v>
      </c>
      <c r="O2048">
        <v>0</v>
      </c>
      <c r="P2048" s="9">
        <v>158336.61000000002</v>
      </c>
    </row>
    <row r="2049" spans="1:16">
      <c r="A2049" s="1">
        <v>44531</v>
      </c>
      <c r="B2049" t="s">
        <v>13</v>
      </c>
      <c r="C2049" t="s">
        <v>14</v>
      </c>
      <c r="D2049" t="s">
        <v>15</v>
      </c>
      <c r="E2049" t="s">
        <v>33</v>
      </c>
      <c r="F2049" t="s">
        <v>17</v>
      </c>
      <c r="G2049" t="s">
        <v>59</v>
      </c>
      <c r="H2049" t="s">
        <v>528</v>
      </c>
      <c r="I2049">
        <v>6</v>
      </c>
      <c r="J2049" t="s">
        <v>60</v>
      </c>
      <c r="K2049" t="str">
        <f t="shared" si="31"/>
        <v>35001</v>
      </c>
      <c r="L2049">
        <v>3207009.46</v>
      </c>
      <c r="M2049">
        <v>-3207009.46</v>
      </c>
      <c r="N2049">
        <v>0</v>
      </c>
      <c r="O2049">
        <v>0</v>
      </c>
      <c r="P2049">
        <v>0</v>
      </c>
    </row>
    <row r="2050" spans="1:16">
      <c r="A2050" s="1">
        <v>44531</v>
      </c>
      <c r="B2050" t="s">
        <v>13</v>
      </c>
      <c r="C2050" t="s">
        <v>14</v>
      </c>
      <c r="D2050" t="s">
        <v>15</v>
      </c>
      <c r="E2050" t="s">
        <v>33</v>
      </c>
      <c r="F2050" t="s">
        <v>17</v>
      </c>
      <c r="G2050" t="s">
        <v>59</v>
      </c>
      <c r="H2050" t="s">
        <v>528</v>
      </c>
      <c r="I2050">
        <v>6</v>
      </c>
      <c r="J2050" t="s">
        <v>61</v>
      </c>
      <c r="K2050" t="str">
        <f t="shared" ref="K2050:K2058" si="32">MID(J2050,2,5)</f>
        <v>35002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1:16">
      <c r="A2051" s="1">
        <v>44531</v>
      </c>
      <c r="B2051" t="s">
        <v>13</v>
      </c>
      <c r="C2051" t="s">
        <v>14</v>
      </c>
      <c r="D2051" t="s">
        <v>15</v>
      </c>
      <c r="E2051" t="s">
        <v>33</v>
      </c>
      <c r="F2051" t="s">
        <v>17</v>
      </c>
      <c r="G2051" t="s">
        <v>59</v>
      </c>
      <c r="H2051" t="s">
        <v>528</v>
      </c>
      <c r="I2051">
        <v>6</v>
      </c>
      <c r="J2051" t="s">
        <v>63</v>
      </c>
      <c r="K2051" t="str">
        <f t="shared" si="32"/>
        <v>35200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1:16">
      <c r="A2052" s="1">
        <v>44531</v>
      </c>
      <c r="B2052" t="s">
        <v>13</v>
      </c>
      <c r="C2052" t="s">
        <v>14</v>
      </c>
      <c r="D2052" t="s">
        <v>15</v>
      </c>
      <c r="E2052" t="s">
        <v>33</v>
      </c>
      <c r="F2052" t="s">
        <v>17</v>
      </c>
      <c r="G2052" t="s">
        <v>59</v>
      </c>
      <c r="H2052" t="s">
        <v>528</v>
      </c>
      <c r="I2052">
        <v>6</v>
      </c>
      <c r="J2052" t="s">
        <v>66</v>
      </c>
      <c r="K2052" t="str">
        <f t="shared" si="32"/>
        <v>35300</v>
      </c>
      <c r="L2052">
        <v>898185.81</v>
      </c>
      <c r="M2052">
        <v>-31116.84</v>
      </c>
      <c r="N2052">
        <v>0</v>
      </c>
      <c r="O2052">
        <v>0</v>
      </c>
      <c r="P2052">
        <v>867068.97</v>
      </c>
    </row>
    <row r="2053" spans="1:16">
      <c r="A2053" s="1">
        <v>44531</v>
      </c>
      <c r="B2053" t="s">
        <v>13</v>
      </c>
      <c r="C2053" t="s">
        <v>14</v>
      </c>
      <c r="D2053" t="s">
        <v>15</v>
      </c>
      <c r="E2053" t="s">
        <v>33</v>
      </c>
      <c r="F2053" t="s">
        <v>17</v>
      </c>
      <c r="G2053" t="s">
        <v>59</v>
      </c>
      <c r="H2053" t="s">
        <v>528</v>
      </c>
      <c r="I2053">
        <v>6</v>
      </c>
      <c r="J2053" t="s">
        <v>67</v>
      </c>
      <c r="K2053" t="str">
        <f t="shared" si="32"/>
        <v>35301</v>
      </c>
      <c r="L2053">
        <v>60579.950000000004</v>
      </c>
      <c r="M2053">
        <v>-37817.74</v>
      </c>
      <c r="N2053">
        <v>0</v>
      </c>
      <c r="O2053">
        <v>0</v>
      </c>
      <c r="P2053">
        <v>22762.21</v>
      </c>
    </row>
    <row r="2054" spans="1:16">
      <c r="A2054" s="1">
        <v>44531</v>
      </c>
      <c r="B2054" t="s">
        <v>13</v>
      </c>
      <c r="C2054" t="s">
        <v>14</v>
      </c>
      <c r="D2054" t="s">
        <v>15</v>
      </c>
      <c r="E2054" t="s">
        <v>33</v>
      </c>
      <c r="F2054" t="s">
        <v>17</v>
      </c>
      <c r="G2054" t="s">
        <v>59</v>
      </c>
      <c r="H2054" t="s">
        <v>528</v>
      </c>
      <c r="I2054">
        <v>6</v>
      </c>
      <c r="J2054" t="s">
        <v>121</v>
      </c>
      <c r="K2054" t="str">
        <f t="shared" si="32"/>
        <v>35400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1:16">
      <c r="A2055" s="1">
        <v>44531</v>
      </c>
      <c r="B2055" t="s">
        <v>13</v>
      </c>
      <c r="C2055" t="s">
        <v>14</v>
      </c>
      <c r="D2055" t="s">
        <v>15</v>
      </c>
      <c r="E2055" t="s">
        <v>33</v>
      </c>
      <c r="F2055" t="s">
        <v>17</v>
      </c>
      <c r="G2055" t="s">
        <v>59</v>
      </c>
      <c r="H2055" t="s">
        <v>528</v>
      </c>
      <c r="I2055">
        <v>6</v>
      </c>
      <c r="J2055" t="s">
        <v>69</v>
      </c>
      <c r="K2055" t="str">
        <f t="shared" si="32"/>
        <v>35500</v>
      </c>
      <c r="L2055">
        <v>1874448.9500000002</v>
      </c>
      <c r="M2055">
        <v>58478.07</v>
      </c>
      <c r="N2055">
        <v>0</v>
      </c>
      <c r="O2055">
        <v>0</v>
      </c>
      <c r="P2055">
        <v>1932927.02</v>
      </c>
    </row>
    <row r="2056" spans="1:16">
      <c r="A2056" s="1">
        <v>44531</v>
      </c>
      <c r="B2056" t="s">
        <v>13</v>
      </c>
      <c r="C2056" t="s">
        <v>14</v>
      </c>
      <c r="D2056" t="s">
        <v>15</v>
      </c>
      <c r="E2056" t="s">
        <v>33</v>
      </c>
      <c r="F2056" t="s">
        <v>17</v>
      </c>
      <c r="G2056" t="s">
        <v>59</v>
      </c>
      <c r="H2056" t="s">
        <v>528</v>
      </c>
      <c r="I2056">
        <v>6</v>
      </c>
      <c r="J2056" t="s">
        <v>70</v>
      </c>
      <c r="K2056" t="str">
        <f t="shared" si="32"/>
        <v>35600</v>
      </c>
      <c r="L2056">
        <v>724367.98</v>
      </c>
      <c r="M2056">
        <v>0</v>
      </c>
      <c r="N2056">
        <v>0</v>
      </c>
      <c r="O2056">
        <v>0</v>
      </c>
      <c r="P2056">
        <v>724367.98</v>
      </c>
    </row>
    <row r="2057" spans="1:16">
      <c r="A2057" s="1">
        <v>44531</v>
      </c>
      <c r="B2057" t="s">
        <v>13</v>
      </c>
      <c r="C2057" t="s">
        <v>14</v>
      </c>
      <c r="D2057" t="s">
        <v>15</v>
      </c>
      <c r="E2057" t="s">
        <v>33</v>
      </c>
      <c r="F2057" t="s">
        <v>17</v>
      </c>
      <c r="G2057" t="s">
        <v>59</v>
      </c>
      <c r="H2057" t="s">
        <v>528</v>
      </c>
      <c r="I2057">
        <v>6</v>
      </c>
      <c r="J2057" t="s">
        <v>71</v>
      </c>
      <c r="K2057" t="str">
        <f t="shared" si="32"/>
        <v>35700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1:16">
      <c r="A2058" s="1">
        <v>44531</v>
      </c>
      <c r="B2058" t="s">
        <v>13</v>
      </c>
      <c r="C2058" t="s">
        <v>14</v>
      </c>
      <c r="D2058" t="s">
        <v>15</v>
      </c>
      <c r="E2058" t="s">
        <v>33</v>
      </c>
      <c r="F2058" t="s">
        <v>17</v>
      </c>
      <c r="G2058" t="s">
        <v>59</v>
      </c>
      <c r="H2058" t="s">
        <v>528</v>
      </c>
      <c r="I2058">
        <v>6</v>
      </c>
      <c r="J2058" t="s">
        <v>72</v>
      </c>
      <c r="K2058" t="str">
        <f t="shared" si="32"/>
        <v>35800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76" spans="10:10">
      <c r="J2076" s="101"/>
    </row>
    <row r="2077" spans="10:10">
      <c r="J2077" s="101"/>
    </row>
    <row r="2078" spans="10:10">
      <c r="J2078" s="101"/>
    </row>
    <row r="2079" spans="10:10">
      <c r="J2079" s="101"/>
    </row>
    <row r="2080" spans="10:10">
      <c r="J2080" s="101"/>
    </row>
    <row r="2081" spans="10:10">
      <c r="J2081" s="101"/>
    </row>
    <row r="2082" spans="10:10">
      <c r="J2082" s="101"/>
    </row>
    <row r="2083" spans="10:10">
      <c r="J2083" s="101"/>
    </row>
  </sheetData>
  <autoFilter ref="A1:P2058" xr:uid="{746E0392-C69C-4D72-BCA8-DD4E087EDFA5}"/>
  <pageMargins left="0.5" right="0.25" top="1" bottom="1" header="0.25" footer="0.5"/>
  <pageSetup scale="60" orientation="portrait" r:id="rId1"/>
  <headerFooter alignWithMargins="0">
    <oddHeader>&amp;L&amp;"Times New Roman,Regular"&amp;12ARPA 5-8_Attach A.xlsx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F4DD-C1F3-4FA4-A57C-133918F129EE}">
  <sheetPr>
    <tabColor rgb="FF92D050"/>
  </sheetPr>
  <dimension ref="A1:F19"/>
  <sheetViews>
    <sheetView workbookViewId="0"/>
  </sheetViews>
  <sheetFormatPr defaultRowHeight="12.75"/>
  <cols>
    <col min="1" max="1" width="32.140625" bestFit="1" customWidth="1"/>
    <col min="2" max="3" width="11.140625" bestFit="1" customWidth="1"/>
    <col min="4" max="6" width="9.5703125" bestFit="1" customWidth="1"/>
  </cols>
  <sheetData>
    <row r="1" spans="1:6">
      <c r="A1" s="3" t="s">
        <v>534</v>
      </c>
      <c r="B1" s="16">
        <v>44531</v>
      </c>
      <c r="C1" s="16">
        <v>44621</v>
      </c>
      <c r="D1" s="16">
        <v>44713</v>
      </c>
      <c r="E1" s="16">
        <v>44805</v>
      </c>
      <c r="F1" s="16">
        <v>44896</v>
      </c>
    </row>
    <row r="2" spans="1:6">
      <c r="A2" t="s">
        <v>56</v>
      </c>
      <c r="B2" s="63">
        <v>-5771686.8400000008</v>
      </c>
      <c r="C2" s="63">
        <v>-5425162.8799999999</v>
      </c>
      <c r="D2" s="62">
        <v>-13500</v>
      </c>
      <c r="E2" s="63">
        <v>-5000</v>
      </c>
      <c r="F2" s="63">
        <v>-150055.73000000004</v>
      </c>
    </row>
    <row r="3" spans="1:6">
      <c r="A3" t="s">
        <v>66</v>
      </c>
      <c r="B3" s="63">
        <v>-64978.409999999996</v>
      </c>
      <c r="C3" s="63"/>
      <c r="D3" s="62">
        <v>-80242.840000000011</v>
      </c>
      <c r="E3" s="63">
        <v>-80242.840000000011</v>
      </c>
      <c r="F3" s="63">
        <v>-101940.18000000002</v>
      </c>
    </row>
    <row r="4" spans="1:6">
      <c r="A4" t="s">
        <v>67</v>
      </c>
      <c r="B4" s="63"/>
      <c r="C4" s="63"/>
      <c r="D4" s="62"/>
      <c r="E4" s="63"/>
      <c r="F4" s="63">
        <v>-21865.55</v>
      </c>
    </row>
    <row r="5" spans="1:6">
      <c r="A5" t="s">
        <v>69</v>
      </c>
      <c r="B5" s="63">
        <v>-478714.36000000004</v>
      </c>
      <c r="C5" s="63"/>
      <c r="D5" s="62">
        <v>-287533.28000000003</v>
      </c>
      <c r="E5" s="63">
        <v>-287533.28000000003</v>
      </c>
      <c r="F5" s="63">
        <v>-71.55</v>
      </c>
    </row>
    <row r="6" spans="1:6">
      <c r="A6" t="s">
        <v>70</v>
      </c>
      <c r="B6" s="63">
        <v>-16112.410000000002</v>
      </c>
      <c r="C6" s="63"/>
      <c r="D6" s="63">
        <v>-146667.30000000002</v>
      </c>
      <c r="E6" s="63">
        <v>-146667.30000000002</v>
      </c>
      <c r="F6" s="63">
        <v>-23403.94</v>
      </c>
    </row>
    <row r="7" spans="1:6">
      <c r="A7" t="s">
        <v>79</v>
      </c>
      <c r="B7" s="63">
        <v>-78926.27</v>
      </c>
      <c r="C7" s="63">
        <v>-60265.460000000006</v>
      </c>
      <c r="D7" s="63">
        <v>-60265.460000000006</v>
      </c>
      <c r="E7" s="63">
        <v>-32360.21</v>
      </c>
      <c r="F7" s="63">
        <v>-102323.33</v>
      </c>
    </row>
    <row r="8" spans="1:6">
      <c r="A8" t="s">
        <v>80</v>
      </c>
      <c r="B8" s="63">
        <v>-375499.78999999969</v>
      </c>
      <c r="C8" s="63">
        <v>-108793.89999999992</v>
      </c>
      <c r="D8" s="63">
        <v>-667230.63000000047</v>
      </c>
      <c r="E8" s="63">
        <v>-682634.73999999929</v>
      </c>
      <c r="F8" s="63">
        <v>-19179.68</v>
      </c>
    </row>
    <row r="9" spans="1:6">
      <c r="A9" t="s">
        <v>81</v>
      </c>
      <c r="B9" s="63">
        <v>-35498.75</v>
      </c>
      <c r="C9" s="63">
        <v>-14876.87</v>
      </c>
      <c r="D9" s="63">
        <v>-534778.44999999995</v>
      </c>
      <c r="E9" s="63">
        <v>-541404.13</v>
      </c>
      <c r="F9" s="63">
        <v>-29421.200000000004</v>
      </c>
    </row>
    <row r="10" spans="1:6">
      <c r="A10" t="s">
        <v>82</v>
      </c>
      <c r="B10" s="63">
        <v>-2491.71</v>
      </c>
      <c r="C10" s="63">
        <v>-4848.05</v>
      </c>
      <c r="D10" s="63">
        <v>-3104.7799999999993</v>
      </c>
      <c r="E10" s="63">
        <v>-3104.7799999999997</v>
      </c>
      <c r="F10" s="63">
        <v>-835.78</v>
      </c>
    </row>
    <row r="11" spans="1:6">
      <c r="A11" t="s">
        <v>83</v>
      </c>
      <c r="B11" s="63">
        <v>-107932.37</v>
      </c>
      <c r="C11" s="63">
        <v>-22187.52</v>
      </c>
      <c r="D11" s="63">
        <v>-31630.37</v>
      </c>
      <c r="E11" s="63">
        <v>-12466.039999999999</v>
      </c>
      <c r="F11" s="63">
        <v>-9510.15</v>
      </c>
    </row>
    <row r="12" spans="1:6">
      <c r="A12" t="s">
        <v>84</v>
      </c>
      <c r="B12" s="63">
        <v>-27639.239999999994</v>
      </c>
      <c r="C12" s="63">
        <v>-12566.990000000002</v>
      </c>
      <c r="D12" s="63">
        <v>-4900.5</v>
      </c>
      <c r="E12" s="63">
        <v>-4715.9399999999996</v>
      </c>
      <c r="F12" s="63">
        <v>-1237.5899999999999</v>
      </c>
    </row>
    <row r="13" spans="1:6">
      <c r="A13" t="s">
        <v>85</v>
      </c>
      <c r="B13" s="63">
        <v>-45288.250000000029</v>
      </c>
      <c r="C13" s="63">
        <v>-42917.370000000024</v>
      </c>
      <c r="D13" s="63">
        <v>-86896.879999999946</v>
      </c>
      <c r="E13" s="63">
        <v>-88384.78999999995</v>
      </c>
      <c r="F13" s="63">
        <v>-83391.38999999997</v>
      </c>
    </row>
    <row r="14" spans="1:6">
      <c r="A14" t="s">
        <v>86</v>
      </c>
      <c r="B14" s="63">
        <v>-12117.659999999996</v>
      </c>
      <c r="C14" s="63">
        <v>-12326.509999999998</v>
      </c>
      <c r="D14" s="63">
        <v>-12174.859999999999</v>
      </c>
      <c r="E14" s="63">
        <v>-12174.859999999999</v>
      </c>
      <c r="F14" s="63">
        <v>-13248.429999999998</v>
      </c>
    </row>
    <row r="15" spans="1:6">
      <c r="A15" t="s">
        <v>87</v>
      </c>
      <c r="B15" s="63">
        <v>-24487.310000000005</v>
      </c>
      <c r="C15" s="63">
        <v>-11178.179999999998</v>
      </c>
      <c r="D15" s="63">
        <v>-7628.9500000000007</v>
      </c>
      <c r="E15" s="63">
        <v>-12551.990000000002</v>
      </c>
      <c r="F15" s="63">
        <v>-3017.9</v>
      </c>
    </row>
    <row r="16" spans="1:6">
      <c r="A16" t="s">
        <v>88</v>
      </c>
      <c r="B16" s="63">
        <v>-3336.75</v>
      </c>
      <c r="C16" s="63">
        <v>-1888.0600000000002</v>
      </c>
      <c r="D16" s="63">
        <v>-22.45</v>
      </c>
      <c r="E16" s="63">
        <v>-824.83</v>
      </c>
      <c r="F16" s="63"/>
    </row>
    <row r="17" spans="1:6">
      <c r="A17" t="s">
        <v>92</v>
      </c>
      <c r="B17" s="63">
        <v>-13805.96</v>
      </c>
      <c r="C17" s="63">
        <v>-14388.260000000002</v>
      </c>
      <c r="D17" s="63">
        <v>-6074.9299999999985</v>
      </c>
      <c r="E17" s="63">
        <v>-5147.7700000000004</v>
      </c>
      <c r="F17" s="63">
        <v>-2206.9200000000005</v>
      </c>
    </row>
    <row r="18" spans="1:6">
      <c r="A18" t="s">
        <v>93</v>
      </c>
      <c r="B18" s="63">
        <v>-27855.540000000008</v>
      </c>
      <c r="C18" s="63">
        <v>-22859.100000000002</v>
      </c>
      <c r="D18" s="63">
        <v>-18508.359999999997</v>
      </c>
      <c r="E18" s="63">
        <v>-24445.720000000005</v>
      </c>
      <c r="F18" s="63">
        <v>-6089.5599999999986</v>
      </c>
    </row>
    <row r="19" spans="1:6">
      <c r="A19" t="s">
        <v>19</v>
      </c>
      <c r="B19" s="63">
        <v>-95828.85</v>
      </c>
      <c r="C19" s="63">
        <v>-95828.85</v>
      </c>
      <c r="D19" s="63">
        <v>-95828.85</v>
      </c>
      <c r="E19" s="63"/>
      <c r="F19" s="63"/>
    </row>
  </sheetData>
  <autoFilter ref="A1:F19" xr:uid="{29B8F4DD-C1F3-4FA4-A57C-133918F129EE}"/>
  <pageMargins left="0.5" right="0.25" top="1" bottom="1" header="0.25" footer="0.5"/>
  <pageSetup scale="60" orientation="portrait" verticalDpi="0" r:id="rId1"/>
  <headerFooter alignWithMargins="0">
    <oddHeader>&amp;L&amp;"Times New Roman,Regular"&amp;12ARPA 5-8_Attach A.xlsx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6ACE1-93E5-49CF-BD57-255EAD585908}">
  <sheetPr>
    <tabColor rgb="FF92D050"/>
  </sheetPr>
  <dimension ref="A1:M283"/>
  <sheetViews>
    <sheetView workbookViewId="0"/>
  </sheetViews>
  <sheetFormatPr defaultColWidth="9.28515625" defaultRowHeight="15"/>
  <cols>
    <col min="1" max="1" width="47.7109375" style="10" customWidth="1"/>
    <col min="2" max="12" width="15.42578125" style="10" hidden="1" customWidth="1"/>
    <col min="13" max="13" width="15.42578125" style="10" customWidth="1"/>
    <col min="14" max="16384" width="9.28515625" style="10"/>
  </cols>
  <sheetData>
    <row r="1" spans="1:13" ht="17.25">
      <c r="A1" s="333" t="s">
        <v>234</v>
      </c>
      <c r="B1" s="333"/>
      <c r="C1" s="333"/>
      <c r="D1" s="333"/>
      <c r="E1" s="333"/>
      <c r="F1" s="333"/>
      <c r="G1" s="333"/>
      <c r="H1" s="333"/>
    </row>
    <row r="2" spans="1:13" ht="17.25">
      <c r="A2" s="333" t="s">
        <v>235</v>
      </c>
      <c r="B2" s="333"/>
      <c r="C2" s="333"/>
      <c r="D2" s="333"/>
      <c r="E2" s="333"/>
      <c r="F2" s="333"/>
      <c r="G2" s="333"/>
      <c r="H2" s="333"/>
    </row>
    <row r="3" spans="1:13" ht="17.25">
      <c r="A3" s="334" t="s">
        <v>519</v>
      </c>
      <c r="B3" s="334"/>
      <c r="C3" s="334"/>
      <c r="D3" s="334"/>
      <c r="E3" s="334"/>
      <c r="F3" s="334"/>
      <c r="G3" s="334"/>
      <c r="H3" s="334"/>
    </row>
    <row r="4" spans="1:13">
      <c r="A4" s="335" t="s">
        <v>237</v>
      </c>
      <c r="B4" s="335"/>
      <c r="C4" s="335"/>
      <c r="D4" s="335"/>
      <c r="E4" s="335"/>
      <c r="F4" s="335"/>
      <c r="G4" s="335"/>
      <c r="H4" s="335"/>
    </row>
    <row r="5" spans="1:13" ht="22.5" customHeight="1">
      <c r="A5" s="11"/>
      <c r="B5" s="12" t="s">
        <v>238</v>
      </c>
      <c r="C5" s="12" t="s">
        <v>239</v>
      </c>
      <c r="D5" s="12" t="s">
        <v>240</v>
      </c>
      <c r="E5" s="12" t="s">
        <v>241</v>
      </c>
      <c r="F5" s="12" t="s">
        <v>242</v>
      </c>
      <c r="G5" s="12" t="s">
        <v>243</v>
      </c>
      <c r="H5" s="12" t="s">
        <v>244</v>
      </c>
      <c r="I5" s="12" t="s">
        <v>245</v>
      </c>
      <c r="J5" s="12" t="s">
        <v>246</v>
      </c>
      <c r="K5" s="12" t="s">
        <v>247</v>
      </c>
      <c r="L5" s="12" t="s">
        <v>248</v>
      </c>
      <c r="M5" s="12" t="s">
        <v>249</v>
      </c>
    </row>
    <row r="6" spans="1:13" ht="24" customHeight="1">
      <c r="A6" s="11"/>
      <c r="B6" s="21" t="s">
        <v>135</v>
      </c>
      <c r="C6" s="21" t="s">
        <v>135</v>
      </c>
      <c r="D6" s="21" t="s">
        <v>135</v>
      </c>
      <c r="E6" s="21" t="s">
        <v>135</v>
      </c>
      <c r="F6" s="21" t="s">
        <v>135</v>
      </c>
      <c r="G6" s="21" t="s">
        <v>135</v>
      </c>
      <c r="H6" s="21" t="s">
        <v>135</v>
      </c>
      <c r="I6" s="21" t="s">
        <v>135</v>
      </c>
      <c r="J6" s="21" t="s">
        <v>135</v>
      </c>
      <c r="K6" s="21" t="s">
        <v>135</v>
      </c>
      <c r="L6" s="21" t="s">
        <v>135</v>
      </c>
      <c r="M6" s="21" t="s">
        <v>135</v>
      </c>
    </row>
    <row r="7" spans="1:1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5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22" t="s">
        <v>250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23"/>
      <c r="M9" s="23"/>
    </row>
    <row r="10" spans="1:13">
      <c r="A10" s="24" t="s">
        <v>251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>
      <c r="A11" s="53" t="s">
        <v>252</v>
      </c>
      <c r="B11" s="54">
        <v>1024871810</v>
      </c>
      <c r="C11" s="54">
        <v>1025158126</v>
      </c>
      <c r="D11" s="54">
        <v>1016033594</v>
      </c>
      <c r="E11" s="54">
        <v>1025806339</v>
      </c>
      <c r="F11" s="54">
        <v>1026253923</v>
      </c>
      <c r="G11" s="54">
        <v>1017172528</v>
      </c>
      <c r="H11" s="54">
        <v>1034032895</v>
      </c>
      <c r="I11" s="54">
        <v>1034283370</v>
      </c>
      <c r="J11" s="54">
        <v>1027913084</v>
      </c>
      <c r="K11" s="54">
        <v>1035012210</v>
      </c>
      <c r="L11" s="54">
        <v>1037321147</v>
      </c>
      <c r="M11" s="54">
        <v>1035727823</v>
      </c>
    </row>
    <row r="12" spans="1:13">
      <c r="A12" s="53" t="s">
        <v>253</v>
      </c>
      <c r="B12" s="54">
        <v>529900</v>
      </c>
      <c r="C12" s="54">
        <v>529900</v>
      </c>
      <c r="D12" s="54">
        <v>529900</v>
      </c>
      <c r="E12" s="54">
        <v>529900</v>
      </c>
      <c r="F12" s="54">
        <v>529900</v>
      </c>
      <c r="G12" s="54">
        <v>529900</v>
      </c>
      <c r="H12" s="54">
        <v>529900</v>
      </c>
      <c r="I12" s="54">
        <v>529900</v>
      </c>
      <c r="J12" s="54">
        <v>529900</v>
      </c>
      <c r="K12" s="54">
        <v>529900</v>
      </c>
      <c r="L12" s="54">
        <v>529900</v>
      </c>
      <c r="M12" s="54">
        <v>529900</v>
      </c>
    </row>
    <row r="13" spans="1:13">
      <c r="A13" s="26" t="s">
        <v>254</v>
      </c>
      <c r="B13" s="27">
        <v>1032945</v>
      </c>
      <c r="C13" s="27">
        <v>1032945</v>
      </c>
      <c r="D13" s="27">
        <v>1032377</v>
      </c>
      <c r="E13" s="27">
        <v>1032377</v>
      </c>
      <c r="F13" s="27">
        <v>1032377</v>
      </c>
      <c r="G13" s="27">
        <v>1032377</v>
      </c>
      <c r="H13" s="27">
        <v>1167472</v>
      </c>
      <c r="I13" s="27">
        <v>1167472</v>
      </c>
      <c r="J13" s="27">
        <v>1167472</v>
      </c>
      <c r="K13" s="27">
        <v>1167472</v>
      </c>
      <c r="L13" s="27">
        <v>1241279</v>
      </c>
      <c r="M13" s="27">
        <v>1241279</v>
      </c>
    </row>
    <row r="14" spans="1:13">
      <c r="A14" s="64" t="s">
        <v>255</v>
      </c>
      <c r="B14" s="65">
        <v>7200130</v>
      </c>
      <c r="C14" s="65">
        <v>7200130</v>
      </c>
      <c r="D14" s="65">
        <v>7200130</v>
      </c>
      <c r="E14" s="65">
        <v>7200130</v>
      </c>
      <c r="F14" s="65">
        <v>7200130</v>
      </c>
      <c r="G14" s="65">
        <v>7200130</v>
      </c>
      <c r="H14" s="65">
        <v>7200130</v>
      </c>
      <c r="I14" s="65">
        <v>7196224</v>
      </c>
      <c r="J14" s="65">
        <v>7196224</v>
      </c>
      <c r="K14" s="65">
        <v>7196224</v>
      </c>
      <c r="L14" s="65">
        <v>7196224</v>
      </c>
      <c r="M14" s="65">
        <v>7196224</v>
      </c>
    </row>
    <row r="15" spans="1:13">
      <c r="A15" s="26" t="s">
        <v>256</v>
      </c>
      <c r="B15" s="27">
        <v>1830408</v>
      </c>
      <c r="C15" s="27">
        <v>1830408</v>
      </c>
      <c r="D15" s="27">
        <v>4741888</v>
      </c>
      <c r="E15" s="27">
        <v>4742150</v>
      </c>
      <c r="F15" s="27">
        <v>4742150</v>
      </c>
      <c r="G15" s="27">
        <v>4742150</v>
      </c>
      <c r="H15" s="27">
        <v>4742150</v>
      </c>
      <c r="I15" s="27">
        <v>4133205</v>
      </c>
      <c r="J15" s="27">
        <v>4133205</v>
      </c>
      <c r="K15" s="27">
        <v>4133205</v>
      </c>
      <c r="L15" s="27">
        <v>4133205</v>
      </c>
      <c r="M15" s="27">
        <v>4133205</v>
      </c>
    </row>
    <row r="16" spans="1:13">
      <c r="A16" s="53" t="s">
        <v>257</v>
      </c>
      <c r="B16" s="54">
        <v>44061297</v>
      </c>
      <c r="C16" s="54">
        <v>48233398</v>
      </c>
      <c r="D16" s="54">
        <v>57181309</v>
      </c>
      <c r="E16" s="54">
        <v>58378136</v>
      </c>
      <c r="F16" s="54">
        <v>63057384</v>
      </c>
      <c r="G16" s="54">
        <v>62475882</v>
      </c>
      <c r="H16" s="54">
        <v>52483105</v>
      </c>
      <c r="I16" s="54">
        <v>53391775</v>
      </c>
      <c r="J16" s="54">
        <v>55310966</v>
      </c>
      <c r="K16" s="54">
        <v>56476000</v>
      </c>
      <c r="L16" s="54">
        <v>55337602</v>
      </c>
      <c r="M16" s="54">
        <v>52758997</v>
      </c>
    </row>
    <row r="17" spans="1:13">
      <c r="A17" s="26" t="s">
        <v>258</v>
      </c>
      <c r="B17" s="27">
        <v>234762278</v>
      </c>
      <c r="C17" s="27">
        <v>234762278</v>
      </c>
      <c r="D17" s="27">
        <v>234762278</v>
      </c>
      <c r="E17" s="27">
        <v>234762278</v>
      </c>
      <c r="F17" s="27">
        <v>234762278</v>
      </c>
      <c r="G17" s="27">
        <v>234762278</v>
      </c>
      <c r="H17" s="27">
        <v>234762278</v>
      </c>
      <c r="I17" s="27">
        <v>234762278</v>
      </c>
      <c r="J17" s="27">
        <v>234762278</v>
      </c>
      <c r="K17" s="27">
        <v>234762278</v>
      </c>
      <c r="L17" s="27">
        <v>234762278</v>
      </c>
      <c r="M17" s="27">
        <v>234762278</v>
      </c>
    </row>
    <row r="18" spans="1:13">
      <c r="A18" s="64" t="s">
        <v>260</v>
      </c>
      <c r="B18" s="65">
        <v>21214485</v>
      </c>
      <c r="C18" s="65">
        <v>21197796</v>
      </c>
      <c r="D18" s="65">
        <v>21302943</v>
      </c>
      <c r="E18" s="65">
        <v>21360902</v>
      </c>
      <c r="F18" s="65">
        <v>21413898</v>
      </c>
      <c r="G18" s="65">
        <v>21269944</v>
      </c>
      <c r="H18" s="65">
        <v>21290065</v>
      </c>
      <c r="I18" s="65">
        <v>21863884</v>
      </c>
      <c r="J18" s="65">
        <v>22298849</v>
      </c>
      <c r="K18" s="65">
        <v>22295547</v>
      </c>
      <c r="L18" s="65">
        <v>22572314</v>
      </c>
      <c r="M18" s="65">
        <v>22892222</v>
      </c>
    </row>
    <row r="19" spans="1:13">
      <c r="A19" s="28" t="s">
        <v>261</v>
      </c>
      <c r="B19" s="27">
        <v>1335503254</v>
      </c>
      <c r="C19" s="27">
        <v>1339944982</v>
      </c>
      <c r="D19" s="27">
        <v>1342784420</v>
      </c>
      <c r="E19" s="27">
        <v>1353812213</v>
      </c>
      <c r="F19" s="27">
        <v>1358992042</v>
      </c>
      <c r="G19" s="27">
        <v>1349185189</v>
      </c>
      <c r="H19" s="27">
        <v>1356207996</v>
      </c>
      <c r="I19" s="27">
        <v>1357328109</v>
      </c>
      <c r="J19" s="27">
        <v>1353311980</v>
      </c>
      <c r="K19" s="27">
        <v>1361572837</v>
      </c>
      <c r="L19" s="27">
        <v>1363093950</v>
      </c>
      <c r="M19" s="27">
        <v>1359241929</v>
      </c>
    </row>
    <row r="20" spans="1:13">
      <c r="A20" s="26" t="s">
        <v>262</v>
      </c>
      <c r="B20" s="27">
        <v>37910842</v>
      </c>
      <c r="C20" s="27">
        <v>38054552</v>
      </c>
      <c r="D20" s="27">
        <v>31575957</v>
      </c>
      <c r="E20" s="27">
        <v>37053394</v>
      </c>
      <c r="F20" s="27">
        <v>42833216</v>
      </c>
      <c r="G20" s="27">
        <v>52503950</v>
      </c>
      <c r="H20" s="27">
        <v>59491125</v>
      </c>
      <c r="I20" s="27">
        <v>64651388</v>
      </c>
      <c r="J20" s="27">
        <v>65320120</v>
      </c>
      <c r="K20" s="27">
        <v>70026347</v>
      </c>
      <c r="L20" s="27">
        <v>72302699</v>
      </c>
      <c r="M20" s="27">
        <v>76721237</v>
      </c>
    </row>
    <row r="21" spans="1:13">
      <c r="A21" s="28" t="s">
        <v>263</v>
      </c>
      <c r="B21" s="27">
        <v>37910842</v>
      </c>
      <c r="C21" s="27">
        <v>38054552</v>
      </c>
      <c r="D21" s="27">
        <v>31575957</v>
      </c>
      <c r="E21" s="27">
        <v>37053394</v>
      </c>
      <c r="F21" s="27">
        <v>42833216</v>
      </c>
      <c r="G21" s="27">
        <v>52503950</v>
      </c>
      <c r="H21" s="27">
        <v>59491125</v>
      </c>
      <c r="I21" s="27">
        <v>64651388</v>
      </c>
      <c r="J21" s="27">
        <v>65320120</v>
      </c>
      <c r="K21" s="27">
        <v>70026347</v>
      </c>
      <c r="L21" s="27">
        <v>72302699</v>
      </c>
      <c r="M21" s="27">
        <v>76721237</v>
      </c>
    </row>
    <row r="22" spans="1:13">
      <c r="A22" s="29" t="s">
        <v>264</v>
      </c>
      <c r="B22" s="27">
        <v>1373414096</v>
      </c>
      <c r="C22" s="27">
        <v>1377999535</v>
      </c>
      <c r="D22" s="27">
        <v>1374360377</v>
      </c>
      <c r="E22" s="27">
        <v>1390865606</v>
      </c>
      <c r="F22" s="27">
        <v>1401825258</v>
      </c>
      <c r="G22" s="27">
        <v>1401689139</v>
      </c>
      <c r="H22" s="27">
        <v>1415699121</v>
      </c>
      <c r="I22" s="27">
        <v>1421979497</v>
      </c>
      <c r="J22" s="27">
        <v>1418632099</v>
      </c>
      <c r="K22" s="27">
        <v>1431599184</v>
      </c>
      <c r="L22" s="27">
        <v>1435396649</v>
      </c>
      <c r="M22" s="27">
        <v>1435963167</v>
      </c>
    </row>
    <row r="23" spans="1:13">
      <c r="A23" s="28" t="s">
        <v>265</v>
      </c>
      <c r="B23" s="30">
        <v>-301025454</v>
      </c>
      <c r="C23" s="30">
        <v>-303175244</v>
      </c>
      <c r="D23" s="30">
        <v>-295593339</v>
      </c>
      <c r="E23" s="30">
        <v>-307217879</v>
      </c>
      <c r="F23" s="30">
        <v>-309147685</v>
      </c>
      <c r="G23" s="30">
        <v>-301683826</v>
      </c>
      <c r="H23" s="30">
        <v>-312341725</v>
      </c>
      <c r="I23" s="30">
        <v>-312871530</v>
      </c>
      <c r="J23" s="30">
        <v>-307532518</v>
      </c>
      <c r="K23" s="30">
        <v>-316709320</v>
      </c>
      <c r="L23" s="30">
        <v>-318542558</v>
      </c>
      <c r="M23" s="30">
        <v>-313142690</v>
      </c>
    </row>
    <row r="24" spans="1:13">
      <c r="A24" s="28" t="s">
        <v>266</v>
      </c>
      <c r="B24" s="27">
        <v>289702</v>
      </c>
      <c r="C24" s="27">
        <v>295977</v>
      </c>
      <c r="D24" s="27">
        <v>298309</v>
      </c>
      <c r="E24" s="27">
        <v>279550</v>
      </c>
      <c r="F24" s="27">
        <v>288166</v>
      </c>
      <c r="G24" s="27">
        <v>426646</v>
      </c>
      <c r="H24" s="27">
        <v>858022</v>
      </c>
      <c r="I24" s="27">
        <v>143548</v>
      </c>
      <c r="J24" s="27">
        <v>1970795</v>
      </c>
      <c r="K24" s="27">
        <v>1980713</v>
      </c>
      <c r="L24" s="27">
        <v>1398303</v>
      </c>
      <c r="M24" s="27">
        <v>1297496</v>
      </c>
    </row>
    <row r="25" spans="1:13">
      <c r="A25" s="28" t="s">
        <v>267</v>
      </c>
      <c r="B25" s="30">
        <v>-17354106</v>
      </c>
      <c r="C25" s="30">
        <v>-17709774</v>
      </c>
      <c r="D25" s="30">
        <v>-18052308</v>
      </c>
      <c r="E25" s="30">
        <v>-18420353</v>
      </c>
      <c r="F25" s="30">
        <v>-18742582</v>
      </c>
      <c r="G25" s="30">
        <v>-19099272</v>
      </c>
      <c r="H25" s="30">
        <v>-17025058</v>
      </c>
      <c r="I25" s="30">
        <v>-16887398</v>
      </c>
      <c r="J25" s="30">
        <v>-17250715</v>
      </c>
      <c r="K25" s="30">
        <v>-17556843</v>
      </c>
      <c r="L25" s="30">
        <v>-17308320</v>
      </c>
      <c r="M25" s="30">
        <v>-17544513</v>
      </c>
    </row>
    <row r="26" spans="1:13">
      <c r="A26" s="28" t="s">
        <v>268</v>
      </c>
      <c r="B26" s="30">
        <v>-218189</v>
      </c>
      <c r="C26" s="30">
        <v>-218878</v>
      </c>
      <c r="D26" s="30">
        <v>-219568</v>
      </c>
      <c r="E26" s="30">
        <v>-220257</v>
      </c>
      <c r="F26" s="30">
        <v>-220947</v>
      </c>
      <c r="G26" s="30">
        <v>-221636</v>
      </c>
      <c r="H26" s="30">
        <v>-222326</v>
      </c>
      <c r="I26" s="30">
        <v>-223015</v>
      </c>
      <c r="J26" s="30">
        <v>-223705</v>
      </c>
      <c r="K26" s="30">
        <v>-224394</v>
      </c>
      <c r="L26" s="30">
        <v>-225084</v>
      </c>
      <c r="M26" s="30">
        <v>-225773</v>
      </c>
    </row>
    <row r="27" spans="1:13">
      <c r="A27" s="28" t="s">
        <v>269</v>
      </c>
      <c r="B27" s="30">
        <v>-318275</v>
      </c>
      <c r="C27" s="30">
        <v>-324821</v>
      </c>
      <c r="D27" s="30">
        <v>-331382</v>
      </c>
      <c r="E27" s="30">
        <v>-337959</v>
      </c>
      <c r="F27" s="30">
        <v>-344551</v>
      </c>
      <c r="G27" s="30">
        <v>-351158</v>
      </c>
      <c r="H27" s="30">
        <v>-357819</v>
      </c>
      <c r="I27" s="30">
        <v>-364073</v>
      </c>
      <c r="J27" s="30">
        <v>-370341</v>
      </c>
      <c r="K27" s="30">
        <v>-376624</v>
      </c>
      <c r="L27" s="30">
        <v>-385975</v>
      </c>
      <c r="M27" s="30">
        <v>-392627</v>
      </c>
    </row>
    <row r="28" spans="1:13">
      <c r="A28" s="28" t="s">
        <v>270</v>
      </c>
      <c r="B28" s="30">
        <v>-1924761</v>
      </c>
      <c r="C28" s="30">
        <v>-1949937</v>
      </c>
      <c r="D28" s="30">
        <v>-1975112</v>
      </c>
      <c r="E28" s="30">
        <v>-2000288</v>
      </c>
      <c r="F28" s="30">
        <v>-2025463</v>
      </c>
      <c r="G28" s="30">
        <v>-2050639</v>
      </c>
      <c r="H28" s="30">
        <v>-2075814</v>
      </c>
      <c r="I28" s="30">
        <v>-2097084</v>
      </c>
      <c r="J28" s="30">
        <v>-2122259</v>
      </c>
      <c r="K28" s="30">
        <v>-2147435</v>
      </c>
      <c r="L28" s="30">
        <v>-2197786</v>
      </c>
      <c r="M28" s="30">
        <v>-2197786</v>
      </c>
    </row>
    <row r="29" spans="1:13">
      <c r="A29" s="28" t="s">
        <v>271</v>
      </c>
      <c r="B29" s="30">
        <v>-1208455</v>
      </c>
      <c r="C29" s="30">
        <v>-1214812</v>
      </c>
      <c r="D29" s="30">
        <v>-1221168</v>
      </c>
      <c r="E29" s="30">
        <v>-1226247</v>
      </c>
      <c r="F29" s="30">
        <v>-1232604</v>
      </c>
      <c r="G29" s="30">
        <v>-1238960</v>
      </c>
      <c r="H29" s="30">
        <v>-1245123</v>
      </c>
      <c r="I29" s="30">
        <v>-1251286</v>
      </c>
      <c r="J29" s="30">
        <v>-1257449</v>
      </c>
      <c r="K29" s="30">
        <v>-1263612</v>
      </c>
      <c r="L29" s="30">
        <v>-1269865</v>
      </c>
      <c r="M29" s="30">
        <v>-1276028</v>
      </c>
    </row>
    <row r="30" spans="1:13">
      <c r="A30" s="28" t="s">
        <v>273</v>
      </c>
      <c r="B30" s="30">
        <v>-2257940</v>
      </c>
      <c r="C30" s="30">
        <v>-2258002</v>
      </c>
      <c r="D30" s="30">
        <v>-2258078</v>
      </c>
      <c r="E30" s="30">
        <v>-2258182</v>
      </c>
      <c r="F30" s="30">
        <v>-2258267</v>
      </c>
      <c r="G30" s="30">
        <v>-2258348</v>
      </c>
      <c r="H30" s="30">
        <v>-2258436</v>
      </c>
      <c r="I30" s="30">
        <v>-2258494</v>
      </c>
      <c r="J30" s="30">
        <v>-2258564</v>
      </c>
      <c r="K30" s="30">
        <v>-2258653</v>
      </c>
      <c r="L30" s="30">
        <v>-2258720</v>
      </c>
      <c r="M30" s="30">
        <v>-2236110</v>
      </c>
    </row>
    <row r="31" spans="1:13">
      <c r="A31" s="28" t="s">
        <v>274</v>
      </c>
      <c r="B31" s="27">
        <v>133725</v>
      </c>
      <c r="C31" s="30">
        <v>-15298</v>
      </c>
      <c r="D31" s="30">
        <v>-109801</v>
      </c>
      <c r="E31" s="30">
        <v>-355092</v>
      </c>
      <c r="F31" s="30">
        <v>-556568</v>
      </c>
      <c r="G31" s="30">
        <v>-601401</v>
      </c>
      <c r="H31" s="30">
        <v>-891178</v>
      </c>
      <c r="I31" s="30">
        <v>-1140153</v>
      </c>
      <c r="J31" s="30">
        <v>-1387739</v>
      </c>
      <c r="K31" s="30">
        <v>-1562037</v>
      </c>
      <c r="L31" s="30">
        <v>-1667042</v>
      </c>
      <c r="M31" s="30">
        <v>-1252846</v>
      </c>
    </row>
    <row r="32" spans="1:13">
      <c r="A32" s="29" t="s">
        <v>275</v>
      </c>
      <c r="B32" s="30">
        <v>-323883753</v>
      </c>
      <c r="C32" s="30">
        <v>-326570789</v>
      </c>
      <c r="D32" s="30">
        <v>-319462446</v>
      </c>
      <c r="E32" s="30">
        <v>-331756708</v>
      </c>
      <c r="F32" s="30">
        <v>-334240500</v>
      </c>
      <c r="G32" s="30">
        <v>-327078595</v>
      </c>
      <c r="H32" s="30">
        <v>-335559458</v>
      </c>
      <c r="I32" s="30">
        <v>-336949485</v>
      </c>
      <c r="J32" s="30">
        <v>-330432494</v>
      </c>
      <c r="K32" s="30">
        <v>-340118206</v>
      </c>
      <c r="L32" s="30">
        <v>-342457047</v>
      </c>
      <c r="M32" s="30">
        <v>-336970877</v>
      </c>
    </row>
    <row r="33" spans="1:13">
      <c r="A33" s="31" t="s">
        <v>276</v>
      </c>
      <c r="B33" s="32">
        <v>1049530343</v>
      </c>
      <c r="C33" s="32">
        <v>1051428746</v>
      </c>
      <c r="D33" s="32">
        <v>1054897930</v>
      </c>
      <c r="E33" s="32">
        <v>1059108899</v>
      </c>
      <c r="F33" s="32">
        <v>1067584757</v>
      </c>
      <c r="G33" s="32">
        <v>1074610544</v>
      </c>
      <c r="H33" s="32">
        <v>1080139662</v>
      </c>
      <c r="I33" s="32">
        <v>1085030012</v>
      </c>
      <c r="J33" s="32">
        <v>1088199605</v>
      </c>
      <c r="K33" s="32">
        <v>1091480979</v>
      </c>
      <c r="L33" s="32">
        <v>1092939602</v>
      </c>
      <c r="M33" s="32">
        <v>1098992290</v>
      </c>
    </row>
    <row r="34" spans="1:13">
      <c r="A34" s="25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>
      <c r="A35" s="24" t="s">
        <v>277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>
      <c r="A36" s="66" t="s">
        <v>278</v>
      </c>
      <c r="B36" s="65">
        <v>126891</v>
      </c>
      <c r="C36" s="65">
        <v>126891</v>
      </c>
      <c r="D36" s="65">
        <v>126891</v>
      </c>
      <c r="E36" s="65">
        <v>126891</v>
      </c>
      <c r="F36" s="65">
        <v>126891</v>
      </c>
      <c r="G36" s="65">
        <v>126891</v>
      </c>
      <c r="H36" s="65">
        <v>126891</v>
      </c>
      <c r="I36" s="65">
        <v>126891</v>
      </c>
      <c r="J36" s="65">
        <v>120841</v>
      </c>
      <c r="K36" s="65">
        <v>120841</v>
      </c>
      <c r="L36" s="65">
        <v>120841</v>
      </c>
      <c r="M36" s="65">
        <v>120841</v>
      </c>
    </row>
    <row r="37" spans="1:13">
      <c r="A37" s="29" t="s">
        <v>279</v>
      </c>
      <c r="B37" s="27">
        <v>126891</v>
      </c>
      <c r="C37" s="27">
        <v>126891</v>
      </c>
      <c r="D37" s="27">
        <v>126891</v>
      </c>
      <c r="E37" s="27">
        <v>126891</v>
      </c>
      <c r="F37" s="27">
        <v>126891</v>
      </c>
      <c r="G37" s="27">
        <v>126891</v>
      </c>
      <c r="H37" s="27">
        <v>126891</v>
      </c>
      <c r="I37" s="27">
        <v>126891</v>
      </c>
      <c r="J37" s="27">
        <v>120841</v>
      </c>
      <c r="K37" s="27">
        <v>120841</v>
      </c>
      <c r="L37" s="27">
        <v>120841</v>
      </c>
      <c r="M37" s="27">
        <v>120841</v>
      </c>
    </row>
    <row r="38" spans="1:13">
      <c r="A38" s="31" t="s">
        <v>280</v>
      </c>
      <c r="B38" s="32">
        <v>126891</v>
      </c>
      <c r="C38" s="32">
        <v>126891</v>
      </c>
      <c r="D38" s="32">
        <v>126891</v>
      </c>
      <c r="E38" s="32">
        <v>126891</v>
      </c>
      <c r="F38" s="32">
        <v>126891</v>
      </c>
      <c r="G38" s="32">
        <v>126891</v>
      </c>
      <c r="H38" s="32">
        <v>126891</v>
      </c>
      <c r="I38" s="32">
        <v>126891</v>
      </c>
      <c r="J38" s="32">
        <v>120841</v>
      </c>
      <c r="K38" s="32">
        <v>120841</v>
      </c>
      <c r="L38" s="32">
        <v>120841</v>
      </c>
      <c r="M38" s="32">
        <v>120841</v>
      </c>
    </row>
    <row r="39" spans="1:13">
      <c r="A39" s="25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3">
      <c r="A40" s="24" t="s">
        <v>281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>
      <c r="A41" s="28" t="s">
        <v>282</v>
      </c>
      <c r="B41" s="27">
        <v>334574</v>
      </c>
      <c r="C41" s="27">
        <v>701516</v>
      </c>
      <c r="D41" s="27">
        <v>553941</v>
      </c>
      <c r="E41" s="27">
        <v>262411</v>
      </c>
      <c r="F41" s="27">
        <v>508056</v>
      </c>
      <c r="G41" s="27">
        <v>1237368</v>
      </c>
      <c r="H41" s="27">
        <v>715624</v>
      </c>
      <c r="I41" s="27">
        <v>434322</v>
      </c>
      <c r="J41" s="27">
        <v>929418</v>
      </c>
      <c r="K41" s="27">
        <v>535296</v>
      </c>
      <c r="L41" s="27">
        <v>749794</v>
      </c>
      <c r="M41" s="27">
        <v>306045</v>
      </c>
    </row>
    <row r="42" spans="1:13">
      <c r="A42" s="28" t="s">
        <v>283</v>
      </c>
      <c r="B42" s="27">
        <v>413044</v>
      </c>
      <c r="C42" s="27">
        <v>551661</v>
      </c>
      <c r="D42" s="27">
        <v>1557193</v>
      </c>
      <c r="E42" s="27">
        <v>212117</v>
      </c>
      <c r="F42" s="27">
        <v>102126</v>
      </c>
      <c r="G42" s="27">
        <v>1369130</v>
      </c>
      <c r="H42" s="27">
        <v>766687</v>
      </c>
      <c r="I42" s="27">
        <v>466833</v>
      </c>
      <c r="J42" s="27">
        <v>1956720</v>
      </c>
      <c r="K42" s="27">
        <v>846606</v>
      </c>
      <c r="L42" s="30">
        <v>-3718</v>
      </c>
      <c r="M42" s="27">
        <v>1756399</v>
      </c>
    </row>
    <row r="43" spans="1:13">
      <c r="A43" s="28" t="s">
        <v>284</v>
      </c>
      <c r="B43" s="30">
        <v>-1767855</v>
      </c>
      <c r="C43" s="30">
        <v>-1521263</v>
      </c>
      <c r="D43" s="30">
        <v>-1043029</v>
      </c>
      <c r="E43" s="30">
        <v>-1328827</v>
      </c>
      <c r="F43" s="30">
        <v>-1507127</v>
      </c>
      <c r="G43" s="30">
        <v>-1136732</v>
      </c>
      <c r="H43" s="30">
        <v>-1344804</v>
      </c>
      <c r="I43" s="30">
        <v>-1302359</v>
      </c>
      <c r="J43" s="30">
        <v>-1030961</v>
      </c>
      <c r="K43" s="30">
        <v>-1183825</v>
      </c>
      <c r="L43" s="30">
        <v>-957257</v>
      </c>
      <c r="M43" s="30">
        <v>-503624</v>
      </c>
    </row>
    <row r="44" spans="1:13">
      <c r="A44" s="28" t="s">
        <v>285</v>
      </c>
      <c r="B44" s="27">
        <v>2296</v>
      </c>
      <c r="C44" s="30">
        <v>-174937</v>
      </c>
      <c r="D44" s="30">
        <v>-424702</v>
      </c>
      <c r="E44" s="30">
        <v>-131947</v>
      </c>
      <c r="F44" s="27">
        <v>58524</v>
      </c>
      <c r="G44" s="30">
        <v>-188063</v>
      </c>
      <c r="H44" s="27">
        <v>134634</v>
      </c>
      <c r="I44" s="27">
        <v>136689</v>
      </c>
      <c r="J44" s="30">
        <v>-147472</v>
      </c>
      <c r="K44" s="30">
        <v>-42020</v>
      </c>
      <c r="L44" s="30">
        <v>-41038</v>
      </c>
      <c r="M44" s="30">
        <v>-516364</v>
      </c>
    </row>
    <row r="45" spans="1:13">
      <c r="A45" s="28" t="s">
        <v>286</v>
      </c>
      <c r="B45" s="30">
        <v>-339</v>
      </c>
      <c r="C45" s="30">
        <v>-339</v>
      </c>
      <c r="D45" s="30">
        <v>-339</v>
      </c>
      <c r="E45" s="30">
        <v>-339</v>
      </c>
      <c r="F45" s="30">
        <v>-339</v>
      </c>
      <c r="G45" s="30">
        <v>-339</v>
      </c>
      <c r="H45" s="30">
        <v>-339</v>
      </c>
      <c r="I45" s="30">
        <v>-339</v>
      </c>
      <c r="J45" s="30">
        <v>-339</v>
      </c>
      <c r="K45" s="30">
        <v>-339</v>
      </c>
      <c r="L45" s="30">
        <v>-339</v>
      </c>
      <c r="M45" s="30">
        <v>-339</v>
      </c>
    </row>
    <row r="46" spans="1:13">
      <c r="A46" s="28" t="s">
        <v>287</v>
      </c>
      <c r="B46" s="27">
        <v>13926</v>
      </c>
      <c r="C46" s="27">
        <v>26649</v>
      </c>
      <c r="D46" s="27">
        <v>18600</v>
      </c>
      <c r="E46" s="27">
        <v>579</v>
      </c>
      <c r="F46" s="27">
        <v>14699</v>
      </c>
      <c r="G46" s="27">
        <v>89</v>
      </c>
      <c r="H46" s="27">
        <v>1442</v>
      </c>
      <c r="I46" s="27">
        <v>0</v>
      </c>
      <c r="J46" s="27">
        <v>154514</v>
      </c>
      <c r="K46" s="27">
        <v>21705</v>
      </c>
      <c r="L46" s="27">
        <v>1011</v>
      </c>
      <c r="M46" s="27">
        <v>829</v>
      </c>
    </row>
    <row r="47" spans="1:13">
      <c r="A47" s="28" t="s">
        <v>288</v>
      </c>
      <c r="B47" s="30">
        <v>-22</v>
      </c>
      <c r="C47" s="30">
        <v>-22</v>
      </c>
      <c r="D47" s="30">
        <v>-22</v>
      </c>
      <c r="E47" s="30">
        <v>-22</v>
      </c>
      <c r="F47" s="30">
        <v>-22</v>
      </c>
      <c r="G47" s="30">
        <v>-22</v>
      </c>
      <c r="H47" s="30">
        <v>-22</v>
      </c>
      <c r="I47" s="30">
        <v>-22</v>
      </c>
      <c r="J47" s="30">
        <v>-22</v>
      </c>
      <c r="K47" s="30">
        <v>-22</v>
      </c>
      <c r="L47" s="30">
        <v>-22</v>
      </c>
      <c r="M47" s="30">
        <v>-22</v>
      </c>
    </row>
    <row r="48" spans="1:13">
      <c r="A48" s="28" t="s">
        <v>289</v>
      </c>
      <c r="B48" s="27">
        <v>925772</v>
      </c>
      <c r="C48" s="27">
        <v>851859</v>
      </c>
      <c r="D48" s="27">
        <v>118615</v>
      </c>
      <c r="E48" s="27">
        <v>992156</v>
      </c>
      <c r="F48" s="27">
        <v>1091477</v>
      </c>
      <c r="G48" s="27">
        <v>210887</v>
      </c>
      <c r="H48" s="30">
        <v>-26913</v>
      </c>
      <c r="I48" s="30">
        <v>-35750</v>
      </c>
      <c r="J48" s="27">
        <v>641670</v>
      </c>
      <c r="K48" s="30">
        <v>-4036</v>
      </c>
      <c r="L48" s="30">
        <v>-36919</v>
      </c>
      <c r="M48" s="30">
        <v>-52592</v>
      </c>
    </row>
    <row r="49" spans="1:13">
      <c r="A49" s="28" t="s">
        <v>290</v>
      </c>
      <c r="B49" s="30">
        <v>-1587</v>
      </c>
      <c r="C49" s="30">
        <v>-1587</v>
      </c>
      <c r="D49" s="30">
        <v>-1587</v>
      </c>
      <c r="E49" s="30">
        <v>-1587</v>
      </c>
      <c r="F49" s="30">
        <v>-1587</v>
      </c>
      <c r="G49" s="30">
        <v>-2295</v>
      </c>
      <c r="H49" s="30">
        <v>-2295</v>
      </c>
      <c r="I49" s="30">
        <v>-2326</v>
      </c>
      <c r="J49" s="30">
        <v>-2326</v>
      </c>
      <c r="K49" s="30">
        <v>-2326</v>
      </c>
      <c r="L49" s="30">
        <v>-2326</v>
      </c>
      <c r="M49" s="30">
        <v>-2326</v>
      </c>
    </row>
    <row r="50" spans="1:13">
      <c r="A50" s="28" t="s">
        <v>292</v>
      </c>
      <c r="B50" s="30">
        <v>-3675</v>
      </c>
      <c r="C50" s="30">
        <v>-3675</v>
      </c>
      <c r="D50" s="30">
        <v>-3675</v>
      </c>
      <c r="E50" s="30">
        <v>-3675</v>
      </c>
      <c r="F50" s="30">
        <v>-3675</v>
      </c>
      <c r="G50" s="30">
        <v>-3747</v>
      </c>
      <c r="H50" s="30">
        <v>-3747</v>
      </c>
      <c r="I50" s="30">
        <v>-3747</v>
      </c>
      <c r="J50" s="30">
        <v>-3747</v>
      </c>
      <c r="K50" s="30">
        <v>-3772</v>
      </c>
      <c r="L50" s="30">
        <v>-3772</v>
      </c>
      <c r="M50" s="30">
        <v>-3822</v>
      </c>
    </row>
    <row r="51" spans="1:13">
      <c r="A51" s="28" t="s">
        <v>293</v>
      </c>
      <c r="B51" s="27">
        <v>210</v>
      </c>
      <c r="C51" s="27">
        <v>210</v>
      </c>
      <c r="D51" s="27">
        <v>210</v>
      </c>
      <c r="E51" s="27">
        <v>210</v>
      </c>
      <c r="F51" s="27">
        <v>210</v>
      </c>
      <c r="G51" s="27">
        <v>210</v>
      </c>
      <c r="H51" s="27">
        <v>210</v>
      </c>
      <c r="I51" s="27">
        <v>210</v>
      </c>
      <c r="J51" s="27">
        <v>210</v>
      </c>
      <c r="K51" s="27">
        <v>210</v>
      </c>
      <c r="L51" s="27">
        <v>210</v>
      </c>
      <c r="M51" s="27">
        <v>210</v>
      </c>
    </row>
    <row r="52" spans="1:13">
      <c r="A52" s="29" t="s">
        <v>294</v>
      </c>
      <c r="B52" s="30">
        <v>-83656</v>
      </c>
      <c r="C52" s="27">
        <v>430073</v>
      </c>
      <c r="D52" s="27">
        <v>775206</v>
      </c>
      <c r="E52" s="27">
        <v>1077</v>
      </c>
      <c r="F52" s="27">
        <v>262343</v>
      </c>
      <c r="G52" s="27">
        <v>1486486</v>
      </c>
      <c r="H52" s="27">
        <v>240477</v>
      </c>
      <c r="I52" s="30">
        <v>-306488</v>
      </c>
      <c r="J52" s="27">
        <v>2497665</v>
      </c>
      <c r="K52" s="27">
        <v>167477</v>
      </c>
      <c r="L52" s="30">
        <v>-294376</v>
      </c>
      <c r="M52" s="27">
        <v>984395</v>
      </c>
    </row>
    <row r="53" spans="1:13">
      <c r="A53" s="28" t="s">
        <v>295</v>
      </c>
      <c r="B53" s="27">
        <v>4420609</v>
      </c>
      <c r="C53" s="27">
        <v>4463747</v>
      </c>
      <c r="D53" s="27">
        <v>4481926</v>
      </c>
      <c r="E53" s="27">
        <v>4523476</v>
      </c>
      <c r="F53" s="27">
        <v>4558650</v>
      </c>
      <c r="G53" s="27">
        <v>4558688</v>
      </c>
      <c r="H53" s="27">
        <v>4640805</v>
      </c>
      <c r="I53" s="27">
        <v>4693883</v>
      </c>
      <c r="J53" s="27">
        <v>4752159</v>
      </c>
      <c r="K53" s="27">
        <v>4808490</v>
      </c>
      <c r="L53" s="27">
        <v>4808531</v>
      </c>
      <c r="M53" s="27">
        <v>4888103</v>
      </c>
    </row>
    <row r="54" spans="1:13">
      <c r="A54" s="29" t="s">
        <v>296</v>
      </c>
      <c r="B54" s="27">
        <v>4420609</v>
      </c>
      <c r="C54" s="27">
        <v>4463747</v>
      </c>
      <c r="D54" s="27">
        <v>4481926</v>
      </c>
      <c r="E54" s="27">
        <v>4523476</v>
      </c>
      <c r="F54" s="27">
        <v>4558650</v>
      </c>
      <c r="G54" s="27">
        <v>4558688</v>
      </c>
      <c r="H54" s="27">
        <v>4640805</v>
      </c>
      <c r="I54" s="27">
        <v>4693883</v>
      </c>
      <c r="J54" s="27">
        <v>4752159</v>
      </c>
      <c r="K54" s="27">
        <v>4808490</v>
      </c>
      <c r="L54" s="27">
        <v>4808531</v>
      </c>
      <c r="M54" s="27">
        <v>4888103</v>
      </c>
    </row>
    <row r="55" spans="1:13">
      <c r="A55" s="28" t="s">
        <v>297</v>
      </c>
      <c r="B55" s="27">
        <v>1108</v>
      </c>
      <c r="C55" s="27">
        <v>1108</v>
      </c>
      <c r="D55" s="27">
        <v>1108</v>
      </c>
      <c r="E55" s="27">
        <v>1108</v>
      </c>
      <c r="F55" s="27">
        <v>1108</v>
      </c>
      <c r="G55" s="27">
        <v>1108</v>
      </c>
      <c r="H55" s="27">
        <v>1108</v>
      </c>
      <c r="I55" s="27">
        <v>1108</v>
      </c>
      <c r="J55" s="27">
        <v>1108</v>
      </c>
      <c r="K55" s="27">
        <v>1108</v>
      </c>
      <c r="L55" s="27">
        <v>1108</v>
      </c>
      <c r="M55" s="27">
        <v>1108</v>
      </c>
    </row>
    <row r="56" spans="1:13">
      <c r="A56" s="29" t="s">
        <v>298</v>
      </c>
      <c r="B56" s="27">
        <v>1108</v>
      </c>
      <c r="C56" s="27">
        <v>1108</v>
      </c>
      <c r="D56" s="27">
        <v>1108</v>
      </c>
      <c r="E56" s="27">
        <v>1108</v>
      </c>
      <c r="F56" s="27">
        <v>1108</v>
      </c>
      <c r="G56" s="27">
        <v>1108</v>
      </c>
      <c r="H56" s="27">
        <v>1108</v>
      </c>
      <c r="I56" s="27">
        <v>1108</v>
      </c>
      <c r="J56" s="27">
        <v>1108</v>
      </c>
      <c r="K56" s="27">
        <v>1108</v>
      </c>
      <c r="L56" s="27">
        <v>1108</v>
      </c>
      <c r="M56" s="27">
        <v>1108</v>
      </c>
    </row>
    <row r="57" spans="1:13">
      <c r="A57" s="28" t="s">
        <v>299</v>
      </c>
      <c r="B57" s="27">
        <v>21778193</v>
      </c>
      <c r="C57" s="27">
        <v>12466373</v>
      </c>
      <c r="D57" s="27">
        <v>15166783</v>
      </c>
      <c r="E57" s="27">
        <v>12963683</v>
      </c>
      <c r="F57" s="27">
        <v>14089097</v>
      </c>
      <c r="G57" s="27">
        <v>15510648</v>
      </c>
      <c r="H57" s="27">
        <v>17532667</v>
      </c>
      <c r="I57" s="27">
        <v>19189890</v>
      </c>
      <c r="J57" s="27">
        <v>18603571</v>
      </c>
      <c r="K57" s="27">
        <v>18208451</v>
      </c>
      <c r="L57" s="27">
        <v>16767520</v>
      </c>
      <c r="M57" s="27">
        <v>14594266</v>
      </c>
    </row>
    <row r="58" spans="1:13">
      <c r="A58" s="28" t="s">
        <v>300</v>
      </c>
      <c r="B58" s="27">
        <v>12461</v>
      </c>
      <c r="C58" s="27">
        <v>26974</v>
      </c>
      <c r="D58" s="27">
        <v>15693</v>
      </c>
      <c r="E58" s="27">
        <v>33971</v>
      </c>
      <c r="F58" s="27">
        <v>188792</v>
      </c>
      <c r="G58" s="27">
        <v>103319</v>
      </c>
      <c r="H58" s="27">
        <v>36501</v>
      </c>
      <c r="I58" s="27">
        <v>37620</v>
      </c>
      <c r="J58" s="27">
        <v>26841</v>
      </c>
      <c r="K58" s="27">
        <v>42620</v>
      </c>
      <c r="L58" s="27">
        <v>5036</v>
      </c>
      <c r="M58" s="27">
        <v>20</v>
      </c>
    </row>
    <row r="59" spans="1:13">
      <c r="A59" s="28" t="s">
        <v>301</v>
      </c>
      <c r="B59" s="27">
        <v>46365</v>
      </c>
      <c r="C59" s="27">
        <v>43856</v>
      </c>
      <c r="D59" s="27">
        <v>37893</v>
      </c>
      <c r="E59" s="27">
        <v>38282</v>
      </c>
      <c r="F59" s="27">
        <v>41955</v>
      </c>
      <c r="G59" s="27">
        <v>39852</v>
      </c>
      <c r="H59" s="27">
        <v>41977</v>
      </c>
      <c r="I59" s="27">
        <v>39617</v>
      </c>
      <c r="J59" s="27">
        <v>41831</v>
      </c>
      <c r="K59" s="27">
        <v>42539</v>
      </c>
      <c r="L59" s="27">
        <v>41001</v>
      </c>
      <c r="M59" s="27">
        <v>39007</v>
      </c>
    </row>
    <row r="60" spans="1:13">
      <c r="A60" s="28" t="s">
        <v>303</v>
      </c>
      <c r="B60" s="27">
        <v>1006036</v>
      </c>
      <c r="C60" s="27">
        <v>831640</v>
      </c>
      <c r="D60" s="27">
        <v>788199</v>
      </c>
      <c r="E60" s="27">
        <v>784493</v>
      </c>
      <c r="F60" s="27">
        <v>751519</v>
      </c>
      <c r="G60" s="27">
        <v>1243924</v>
      </c>
      <c r="H60" s="27">
        <v>1042529</v>
      </c>
      <c r="I60" s="27">
        <v>1872940</v>
      </c>
      <c r="J60" s="27">
        <v>1131955</v>
      </c>
      <c r="K60" s="27">
        <v>2640135</v>
      </c>
      <c r="L60" s="27">
        <v>3934094</v>
      </c>
      <c r="M60" s="27">
        <v>5301824</v>
      </c>
    </row>
    <row r="61" spans="1:13">
      <c r="A61" s="28" t="s">
        <v>304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</row>
    <row r="62" spans="1:13">
      <c r="A62" s="28" t="s">
        <v>305</v>
      </c>
      <c r="B62" s="27">
        <v>0</v>
      </c>
      <c r="C62" s="27">
        <v>775000</v>
      </c>
      <c r="D62" s="27">
        <v>32625</v>
      </c>
      <c r="E62" s="27">
        <v>0</v>
      </c>
      <c r="F62" s="27">
        <v>0</v>
      </c>
      <c r="G62" s="27">
        <v>0</v>
      </c>
      <c r="H62" s="27">
        <v>0</v>
      </c>
      <c r="I62" s="27">
        <v>100060</v>
      </c>
      <c r="J62" s="27">
        <v>0</v>
      </c>
      <c r="K62" s="27">
        <v>40540</v>
      </c>
      <c r="L62" s="27">
        <v>0</v>
      </c>
      <c r="M62" s="27">
        <v>0</v>
      </c>
    </row>
    <row r="63" spans="1:13" ht="22.5">
      <c r="A63" s="29" t="s">
        <v>306</v>
      </c>
      <c r="B63" s="27">
        <v>22843055</v>
      </c>
      <c r="C63" s="27">
        <v>14143843</v>
      </c>
      <c r="D63" s="27">
        <v>16041193</v>
      </c>
      <c r="E63" s="27">
        <v>13820429</v>
      </c>
      <c r="F63" s="27">
        <v>15071363</v>
      </c>
      <c r="G63" s="27">
        <v>16897743</v>
      </c>
      <c r="H63" s="27">
        <v>18653674</v>
      </c>
      <c r="I63" s="27">
        <v>21240127</v>
      </c>
      <c r="J63" s="27">
        <v>19804198</v>
      </c>
      <c r="K63" s="27">
        <v>20974284</v>
      </c>
      <c r="L63" s="27">
        <v>20747650</v>
      </c>
      <c r="M63" s="27">
        <v>19935117</v>
      </c>
    </row>
    <row r="64" spans="1:13">
      <c r="A64" s="28" t="s">
        <v>307</v>
      </c>
      <c r="B64" s="27">
        <v>1972470</v>
      </c>
      <c r="C64" s="27">
        <v>1563042</v>
      </c>
      <c r="D64" s="27">
        <v>1632318</v>
      </c>
      <c r="E64" s="27">
        <v>1774887</v>
      </c>
      <c r="F64" s="27">
        <v>2131727</v>
      </c>
      <c r="G64" s="27">
        <v>2190590</v>
      </c>
      <c r="H64" s="27">
        <v>975471</v>
      </c>
      <c r="I64" s="27">
        <v>1071597</v>
      </c>
      <c r="J64" s="27">
        <v>1156892</v>
      </c>
      <c r="K64" s="27">
        <v>1251365</v>
      </c>
      <c r="L64" s="27">
        <v>1345837</v>
      </c>
      <c r="M64" s="27">
        <v>1440333</v>
      </c>
    </row>
    <row r="65" spans="1:13">
      <c r="A65" s="28" t="s">
        <v>308</v>
      </c>
      <c r="B65" s="27">
        <v>1471</v>
      </c>
      <c r="C65" s="30">
        <v>-2789</v>
      </c>
      <c r="D65" s="27">
        <v>3117</v>
      </c>
      <c r="E65" s="27">
        <v>2432</v>
      </c>
      <c r="F65" s="27">
        <v>22020</v>
      </c>
      <c r="G65" s="27">
        <v>17091</v>
      </c>
      <c r="H65" s="27">
        <v>14591</v>
      </c>
      <c r="I65" s="27">
        <v>6706</v>
      </c>
      <c r="J65" s="27">
        <v>0</v>
      </c>
      <c r="K65" s="27">
        <v>3286</v>
      </c>
      <c r="L65" s="27">
        <v>11322</v>
      </c>
      <c r="M65" s="27">
        <v>17305</v>
      </c>
    </row>
    <row r="66" spans="1:13">
      <c r="A66" s="28" t="s">
        <v>309</v>
      </c>
      <c r="B66" s="30">
        <v>-14</v>
      </c>
      <c r="C66" s="27">
        <v>0</v>
      </c>
      <c r="D66" s="27">
        <v>0</v>
      </c>
      <c r="E66" s="27">
        <v>0</v>
      </c>
      <c r="F66" s="30">
        <v>-30769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</row>
    <row r="67" spans="1:13">
      <c r="A67" s="28" t="s">
        <v>310</v>
      </c>
      <c r="B67" s="27">
        <v>26935</v>
      </c>
      <c r="C67" s="27">
        <v>51786</v>
      </c>
      <c r="D67" s="27">
        <v>46198</v>
      </c>
      <c r="E67" s="27">
        <v>71434</v>
      </c>
      <c r="F67" s="27">
        <v>68435</v>
      </c>
      <c r="G67" s="27">
        <v>73474</v>
      </c>
      <c r="H67" s="27">
        <v>71341</v>
      </c>
      <c r="I67" s="27">
        <v>89890</v>
      </c>
      <c r="J67" s="27">
        <v>89068</v>
      </c>
      <c r="K67" s="27">
        <v>90804</v>
      </c>
      <c r="L67" s="27">
        <v>71205</v>
      </c>
      <c r="M67" s="27">
        <v>67881</v>
      </c>
    </row>
    <row r="68" spans="1:13">
      <c r="A68" s="28" t="s">
        <v>311</v>
      </c>
      <c r="B68" s="27">
        <v>4083</v>
      </c>
      <c r="C68" s="27">
        <v>3634</v>
      </c>
      <c r="D68" s="27">
        <v>4516</v>
      </c>
      <c r="E68" s="27">
        <v>7264</v>
      </c>
      <c r="F68" s="27">
        <v>4886</v>
      </c>
      <c r="G68" s="27">
        <v>4423</v>
      </c>
      <c r="H68" s="27">
        <v>11316</v>
      </c>
      <c r="I68" s="27">
        <v>7742</v>
      </c>
      <c r="J68" s="27">
        <v>7042</v>
      </c>
      <c r="K68" s="27">
        <v>6374</v>
      </c>
      <c r="L68" s="27">
        <v>5675</v>
      </c>
      <c r="M68" s="27">
        <v>4943</v>
      </c>
    </row>
    <row r="69" spans="1:13">
      <c r="A69" s="28" t="s">
        <v>312</v>
      </c>
      <c r="B69" s="27">
        <v>0</v>
      </c>
      <c r="C69" s="27">
        <v>0</v>
      </c>
      <c r="D69" s="27">
        <v>208239</v>
      </c>
      <c r="E69" s="27">
        <v>0</v>
      </c>
      <c r="F69" s="27">
        <v>0</v>
      </c>
      <c r="G69" s="27">
        <v>220448</v>
      </c>
      <c r="H69" s="27">
        <v>0</v>
      </c>
      <c r="I69" s="27">
        <v>0</v>
      </c>
      <c r="J69" s="27">
        <v>284732</v>
      </c>
      <c r="K69" s="27">
        <v>0</v>
      </c>
      <c r="L69" s="27">
        <v>0</v>
      </c>
      <c r="M69" s="27">
        <v>0</v>
      </c>
    </row>
    <row r="70" spans="1:13">
      <c r="A70" s="28" t="s">
        <v>313</v>
      </c>
      <c r="B70" s="27">
        <v>452616</v>
      </c>
      <c r="C70" s="27">
        <v>344369</v>
      </c>
      <c r="D70" s="27">
        <v>186918</v>
      </c>
      <c r="E70" s="27">
        <v>384497</v>
      </c>
      <c r="F70" s="27">
        <v>354751</v>
      </c>
      <c r="G70" s="27">
        <v>459018</v>
      </c>
      <c r="H70" s="27">
        <v>553372</v>
      </c>
      <c r="I70" s="27">
        <v>468517</v>
      </c>
      <c r="J70" s="27">
        <v>631755</v>
      </c>
      <c r="K70" s="27">
        <v>1140283</v>
      </c>
      <c r="L70" s="27">
        <v>641653</v>
      </c>
      <c r="M70" s="27">
        <v>3519860</v>
      </c>
    </row>
    <row r="71" spans="1:13">
      <c r="A71" s="28" t="s">
        <v>314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56940</v>
      </c>
    </row>
    <row r="72" spans="1:13">
      <c r="A72" s="29" t="s">
        <v>315</v>
      </c>
      <c r="B72" s="27">
        <v>2457560</v>
      </c>
      <c r="C72" s="27">
        <v>1960042</v>
      </c>
      <c r="D72" s="27">
        <v>2081306</v>
      </c>
      <c r="E72" s="27">
        <v>2240513</v>
      </c>
      <c r="F72" s="27">
        <v>2551049</v>
      </c>
      <c r="G72" s="27">
        <v>2965044</v>
      </c>
      <c r="H72" s="27">
        <v>1626091</v>
      </c>
      <c r="I72" s="27">
        <v>1644450</v>
      </c>
      <c r="J72" s="27">
        <v>2169489</v>
      </c>
      <c r="K72" s="27">
        <v>2492112</v>
      </c>
      <c r="L72" s="27">
        <v>2075691</v>
      </c>
      <c r="M72" s="27">
        <v>5107263</v>
      </c>
    </row>
    <row r="73" spans="1:13">
      <c r="A73" s="28" t="s">
        <v>316</v>
      </c>
      <c r="B73" s="30">
        <v>-746617</v>
      </c>
      <c r="C73" s="30">
        <v>-741666</v>
      </c>
      <c r="D73" s="30">
        <v>-629906</v>
      </c>
      <c r="E73" s="30">
        <v>-628582</v>
      </c>
      <c r="F73" s="30">
        <v>-596512</v>
      </c>
      <c r="G73" s="30">
        <v>-402708</v>
      </c>
      <c r="H73" s="30">
        <v>-428110</v>
      </c>
      <c r="I73" s="30">
        <v>-479541</v>
      </c>
      <c r="J73" s="30">
        <v>-488258</v>
      </c>
      <c r="K73" s="30">
        <v>-482606</v>
      </c>
      <c r="L73" s="30">
        <v>-452402</v>
      </c>
      <c r="M73" s="30">
        <v>-254748</v>
      </c>
    </row>
    <row r="74" spans="1:13">
      <c r="A74" s="29" t="s">
        <v>317</v>
      </c>
      <c r="B74" s="30">
        <v>-746617</v>
      </c>
      <c r="C74" s="30">
        <v>-741666</v>
      </c>
      <c r="D74" s="30">
        <v>-629906</v>
      </c>
      <c r="E74" s="30">
        <v>-628582</v>
      </c>
      <c r="F74" s="30">
        <v>-596512</v>
      </c>
      <c r="G74" s="30">
        <v>-402708</v>
      </c>
      <c r="H74" s="30">
        <v>-428110</v>
      </c>
      <c r="I74" s="30">
        <v>-479541</v>
      </c>
      <c r="J74" s="30">
        <v>-488258</v>
      </c>
      <c r="K74" s="30">
        <v>-482606</v>
      </c>
      <c r="L74" s="30">
        <v>-452402</v>
      </c>
      <c r="M74" s="30">
        <v>-254748</v>
      </c>
    </row>
    <row r="75" spans="1:13">
      <c r="A75" s="28" t="s">
        <v>318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</row>
    <row r="76" spans="1:13">
      <c r="A76" s="28" t="s">
        <v>319</v>
      </c>
      <c r="B76" s="27">
        <v>3636</v>
      </c>
      <c r="C76" s="27">
        <v>660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</row>
    <row r="77" spans="1:13">
      <c r="A77" s="29" t="s">
        <v>320</v>
      </c>
      <c r="B77" s="27">
        <v>3636</v>
      </c>
      <c r="C77" s="27">
        <v>660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</row>
    <row r="78" spans="1:13">
      <c r="A78" s="28" t="s">
        <v>321</v>
      </c>
      <c r="B78" s="27">
        <v>751732</v>
      </c>
      <c r="C78" s="27">
        <v>2354939</v>
      </c>
      <c r="D78" s="27">
        <v>471585</v>
      </c>
      <c r="E78" s="27">
        <v>987184</v>
      </c>
      <c r="F78" s="27">
        <v>1259432</v>
      </c>
      <c r="G78" s="27">
        <v>2275507</v>
      </c>
      <c r="H78" s="27">
        <v>2217812</v>
      </c>
      <c r="I78" s="27">
        <v>2409572</v>
      </c>
      <c r="J78" s="27">
        <v>3037925</v>
      </c>
      <c r="K78" s="27">
        <v>3256660</v>
      </c>
      <c r="L78" s="27">
        <v>3792851</v>
      </c>
      <c r="M78" s="27">
        <v>3115922</v>
      </c>
    </row>
    <row r="79" spans="1:13">
      <c r="A79" s="29" t="s">
        <v>322</v>
      </c>
      <c r="B79" s="27">
        <v>751732</v>
      </c>
      <c r="C79" s="27">
        <v>2354939</v>
      </c>
      <c r="D79" s="27">
        <v>471585</v>
      </c>
      <c r="E79" s="27">
        <v>987184</v>
      </c>
      <c r="F79" s="27">
        <v>1259432</v>
      </c>
      <c r="G79" s="27">
        <v>2275507</v>
      </c>
      <c r="H79" s="27">
        <v>2217812</v>
      </c>
      <c r="I79" s="27">
        <v>2409572</v>
      </c>
      <c r="J79" s="27">
        <v>3037925</v>
      </c>
      <c r="K79" s="27">
        <v>3256660</v>
      </c>
      <c r="L79" s="27">
        <v>3792851</v>
      </c>
      <c r="M79" s="27">
        <v>3115922</v>
      </c>
    </row>
    <row r="80" spans="1:13">
      <c r="A80" s="28" t="s">
        <v>323</v>
      </c>
      <c r="B80" s="27">
        <v>0</v>
      </c>
      <c r="C80" s="27">
        <v>0</v>
      </c>
      <c r="D80" s="27">
        <v>0</v>
      </c>
      <c r="E80" s="27">
        <v>3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</row>
    <row r="81" spans="1:13">
      <c r="A81" s="28" t="s">
        <v>324</v>
      </c>
      <c r="B81" s="27">
        <v>473140</v>
      </c>
      <c r="C81" s="27">
        <v>469886</v>
      </c>
      <c r="D81" s="27">
        <v>467887</v>
      </c>
      <c r="E81" s="27">
        <v>465394</v>
      </c>
      <c r="F81" s="27">
        <v>461562</v>
      </c>
      <c r="G81" s="27">
        <v>440618</v>
      </c>
      <c r="H81" s="27">
        <v>341789</v>
      </c>
      <c r="I81" s="27">
        <v>403184</v>
      </c>
      <c r="J81" s="27">
        <v>354002</v>
      </c>
      <c r="K81" s="27">
        <v>444600</v>
      </c>
      <c r="L81" s="27">
        <v>444540</v>
      </c>
      <c r="M81" s="27">
        <v>444312</v>
      </c>
    </row>
    <row r="82" spans="1:13">
      <c r="A82" s="29" t="s">
        <v>325</v>
      </c>
      <c r="B82" s="27">
        <v>473140</v>
      </c>
      <c r="C82" s="27">
        <v>469886</v>
      </c>
      <c r="D82" s="27">
        <v>467887</v>
      </c>
      <c r="E82" s="27">
        <v>465397</v>
      </c>
      <c r="F82" s="27">
        <v>461562</v>
      </c>
      <c r="G82" s="27">
        <v>440618</v>
      </c>
      <c r="H82" s="27">
        <v>341789</v>
      </c>
      <c r="I82" s="27">
        <v>403184</v>
      </c>
      <c r="J82" s="27">
        <v>354002</v>
      </c>
      <c r="K82" s="27">
        <v>444600</v>
      </c>
      <c r="L82" s="27">
        <v>444540</v>
      </c>
      <c r="M82" s="27">
        <v>444312</v>
      </c>
    </row>
    <row r="83" spans="1:13">
      <c r="A83" s="28" t="s">
        <v>326</v>
      </c>
      <c r="B83" s="27">
        <v>8210307</v>
      </c>
      <c r="C83" s="27">
        <v>8321393</v>
      </c>
      <c r="D83" s="27">
        <v>8284298</v>
      </c>
      <c r="E83" s="27">
        <v>8393617</v>
      </c>
      <c r="F83" s="27">
        <v>8560854</v>
      </c>
      <c r="G83" s="27">
        <v>8572796</v>
      </c>
      <c r="H83" s="27">
        <v>8467796</v>
      </c>
      <c r="I83" s="27">
        <v>8731699</v>
      </c>
      <c r="J83" s="27">
        <v>8834214</v>
      </c>
      <c r="K83" s="27">
        <v>8872723</v>
      </c>
      <c r="L83" s="27">
        <v>8901776</v>
      </c>
      <c r="M83" s="27">
        <v>8821288</v>
      </c>
    </row>
    <row r="84" spans="1:13">
      <c r="A84" s="28" t="s">
        <v>327</v>
      </c>
      <c r="B84" s="27">
        <v>3800</v>
      </c>
      <c r="C84" s="27">
        <v>3800</v>
      </c>
      <c r="D84" s="27">
        <v>3800</v>
      </c>
      <c r="E84" s="27">
        <v>3800</v>
      </c>
      <c r="F84" s="27">
        <v>3800</v>
      </c>
      <c r="G84" s="30">
        <v>-231343</v>
      </c>
      <c r="H84" s="30">
        <v>-231343</v>
      </c>
      <c r="I84" s="30">
        <v>-231343</v>
      </c>
      <c r="J84" s="30">
        <v>-231343</v>
      </c>
      <c r="K84" s="27">
        <v>3800</v>
      </c>
      <c r="L84" s="27">
        <v>3800</v>
      </c>
      <c r="M84" s="27">
        <v>3800</v>
      </c>
    </row>
    <row r="85" spans="1:13">
      <c r="A85" s="28" t="s">
        <v>328</v>
      </c>
      <c r="B85" s="27">
        <v>0</v>
      </c>
      <c r="C85" s="27">
        <v>0</v>
      </c>
      <c r="D85" s="27">
        <v>0</v>
      </c>
      <c r="E85" s="27">
        <v>0</v>
      </c>
      <c r="F85" s="27">
        <v>0</v>
      </c>
      <c r="G85" s="27">
        <v>135</v>
      </c>
      <c r="H85" s="27">
        <v>0</v>
      </c>
      <c r="I85" s="27">
        <v>64</v>
      </c>
      <c r="J85" s="27">
        <v>0</v>
      </c>
      <c r="K85" s="27">
        <v>0</v>
      </c>
      <c r="L85" s="27">
        <v>0</v>
      </c>
      <c r="M85" s="27">
        <v>0</v>
      </c>
    </row>
    <row r="86" spans="1:13">
      <c r="A86" s="29" t="s">
        <v>329</v>
      </c>
      <c r="B86" s="27">
        <v>8214107</v>
      </c>
      <c r="C86" s="27">
        <v>8325193</v>
      </c>
      <c r="D86" s="27">
        <v>8288098</v>
      </c>
      <c r="E86" s="27">
        <v>8397417</v>
      </c>
      <c r="F86" s="27">
        <v>8564654</v>
      </c>
      <c r="G86" s="27">
        <v>8341588</v>
      </c>
      <c r="H86" s="27">
        <v>8236453</v>
      </c>
      <c r="I86" s="27">
        <v>8500420</v>
      </c>
      <c r="J86" s="27">
        <v>8602871</v>
      </c>
      <c r="K86" s="27">
        <v>8876523</v>
      </c>
      <c r="L86" s="27">
        <v>8905576</v>
      </c>
      <c r="M86" s="27">
        <v>8825088</v>
      </c>
    </row>
    <row r="87" spans="1:13">
      <c r="A87" s="28" t="s">
        <v>330</v>
      </c>
      <c r="B87" s="27">
        <v>739679</v>
      </c>
      <c r="C87" s="27">
        <v>771686</v>
      </c>
      <c r="D87" s="27">
        <v>792122</v>
      </c>
      <c r="E87" s="27">
        <v>818130</v>
      </c>
      <c r="F87" s="27">
        <v>892622</v>
      </c>
      <c r="G87" s="27">
        <v>1119268</v>
      </c>
      <c r="H87" s="27">
        <v>1002152</v>
      </c>
      <c r="I87" s="27">
        <v>1000806</v>
      </c>
      <c r="J87" s="27">
        <v>1035213</v>
      </c>
      <c r="K87" s="27">
        <v>940112</v>
      </c>
      <c r="L87" s="27">
        <v>954764</v>
      </c>
      <c r="M87" s="27">
        <v>940890</v>
      </c>
    </row>
    <row r="88" spans="1:13">
      <c r="A88" s="29" t="s">
        <v>331</v>
      </c>
      <c r="B88" s="27">
        <v>739679</v>
      </c>
      <c r="C88" s="27">
        <v>771686</v>
      </c>
      <c r="D88" s="27">
        <v>792122</v>
      </c>
      <c r="E88" s="27">
        <v>818130</v>
      </c>
      <c r="F88" s="27">
        <v>892622</v>
      </c>
      <c r="G88" s="27">
        <v>1119268</v>
      </c>
      <c r="H88" s="27">
        <v>1002152</v>
      </c>
      <c r="I88" s="27">
        <v>1000806</v>
      </c>
      <c r="J88" s="27">
        <v>1035213</v>
      </c>
      <c r="K88" s="27">
        <v>940112</v>
      </c>
      <c r="L88" s="27">
        <v>954764</v>
      </c>
      <c r="M88" s="27">
        <v>940890</v>
      </c>
    </row>
    <row r="89" spans="1:13">
      <c r="A89" s="28" t="s">
        <v>332</v>
      </c>
      <c r="B89" s="27">
        <v>722872</v>
      </c>
      <c r="C89" s="27">
        <v>630798</v>
      </c>
      <c r="D89" s="27">
        <v>533229</v>
      </c>
      <c r="E89" s="27">
        <v>441155</v>
      </c>
      <c r="F89" s="27">
        <v>354574</v>
      </c>
      <c r="G89" s="27">
        <v>262499</v>
      </c>
      <c r="H89" s="27">
        <v>225428</v>
      </c>
      <c r="I89" s="27">
        <v>133344</v>
      </c>
      <c r="J89" s="27">
        <v>41260</v>
      </c>
      <c r="K89" s="27">
        <v>1173887</v>
      </c>
      <c r="L89" s="27">
        <v>1064612</v>
      </c>
      <c r="M89" s="27">
        <v>957019</v>
      </c>
    </row>
    <row r="90" spans="1:13">
      <c r="A90" s="28" t="s">
        <v>333</v>
      </c>
      <c r="B90" s="27">
        <v>0</v>
      </c>
      <c r="C90" s="27">
        <v>0</v>
      </c>
      <c r="D90" s="27">
        <v>0</v>
      </c>
      <c r="E90" s="27">
        <v>0</v>
      </c>
      <c r="F90" s="27">
        <v>0</v>
      </c>
      <c r="G90" s="27">
        <v>4831</v>
      </c>
      <c r="H90" s="27">
        <v>4391</v>
      </c>
      <c r="I90" s="27">
        <v>3952</v>
      </c>
      <c r="J90" s="27">
        <v>3513</v>
      </c>
      <c r="K90" s="27">
        <v>3074</v>
      </c>
      <c r="L90" s="27">
        <v>2635</v>
      </c>
      <c r="M90" s="27">
        <v>2196</v>
      </c>
    </row>
    <row r="91" spans="1:13">
      <c r="A91" s="28" t="s">
        <v>334</v>
      </c>
      <c r="B91" s="27">
        <v>133818</v>
      </c>
      <c r="C91" s="27">
        <v>133818</v>
      </c>
      <c r="D91" s="27">
        <v>133818</v>
      </c>
      <c r="E91" s="27">
        <v>133818</v>
      </c>
      <c r="F91" s="27">
        <v>133818</v>
      </c>
      <c r="G91" s="27">
        <v>133818</v>
      </c>
      <c r="H91" s="27">
        <v>133818</v>
      </c>
      <c r="I91" s="27">
        <v>133818</v>
      </c>
      <c r="J91" s="27">
        <v>142874</v>
      </c>
      <c r="K91" s="27">
        <v>142874</v>
      </c>
      <c r="L91" s="27">
        <v>142874</v>
      </c>
      <c r="M91" s="27">
        <v>1</v>
      </c>
    </row>
    <row r="92" spans="1:13">
      <c r="A92" s="28" t="s">
        <v>335</v>
      </c>
      <c r="B92" s="27">
        <v>627356</v>
      </c>
      <c r="C92" s="27">
        <v>541456</v>
      </c>
      <c r="D92" s="27">
        <v>788020</v>
      </c>
      <c r="E92" s="27">
        <v>614948</v>
      </c>
      <c r="F92" s="27">
        <v>880953</v>
      </c>
      <c r="G92" s="27">
        <v>695739</v>
      </c>
      <c r="H92" s="27">
        <v>516072</v>
      </c>
      <c r="I92" s="27">
        <v>687878</v>
      </c>
      <c r="J92" s="27">
        <v>520190</v>
      </c>
      <c r="K92" s="27">
        <v>368522</v>
      </c>
      <c r="L92" s="27">
        <v>224236</v>
      </c>
      <c r="M92" s="27">
        <v>72267</v>
      </c>
    </row>
    <row r="93" spans="1:13">
      <c r="A93" s="28" t="s">
        <v>336</v>
      </c>
      <c r="B93" s="27">
        <v>196575</v>
      </c>
      <c r="C93" s="27">
        <v>178705</v>
      </c>
      <c r="D93" s="27">
        <v>160834</v>
      </c>
      <c r="E93" s="27">
        <v>142964</v>
      </c>
      <c r="F93" s="27">
        <v>125093</v>
      </c>
      <c r="G93" s="27">
        <v>107223</v>
      </c>
      <c r="H93" s="27">
        <v>89352</v>
      </c>
      <c r="I93" s="27">
        <v>71482</v>
      </c>
      <c r="J93" s="27">
        <v>53611</v>
      </c>
      <c r="K93" s="27">
        <v>35741</v>
      </c>
      <c r="L93" s="27">
        <v>117061</v>
      </c>
      <c r="M93" s="27">
        <v>99190</v>
      </c>
    </row>
    <row r="94" spans="1:13">
      <c r="A94" s="28" t="s">
        <v>337</v>
      </c>
      <c r="B94" s="27">
        <v>30427</v>
      </c>
      <c r="C94" s="27">
        <v>30427</v>
      </c>
      <c r="D94" s="27">
        <v>30427</v>
      </c>
      <c r="E94" s="27">
        <v>30427</v>
      </c>
      <c r="F94" s="27">
        <v>30427</v>
      </c>
      <c r="G94" s="27">
        <v>30427</v>
      </c>
      <c r="H94" s="27">
        <v>30427</v>
      </c>
      <c r="I94" s="27">
        <v>30427</v>
      </c>
      <c r="J94" s="27">
        <v>30427</v>
      </c>
      <c r="K94" s="27">
        <v>30427</v>
      </c>
      <c r="L94" s="27">
        <v>30427</v>
      </c>
      <c r="M94" s="27">
        <v>0</v>
      </c>
    </row>
    <row r="95" spans="1:13">
      <c r="A95" s="29" t="s">
        <v>338</v>
      </c>
      <c r="B95" s="27">
        <v>1711049</v>
      </c>
      <c r="C95" s="27">
        <v>1515204</v>
      </c>
      <c r="D95" s="27">
        <v>1646328</v>
      </c>
      <c r="E95" s="27">
        <v>1363311</v>
      </c>
      <c r="F95" s="27">
        <v>1524866</v>
      </c>
      <c r="G95" s="27">
        <v>1234537</v>
      </c>
      <c r="H95" s="27">
        <v>999489</v>
      </c>
      <c r="I95" s="27">
        <v>1060901</v>
      </c>
      <c r="J95" s="27">
        <v>791877</v>
      </c>
      <c r="K95" s="27">
        <v>1754526</v>
      </c>
      <c r="L95" s="27">
        <v>1581845</v>
      </c>
      <c r="M95" s="27">
        <v>1130673</v>
      </c>
    </row>
    <row r="96" spans="1:13">
      <c r="A96" s="28" t="s">
        <v>339</v>
      </c>
      <c r="B96" s="27">
        <v>11273389</v>
      </c>
      <c r="C96" s="27">
        <v>11582066</v>
      </c>
      <c r="D96" s="27">
        <v>11154848</v>
      </c>
      <c r="E96" s="27">
        <v>10865403</v>
      </c>
      <c r="F96" s="27">
        <v>11217341</v>
      </c>
      <c r="G96" s="27">
        <v>13506212</v>
      </c>
      <c r="H96" s="27">
        <v>15340181</v>
      </c>
      <c r="I96" s="27">
        <v>15727346</v>
      </c>
      <c r="J96" s="27">
        <v>12946774</v>
      </c>
      <c r="K96" s="27">
        <v>11432239</v>
      </c>
      <c r="L96" s="27">
        <v>12010008</v>
      </c>
      <c r="M96" s="27">
        <v>14265328</v>
      </c>
    </row>
    <row r="97" spans="1:13">
      <c r="A97" s="29" t="s">
        <v>340</v>
      </c>
      <c r="B97" s="27">
        <v>11273389</v>
      </c>
      <c r="C97" s="27">
        <v>11582066</v>
      </c>
      <c r="D97" s="27">
        <v>11154848</v>
      </c>
      <c r="E97" s="27">
        <v>10865403</v>
      </c>
      <c r="F97" s="27">
        <v>11217341</v>
      </c>
      <c r="G97" s="27">
        <v>13506212</v>
      </c>
      <c r="H97" s="27">
        <v>15340181</v>
      </c>
      <c r="I97" s="27">
        <v>15727346</v>
      </c>
      <c r="J97" s="27">
        <v>12946774</v>
      </c>
      <c r="K97" s="27">
        <v>11432239</v>
      </c>
      <c r="L97" s="27">
        <v>12010008</v>
      </c>
      <c r="M97" s="27">
        <v>14265328</v>
      </c>
    </row>
    <row r="98" spans="1:13">
      <c r="A98" s="28" t="s">
        <v>341</v>
      </c>
      <c r="B98" s="27">
        <v>41440</v>
      </c>
      <c r="C98" s="27">
        <v>107347</v>
      </c>
      <c r="D98" s="27">
        <v>0</v>
      </c>
      <c r="E98" s="27">
        <v>16711</v>
      </c>
      <c r="F98" s="30">
        <v>-34518</v>
      </c>
      <c r="G98" s="27">
        <v>67587</v>
      </c>
      <c r="H98" s="27">
        <v>19359</v>
      </c>
      <c r="I98" s="27">
        <v>189163</v>
      </c>
      <c r="J98" s="27">
        <v>0</v>
      </c>
      <c r="K98" s="27">
        <v>32706</v>
      </c>
      <c r="L98" s="27">
        <v>547230</v>
      </c>
      <c r="M98" s="27">
        <v>293159</v>
      </c>
    </row>
    <row r="99" spans="1:13" ht="22.5">
      <c r="A99" s="29" t="s">
        <v>342</v>
      </c>
      <c r="B99" s="27">
        <v>41440</v>
      </c>
      <c r="C99" s="27">
        <v>107347</v>
      </c>
      <c r="D99" s="27">
        <v>0</v>
      </c>
      <c r="E99" s="27">
        <v>16711</v>
      </c>
      <c r="F99" s="30">
        <v>-34518</v>
      </c>
      <c r="G99" s="27">
        <v>67587</v>
      </c>
      <c r="H99" s="27">
        <v>19359</v>
      </c>
      <c r="I99" s="27">
        <v>189163</v>
      </c>
      <c r="J99" s="27">
        <v>0</v>
      </c>
      <c r="K99" s="27">
        <v>32706</v>
      </c>
      <c r="L99" s="27">
        <v>547230</v>
      </c>
      <c r="M99" s="27">
        <v>293159</v>
      </c>
    </row>
    <row r="100" spans="1:13">
      <c r="A100" s="31" t="s">
        <v>343</v>
      </c>
      <c r="B100" s="32">
        <v>52100232</v>
      </c>
      <c r="C100" s="32">
        <v>45384127</v>
      </c>
      <c r="D100" s="32">
        <v>45571700</v>
      </c>
      <c r="E100" s="32">
        <v>42871573</v>
      </c>
      <c r="F100" s="32">
        <v>45733959</v>
      </c>
      <c r="G100" s="32">
        <v>52491679</v>
      </c>
      <c r="H100" s="32">
        <v>52891280</v>
      </c>
      <c r="I100" s="32">
        <v>56084930</v>
      </c>
      <c r="J100" s="32">
        <v>55505023</v>
      </c>
      <c r="K100" s="32">
        <v>54698232</v>
      </c>
      <c r="L100" s="32">
        <v>55123015</v>
      </c>
      <c r="M100" s="32">
        <v>59676609</v>
      </c>
    </row>
    <row r="101" spans="1:13">
      <c r="A101" s="25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>
      <c r="A102" s="24" t="s">
        <v>344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>
      <c r="A103" s="28" t="s">
        <v>345</v>
      </c>
      <c r="B103" s="27">
        <v>0</v>
      </c>
      <c r="C103" s="27">
        <v>0</v>
      </c>
      <c r="D103" s="27">
        <v>0</v>
      </c>
      <c r="E103" s="27">
        <v>0</v>
      </c>
      <c r="F103" s="27">
        <v>0</v>
      </c>
      <c r="G103" s="27">
        <v>7729363</v>
      </c>
      <c r="H103" s="27">
        <v>0</v>
      </c>
      <c r="I103" s="27">
        <v>0</v>
      </c>
      <c r="J103" s="27">
        <v>6763193</v>
      </c>
      <c r="K103" s="27">
        <v>0</v>
      </c>
      <c r="L103" s="27">
        <v>0</v>
      </c>
      <c r="M103" s="27">
        <v>8373392</v>
      </c>
    </row>
    <row r="104" spans="1:13">
      <c r="A104" s="28" t="s">
        <v>346</v>
      </c>
      <c r="B104" s="27">
        <v>0</v>
      </c>
      <c r="C104" s="27">
        <v>0</v>
      </c>
      <c r="D104" s="27">
        <v>23800000</v>
      </c>
      <c r="E104" s="27">
        <v>23800000</v>
      </c>
      <c r="F104" s="27">
        <v>23800000</v>
      </c>
      <c r="G104" s="27">
        <v>15458726</v>
      </c>
      <c r="H104" s="27">
        <v>23188089</v>
      </c>
      <c r="I104" s="27">
        <v>23188089</v>
      </c>
      <c r="J104" s="27">
        <v>16424896</v>
      </c>
      <c r="K104" s="27">
        <v>23188089</v>
      </c>
      <c r="L104" s="27">
        <v>23188089</v>
      </c>
      <c r="M104" s="27">
        <v>13955653</v>
      </c>
    </row>
    <row r="105" spans="1:13">
      <c r="A105" s="28" t="s">
        <v>347</v>
      </c>
      <c r="B105" s="27">
        <v>2560871</v>
      </c>
      <c r="C105" s="27">
        <v>2563744</v>
      </c>
      <c r="D105" s="27">
        <v>2569320</v>
      </c>
      <c r="E105" s="27">
        <v>2570202</v>
      </c>
      <c r="F105" s="27">
        <v>2609234</v>
      </c>
      <c r="G105" s="27">
        <v>2735806</v>
      </c>
      <c r="H105" s="27">
        <v>2959110</v>
      </c>
      <c r="I105" s="27">
        <v>3005923</v>
      </c>
      <c r="J105" s="27">
        <v>3077531</v>
      </c>
      <c r="K105" s="27">
        <v>3176951</v>
      </c>
      <c r="L105" s="27">
        <v>3249646</v>
      </c>
      <c r="M105" s="27">
        <v>3515258</v>
      </c>
    </row>
    <row r="106" spans="1:13">
      <c r="A106" s="28" t="s">
        <v>348</v>
      </c>
      <c r="B106" s="27">
        <v>366818</v>
      </c>
      <c r="C106" s="27">
        <v>367194</v>
      </c>
      <c r="D106" s="27">
        <v>367571</v>
      </c>
      <c r="E106" s="27">
        <v>367947</v>
      </c>
      <c r="F106" s="27">
        <v>368323</v>
      </c>
      <c r="G106" s="27">
        <v>368700</v>
      </c>
      <c r="H106" s="27">
        <v>369076</v>
      </c>
      <c r="I106" s="27">
        <v>331396</v>
      </c>
      <c r="J106" s="27">
        <v>331773</v>
      </c>
      <c r="K106" s="27">
        <v>332149</v>
      </c>
      <c r="L106" s="27">
        <v>332902</v>
      </c>
      <c r="M106" s="27">
        <v>332902</v>
      </c>
    </row>
    <row r="107" spans="1:13">
      <c r="A107" s="28" t="s">
        <v>349</v>
      </c>
      <c r="B107" s="27">
        <v>990085</v>
      </c>
      <c r="C107" s="27">
        <v>942329</v>
      </c>
      <c r="D107" s="27">
        <v>894572</v>
      </c>
      <c r="E107" s="27">
        <v>846815</v>
      </c>
      <c r="F107" s="27">
        <v>799059</v>
      </c>
      <c r="G107" s="27">
        <v>751302</v>
      </c>
      <c r="H107" s="27">
        <v>703545</v>
      </c>
      <c r="I107" s="27">
        <v>655789</v>
      </c>
      <c r="J107" s="27">
        <v>608032</v>
      </c>
      <c r="K107" s="27">
        <v>560275</v>
      </c>
      <c r="L107" s="27">
        <v>512519</v>
      </c>
      <c r="M107" s="27">
        <v>464762</v>
      </c>
    </row>
    <row r="108" spans="1:13">
      <c r="A108" s="28" t="s">
        <v>350</v>
      </c>
      <c r="B108" s="27">
        <v>154580</v>
      </c>
      <c r="C108" s="27">
        <v>104580</v>
      </c>
      <c r="D108" s="27">
        <v>94628</v>
      </c>
      <c r="E108" s="27">
        <v>87337</v>
      </c>
      <c r="F108" s="27">
        <v>75902</v>
      </c>
      <c r="G108" s="27">
        <v>65059</v>
      </c>
      <c r="H108" s="27">
        <v>53787</v>
      </c>
      <c r="I108" s="27">
        <v>42987</v>
      </c>
      <c r="J108" s="27">
        <v>31944</v>
      </c>
      <c r="K108" s="27">
        <v>20952</v>
      </c>
      <c r="L108" s="27">
        <v>10477</v>
      </c>
      <c r="M108" s="27">
        <v>0</v>
      </c>
    </row>
    <row r="109" spans="1:13">
      <c r="A109" s="28" t="s">
        <v>351</v>
      </c>
      <c r="B109" s="27">
        <v>11377923</v>
      </c>
      <c r="C109" s="27">
        <v>11377923</v>
      </c>
      <c r="D109" s="27">
        <v>11377923</v>
      </c>
      <c r="E109" s="27">
        <v>11377923</v>
      </c>
      <c r="F109" s="27">
        <v>11377923</v>
      </c>
      <c r="G109" s="27">
        <v>11377923</v>
      </c>
      <c r="H109" s="27">
        <v>11377923</v>
      </c>
      <c r="I109" s="27">
        <v>11377923</v>
      </c>
      <c r="J109" s="27">
        <v>11377923</v>
      </c>
      <c r="K109" s="27">
        <v>11377923</v>
      </c>
      <c r="L109" s="27">
        <v>11377923</v>
      </c>
      <c r="M109" s="27">
        <v>9476734</v>
      </c>
    </row>
    <row r="110" spans="1:13">
      <c r="A110" s="28" t="s">
        <v>352</v>
      </c>
      <c r="B110" s="30">
        <v>-449752</v>
      </c>
      <c r="C110" s="30">
        <v>-492687</v>
      </c>
      <c r="D110" s="27">
        <v>0</v>
      </c>
      <c r="E110" s="30">
        <v>-391640</v>
      </c>
      <c r="F110" s="30">
        <v>-349161</v>
      </c>
      <c r="G110" s="27">
        <v>0</v>
      </c>
      <c r="H110" s="30">
        <v>-246091</v>
      </c>
      <c r="I110" s="30">
        <v>-244608</v>
      </c>
      <c r="J110" s="27">
        <v>0</v>
      </c>
      <c r="K110" s="30">
        <v>-130811</v>
      </c>
      <c r="L110" s="30">
        <v>-70984</v>
      </c>
      <c r="M110" s="27">
        <v>0</v>
      </c>
    </row>
    <row r="111" spans="1:13">
      <c r="A111" s="28" t="s">
        <v>353</v>
      </c>
      <c r="B111" s="30">
        <v>-2487975</v>
      </c>
      <c r="C111" s="30">
        <v>-3126427</v>
      </c>
      <c r="D111" s="27">
        <v>0</v>
      </c>
      <c r="E111" s="30">
        <v>-3920286</v>
      </c>
      <c r="F111" s="30">
        <v>-4001516</v>
      </c>
      <c r="G111" s="27">
        <v>0</v>
      </c>
      <c r="H111" s="30">
        <v>-4155647</v>
      </c>
      <c r="I111" s="30">
        <v>-4165744</v>
      </c>
      <c r="J111" s="27">
        <v>0</v>
      </c>
      <c r="K111" s="30">
        <v>-4624337</v>
      </c>
      <c r="L111" s="30">
        <v>-5247909</v>
      </c>
      <c r="M111" s="27">
        <v>0</v>
      </c>
    </row>
    <row r="112" spans="1:13">
      <c r="A112" s="28" t="s">
        <v>354</v>
      </c>
      <c r="B112" s="27">
        <v>877010</v>
      </c>
      <c r="C112" s="27">
        <v>28372960</v>
      </c>
      <c r="D112" s="27">
        <v>4315333</v>
      </c>
      <c r="E112" s="27">
        <v>4859002</v>
      </c>
      <c r="F112" s="27">
        <v>4839598</v>
      </c>
      <c r="G112" s="27">
        <v>5882965</v>
      </c>
      <c r="H112" s="27">
        <v>6633865</v>
      </c>
      <c r="I112" s="27">
        <v>7361321</v>
      </c>
      <c r="J112" s="27">
        <v>8751302</v>
      </c>
      <c r="K112" s="27">
        <v>10040932</v>
      </c>
      <c r="L112" s="27">
        <v>11227644</v>
      </c>
      <c r="M112" s="27">
        <v>14103899</v>
      </c>
    </row>
    <row r="113" spans="1:13">
      <c r="A113" s="28" t="s">
        <v>355</v>
      </c>
      <c r="B113" s="27">
        <v>2223344</v>
      </c>
      <c r="C113" s="27">
        <v>2182772</v>
      </c>
      <c r="D113" s="27">
        <v>2206105</v>
      </c>
      <c r="E113" s="27">
        <v>2243633</v>
      </c>
      <c r="F113" s="27">
        <v>2343739</v>
      </c>
      <c r="G113" s="27">
        <v>2337240</v>
      </c>
      <c r="H113" s="27">
        <v>2075727</v>
      </c>
      <c r="I113" s="27">
        <v>2002608</v>
      </c>
      <c r="J113" s="27">
        <v>1592812</v>
      </c>
      <c r="K113" s="27">
        <v>1264397</v>
      </c>
      <c r="L113" s="27">
        <v>1356179</v>
      </c>
      <c r="M113" s="27">
        <v>1120848</v>
      </c>
    </row>
    <row r="114" spans="1:13">
      <c r="A114" s="28" t="s">
        <v>357</v>
      </c>
      <c r="B114" s="27">
        <v>311207</v>
      </c>
      <c r="C114" s="27">
        <v>311207</v>
      </c>
      <c r="D114" s="27">
        <v>311207</v>
      </c>
      <c r="E114" s="27">
        <v>311207</v>
      </c>
      <c r="F114" s="27">
        <v>311207</v>
      </c>
      <c r="G114" s="27">
        <v>311207</v>
      </c>
      <c r="H114" s="27">
        <v>311207</v>
      </c>
      <c r="I114" s="27">
        <v>311207</v>
      </c>
      <c r="J114" s="27">
        <v>311207</v>
      </c>
      <c r="K114" s="27">
        <v>311207</v>
      </c>
      <c r="L114" s="27">
        <v>311207</v>
      </c>
      <c r="M114" s="27">
        <v>395233</v>
      </c>
    </row>
    <row r="115" spans="1:13">
      <c r="A115" s="28" t="s">
        <v>358</v>
      </c>
      <c r="B115" s="27">
        <v>263733</v>
      </c>
      <c r="C115" s="27">
        <v>263733</v>
      </c>
      <c r="D115" s="27">
        <v>253514</v>
      </c>
      <c r="E115" s="27">
        <v>253514</v>
      </c>
      <c r="F115" s="27">
        <v>253514</v>
      </c>
      <c r="G115" s="27">
        <v>250019</v>
      </c>
      <c r="H115" s="27">
        <v>250019</v>
      </c>
      <c r="I115" s="27">
        <v>250019</v>
      </c>
      <c r="J115" s="27">
        <v>243346</v>
      </c>
      <c r="K115" s="27">
        <v>243809</v>
      </c>
      <c r="L115" s="27">
        <v>243809</v>
      </c>
      <c r="M115" s="27">
        <v>241263</v>
      </c>
    </row>
    <row r="116" spans="1:13">
      <c r="A116" s="29" t="s">
        <v>360</v>
      </c>
      <c r="B116" s="27">
        <v>16187843</v>
      </c>
      <c r="C116" s="27">
        <v>42867327</v>
      </c>
      <c r="D116" s="27">
        <v>46190172</v>
      </c>
      <c r="E116" s="27">
        <v>42405655</v>
      </c>
      <c r="F116" s="27">
        <v>42427821</v>
      </c>
      <c r="G116" s="27">
        <v>47268309</v>
      </c>
      <c r="H116" s="27">
        <v>43520609</v>
      </c>
      <c r="I116" s="27">
        <v>44116909</v>
      </c>
      <c r="J116" s="27">
        <v>49513958</v>
      </c>
      <c r="K116" s="27">
        <v>45761535</v>
      </c>
      <c r="L116" s="27">
        <v>46491501</v>
      </c>
      <c r="M116" s="27">
        <v>51979943</v>
      </c>
    </row>
    <row r="117" spans="1:13">
      <c r="A117" s="28" t="s">
        <v>361</v>
      </c>
      <c r="B117" s="27">
        <v>53536</v>
      </c>
      <c r="C117" s="27">
        <v>67434</v>
      </c>
      <c r="D117" s="27">
        <v>73476</v>
      </c>
      <c r="E117" s="27">
        <v>76713</v>
      </c>
      <c r="F117" s="27">
        <v>82668</v>
      </c>
      <c r="G117" s="27">
        <v>43828</v>
      </c>
      <c r="H117" s="27">
        <v>59524</v>
      </c>
      <c r="I117" s="27">
        <v>60967</v>
      </c>
      <c r="J117" s="27">
        <v>66621</v>
      </c>
      <c r="K117" s="27">
        <v>64882</v>
      </c>
      <c r="L117" s="27">
        <v>68144</v>
      </c>
      <c r="M117" s="27">
        <v>70940</v>
      </c>
    </row>
    <row r="118" spans="1:13">
      <c r="A118" s="29" t="s">
        <v>362</v>
      </c>
      <c r="B118" s="27">
        <v>53536</v>
      </c>
      <c r="C118" s="27">
        <v>67434</v>
      </c>
      <c r="D118" s="27">
        <v>73476</v>
      </c>
      <c r="E118" s="27">
        <v>76713</v>
      </c>
      <c r="F118" s="27">
        <v>82668</v>
      </c>
      <c r="G118" s="27">
        <v>43828</v>
      </c>
      <c r="H118" s="27">
        <v>59524</v>
      </c>
      <c r="I118" s="27">
        <v>60967</v>
      </c>
      <c r="J118" s="27">
        <v>66621</v>
      </c>
      <c r="K118" s="27">
        <v>64882</v>
      </c>
      <c r="L118" s="27">
        <v>68144</v>
      </c>
      <c r="M118" s="27">
        <v>70940</v>
      </c>
    </row>
    <row r="119" spans="1:13">
      <c r="A119" s="28" t="s">
        <v>363</v>
      </c>
      <c r="B119" s="27">
        <v>74704</v>
      </c>
      <c r="C119" s="27">
        <v>74166</v>
      </c>
      <c r="D119" s="27">
        <v>74763</v>
      </c>
      <c r="E119" s="27">
        <v>77435</v>
      </c>
      <c r="F119" s="27">
        <v>73262</v>
      </c>
      <c r="G119" s="27">
        <v>75335</v>
      </c>
      <c r="H119" s="27">
        <v>70422</v>
      </c>
      <c r="I119" s="27">
        <v>70968</v>
      </c>
      <c r="J119" s="27">
        <v>78252</v>
      </c>
      <c r="K119" s="27">
        <v>74764</v>
      </c>
      <c r="L119" s="27">
        <v>79925</v>
      </c>
      <c r="M119" s="27">
        <v>77804</v>
      </c>
    </row>
    <row r="120" spans="1:13">
      <c r="A120" s="28" t="s">
        <v>364</v>
      </c>
      <c r="B120" s="30">
        <v>-75217</v>
      </c>
      <c r="C120" s="27">
        <v>11222</v>
      </c>
      <c r="D120" s="30">
        <v>-7806</v>
      </c>
      <c r="E120" s="30">
        <v>-119091</v>
      </c>
      <c r="F120" s="30">
        <v>-246644</v>
      </c>
      <c r="G120" s="30">
        <v>-654632</v>
      </c>
      <c r="H120" s="30">
        <v>-738749</v>
      </c>
      <c r="I120" s="30">
        <v>-662940</v>
      </c>
      <c r="J120" s="30">
        <v>-594445</v>
      </c>
      <c r="K120" s="30">
        <v>-387290</v>
      </c>
      <c r="L120" s="30">
        <v>-206447</v>
      </c>
      <c r="M120" s="30">
        <v>-308279</v>
      </c>
    </row>
    <row r="121" spans="1:13">
      <c r="A121" s="28" t="s">
        <v>365</v>
      </c>
      <c r="B121" s="30">
        <v>-144467</v>
      </c>
      <c r="C121" s="27">
        <v>44263</v>
      </c>
      <c r="D121" s="27">
        <v>667585</v>
      </c>
      <c r="E121" s="27">
        <v>741726</v>
      </c>
      <c r="F121" s="27">
        <v>861035</v>
      </c>
      <c r="G121" s="27">
        <v>851445</v>
      </c>
      <c r="H121" s="27">
        <v>725852</v>
      </c>
      <c r="I121" s="27">
        <v>690777</v>
      </c>
      <c r="J121" s="27">
        <v>667562</v>
      </c>
      <c r="K121" s="27">
        <v>582131</v>
      </c>
      <c r="L121" s="27">
        <v>569342</v>
      </c>
      <c r="M121" s="27">
        <v>593760</v>
      </c>
    </row>
    <row r="122" spans="1:13">
      <c r="A122" s="28" t="s">
        <v>366</v>
      </c>
      <c r="B122" s="27">
        <v>267324</v>
      </c>
      <c r="C122" s="27">
        <v>284903</v>
      </c>
      <c r="D122" s="27">
        <v>290599</v>
      </c>
      <c r="E122" s="27">
        <v>283235</v>
      </c>
      <c r="F122" s="27">
        <v>269451</v>
      </c>
      <c r="G122" s="27">
        <v>192423</v>
      </c>
      <c r="H122" s="27">
        <v>138277</v>
      </c>
      <c r="I122" s="27">
        <v>120523</v>
      </c>
      <c r="J122" s="27">
        <v>111233</v>
      </c>
      <c r="K122" s="27">
        <v>109486</v>
      </c>
      <c r="L122" s="27">
        <v>67151</v>
      </c>
      <c r="M122" s="30">
        <v>-27413</v>
      </c>
    </row>
    <row r="123" spans="1:13">
      <c r="A123" s="28" t="s">
        <v>367</v>
      </c>
      <c r="B123" s="27">
        <v>0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146</v>
      </c>
      <c r="J123" s="27">
        <v>146</v>
      </c>
      <c r="K123" s="27">
        <v>146</v>
      </c>
      <c r="L123" s="27">
        <v>146</v>
      </c>
      <c r="M123" s="27">
        <v>1018</v>
      </c>
    </row>
    <row r="124" spans="1:13">
      <c r="A124" s="28" t="s">
        <v>369</v>
      </c>
      <c r="B124" s="27">
        <v>0</v>
      </c>
      <c r="C124" s="27">
        <v>0</v>
      </c>
      <c r="D124" s="27">
        <v>156</v>
      </c>
      <c r="E124" s="30">
        <v>-6</v>
      </c>
      <c r="F124" s="27">
        <v>1</v>
      </c>
      <c r="G124" s="30">
        <v>-1</v>
      </c>
      <c r="H124" s="27">
        <v>0</v>
      </c>
      <c r="I124" s="27">
        <v>10</v>
      </c>
      <c r="J124" s="27">
        <v>2</v>
      </c>
      <c r="K124" s="30">
        <v>-7</v>
      </c>
      <c r="L124" s="30">
        <v>-99</v>
      </c>
      <c r="M124" s="27">
        <v>0</v>
      </c>
    </row>
    <row r="125" spans="1:13">
      <c r="A125" s="28" t="s">
        <v>370</v>
      </c>
      <c r="B125" s="27">
        <v>0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</row>
    <row r="126" spans="1:13">
      <c r="A126" s="29" t="s">
        <v>371</v>
      </c>
      <c r="B126" s="27">
        <v>122344</v>
      </c>
      <c r="C126" s="27">
        <v>414554</v>
      </c>
      <c r="D126" s="27">
        <v>1025297</v>
      </c>
      <c r="E126" s="27">
        <v>983300</v>
      </c>
      <c r="F126" s="27">
        <v>957105</v>
      </c>
      <c r="G126" s="27">
        <v>464571</v>
      </c>
      <c r="H126" s="27">
        <v>195803</v>
      </c>
      <c r="I126" s="27">
        <v>219485</v>
      </c>
      <c r="J126" s="27">
        <v>262750</v>
      </c>
      <c r="K126" s="27">
        <v>379232</v>
      </c>
      <c r="L126" s="27">
        <v>510018</v>
      </c>
      <c r="M126" s="27">
        <v>336891</v>
      </c>
    </row>
    <row r="127" spans="1:13">
      <c r="A127" s="28" t="s">
        <v>372</v>
      </c>
      <c r="B127" s="30">
        <v>-79464</v>
      </c>
      <c r="C127" s="27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</row>
    <row r="128" spans="1:13">
      <c r="A128" s="28" t="s">
        <v>373</v>
      </c>
      <c r="B128" s="27">
        <v>369215</v>
      </c>
      <c r="C128" s="27">
        <v>369215</v>
      </c>
      <c r="D128" s="27">
        <v>447054</v>
      </c>
      <c r="E128" s="27">
        <v>490006</v>
      </c>
      <c r="F128" s="27">
        <v>505125</v>
      </c>
      <c r="G128" s="27">
        <v>503656</v>
      </c>
      <c r="H128" s="27">
        <v>505260</v>
      </c>
      <c r="I128" s="27">
        <v>505260</v>
      </c>
      <c r="J128" s="27">
        <v>505260</v>
      </c>
      <c r="K128" s="27">
        <v>510284</v>
      </c>
      <c r="L128" s="27">
        <v>510284</v>
      </c>
      <c r="M128" s="27">
        <v>510284</v>
      </c>
    </row>
    <row r="129" spans="1:13">
      <c r="A129" s="28" t="s">
        <v>374</v>
      </c>
      <c r="B129" s="27">
        <v>17875</v>
      </c>
      <c r="C129" s="27">
        <v>16250</v>
      </c>
      <c r="D129" s="27">
        <v>14625</v>
      </c>
      <c r="E129" s="27">
        <v>13000</v>
      </c>
      <c r="F129" s="27">
        <v>11375</v>
      </c>
      <c r="G129" s="27">
        <v>9750</v>
      </c>
      <c r="H129" s="27">
        <v>8125</v>
      </c>
      <c r="I129" s="27">
        <v>6500</v>
      </c>
      <c r="J129" s="27">
        <v>4875</v>
      </c>
      <c r="K129" s="27">
        <v>3250</v>
      </c>
      <c r="L129" s="27">
        <v>1625</v>
      </c>
      <c r="M129" s="27">
        <v>0</v>
      </c>
    </row>
    <row r="130" spans="1:13">
      <c r="A130" s="29" t="s">
        <v>375</v>
      </c>
      <c r="B130" s="27">
        <v>307626</v>
      </c>
      <c r="C130" s="27">
        <v>385465</v>
      </c>
      <c r="D130" s="27">
        <v>461679</v>
      </c>
      <c r="E130" s="27">
        <v>503006</v>
      </c>
      <c r="F130" s="27">
        <v>516500</v>
      </c>
      <c r="G130" s="27">
        <v>513406</v>
      </c>
      <c r="H130" s="27">
        <v>513385</v>
      </c>
      <c r="I130" s="27">
        <v>511760</v>
      </c>
      <c r="J130" s="27">
        <v>510135</v>
      </c>
      <c r="K130" s="27">
        <v>513534</v>
      </c>
      <c r="L130" s="27">
        <v>511909</v>
      </c>
      <c r="M130" s="27">
        <v>510284</v>
      </c>
    </row>
    <row r="131" spans="1:13">
      <c r="A131" s="28" t="s">
        <v>376</v>
      </c>
      <c r="B131" s="27">
        <v>55678714</v>
      </c>
      <c r="C131" s="27">
        <v>55682863</v>
      </c>
      <c r="D131" s="27">
        <v>62915129</v>
      </c>
      <c r="E131" s="27">
        <v>62915129</v>
      </c>
      <c r="F131" s="27">
        <v>62915129</v>
      </c>
      <c r="G131" s="27">
        <v>66019419</v>
      </c>
      <c r="H131" s="27">
        <v>66019419</v>
      </c>
      <c r="I131" s="27">
        <v>66600959</v>
      </c>
      <c r="J131" s="27">
        <v>64582834</v>
      </c>
      <c r="K131" s="27">
        <v>64430155</v>
      </c>
      <c r="L131" s="27">
        <v>64430155</v>
      </c>
      <c r="M131" s="27">
        <v>95726474</v>
      </c>
    </row>
    <row r="132" spans="1:13">
      <c r="A132" s="28" t="s">
        <v>377</v>
      </c>
      <c r="B132" s="27">
        <v>8103719</v>
      </c>
      <c r="C132" s="27">
        <v>8103719</v>
      </c>
      <c r="D132" s="27">
        <v>293212</v>
      </c>
      <c r="E132" s="27">
        <v>293212</v>
      </c>
      <c r="F132" s="27">
        <v>293212</v>
      </c>
      <c r="G132" s="27">
        <v>7141222</v>
      </c>
      <c r="H132" s="27">
        <v>7141222</v>
      </c>
      <c r="I132" s="27">
        <v>6333185</v>
      </c>
      <c r="J132" s="27">
        <v>6493551</v>
      </c>
      <c r="K132" s="27">
        <v>6619462</v>
      </c>
      <c r="L132" s="27">
        <v>6619462</v>
      </c>
      <c r="M132" s="30">
        <v>-21022043</v>
      </c>
    </row>
    <row r="133" spans="1:13">
      <c r="A133" s="28" t="s">
        <v>378</v>
      </c>
      <c r="B133" s="27">
        <v>329208</v>
      </c>
      <c r="C133" s="27">
        <v>329208</v>
      </c>
      <c r="D133" s="27">
        <v>293552</v>
      </c>
      <c r="E133" s="27">
        <v>293552</v>
      </c>
      <c r="F133" s="27">
        <v>293552</v>
      </c>
      <c r="G133" s="27">
        <v>286369</v>
      </c>
      <c r="H133" s="27">
        <v>286369</v>
      </c>
      <c r="I133" s="27">
        <v>286369</v>
      </c>
      <c r="J133" s="27">
        <v>269654</v>
      </c>
      <c r="K133" s="27">
        <v>269654</v>
      </c>
      <c r="L133" s="27">
        <v>269654</v>
      </c>
      <c r="M133" s="27">
        <v>251617</v>
      </c>
    </row>
    <row r="134" spans="1:13">
      <c r="A134" s="29" t="s">
        <v>379</v>
      </c>
      <c r="B134" s="27">
        <v>64111640</v>
      </c>
      <c r="C134" s="27">
        <v>64115789</v>
      </c>
      <c r="D134" s="27">
        <v>63501894</v>
      </c>
      <c r="E134" s="27">
        <v>63501894</v>
      </c>
      <c r="F134" s="27">
        <v>63501894</v>
      </c>
      <c r="G134" s="27">
        <v>73447010</v>
      </c>
      <c r="H134" s="27">
        <v>73447010</v>
      </c>
      <c r="I134" s="27">
        <v>73220513</v>
      </c>
      <c r="J134" s="27">
        <v>71346038</v>
      </c>
      <c r="K134" s="27">
        <v>71319271</v>
      </c>
      <c r="L134" s="27">
        <v>71319271</v>
      </c>
      <c r="M134" s="27">
        <v>74956049</v>
      </c>
    </row>
    <row r="135" spans="1:13">
      <c r="A135" s="31" t="s">
        <v>380</v>
      </c>
      <c r="B135" s="32">
        <v>80782990</v>
      </c>
      <c r="C135" s="32">
        <v>107850570</v>
      </c>
      <c r="D135" s="32">
        <v>111252518</v>
      </c>
      <c r="E135" s="32">
        <v>107470568</v>
      </c>
      <c r="F135" s="32">
        <v>107485987</v>
      </c>
      <c r="G135" s="32">
        <v>121737125</v>
      </c>
      <c r="H135" s="32">
        <v>117736331</v>
      </c>
      <c r="I135" s="32">
        <v>118129633</v>
      </c>
      <c r="J135" s="32">
        <v>121699501</v>
      </c>
      <c r="K135" s="32">
        <v>118038453</v>
      </c>
      <c r="L135" s="32">
        <v>118900843</v>
      </c>
      <c r="M135" s="32">
        <v>127854106</v>
      </c>
    </row>
    <row r="136" spans="1:13" ht="15.75" customHeight="1">
      <c r="A136" s="25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>
      <c r="A137" s="25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22.5">
      <c r="A138" s="31" t="s">
        <v>381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</row>
    <row r="139" spans="1:13">
      <c r="A139" s="25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>
      <c r="A140" s="31" t="s">
        <v>382</v>
      </c>
      <c r="B140" s="32">
        <v>1182540456</v>
      </c>
      <c r="C140" s="32">
        <v>1204790335</v>
      </c>
      <c r="D140" s="32">
        <v>1211849039</v>
      </c>
      <c r="E140" s="32">
        <v>1209577931</v>
      </c>
      <c r="F140" s="32">
        <v>1220931595</v>
      </c>
      <c r="G140" s="32">
        <v>1248966239</v>
      </c>
      <c r="H140" s="32">
        <v>1250894164</v>
      </c>
      <c r="I140" s="32">
        <v>1259371467</v>
      </c>
      <c r="J140" s="32">
        <v>1265524970</v>
      </c>
      <c r="K140" s="32">
        <v>1264338505</v>
      </c>
      <c r="L140" s="32">
        <v>1267084301</v>
      </c>
      <c r="M140" s="32">
        <v>1286643846</v>
      </c>
    </row>
    <row r="141" spans="1:13">
      <c r="A141" s="25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>
      <c r="A142" s="24" t="s">
        <v>383</v>
      </c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>
      <c r="A143" s="24" t="s">
        <v>384</v>
      </c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>
      <c r="A144" s="28" t="s">
        <v>385</v>
      </c>
      <c r="B144" s="27">
        <v>407981943</v>
      </c>
      <c r="C144" s="27">
        <v>407981943</v>
      </c>
      <c r="D144" s="27">
        <v>407981943</v>
      </c>
      <c r="E144" s="27">
        <v>407981943</v>
      </c>
      <c r="F144" s="27">
        <v>407981943</v>
      </c>
      <c r="G144" s="27">
        <v>407981943</v>
      </c>
      <c r="H144" s="27">
        <v>407981943</v>
      </c>
      <c r="I144" s="27">
        <v>407981943</v>
      </c>
      <c r="J144" s="27">
        <v>407981943</v>
      </c>
      <c r="K144" s="27">
        <v>407981943</v>
      </c>
      <c r="L144" s="27">
        <v>407981943</v>
      </c>
      <c r="M144" s="27">
        <v>407981943</v>
      </c>
    </row>
    <row r="145" spans="1:13">
      <c r="A145" s="29" t="s">
        <v>386</v>
      </c>
      <c r="B145" s="27">
        <v>407981943</v>
      </c>
      <c r="C145" s="27">
        <v>407981943</v>
      </c>
      <c r="D145" s="27">
        <v>407981943</v>
      </c>
      <c r="E145" s="27">
        <v>407981943</v>
      </c>
      <c r="F145" s="27">
        <v>407981943</v>
      </c>
      <c r="G145" s="27">
        <v>407981943</v>
      </c>
      <c r="H145" s="27">
        <v>407981943</v>
      </c>
      <c r="I145" s="27">
        <v>407981943</v>
      </c>
      <c r="J145" s="27">
        <v>407981943</v>
      </c>
      <c r="K145" s="27">
        <v>407981943</v>
      </c>
      <c r="L145" s="27">
        <v>407981943</v>
      </c>
      <c r="M145" s="27">
        <v>407981943</v>
      </c>
    </row>
    <row r="146" spans="1:13">
      <c r="A146" s="28" t="s">
        <v>387</v>
      </c>
      <c r="B146" s="27">
        <v>50540758</v>
      </c>
      <c r="C146" s="27">
        <v>50540758</v>
      </c>
      <c r="D146" s="27">
        <v>50540758</v>
      </c>
      <c r="E146" s="27">
        <v>50540758</v>
      </c>
      <c r="F146" s="27">
        <v>50540758</v>
      </c>
      <c r="G146" s="27">
        <v>50540758</v>
      </c>
      <c r="H146" s="27">
        <v>50540758</v>
      </c>
      <c r="I146" s="27">
        <v>50540758</v>
      </c>
      <c r="J146" s="27">
        <v>45540758</v>
      </c>
      <c r="K146" s="27">
        <v>45540758</v>
      </c>
      <c r="L146" s="27">
        <v>45540758</v>
      </c>
      <c r="M146" s="27">
        <v>33540758</v>
      </c>
    </row>
    <row r="147" spans="1:13">
      <c r="A147" s="28" t="s">
        <v>388</v>
      </c>
      <c r="B147" s="27">
        <v>21867</v>
      </c>
      <c r="C147" s="27">
        <v>21867</v>
      </c>
      <c r="D147" s="27">
        <v>21867</v>
      </c>
      <c r="E147" s="27">
        <v>21867</v>
      </c>
      <c r="F147" s="27">
        <v>21867</v>
      </c>
      <c r="G147" s="27">
        <v>21867</v>
      </c>
      <c r="H147" s="27">
        <v>21867</v>
      </c>
      <c r="I147" s="27">
        <v>21867</v>
      </c>
      <c r="J147" s="27">
        <v>21867</v>
      </c>
      <c r="K147" s="27">
        <v>21867</v>
      </c>
      <c r="L147" s="27">
        <v>21867</v>
      </c>
      <c r="M147" s="27">
        <v>21867</v>
      </c>
    </row>
    <row r="148" spans="1:13">
      <c r="A148" s="29" t="s">
        <v>389</v>
      </c>
      <c r="B148" s="27">
        <v>50562625</v>
      </c>
      <c r="C148" s="27">
        <v>50562625</v>
      </c>
      <c r="D148" s="27">
        <v>50562625</v>
      </c>
      <c r="E148" s="27">
        <v>50562625</v>
      </c>
      <c r="F148" s="27">
        <v>50562625</v>
      </c>
      <c r="G148" s="27">
        <v>50562625</v>
      </c>
      <c r="H148" s="27">
        <v>50562625</v>
      </c>
      <c r="I148" s="27">
        <v>50562625</v>
      </c>
      <c r="J148" s="27">
        <v>45562625</v>
      </c>
      <c r="K148" s="27">
        <v>45562625</v>
      </c>
      <c r="L148" s="27">
        <v>45562625</v>
      </c>
      <c r="M148" s="27">
        <v>33562625</v>
      </c>
    </row>
    <row r="149" spans="1:13">
      <c r="A149" s="31" t="s">
        <v>390</v>
      </c>
      <c r="B149" s="32">
        <v>458544568</v>
      </c>
      <c r="C149" s="32">
        <v>458544568</v>
      </c>
      <c r="D149" s="32">
        <v>458544568</v>
      </c>
      <c r="E149" s="32">
        <v>458544568</v>
      </c>
      <c r="F149" s="32">
        <v>458544568</v>
      </c>
      <c r="G149" s="32">
        <v>458544568</v>
      </c>
      <c r="H149" s="32">
        <v>458544568</v>
      </c>
      <c r="I149" s="32">
        <v>458544568</v>
      </c>
      <c r="J149" s="32">
        <v>453544568</v>
      </c>
      <c r="K149" s="32">
        <v>453544568</v>
      </c>
      <c r="L149" s="32">
        <v>453544568</v>
      </c>
      <c r="M149" s="32">
        <v>441544568</v>
      </c>
    </row>
    <row r="150" spans="1:13">
      <c r="A150" s="25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>
      <c r="A151" s="24" t="s">
        <v>391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>
      <c r="A152" s="28" t="s">
        <v>392</v>
      </c>
      <c r="B152" s="27">
        <v>150000000</v>
      </c>
      <c r="C152" s="27">
        <v>150000000</v>
      </c>
      <c r="D152" s="27">
        <v>150000000</v>
      </c>
      <c r="E152" s="27">
        <v>150000000</v>
      </c>
      <c r="F152" s="27">
        <v>150000000</v>
      </c>
      <c r="G152" s="27">
        <v>150000000</v>
      </c>
      <c r="H152" s="27">
        <v>150000000</v>
      </c>
      <c r="I152" s="27">
        <v>150000000</v>
      </c>
      <c r="J152" s="27">
        <v>150000000</v>
      </c>
      <c r="K152" s="27">
        <v>150000000</v>
      </c>
      <c r="L152" s="27">
        <v>150000000</v>
      </c>
      <c r="M152" s="27">
        <v>150000000</v>
      </c>
    </row>
    <row r="153" spans="1:13" ht="22.5">
      <c r="A153" s="29" t="s">
        <v>393</v>
      </c>
      <c r="B153" s="27">
        <v>150000000</v>
      </c>
      <c r="C153" s="27">
        <v>150000000</v>
      </c>
      <c r="D153" s="27">
        <v>150000000</v>
      </c>
      <c r="E153" s="27">
        <v>150000000</v>
      </c>
      <c r="F153" s="27">
        <v>150000000</v>
      </c>
      <c r="G153" s="27">
        <v>150000000</v>
      </c>
      <c r="H153" s="27">
        <v>150000000</v>
      </c>
      <c r="I153" s="27">
        <v>150000000</v>
      </c>
      <c r="J153" s="27">
        <v>150000000</v>
      </c>
      <c r="K153" s="27">
        <v>150000000</v>
      </c>
      <c r="L153" s="27">
        <v>150000000</v>
      </c>
      <c r="M153" s="27">
        <v>150000000</v>
      </c>
    </row>
    <row r="154" spans="1:13">
      <c r="A154" s="31" t="s">
        <v>394</v>
      </c>
      <c r="B154" s="32">
        <v>150000000</v>
      </c>
      <c r="C154" s="32">
        <v>150000000</v>
      </c>
      <c r="D154" s="32">
        <v>150000000</v>
      </c>
      <c r="E154" s="32">
        <v>150000000</v>
      </c>
      <c r="F154" s="32">
        <v>150000000</v>
      </c>
      <c r="G154" s="32">
        <v>150000000</v>
      </c>
      <c r="H154" s="32">
        <v>150000000</v>
      </c>
      <c r="I154" s="32">
        <v>150000000</v>
      </c>
      <c r="J154" s="32">
        <v>150000000</v>
      </c>
      <c r="K154" s="32">
        <v>150000000</v>
      </c>
      <c r="L154" s="32">
        <v>150000000</v>
      </c>
      <c r="M154" s="32">
        <v>150000000</v>
      </c>
    </row>
    <row r="155" spans="1:13">
      <c r="A155" s="25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>
      <c r="A156" s="24" t="s">
        <v>395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>
      <c r="A157" s="28" t="s">
        <v>396</v>
      </c>
      <c r="B157" s="27">
        <v>844507</v>
      </c>
      <c r="C157" s="27">
        <v>839935</v>
      </c>
      <c r="D157" s="27">
        <v>781875</v>
      </c>
      <c r="E157" s="27">
        <v>830177</v>
      </c>
      <c r="F157" s="27">
        <v>825559</v>
      </c>
      <c r="G157" s="27">
        <v>774388</v>
      </c>
      <c r="H157" s="27">
        <v>951356</v>
      </c>
      <c r="I157" s="27">
        <v>947099</v>
      </c>
      <c r="J157" s="27">
        <v>882570</v>
      </c>
      <c r="K157" s="27">
        <v>938202</v>
      </c>
      <c r="L157" s="27">
        <v>1004465</v>
      </c>
      <c r="M157" s="27">
        <v>897977</v>
      </c>
    </row>
    <row r="158" spans="1:13" ht="22.5">
      <c r="A158" s="29" t="s">
        <v>397</v>
      </c>
      <c r="B158" s="27">
        <v>844507</v>
      </c>
      <c r="C158" s="27">
        <v>839935</v>
      </c>
      <c r="D158" s="27">
        <v>781875</v>
      </c>
      <c r="E158" s="27">
        <v>830177</v>
      </c>
      <c r="F158" s="27">
        <v>825559</v>
      </c>
      <c r="G158" s="27">
        <v>774388</v>
      </c>
      <c r="H158" s="27">
        <v>951356</v>
      </c>
      <c r="I158" s="27">
        <v>947099</v>
      </c>
      <c r="J158" s="27">
        <v>882570</v>
      </c>
      <c r="K158" s="27">
        <v>938202</v>
      </c>
      <c r="L158" s="27">
        <v>1004465</v>
      </c>
      <c r="M158" s="27">
        <v>897977</v>
      </c>
    </row>
    <row r="159" spans="1:13">
      <c r="A159" s="28" t="s">
        <v>398</v>
      </c>
      <c r="B159" s="27">
        <v>96225</v>
      </c>
      <c r="C159" s="27">
        <v>101709</v>
      </c>
      <c r="D159" s="27">
        <v>95364</v>
      </c>
      <c r="E159" s="27">
        <v>93897</v>
      </c>
      <c r="F159" s="27">
        <v>94841</v>
      </c>
      <c r="G159" s="27">
        <v>92590</v>
      </c>
      <c r="H159" s="27">
        <v>88777</v>
      </c>
      <c r="I159" s="27">
        <v>79306</v>
      </c>
      <c r="J159" s="27">
        <v>79914</v>
      </c>
      <c r="K159" s="27">
        <v>79264</v>
      </c>
      <c r="L159" s="27">
        <v>81380</v>
      </c>
      <c r="M159" s="27">
        <v>560844</v>
      </c>
    </row>
    <row r="160" spans="1:13">
      <c r="A160" s="28" t="s">
        <v>399</v>
      </c>
      <c r="B160" s="27">
        <v>0</v>
      </c>
      <c r="C160" s="27">
        <v>0</v>
      </c>
      <c r="D160" s="27">
        <v>0</v>
      </c>
      <c r="E160" s="27">
        <v>0</v>
      </c>
      <c r="F160" s="27">
        <v>30000</v>
      </c>
      <c r="G160" s="27">
        <v>30000</v>
      </c>
      <c r="H160" s="27">
        <v>30000</v>
      </c>
      <c r="I160" s="27">
        <v>30000</v>
      </c>
      <c r="J160" s="27">
        <v>30000</v>
      </c>
      <c r="K160" s="27">
        <v>0</v>
      </c>
      <c r="L160" s="27">
        <v>0</v>
      </c>
      <c r="M160" s="27">
        <v>0</v>
      </c>
    </row>
    <row r="161" spans="1:13">
      <c r="A161" s="28" t="s">
        <v>400</v>
      </c>
      <c r="B161" s="27">
        <v>129740</v>
      </c>
      <c r="C161" s="27">
        <v>129740</v>
      </c>
      <c r="D161" s="27">
        <v>129740</v>
      </c>
      <c r="E161" s="27">
        <v>129740</v>
      </c>
      <c r="F161" s="27">
        <v>129740</v>
      </c>
      <c r="G161" s="27">
        <v>129740</v>
      </c>
      <c r="H161" s="27">
        <v>129740</v>
      </c>
      <c r="I161" s="27">
        <v>129740</v>
      </c>
      <c r="J161" s="27">
        <v>129740</v>
      </c>
      <c r="K161" s="27">
        <v>129740</v>
      </c>
      <c r="L161" s="27">
        <v>129740</v>
      </c>
      <c r="M161" s="27">
        <v>124533</v>
      </c>
    </row>
    <row r="162" spans="1:13" ht="22.5">
      <c r="A162" s="29" t="s">
        <v>401</v>
      </c>
      <c r="B162" s="27">
        <v>225965</v>
      </c>
      <c r="C162" s="27">
        <v>231448</v>
      </c>
      <c r="D162" s="27">
        <v>225104</v>
      </c>
      <c r="E162" s="27">
        <v>223637</v>
      </c>
      <c r="F162" s="27">
        <v>254581</v>
      </c>
      <c r="G162" s="27">
        <v>252330</v>
      </c>
      <c r="H162" s="27">
        <v>248517</v>
      </c>
      <c r="I162" s="27">
        <v>239046</v>
      </c>
      <c r="J162" s="27">
        <v>239654</v>
      </c>
      <c r="K162" s="27">
        <v>209004</v>
      </c>
      <c r="L162" s="27">
        <v>211120</v>
      </c>
      <c r="M162" s="27">
        <v>685377</v>
      </c>
    </row>
    <row r="163" spans="1:13">
      <c r="A163" s="28" t="s">
        <v>402</v>
      </c>
      <c r="B163" s="27">
        <v>3139732</v>
      </c>
      <c r="C163" s="27">
        <v>3048371</v>
      </c>
      <c r="D163" s="27">
        <v>3052423</v>
      </c>
      <c r="E163" s="27">
        <v>3035637</v>
      </c>
      <c r="F163" s="27">
        <v>3013951</v>
      </c>
      <c r="G163" s="27">
        <v>3006166</v>
      </c>
      <c r="H163" s="27">
        <v>2994737</v>
      </c>
      <c r="I163" s="27">
        <v>2988055</v>
      </c>
      <c r="J163" s="27">
        <v>2971950</v>
      </c>
      <c r="K163" s="27">
        <v>2954215</v>
      </c>
      <c r="L163" s="27">
        <v>2948754</v>
      </c>
      <c r="M163" s="27">
        <v>2718969</v>
      </c>
    </row>
    <row r="164" spans="1:13">
      <c r="A164" s="28" t="s">
        <v>403</v>
      </c>
      <c r="B164" s="27">
        <v>2833204</v>
      </c>
      <c r="C164" s="27">
        <v>2848948</v>
      </c>
      <c r="D164" s="27">
        <v>2871047</v>
      </c>
      <c r="E164" s="27">
        <v>2888909</v>
      </c>
      <c r="F164" s="27">
        <v>2906771</v>
      </c>
      <c r="G164" s="27">
        <v>2924633</v>
      </c>
      <c r="H164" s="27">
        <v>2942496</v>
      </c>
      <c r="I164" s="27">
        <v>2960358</v>
      </c>
      <c r="J164" s="27">
        <v>2978220</v>
      </c>
      <c r="K164" s="27">
        <v>2996082</v>
      </c>
      <c r="L164" s="27">
        <v>3013945</v>
      </c>
      <c r="M164" s="27">
        <v>1130618</v>
      </c>
    </row>
    <row r="165" spans="1:13">
      <c r="A165" s="29" t="s">
        <v>404</v>
      </c>
      <c r="B165" s="27">
        <v>5972936</v>
      </c>
      <c r="C165" s="27">
        <v>5897318</v>
      </c>
      <c r="D165" s="27">
        <v>5923470</v>
      </c>
      <c r="E165" s="27">
        <v>5924545</v>
      </c>
      <c r="F165" s="27">
        <v>5920722</v>
      </c>
      <c r="G165" s="27">
        <v>5930800</v>
      </c>
      <c r="H165" s="27">
        <v>5937232</v>
      </c>
      <c r="I165" s="27">
        <v>5948413</v>
      </c>
      <c r="J165" s="27">
        <v>5950170</v>
      </c>
      <c r="K165" s="27">
        <v>5950298</v>
      </c>
      <c r="L165" s="27">
        <v>5962699</v>
      </c>
      <c r="M165" s="27">
        <v>3849587</v>
      </c>
    </row>
    <row r="166" spans="1:13">
      <c r="A166" s="28" t="s">
        <v>405</v>
      </c>
      <c r="B166" s="27">
        <v>97517</v>
      </c>
      <c r="C166" s="27">
        <v>97517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</row>
    <row r="167" spans="1:13" ht="22.5">
      <c r="A167" s="29" t="s">
        <v>406</v>
      </c>
      <c r="B167" s="27">
        <v>97517</v>
      </c>
      <c r="C167" s="27">
        <v>97517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</row>
    <row r="168" spans="1:13">
      <c r="A168" s="28" t="s">
        <v>407</v>
      </c>
      <c r="B168" s="27">
        <v>9762987</v>
      </c>
      <c r="C168" s="27">
        <v>9797713</v>
      </c>
      <c r="D168" s="27">
        <v>9832440</v>
      </c>
      <c r="E168" s="27">
        <v>9867166</v>
      </c>
      <c r="F168" s="27">
        <v>9901893</v>
      </c>
      <c r="G168" s="27">
        <v>9936620</v>
      </c>
      <c r="H168" s="27">
        <v>9971346</v>
      </c>
      <c r="I168" s="27">
        <v>9971923</v>
      </c>
      <c r="J168" s="27">
        <v>10006649</v>
      </c>
      <c r="K168" s="27">
        <v>10041592</v>
      </c>
      <c r="L168" s="27">
        <v>10112108</v>
      </c>
      <c r="M168" s="27">
        <v>10112737</v>
      </c>
    </row>
    <row r="169" spans="1:13">
      <c r="A169" s="29" t="s">
        <v>408</v>
      </c>
      <c r="B169" s="27">
        <v>9762987</v>
      </c>
      <c r="C169" s="27">
        <v>9797713</v>
      </c>
      <c r="D169" s="27">
        <v>9832440</v>
      </c>
      <c r="E169" s="27">
        <v>9867166</v>
      </c>
      <c r="F169" s="27">
        <v>9901893</v>
      </c>
      <c r="G169" s="27">
        <v>9936620</v>
      </c>
      <c r="H169" s="27">
        <v>9971346</v>
      </c>
      <c r="I169" s="27">
        <v>9971923</v>
      </c>
      <c r="J169" s="27">
        <v>10006649</v>
      </c>
      <c r="K169" s="27">
        <v>10041592</v>
      </c>
      <c r="L169" s="27">
        <v>10112108</v>
      </c>
      <c r="M169" s="27">
        <v>10112737</v>
      </c>
    </row>
    <row r="170" spans="1:13" ht="22.5">
      <c r="A170" s="31" t="s">
        <v>409</v>
      </c>
      <c r="B170" s="32">
        <v>16903912</v>
      </c>
      <c r="C170" s="32">
        <v>16863932</v>
      </c>
      <c r="D170" s="32">
        <v>16762888</v>
      </c>
      <c r="E170" s="32">
        <v>16845525</v>
      </c>
      <c r="F170" s="32">
        <v>16902754</v>
      </c>
      <c r="G170" s="32">
        <v>16894137</v>
      </c>
      <c r="H170" s="32">
        <v>17108451</v>
      </c>
      <c r="I170" s="32">
        <v>17106481</v>
      </c>
      <c r="J170" s="32">
        <v>17079043</v>
      </c>
      <c r="K170" s="32">
        <v>17139096</v>
      </c>
      <c r="L170" s="32">
        <v>17290391</v>
      </c>
      <c r="M170" s="32">
        <v>15545679</v>
      </c>
    </row>
    <row r="171" spans="1:13">
      <c r="A171" s="25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>
      <c r="A172" s="24" t="s">
        <v>410</v>
      </c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>
      <c r="A173" s="28" t="s">
        <v>411</v>
      </c>
      <c r="B173" s="27">
        <v>3192639</v>
      </c>
      <c r="C173" s="27">
        <v>3977917</v>
      </c>
      <c r="D173" s="27">
        <v>5195713</v>
      </c>
      <c r="E173" s="27">
        <v>3771342</v>
      </c>
      <c r="F173" s="27">
        <v>3702411</v>
      </c>
      <c r="G173" s="27">
        <v>6627115</v>
      </c>
      <c r="H173" s="27">
        <v>5833356</v>
      </c>
      <c r="I173" s="27">
        <v>5548352</v>
      </c>
      <c r="J173" s="27">
        <v>3194134</v>
      </c>
      <c r="K173" s="27">
        <v>2978035</v>
      </c>
      <c r="L173" s="27">
        <v>1857065</v>
      </c>
      <c r="M173" s="27">
        <v>1092566</v>
      </c>
    </row>
    <row r="174" spans="1:13">
      <c r="A174" s="28" t="s">
        <v>412</v>
      </c>
      <c r="B174" s="30">
        <v>-163342</v>
      </c>
      <c r="C174" s="30">
        <v>-200928</v>
      </c>
      <c r="D174" s="27">
        <v>0</v>
      </c>
      <c r="E174" s="30">
        <v>-110673</v>
      </c>
      <c r="F174" s="30">
        <v>-185601</v>
      </c>
      <c r="G174" s="27">
        <v>0</v>
      </c>
      <c r="H174" s="30">
        <v>-205466</v>
      </c>
      <c r="I174" s="30">
        <v>-194181</v>
      </c>
      <c r="J174" s="27">
        <v>0</v>
      </c>
      <c r="K174" s="30">
        <v>-82856</v>
      </c>
      <c r="L174" s="30">
        <v>-215140</v>
      </c>
      <c r="M174" s="27">
        <v>1577</v>
      </c>
    </row>
    <row r="175" spans="1:13">
      <c r="A175" s="28" t="s">
        <v>413</v>
      </c>
      <c r="B175" s="27">
        <v>1515264</v>
      </c>
      <c r="C175" s="27">
        <v>1381461</v>
      </c>
      <c r="D175" s="27">
        <v>1607629</v>
      </c>
      <c r="E175" s="27">
        <v>1690586</v>
      </c>
      <c r="F175" s="27">
        <v>1620958</v>
      </c>
      <c r="G175" s="27">
        <v>1866393</v>
      </c>
      <c r="H175" s="27">
        <v>1984013</v>
      </c>
      <c r="I175" s="27">
        <v>2341885</v>
      </c>
      <c r="J175" s="27">
        <v>1720528</v>
      </c>
      <c r="K175" s="27">
        <v>1392413</v>
      </c>
      <c r="L175" s="27">
        <v>2036622</v>
      </c>
      <c r="M175" s="27">
        <v>1964651</v>
      </c>
    </row>
    <row r="176" spans="1:13">
      <c r="A176" s="28" t="s">
        <v>414</v>
      </c>
      <c r="B176" s="27">
        <v>769929</v>
      </c>
      <c r="C176" s="27">
        <v>651460</v>
      </c>
      <c r="D176" s="27">
        <v>37561</v>
      </c>
      <c r="E176" s="27">
        <v>288857</v>
      </c>
      <c r="F176" s="27">
        <v>1417294</v>
      </c>
      <c r="G176" s="27">
        <v>658164</v>
      </c>
      <c r="H176" s="27">
        <v>120565</v>
      </c>
      <c r="I176" s="27">
        <v>234134</v>
      </c>
      <c r="J176" s="27">
        <v>65781</v>
      </c>
      <c r="K176" s="27">
        <v>48523</v>
      </c>
      <c r="L176" s="27">
        <v>258195</v>
      </c>
      <c r="M176" s="27">
        <v>144951</v>
      </c>
    </row>
    <row r="177" spans="1:13">
      <c r="A177" s="28" t="s">
        <v>415</v>
      </c>
      <c r="B177" s="27">
        <v>3092844</v>
      </c>
      <c r="C177" s="27">
        <v>27788559</v>
      </c>
      <c r="D177" s="27">
        <v>2960136</v>
      </c>
      <c r="E177" s="27">
        <v>2700537</v>
      </c>
      <c r="F177" s="27">
        <v>2758749</v>
      </c>
      <c r="G177" s="27">
        <v>3749290</v>
      </c>
      <c r="H177" s="27">
        <v>4815708</v>
      </c>
      <c r="I177" s="27">
        <v>5145254</v>
      </c>
      <c r="J177" s="27">
        <v>4974326</v>
      </c>
      <c r="K177" s="27">
        <v>6873925</v>
      </c>
      <c r="L177" s="27">
        <v>6497853</v>
      </c>
      <c r="M177" s="27">
        <v>4754971</v>
      </c>
    </row>
    <row r="178" spans="1:13">
      <c r="A178" s="28" t="s">
        <v>416</v>
      </c>
      <c r="B178" s="27">
        <v>5545678</v>
      </c>
      <c r="C178" s="27">
        <v>4565792</v>
      </c>
      <c r="D178" s="27">
        <v>5782163</v>
      </c>
      <c r="E178" s="27">
        <v>3604261</v>
      </c>
      <c r="F178" s="27">
        <v>6902232</v>
      </c>
      <c r="G178" s="27">
        <v>5941574</v>
      </c>
      <c r="H178" s="27">
        <v>2343315</v>
      </c>
      <c r="I178" s="27">
        <v>3922831</v>
      </c>
      <c r="J178" s="27">
        <v>3756629</v>
      </c>
      <c r="K178" s="27">
        <v>4966811</v>
      </c>
      <c r="L178" s="27">
        <v>5660496</v>
      </c>
      <c r="M178" s="27">
        <v>8953375</v>
      </c>
    </row>
    <row r="179" spans="1:13">
      <c r="A179" s="28" t="s">
        <v>417</v>
      </c>
      <c r="B179" s="27">
        <v>4980</v>
      </c>
      <c r="C179" s="27">
        <v>5130</v>
      </c>
      <c r="D179" s="27">
        <v>2895</v>
      </c>
      <c r="E179" s="27">
        <v>3696</v>
      </c>
      <c r="F179" s="27">
        <v>4008</v>
      </c>
      <c r="G179" s="27">
        <v>4823</v>
      </c>
      <c r="H179" s="27">
        <v>5565</v>
      </c>
      <c r="I179" s="27">
        <v>2597</v>
      </c>
      <c r="J179" s="27">
        <v>3322</v>
      </c>
      <c r="K179" s="27">
        <v>3452</v>
      </c>
      <c r="L179" s="27">
        <v>4143</v>
      </c>
      <c r="M179" s="27">
        <v>5178</v>
      </c>
    </row>
    <row r="180" spans="1:13">
      <c r="A180" s="28" t="s">
        <v>418</v>
      </c>
      <c r="B180" s="27">
        <v>32093</v>
      </c>
      <c r="C180" s="27">
        <v>32151</v>
      </c>
      <c r="D180" s="27">
        <v>16859</v>
      </c>
      <c r="E180" s="27">
        <v>21163</v>
      </c>
      <c r="F180" s="27">
        <v>23245</v>
      </c>
      <c r="G180" s="27">
        <v>27340</v>
      </c>
      <c r="H180" s="27">
        <v>31224</v>
      </c>
      <c r="I180" s="27">
        <v>13364</v>
      </c>
      <c r="J180" s="27">
        <v>18622</v>
      </c>
      <c r="K180" s="27">
        <v>20833</v>
      </c>
      <c r="L180" s="27">
        <v>24668</v>
      </c>
      <c r="M180" s="27">
        <v>30925</v>
      </c>
    </row>
    <row r="181" spans="1:13">
      <c r="A181" s="28" t="s">
        <v>419</v>
      </c>
      <c r="B181" s="27">
        <v>352</v>
      </c>
      <c r="C181" s="27">
        <v>352</v>
      </c>
      <c r="D181" s="27">
        <v>191</v>
      </c>
      <c r="E181" s="27">
        <v>213</v>
      </c>
      <c r="F181" s="27">
        <v>234</v>
      </c>
      <c r="G181" s="27">
        <v>277</v>
      </c>
      <c r="H181" s="27">
        <v>320</v>
      </c>
      <c r="I181" s="27">
        <v>149</v>
      </c>
      <c r="J181" s="27">
        <v>192</v>
      </c>
      <c r="K181" s="27">
        <v>213</v>
      </c>
      <c r="L181" s="27">
        <v>256</v>
      </c>
      <c r="M181" s="27">
        <v>320</v>
      </c>
    </row>
    <row r="182" spans="1:13">
      <c r="A182" s="28" t="s">
        <v>420</v>
      </c>
      <c r="B182" s="27">
        <v>289</v>
      </c>
      <c r="C182" s="27">
        <v>0</v>
      </c>
      <c r="D182" s="27">
        <v>0</v>
      </c>
      <c r="E182" s="27">
        <v>0</v>
      </c>
      <c r="F182" s="27">
        <v>0</v>
      </c>
      <c r="G182" s="27">
        <v>59</v>
      </c>
      <c r="H182" s="27">
        <v>68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</row>
    <row r="183" spans="1:13">
      <c r="A183" s="28" t="s">
        <v>421</v>
      </c>
      <c r="B183" s="27">
        <v>1542</v>
      </c>
      <c r="C183" s="27">
        <v>1528</v>
      </c>
      <c r="D183" s="27">
        <v>801</v>
      </c>
      <c r="E183" s="27">
        <v>970</v>
      </c>
      <c r="F183" s="27">
        <v>960</v>
      </c>
      <c r="G183" s="27">
        <v>1135</v>
      </c>
      <c r="H183" s="27">
        <v>1309</v>
      </c>
      <c r="I183" s="27">
        <v>586</v>
      </c>
      <c r="J183" s="27">
        <v>731</v>
      </c>
      <c r="K183" s="27">
        <v>812</v>
      </c>
      <c r="L183" s="27">
        <v>975</v>
      </c>
      <c r="M183" s="27">
        <v>1118</v>
      </c>
    </row>
    <row r="184" spans="1:13">
      <c r="A184" s="28" t="s">
        <v>422</v>
      </c>
      <c r="B184" s="27">
        <v>2281</v>
      </c>
      <c r="C184" s="27">
        <v>2281</v>
      </c>
      <c r="D184" s="27">
        <v>1217</v>
      </c>
      <c r="E184" s="27">
        <v>1208</v>
      </c>
      <c r="F184" s="27">
        <v>1329</v>
      </c>
      <c r="G184" s="27">
        <v>1570</v>
      </c>
      <c r="H184" s="27">
        <v>1812</v>
      </c>
      <c r="I184" s="27">
        <v>784</v>
      </c>
      <c r="J184" s="27">
        <v>1624</v>
      </c>
      <c r="K184" s="27">
        <v>1199</v>
      </c>
      <c r="L184" s="27">
        <v>904</v>
      </c>
      <c r="M184" s="27">
        <v>1130</v>
      </c>
    </row>
    <row r="185" spans="1:13">
      <c r="A185" s="28" t="s">
        <v>423</v>
      </c>
      <c r="B185" s="27">
        <v>5556</v>
      </c>
      <c r="C185" s="27">
        <v>5588</v>
      </c>
      <c r="D185" s="27">
        <v>2992</v>
      </c>
      <c r="E185" s="27">
        <v>4022</v>
      </c>
      <c r="F185" s="27">
        <v>4352</v>
      </c>
      <c r="G185" s="27">
        <v>5146</v>
      </c>
      <c r="H185" s="27">
        <v>5900</v>
      </c>
      <c r="I185" s="27">
        <v>2753</v>
      </c>
      <c r="J185" s="27">
        <v>3464</v>
      </c>
      <c r="K185" s="27">
        <v>3776</v>
      </c>
      <c r="L185" s="27">
        <v>4601</v>
      </c>
      <c r="M185" s="27">
        <v>5793</v>
      </c>
    </row>
    <row r="186" spans="1:13">
      <c r="A186" s="28" t="s">
        <v>424</v>
      </c>
      <c r="B186" s="27">
        <v>8</v>
      </c>
      <c r="C186" s="27">
        <v>8</v>
      </c>
      <c r="D186" s="27">
        <v>4</v>
      </c>
      <c r="E186" s="27">
        <v>5</v>
      </c>
      <c r="F186" s="27">
        <v>6</v>
      </c>
      <c r="G186" s="27">
        <v>7</v>
      </c>
      <c r="H186" s="27">
        <v>8</v>
      </c>
      <c r="I186" s="27">
        <v>4</v>
      </c>
      <c r="J186" s="27">
        <v>5</v>
      </c>
      <c r="K186" s="27">
        <v>5</v>
      </c>
      <c r="L186" s="27">
        <v>4</v>
      </c>
      <c r="M186" s="27">
        <v>5</v>
      </c>
    </row>
    <row r="187" spans="1:13">
      <c r="A187" s="28" t="s">
        <v>425</v>
      </c>
      <c r="B187" s="27">
        <v>6333</v>
      </c>
      <c r="C187" s="27">
        <v>3460</v>
      </c>
      <c r="D187" s="27">
        <v>1604</v>
      </c>
      <c r="E187" s="27">
        <v>1328</v>
      </c>
      <c r="F187" s="27">
        <v>998</v>
      </c>
      <c r="G187" s="27">
        <v>2463</v>
      </c>
      <c r="H187" s="27">
        <v>1083</v>
      </c>
      <c r="I187" s="27">
        <v>12120</v>
      </c>
      <c r="J187" s="27">
        <v>1905</v>
      </c>
      <c r="K187" s="27">
        <v>1989</v>
      </c>
      <c r="L187" s="27">
        <v>2175</v>
      </c>
      <c r="M187" s="27">
        <v>445401</v>
      </c>
    </row>
    <row r="188" spans="1:13">
      <c r="A188" s="28" t="s">
        <v>427</v>
      </c>
      <c r="B188" s="27">
        <v>11</v>
      </c>
      <c r="C188" s="27">
        <v>11</v>
      </c>
      <c r="D188" s="27">
        <v>11</v>
      </c>
      <c r="E188" s="27">
        <v>11</v>
      </c>
      <c r="F188" s="27">
        <v>11</v>
      </c>
      <c r="G188" s="27">
        <v>11</v>
      </c>
      <c r="H188" s="27">
        <v>11</v>
      </c>
      <c r="I188" s="27">
        <v>11</v>
      </c>
      <c r="J188" s="27">
        <v>11</v>
      </c>
      <c r="K188" s="27">
        <v>11</v>
      </c>
      <c r="L188" s="27">
        <v>11</v>
      </c>
      <c r="M188" s="27">
        <v>11</v>
      </c>
    </row>
    <row r="189" spans="1:13">
      <c r="A189" s="29" t="s">
        <v>428</v>
      </c>
      <c r="B189" s="27">
        <v>14006456</v>
      </c>
      <c r="C189" s="27">
        <v>38214770</v>
      </c>
      <c r="D189" s="27">
        <v>15609777</v>
      </c>
      <c r="E189" s="27">
        <v>11977525</v>
      </c>
      <c r="F189" s="27">
        <v>16251185</v>
      </c>
      <c r="G189" s="27">
        <v>18885365</v>
      </c>
      <c r="H189" s="27">
        <v>14938789</v>
      </c>
      <c r="I189" s="27">
        <v>17030642</v>
      </c>
      <c r="J189" s="27">
        <v>13741273</v>
      </c>
      <c r="K189" s="27">
        <v>16209140</v>
      </c>
      <c r="L189" s="27">
        <v>16132825</v>
      </c>
      <c r="M189" s="27">
        <v>17401969</v>
      </c>
    </row>
    <row r="190" spans="1:13">
      <c r="A190" s="28" t="s">
        <v>429</v>
      </c>
      <c r="B190" s="27">
        <v>2388336</v>
      </c>
      <c r="C190" s="27">
        <v>7589410</v>
      </c>
      <c r="D190" s="27">
        <v>40383848</v>
      </c>
      <c r="E190" s="27">
        <v>41255210</v>
      </c>
      <c r="F190" s="27">
        <v>22769185</v>
      </c>
      <c r="G190" s="27">
        <v>27264512</v>
      </c>
      <c r="H190" s="27">
        <v>29163048</v>
      </c>
      <c r="I190" s="27">
        <v>26466228</v>
      </c>
      <c r="J190" s="27">
        <v>31694823</v>
      </c>
      <c r="K190" s="27">
        <v>28323748</v>
      </c>
      <c r="L190" s="27">
        <v>27219657</v>
      </c>
      <c r="M190" s="27">
        <v>35696798</v>
      </c>
    </row>
    <row r="191" spans="1:13">
      <c r="A191" s="28" t="s">
        <v>430</v>
      </c>
      <c r="B191" s="27">
        <v>266000000</v>
      </c>
      <c r="C191" s="27">
        <v>266000000</v>
      </c>
      <c r="D191" s="27">
        <v>266000000</v>
      </c>
      <c r="E191" s="27">
        <v>266000000</v>
      </c>
      <c r="F191" s="27">
        <v>289200000</v>
      </c>
      <c r="G191" s="27">
        <v>294200000</v>
      </c>
      <c r="H191" s="27">
        <v>294200000</v>
      </c>
      <c r="I191" s="27">
        <v>294200000</v>
      </c>
      <c r="J191" s="27">
        <v>294200000</v>
      </c>
      <c r="K191" s="27">
        <v>294200000</v>
      </c>
      <c r="L191" s="27">
        <v>294200000</v>
      </c>
      <c r="M191" s="27">
        <v>301200000</v>
      </c>
    </row>
    <row r="192" spans="1:13">
      <c r="A192" s="28" t="s">
        <v>431</v>
      </c>
      <c r="B192" s="27">
        <v>0</v>
      </c>
      <c r="C192" s="27">
        <v>0</v>
      </c>
      <c r="D192" s="27">
        <v>1304</v>
      </c>
      <c r="E192" s="27">
        <v>13117</v>
      </c>
      <c r="F192" s="27">
        <v>14637</v>
      </c>
      <c r="G192" s="27">
        <v>6946</v>
      </c>
      <c r="H192" s="27">
        <v>8183</v>
      </c>
      <c r="I192" s="27">
        <v>8964</v>
      </c>
      <c r="J192" s="27">
        <v>8792</v>
      </c>
      <c r="K192" s="27">
        <v>8911</v>
      </c>
      <c r="L192" s="27">
        <v>8316</v>
      </c>
      <c r="M192" s="27">
        <v>12268</v>
      </c>
    </row>
    <row r="193" spans="1:13">
      <c r="A193" s="28" t="s">
        <v>432</v>
      </c>
      <c r="B193" s="27">
        <v>1355725</v>
      </c>
      <c r="C193" s="27">
        <v>1355725</v>
      </c>
      <c r="D193" s="27">
        <v>1355725</v>
      </c>
      <c r="E193" s="27">
        <v>1355725</v>
      </c>
      <c r="F193" s="27">
        <v>1469397</v>
      </c>
      <c r="G193" s="27">
        <v>1390768</v>
      </c>
      <c r="H193" s="27">
        <v>1391453</v>
      </c>
      <c r="I193" s="27">
        <v>1308740</v>
      </c>
      <c r="J193" s="27">
        <v>1395919</v>
      </c>
      <c r="K193" s="27">
        <v>1395919</v>
      </c>
      <c r="L193" s="27">
        <v>1395919</v>
      </c>
      <c r="M193" s="27">
        <v>1418732</v>
      </c>
    </row>
    <row r="194" spans="1:13">
      <c r="A194" s="29" t="s">
        <v>433</v>
      </c>
      <c r="B194" s="27">
        <v>269744061</v>
      </c>
      <c r="C194" s="27">
        <v>274945134</v>
      </c>
      <c r="D194" s="27">
        <v>307740877</v>
      </c>
      <c r="E194" s="27">
        <v>308624052</v>
      </c>
      <c r="F194" s="27">
        <v>313453219</v>
      </c>
      <c r="G194" s="27">
        <v>322862227</v>
      </c>
      <c r="H194" s="27">
        <v>324762685</v>
      </c>
      <c r="I194" s="27">
        <v>321983932</v>
      </c>
      <c r="J194" s="27">
        <v>327299534</v>
      </c>
      <c r="K194" s="27">
        <v>323928578</v>
      </c>
      <c r="L194" s="27">
        <v>322823893</v>
      </c>
      <c r="M194" s="27">
        <v>338327798</v>
      </c>
    </row>
    <row r="195" spans="1:13">
      <c r="A195" s="28" t="s">
        <v>434</v>
      </c>
      <c r="B195" s="27">
        <v>28073863</v>
      </c>
      <c r="C195" s="27">
        <v>35380907</v>
      </c>
      <c r="D195" s="27">
        <v>27821822</v>
      </c>
      <c r="E195" s="27">
        <v>30894214</v>
      </c>
      <c r="F195" s="27">
        <v>30279142</v>
      </c>
      <c r="G195" s="27">
        <v>30468283</v>
      </c>
      <c r="H195" s="27">
        <v>31389695</v>
      </c>
      <c r="I195" s="27">
        <v>32519509</v>
      </c>
      <c r="J195" s="27">
        <v>33725275</v>
      </c>
      <c r="K195" s="27">
        <v>35426356</v>
      </c>
      <c r="L195" s="27">
        <v>36469656</v>
      </c>
      <c r="M195" s="27">
        <v>39054944</v>
      </c>
    </row>
    <row r="196" spans="1:13">
      <c r="A196" s="28" t="s">
        <v>435</v>
      </c>
      <c r="B196" s="27">
        <v>0</v>
      </c>
      <c r="C196" s="27">
        <v>0</v>
      </c>
      <c r="D196" s="27">
        <v>0</v>
      </c>
      <c r="E196" s="27">
        <v>0</v>
      </c>
      <c r="F196" s="27">
        <v>781</v>
      </c>
      <c r="G196" s="27">
        <v>0</v>
      </c>
      <c r="H196" s="30">
        <v>-14636</v>
      </c>
      <c r="I196" s="30">
        <v>-14636</v>
      </c>
      <c r="J196" s="27">
        <v>0</v>
      </c>
      <c r="K196" s="27">
        <v>0</v>
      </c>
      <c r="L196" s="27">
        <v>0</v>
      </c>
      <c r="M196" s="27">
        <v>0</v>
      </c>
    </row>
    <row r="197" spans="1:13">
      <c r="A197" s="28" t="s">
        <v>436</v>
      </c>
      <c r="B197" s="27">
        <v>0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14636</v>
      </c>
      <c r="I197" s="27">
        <v>14636</v>
      </c>
      <c r="J197" s="27">
        <v>0</v>
      </c>
      <c r="K197" s="27">
        <v>0</v>
      </c>
      <c r="L197" s="27">
        <v>0</v>
      </c>
      <c r="M197" s="27">
        <v>0</v>
      </c>
    </row>
    <row r="198" spans="1:13">
      <c r="A198" s="29" t="s">
        <v>437</v>
      </c>
      <c r="B198" s="27">
        <v>28073863</v>
      </c>
      <c r="C198" s="27">
        <v>35380907</v>
      </c>
      <c r="D198" s="27">
        <v>27821822</v>
      </c>
      <c r="E198" s="27">
        <v>30894214</v>
      </c>
      <c r="F198" s="27">
        <v>30279923</v>
      </c>
      <c r="G198" s="27">
        <v>30468283</v>
      </c>
      <c r="H198" s="27">
        <v>31389695</v>
      </c>
      <c r="I198" s="27">
        <v>32519509</v>
      </c>
      <c r="J198" s="27">
        <v>33725275</v>
      </c>
      <c r="K198" s="27">
        <v>35426356</v>
      </c>
      <c r="L198" s="27">
        <v>36469656</v>
      </c>
      <c r="M198" s="27">
        <v>39054944</v>
      </c>
    </row>
    <row r="199" spans="1:13">
      <c r="A199" s="28" t="s">
        <v>438</v>
      </c>
      <c r="B199" s="27">
        <v>2426738</v>
      </c>
      <c r="C199" s="27">
        <v>2483963</v>
      </c>
      <c r="D199" s="27">
        <v>2493525</v>
      </c>
      <c r="E199" s="27">
        <v>2501768</v>
      </c>
      <c r="F199" s="27">
        <v>2508471</v>
      </c>
      <c r="G199" s="27">
        <v>2416629</v>
      </c>
      <c r="H199" s="27">
        <v>2369424</v>
      </c>
      <c r="I199" s="27">
        <v>2332134</v>
      </c>
      <c r="J199" s="27">
        <v>2238891</v>
      </c>
      <c r="K199" s="27">
        <v>2220632</v>
      </c>
      <c r="L199" s="27">
        <v>2187063</v>
      </c>
      <c r="M199" s="27">
        <v>2155012</v>
      </c>
    </row>
    <row r="200" spans="1:13">
      <c r="A200" s="28" t="s">
        <v>439</v>
      </c>
      <c r="B200" s="27">
        <v>831300</v>
      </c>
      <c r="C200" s="27">
        <v>831300</v>
      </c>
      <c r="D200" s="27">
        <v>830300</v>
      </c>
      <c r="E200" s="27">
        <v>780300</v>
      </c>
      <c r="F200" s="27">
        <v>780300</v>
      </c>
      <c r="G200" s="27">
        <v>780300</v>
      </c>
      <c r="H200" s="27">
        <v>730300</v>
      </c>
      <c r="I200" s="27">
        <v>800300</v>
      </c>
      <c r="J200" s="27">
        <v>750300</v>
      </c>
      <c r="K200" s="27">
        <v>750300</v>
      </c>
      <c r="L200" s="27">
        <v>850300</v>
      </c>
      <c r="M200" s="27">
        <v>685300</v>
      </c>
    </row>
    <row r="201" spans="1:13">
      <c r="A201" s="29" t="s">
        <v>440</v>
      </c>
      <c r="B201" s="27">
        <v>3258038</v>
      </c>
      <c r="C201" s="27">
        <v>3315263</v>
      </c>
      <c r="D201" s="27">
        <v>3323825</v>
      </c>
      <c r="E201" s="27">
        <v>3282068</v>
      </c>
      <c r="F201" s="27">
        <v>3288771</v>
      </c>
      <c r="G201" s="27">
        <v>3196929</v>
      </c>
      <c r="H201" s="27">
        <v>3099724</v>
      </c>
      <c r="I201" s="27">
        <v>3132434</v>
      </c>
      <c r="J201" s="27">
        <v>2989191</v>
      </c>
      <c r="K201" s="27">
        <v>2970932</v>
      </c>
      <c r="L201" s="27">
        <v>3037363</v>
      </c>
      <c r="M201" s="27">
        <v>2840312</v>
      </c>
    </row>
    <row r="202" spans="1:13">
      <c r="A202" s="28" t="s">
        <v>441</v>
      </c>
      <c r="B202" s="30">
        <v>-337046</v>
      </c>
      <c r="C202" s="30">
        <v>-6632823</v>
      </c>
      <c r="D202" s="27">
        <v>0</v>
      </c>
      <c r="E202" s="27">
        <v>26710</v>
      </c>
      <c r="F202" s="30">
        <v>-196541</v>
      </c>
      <c r="G202" s="27">
        <v>0</v>
      </c>
      <c r="H202" s="30">
        <v>-723434</v>
      </c>
      <c r="I202" s="30">
        <v>-1543373</v>
      </c>
      <c r="J202" s="27">
        <v>0</v>
      </c>
      <c r="K202" s="30">
        <v>-55110</v>
      </c>
      <c r="L202" s="27">
        <v>1106322</v>
      </c>
      <c r="M202" s="27">
        <v>0</v>
      </c>
    </row>
    <row r="203" spans="1:13">
      <c r="A203" s="28" t="s">
        <v>442</v>
      </c>
      <c r="B203" s="27">
        <v>82538</v>
      </c>
      <c r="C203" s="30">
        <v>-236100</v>
      </c>
      <c r="D203" s="27">
        <v>0</v>
      </c>
      <c r="E203" s="30">
        <v>-6271</v>
      </c>
      <c r="F203" s="27">
        <v>46143</v>
      </c>
      <c r="G203" s="27">
        <v>0</v>
      </c>
      <c r="H203" s="27">
        <v>288486</v>
      </c>
      <c r="I203" s="27">
        <v>646556</v>
      </c>
      <c r="J203" s="27">
        <v>0</v>
      </c>
      <c r="K203" s="27">
        <v>55148</v>
      </c>
      <c r="L203" s="27">
        <v>52787</v>
      </c>
      <c r="M203" s="27">
        <v>2</v>
      </c>
    </row>
    <row r="204" spans="1:13">
      <c r="A204" s="28" t="s">
        <v>443</v>
      </c>
      <c r="B204" s="27">
        <v>114321</v>
      </c>
      <c r="C204" s="27">
        <v>25588</v>
      </c>
      <c r="D204" s="27">
        <v>28780</v>
      </c>
      <c r="E204" s="27">
        <v>22218</v>
      </c>
      <c r="F204" s="27">
        <v>45993</v>
      </c>
      <c r="G204" s="27">
        <v>181719</v>
      </c>
      <c r="H204" s="27">
        <v>84576</v>
      </c>
      <c r="I204" s="27">
        <v>20935</v>
      </c>
      <c r="J204" s="27">
        <v>73694</v>
      </c>
      <c r="K204" s="27">
        <v>71693</v>
      </c>
      <c r="L204" s="27">
        <v>40435</v>
      </c>
      <c r="M204" s="27">
        <v>23108</v>
      </c>
    </row>
    <row r="205" spans="1:13">
      <c r="A205" s="28" t="s">
        <v>444</v>
      </c>
      <c r="B205" s="27">
        <v>11584620</v>
      </c>
      <c r="C205" s="27">
        <v>7246267</v>
      </c>
      <c r="D205" s="27">
        <v>8213258</v>
      </c>
      <c r="E205" s="27">
        <v>9180249</v>
      </c>
      <c r="F205" s="27">
        <v>10147260</v>
      </c>
      <c r="G205" s="27">
        <v>5802824</v>
      </c>
      <c r="H205" s="27">
        <v>6769815</v>
      </c>
      <c r="I205" s="27">
        <v>7388789</v>
      </c>
      <c r="J205" s="27">
        <v>8312278</v>
      </c>
      <c r="K205" s="27">
        <v>9235767</v>
      </c>
      <c r="L205" s="27">
        <v>10159256</v>
      </c>
      <c r="M205" s="27">
        <v>11082745</v>
      </c>
    </row>
    <row r="206" spans="1:13">
      <c r="A206" s="28" t="s">
        <v>445</v>
      </c>
      <c r="B206" s="27">
        <v>109549</v>
      </c>
      <c r="C206" s="27">
        <v>117566</v>
      </c>
      <c r="D206" s="27">
        <v>42844</v>
      </c>
      <c r="E206" s="27">
        <v>54841</v>
      </c>
      <c r="F206" s="27">
        <v>63870</v>
      </c>
      <c r="G206" s="27">
        <v>76575</v>
      </c>
      <c r="H206" s="27">
        <v>53317</v>
      </c>
      <c r="I206" s="27">
        <v>64441</v>
      </c>
      <c r="J206" s="27">
        <v>75257</v>
      </c>
      <c r="K206" s="27">
        <v>83809</v>
      </c>
      <c r="L206" s="27">
        <v>92874</v>
      </c>
      <c r="M206" s="27">
        <v>106858</v>
      </c>
    </row>
    <row r="207" spans="1:13">
      <c r="A207" s="28" t="s">
        <v>446</v>
      </c>
      <c r="B207" s="27">
        <v>3031</v>
      </c>
      <c r="C207" s="27">
        <v>151</v>
      </c>
      <c r="D207" s="27">
        <v>36</v>
      </c>
      <c r="E207" s="27">
        <v>6</v>
      </c>
      <c r="F207" s="27">
        <v>0</v>
      </c>
      <c r="G207" s="27">
        <v>0</v>
      </c>
      <c r="H207" s="27">
        <v>0</v>
      </c>
      <c r="I207" s="27">
        <v>20</v>
      </c>
      <c r="J207" s="27">
        <v>0</v>
      </c>
      <c r="K207" s="27">
        <v>0</v>
      </c>
      <c r="L207" s="27">
        <v>0</v>
      </c>
      <c r="M207" s="27">
        <v>0</v>
      </c>
    </row>
    <row r="208" spans="1:13">
      <c r="A208" s="28" t="s">
        <v>447</v>
      </c>
      <c r="B208" s="27">
        <v>4716</v>
      </c>
      <c r="C208" s="27">
        <v>2897</v>
      </c>
      <c r="D208" s="27">
        <v>185</v>
      </c>
      <c r="E208" s="27">
        <v>57</v>
      </c>
      <c r="F208" s="27">
        <v>0</v>
      </c>
      <c r="G208" s="27">
        <v>0</v>
      </c>
      <c r="H208" s="27">
        <v>0</v>
      </c>
      <c r="I208" s="27">
        <v>31</v>
      </c>
      <c r="J208" s="27">
        <v>9</v>
      </c>
      <c r="K208" s="27">
        <v>0</v>
      </c>
      <c r="L208" s="27">
        <v>0</v>
      </c>
      <c r="M208" s="27">
        <v>0</v>
      </c>
    </row>
    <row r="209" spans="1:13">
      <c r="A209" s="29" t="s">
        <v>448</v>
      </c>
      <c r="B209" s="27">
        <v>11561729</v>
      </c>
      <c r="C209" s="27">
        <v>523546</v>
      </c>
      <c r="D209" s="27">
        <v>8285102</v>
      </c>
      <c r="E209" s="27">
        <v>9277810</v>
      </c>
      <c r="F209" s="27">
        <v>10106726</v>
      </c>
      <c r="G209" s="27">
        <v>6061119</v>
      </c>
      <c r="H209" s="27">
        <v>6472761</v>
      </c>
      <c r="I209" s="27">
        <v>6577399</v>
      </c>
      <c r="J209" s="27">
        <v>8461238</v>
      </c>
      <c r="K209" s="27">
        <v>9391307</v>
      </c>
      <c r="L209" s="27">
        <v>11451674</v>
      </c>
      <c r="M209" s="27">
        <v>11212713</v>
      </c>
    </row>
    <row r="210" spans="1:13">
      <c r="A210" s="28" t="s">
        <v>449</v>
      </c>
      <c r="B210" s="27">
        <v>70660</v>
      </c>
      <c r="C210" s="27">
        <v>71998</v>
      </c>
      <c r="D210" s="27">
        <v>79670</v>
      </c>
      <c r="E210" s="27">
        <v>81074</v>
      </c>
      <c r="F210" s="27">
        <v>82530</v>
      </c>
      <c r="G210" s="27">
        <v>80536</v>
      </c>
      <c r="H210" s="27">
        <v>81641</v>
      </c>
      <c r="I210" s="27">
        <v>82750</v>
      </c>
      <c r="J210" s="27">
        <v>87659</v>
      </c>
      <c r="K210" s="27">
        <v>88483</v>
      </c>
      <c r="L210" s="27">
        <v>89351</v>
      </c>
      <c r="M210" s="27">
        <v>75333</v>
      </c>
    </row>
    <row r="211" spans="1:13">
      <c r="A211" s="29" t="s">
        <v>450</v>
      </c>
      <c r="B211" s="27">
        <v>70660</v>
      </c>
      <c r="C211" s="27">
        <v>71998</v>
      </c>
      <c r="D211" s="27">
        <v>79670</v>
      </c>
      <c r="E211" s="27">
        <v>81074</v>
      </c>
      <c r="F211" s="27">
        <v>82530</v>
      </c>
      <c r="G211" s="27">
        <v>80536</v>
      </c>
      <c r="H211" s="27">
        <v>81641</v>
      </c>
      <c r="I211" s="27">
        <v>82750</v>
      </c>
      <c r="J211" s="27">
        <v>87659</v>
      </c>
      <c r="K211" s="27">
        <v>88483</v>
      </c>
      <c r="L211" s="27">
        <v>89351</v>
      </c>
      <c r="M211" s="27">
        <v>75333</v>
      </c>
    </row>
    <row r="212" spans="1:13">
      <c r="A212" s="28" t="s">
        <v>451</v>
      </c>
      <c r="B212" s="27">
        <v>53792</v>
      </c>
      <c r="C212" s="27">
        <v>57659</v>
      </c>
      <c r="D212" s="27">
        <v>29681</v>
      </c>
      <c r="E212" s="27">
        <v>37537</v>
      </c>
      <c r="F212" s="27">
        <v>42426</v>
      </c>
      <c r="G212" s="27">
        <v>47977</v>
      </c>
      <c r="H212" s="27">
        <v>19992</v>
      </c>
      <c r="I212" s="27">
        <v>26490</v>
      </c>
      <c r="J212" s="27">
        <v>32079</v>
      </c>
      <c r="K212" s="27">
        <v>35922</v>
      </c>
      <c r="L212" s="27">
        <v>40288</v>
      </c>
      <c r="M212" s="27">
        <v>52204</v>
      </c>
    </row>
    <row r="213" spans="1:13">
      <c r="A213" s="28" t="s">
        <v>452</v>
      </c>
      <c r="B213" s="27">
        <v>76657</v>
      </c>
      <c r="C213" s="27">
        <v>83103</v>
      </c>
      <c r="D213" s="27">
        <v>42197</v>
      </c>
      <c r="E213" s="27">
        <v>52729</v>
      </c>
      <c r="F213" s="27">
        <v>60915</v>
      </c>
      <c r="G213" s="27">
        <v>62804</v>
      </c>
      <c r="H213" s="27">
        <v>31030</v>
      </c>
      <c r="I213" s="27">
        <v>37610</v>
      </c>
      <c r="J213" s="27">
        <v>45776</v>
      </c>
      <c r="K213" s="27">
        <v>53728</v>
      </c>
      <c r="L213" s="27">
        <v>64202</v>
      </c>
      <c r="M213" s="27">
        <v>88958</v>
      </c>
    </row>
    <row r="214" spans="1:13">
      <c r="A214" s="28" t="s">
        <v>453</v>
      </c>
      <c r="B214" s="27">
        <v>352071</v>
      </c>
      <c r="C214" s="27">
        <v>196517</v>
      </c>
      <c r="D214" s="27">
        <v>356211</v>
      </c>
      <c r="E214" s="27">
        <v>334757</v>
      </c>
      <c r="F214" s="27">
        <v>373205</v>
      </c>
      <c r="G214" s="27">
        <v>445399</v>
      </c>
      <c r="H214" s="27">
        <v>530458</v>
      </c>
      <c r="I214" s="27">
        <v>601132</v>
      </c>
      <c r="J214" s="27">
        <v>627043</v>
      </c>
      <c r="K214" s="27">
        <v>564795</v>
      </c>
      <c r="L214" s="27">
        <v>553862</v>
      </c>
      <c r="M214" s="27">
        <v>624965</v>
      </c>
    </row>
    <row r="215" spans="1:13">
      <c r="A215" s="28" t="s">
        <v>454</v>
      </c>
      <c r="B215" s="27">
        <v>460801</v>
      </c>
      <c r="C215" s="27">
        <v>233867</v>
      </c>
      <c r="D215" s="27">
        <v>583102</v>
      </c>
      <c r="E215" s="27">
        <v>520205</v>
      </c>
      <c r="F215" s="27">
        <v>531219</v>
      </c>
      <c r="G215" s="27">
        <v>616122</v>
      </c>
      <c r="H215" s="27">
        <v>720539</v>
      </c>
      <c r="I215" s="27">
        <v>775098</v>
      </c>
      <c r="J215" s="27">
        <v>713469</v>
      </c>
      <c r="K215" s="27">
        <v>601723</v>
      </c>
      <c r="L215" s="27">
        <v>556002</v>
      </c>
      <c r="M215" s="27">
        <v>562100</v>
      </c>
    </row>
    <row r="216" spans="1:13">
      <c r="A216" s="28" t="s">
        <v>455</v>
      </c>
      <c r="B216" s="30">
        <v>-240</v>
      </c>
      <c r="C216" s="30">
        <v>-240</v>
      </c>
      <c r="D216" s="27">
        <v>0</v>
      </c>
      <c r="E216" s="30">
        <v>-240</v>
      </c>
      <c r="F216" s="30">
        <v>-240</v>
      </c>
      <c r="G216" s="27">
        <v>0</v>
      </c>
      <c r="H216" s="30">
        <v>-481</v>
      </c>
      <c r="I216" s="27">
        <v>0</v>
      </c>
      <c r="J216" s="27">
        <v>240</v>
      </c>
      <c r="K216" s="27">
        <v>120</v>
      </c>
      <c r="L216" s="27">
        <v>120</v>
      </c>
      <c r="M216" s="27">
        <v>0</v>
      </c>
    </row>
    <row r="217" spans="1:13">
      <c r="A217" s="28" t="s">
        <v>456</v>
      </c>
      <c r="B217" s="27">
        <v>27264</v>
      </c>
      <c r="C217" s="27">
        <v>29138</v>
      </c>
      <c r="D217" s="27">
        <v>14926</v>
      </c>
      <c r="E217" s="27">
        <v>19056</v>
      </c>
      <c r="F217" s="27">
        <v>21049</v>
      </c>
      <c r="G217" s="27">
        <v>23239</v>
      </c>
      <c r="H217" s="27">
        <v>9664</v>
      </c>
      <c r="I217" s="27">
        <v>13329</v>
      </c>
      <c r="J217" s="27">
        <v>16388</v>
      </c>
      <c r="K217" s="27">
        <v>18727</v>
      </c>
      <c r="L217" s="27">
        <v>22109</v>
      </c>
      <c r="M217" s="27">
        <v>29711</v>
      </c>
    </row>
    <row r="218" spans="1:13">
      <c r="A218" s="28" t="s">
        <v>457</v>
      </c>
      <c r="B218" s="27">
        <v>0</v>
      </c>
      <c r="C218" s="27">
        <v>0</v>
      </c>
      <c r="D218" s="27">
        <v>0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20652</v>
      </c>
      <c r="L218" s="27">
        <v>67803</v>
      </c>
      <c r="M218" s="27">
        <v>115163</v>
      </c>
    </row>
    <row r="219" spans="1:13">
      <c r="A219" s="29" t="s">
        <v>458</v>
      </c>
      <c r="B219" s="27">
        <v>970345</v>
      </c>
      <c r="C219" s="27">
        <v>600044</v>
      </c>
      <c r="D219" s="27">
        <v>1026117</v>
      </c>
      <c r="E219" s="27">
        <v>964043</v>
      </c>
      <c r="F219" s="27">
        <v>1028573</v>
      </c>
      <c r="G219" s="27">
        <v>1195540</v>
      </c>
      <c r="H219" s="27">
        <v>1311202</v>
      </c>
      <c r="I219" s="27">
        <v>1453658</v>
      </c>
      <c r="J219" s="27">
        <v>1434996</v>
      </c>
      <c r="K219" s="27">
        <v>1295668</v>
      </c>
      <c r="L219" s="27">
        <v>1304386</v>
      </c>
      <c r="M219" s="27">
        <v>1473101</v>
      </c>
    </row>
    <row r="220" spans="1:13">
      <c r="A220" s="28" t="s">
        <v>459</v>
      </c>
      <c r="B220" s="27">
        <v>591827</v>
      </c>
      <c r="C220" s="27">
        <v>545923</v>
      </c>
      <c r="D220" s="27">
        <v>563016</v>
      </c>
      <c r="E220" s="27">
        <v>591485</v>
      </c>
      <c r="F220" s="27">
        <v>598379</v>
      </c>
      <c r="G220" s="27">
        <v>593447</v>
      </c>
      <c r="H220" s="27">
        <v>543061</v>
      </c>
      <c r="I220" s="27">
        <v>514495</v>
      </c>
      <c r="J220" s="27">
        <v>464287</v>
      </c>
      <c r="K220" s="27">
        <v>478495</v>
      </c>
      <c r="L220" s="27">
        <v>449341</v>
      </c>
      <c r="M220" s="27">
        <v>353908</v>
      </c>
    </row>
    <row r="221" spans="1:13">
      <c r="A221" s="28" t="s">
        <v>460</v>
      </c>
      <c r="B221" s="27">
        <v>439000</v>
      </c>
      <c r="C221" s="27">
        <v>439000</v>
      </c>
      <c r="D221" s="27">
        <v>439000</v>
      </c>
      <c r="E221" s="27">
        <v>439000</v>
      </c>
      <c r="F221" s="27">
        <v>439000</v>
      </c>
      <c r="G221" s="27">
        <v>439000</v>
      </c>
      <c r="H221" s="27">
        <v>439000</v>
      </c>
      <c r="I221" s="27">
        <v>439000</v>
      </c>
      <c r="J221" s="27">
        <v>439000</v>
      </c>
      <c r="K221" s="27">
        <v>439000</v>
      </c>
      <c r="L221" s="27">
        <v>439000</v>
      </c>
      <c r="M221" s="27">
        <v>393000</v>
      </c>
    </row>
    <row r="222" spans="1:13">
      <c r="A222" s="28" t="s">
        <v>461</v>
      </c>
      <c r="B222" s="27">
        <v>178301</v>
      </c>
      <c r="C222" s="27">
        <v>186183</v>
      </c>
      <c r="D222" s="27">
        <v>89408</v>
      </c>
      <c r="E222" s="27">
        <v>119323</v>
      </c>
      <c r="F222" s="27">
        <v>140479</v>
      </c>
      <c r="G222" s="27">
        <v>162592</v>
      </c>
      <c r="H222" s="27">
        <v>191738</v>
      </c>
      <c r="I222" s="27">
        <v>97901</v>
      </c>
      <c r="J222" s="27">
        <v>115133</v>
      </c>
      <c r="K222" s="27">
        <v>125930</v>
      </c>
      <c r="L222" s="27">
        <v>151383</v>
      </c>
      <c r="M222" s="27">
        <v>181555</v>
      </c>
    </row>
    <row r="223" spans="1:13">
      <c r="A223" s="28" t="s">
        <v>462</v>
      </c>
      <c r="B223" s="27">
        <v>23577</v>
      </c>
      <c r="C223" s="27">
        <v>0</v>
      </c>
      <c r="D223" s="27">
        <v>10276</v>
      </c>
      <c r="E223" s="27">
        <v>10276</v>
      </c>
      <c r="F223" s="27">
        <v>11260</v>
      </c>
      <c r="G223" s="27">
        <v>12001</v>
      </c>
      <c r="H223" s="27">
        <v>12169</v>
      </c>
      <c r="I223" s="27">
        <v>13267</v>
      </c>
      <c r="J223" s="27">
        <v>12921</v>
      </c>
      <c r="K223" s="27">
        <v>13102</v>
      </c>
      <c r="L223" s="27">
        <v>13697</v>
      </c>
      <c r="M223" s="27">
        <v>8716</v>
      </c>
    </row>
    <row r="224" spans="1:13">
      <c r="A224" s="28" t="s">
        <v>463</v>
      </c>
      <c r="B224" s="27">
        <v>6017</v>
      </c>
      <c r="C224" s="27">
        <v>10111</v>
      </c>
      <c r="D224" s="27">
        <v>22099</v>
      </c>
      <c r="E224" s="27">
        <v>18341</v>
      </c>
      <c r="F224" s="27">
        <v>11470</v>
      </c>
      <c r="G224" s="27">
        <v>15758</v>
      </c>
      <c r="H224" s="27">
        <v>11720</v>
      </c>
      <c r="I224" s="27">
        <v>7983</v>
      </c>
      <c r="J224" s="27">
        <v>11602</v>
      </c>
      <c r="K224" s="27">
        <v>9641</v>
      </c>
      <c r="L224" s="27">
        <v>8290</v>
      </c>
      <c r="M224" s="27">
        <v>12888</v>
      </c>
    </row>
    <row r="225" spans="1:13">
      <c r="A225" s="28" t="s">
        <v>464</v>
      </c>
      <c r="B225" s="27">
        <v>161</v>
      </c>
      <c r="C225" s="27">
        <v>171</v>
      </c>
      <c r="D225" s="27">
        <v>193</v>
      </c>
      <c r="E225" s="27">
        <v>206</v>
      </c>
      <c r="F225" s="27">
        <v>215</v>
      </c>
      <c r="G225" s="27">
        <v>295</v>
      </c>
      <c r="H225" s="27">
        <v>300</v>
      </c>
      <c r="I225" s="27">
        <v>307</v>
      </c>
      <c r="J225" s="27">
        <v>17710</v>
      </c>
      <c r="K225" s="27">
        <v>132</v>
      </c>
      <c r="L225" s="27">
        <v>140</v>
      </c>
      <c r="M225" s="27">
        <v>147</v>
      </c>
    </row>
    <row r="226" spans="1:13">
      <c r="A226" s="28" t="s">
        <v>465</v>
      </c>
      <c r="B226" s="27">
        <v>718401</v>
      </c>
      <c r="C226" s="27">
        <v>772640</v>
      </c>
      <c r="D226" s="27">
        <v>161478</v>
      </c>
      <c r="E226" s="27">
        <v>216745</v>
      </c>
      <c r="F226" s="27">
        <v>270984</v>
      </c>
      <c r="G226" s="27">
        <v>364743</v>
      </c>
      <c r="H226" s="27">
        <v>425568</v>
      </c>
      <c r="I226" s="27">
        <v>486394</v>
      </c>
      <c r="J226" s="27">
        <v>554841</v>
      </c>
      <c r="K226" s="27">
        <v>616513</v>
      </c>
      <c r="L226" s="27">
        <v>678185</v>
      </c>
      <c r="M226" s="27">
        <v>677037</v>
      </c>
    </row>
    <row r="227" spans="1:13">
      <c r="A227" s="28" t="s">
        <v>466</v>
      </c>
      <c r="B227" s="27">
        <v>419995</v>
      </c>
      <c r="C227" s="27">
        <v>438438</v>
      </c>
      <c r="D227" s="27">
        <v>247709</v>
      </c>
      <c r="E227" s="27">
        <v>309902</v>
      </c>
      <c r="F227" s="27">
        <v>346639</v>
      </c>
      <c r="G227" s="27">
        <v>405532</v>
      </c>
      <c r="H227" s="27">
        <v>501771</v>
      </c>
      <c r="I227" s="27">
        <v>212513</v>
      </c>
      <c r="J227" s="27">
        <v>271894</v>
      </c>
      <c r="K227" s="27">
        <v>318476</v>
      </c>
      <c r="L227" s="27">
        <v>446627</v>
      </c>
      <c r="M227" s="27">
        <v>405389</v>
      </c>
    </row>
    <row r="228" spans="1:13">
      <c r="A228" s="28" t="s">
        <v>467</v>
      </c>
      <c r="B228" s="27">
        <v>30248</v>
      </c>
      <c r="C228" s="27">
        <v>24371</v>
      </c>
      <c r="D228" s="27">
        <v>32780</v>
      </c>
      <c r="E228" s="27">
        <v>33808</v>
      </c>
      <c r="F228" s="27">
        <v>15274</v>
      </c>
      <c r="G228" s="27">
        <v>7217</v>
      </c>
      <c r="H228" s="27">
        <v>9454</v>
      </c>
      <c r="I228" s="27">
        <v>9626</v>
      </c>
      <c r="J228" s="27">
        <v>9719</v>
      </c>
      <c r="K228" s="27">
        <v>24992</v>
      </c>
      <c r="L228" s="27">
        <v>7375</v>
      </c>
      <c r="M228" s="27">
        <v>15699</v>
      </c>
    </row>
    <row r="229" spans="1:13">
      <c r="A229" s="28" t="s">
        <v>468</v>
      </c>
      <c r="B229" s="27">
        <v>11709</v>
      </c>
      <c r="C229" s="27">
        <v>12412</v>
      </c>
      <c r="D229" s="27">
        <v>3727</v>
      </c>
      <c r="E229" s="27">
        <v>5123</v>
      </c>
      <c r="F229" s="27">
        <v>4312</v>
      </c>
      <c r="G229" s="27">
        <v>4708</v>
      </c>
      <c r="H229" s="27">
        <v>4874</v>
      </c>
      <c r="I229" s="27">
        <v>5427</v>
      </c>
      <c r="J229" s="27">
        <v>5372</v>
      </c>
      <c r="K229" s="27">
        <v>5537</v>
      </c>
      <c r="L229" s="27">
        <v>5831</v>
      </c>
      <c r="M229" s="27">
        <v>5644</v>
      </c>
    </row>
    <row r="230" spans="1:13">
      <c r="A230" s="28" t="s">
        <v>469</v>
      </c>
      <c r="B230" s="27">
        <v>1196</v>
      </c>
      <c r="C230" s="27">
        <v>2392</v>
      </c>
      <c r="D230" s="27">
        <v>306442</v>
      </c>
      <c r="E230" s="27">
        <v>14695</v>
      </c>
      <c r="F230" s="27">
        <v>16271</v>
      </c>
      <c r="G230" s="27">
        <v>320701</v>
      </c>
      <c r="H230" s="27">
        <v>8391</v>
      </c>
      <c r="I230" s="27">
        <v>8391</v>
      </c>
      <c r="J230" s="27">
        <v>356919</v>
      </c>
      <c r="K230" s="27">
        <v>8391</v>
      </c>
      <c r="L230" s="27">
        <v>0</v>
      </c>
      <c r="M230" s="27">
        <v>439878</v>
      </c>
    </row>
    <row r="231" spans="1:13">
      <c r="A231" s="28" t="s">
        <v>470</v>
      </c>
      <c r="B231" s="27">
        <v>0</v>
      </c>
      <c r="C231" s="27">
        <v>0</v>
      </c>
      <c r="D231" s="27">
        <v>4122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71054</v>
      </c>
      <c r="K231" s="27">
        <v>0</v>
      </c>
      <c r="L231" s="27">
        <v>0</v>
      </c>
      <c r="M231" s="27">
        <v>0</v>
      </c>
    </row>
    <row r="232" spans="1:13">
      <c r="A232" s="28" t="s">
        <v>520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</row>
    <row r="233" spans="1:13">
      <c r="A233" s="28" t="s">
        <v>471</v>
      </c>
      <c r="B233" s="27">
        <v>5978055</v>
      </c>
      <c r="C233" s="27">
        <v>3713142</v>
      </c>
      <c r="D233" s="27">
        <v>2695052</v>
      </c>
      <c r="E233" s="27">
        <v>3339835</v>
      </c>
      <c r="F233" s="27">
        <v>3439895</v>
      </c>
      <c r="G233" s="27">
        <v>3240040</v>
      </c>
      <c r="H233" s="27">
        <v>3093159</v>
      </c>
      <c r="I233" s="27">
        <v>2948043</v>
      </c>
      <c r="J233" s="27">
        <v>2735522</v>
      </c>
      <c r="K233" s="27">
        <v>3210358</v>
      </c>
      <c r="L233" s="27">
        <v>3880216</v>
      </c>
      <c r="M233" s="27">
        <v>3744549</v>
      </c>
    </row>
    <row r="234" spans="1:13">
      <c r="A234" s="29" t="s">
        <v>472</v>
      </c>
      <c r="B234" s="27">
        <v>8398488</v>
      </c>
      <c r="C234" s="27">
        <v>6144784</v>
      </c>
      <c r="D234" s="27">
        <v>4575300</v>
      </c>
      <c r="E234" s="27">
        <v>5098738</v>
      </c>
      <c r="F234" s="27">
        <v>5294178</v>
      </c>
      <c r="G234" s="27">
        <v>5566033</v>
      </c>
      <c r="H234" s="27">
        <v>5241205</v>
      </c>
      <c r="I234" s="27">
        <v>4743347</v>
      </c>
      <c r="J234" s="27">
        <v>5065975</v>
      </c>
      <c r="K234" s="27">
        <v>5250566</v>
      </c>
      <c r="L234" s="27">
        <v>6080085</v>
      </c>
      <c r="M234" s="27">
        <v>6238410</v>
      </c>
    </row>
    <row r="235" spans="1:13">
      <c r="A235" s="28" t="s">
        <v>473</v>
      </c>
      <c r="B235" s="27">
        <v>0</v>
      </c>
      <c r="C235" s="27">
        <v>0</v>
      </c>
      <c r="D235" s="27">
        <v>52904</v>
      </c>
      <c r="E235" s="27">
        <v>0</v>
      </c>
      <c r="F235" s="27">
        <v>0</v>
      </c>
      <c r="G235" s="27">
        <v>46537</v>
      </c>
      <c r="H235" s="27">
        <v>0</v>
      </c>
      <c r="I235" s="27">
        <v>0</v>
      </c>
      <c r="J235" s="27">
        <v>60089</v>
      </c>
      <c r="K235" s="27">
        <v>0</v>
      </c>
      <c r="L235" s="27">
        <v>0</v>
      </c>
      <c r="M235" s="27">
        <v>96908</v>
      </c>
    </row>
    <row r="236" spans="1:13">
      <c r="A236" s="29" t="s">
        <v>475</v>
      </c>
      <c r="B236" s="27">
        <v>0</v>
      </c>
      <c r="C236" s="27">
        <v>0</v>
      </c>
      <c r="D236" s="27">
        <v>52904</v>
      </c>
      <c r="E236" s="27">
        <v>0</v>
      </c>
      <c r="F236" s="27">
        <v>0</v>
      </c>
      <c r="G236" s="27">
        <v>46537</v>
      </c>
      <c r="H236" s="27">
        <v>0</v>
      </c>
      <c r="I236" s="27">
        <v>0</v>
      </c>
      <c r="J236" s="27">
        <v>60089</v>
      </c>
      <c r="K236" s="27">
        <v>0</v>
      </c>
      <c r="L236" s="27">
        <v>0</v>
      </c>
      <c r="M236" s="27">
        <v>96908</v>
      </c>
    </row>
    <row r="237" spans="1:13">
      <c r="A237" s="31" t="s">
        <v>476</v>
      </c>
      <c r="B237" s="32">
        <v>336083638</v>
      </c>
      <c r="C237" s="32">
        <v>359196447</v>
      </c>
      <c r="D237" s="32">
        <v>368515393</v>
      </c>
      <c r="E237" s="32">
        <v>370199524</v>
      </c>
      <c r="F237" s="32">
        <v>379785105</v>
      </c>
      <c r="G237" s="32">
        <v>388362568</v>
      </c>
      <c r="H237" s="32">
        <v>387297702</v>
      </c>
      <c r="I237" s="32">
        <v>387523672</v>
      </c>
      <c r="J237" s="32">
        <v>392865230</v>
      </c>
      <c r="K237" s="32">
        <v>394561030</v>
      </c>
      <c r="L237" s="32">
        <v>397389233</v>
      </c>
      <c r="M237" s="32">
        <v>416721487</v>
      </c>
    </row>
    <row r="238" spans="1:13">
      <c r="A238" s="25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>
      <c r="A239" s="24" t="s">
        <v>477</v>
      </c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>
      <c r="A240" s="28" t="s">
        <v>478</v>
      </c>
      <c r="B240" s="27">
        <v>1392321</v>
      </c>
      <c r="C240" s="27">
        <v>1325318</v>
      </c>
      <c r="D240" s="27">
        <v>1385598</v>
      </c>
      <c r="E240" s="27">
        <v>1408760</v>
      </c>
      <c r="F240" s="27">
        <v>1430927</v>
      </c>
      <c r="G240" s="27">
        <v>1487925</v>
      </c>
      <c r="H240" s="27">
        <v>1542844</v>
      </c>
      <c r="I240" s="27">
        <v>1591791</v>
      </c>
      <c r="J240" s="27">
        <v>1747999</v>
      </c>
      <c r="K240" s="27">
        <v>1746881</v>
      </c>
      <c r="L240" s="27">
        <v>1742413</v>
      </c>
      <c r="M240" s="27">
        <v>1735407</v>
      </c>
    </row>
    <row r="241" spans="1:13">
      <c r="A241" s="28" t="s">
        <v>479</v>
      </c>
      <c r="B241" s="27">
        <v>40425</v>
      </c>
      <c r="C241" s="27">
        <v>126914</v>
      </c>
      <c r="D241" s="27">
        <v>126914</v>
      </c>
      <c r="E241" s="27">
        <v>126914</v>
      </c>
      <c r="F241" s="27">
        <v>126914</v>
      </c>
      <c r="G241" s="27">
        <v>126914</v>
      </c>
      <c r="H241" s="27">
        <v>126914</v>
      </c>
      <c r="I241" s="27">
        <v>126914</v>
      </c>
      <c r="J241" s="27">
        <v>126914</v>
      </c>
      <c r="K241" s="27">
        <v>126914</v>
      </c>
      <c r="L241" s="27">
        <v>126914</v>
      </c>
      <c r="M241" s="27">
        <v>126914</v>
      </c>
    </row>
    <row r="242" spans="1:13" ht="19.350000000000001" customHeight="1">
      <c r="A242" s="28" t="s">
        <v>480</v>
      </c>
      <c r="B242" s="27">
        <v>4463644</v>
      </c>
      <c r="C242" s="27">
        <v>4481788</v>
      </c>
      <c r="D242" s="27">
        <v>4523301</v>
      </c>
      <c r="E242" s="27">
        <v>4558437</v>
      </c>
      <c r="F242" s="27">
        <v>4596654</v>
      </c>
      <c r="G242" s="27">
        <v>4640517</v>
      </c>
      <c r="H242" s="27">
        <v>4693556</v>
      </c>
      <c r="I242" s="27">
        <v>4751793</v>
      </c>
      <c r="J242" s="27">
        <v>4808085</v>
      </c>
      <c r="K242" s="27">
        <v>4851517</v>
      </c>
      <c r="L242" s="27">
        <v>4888369</v>
      </c>
      <c r="M242" s="27">
        <v>4924547</v>
      </c>
    </row>
    <row r="243" spans="1:13" ht="22.5">
      <c r="A243" s="29" t="s">
        <v>481</v>
      </c>
      <c r="B243" s="27">
        <v>5896389</v>
      </c>
      <c r="C243" s="27">
        <v>5934020</v>
      </c>
      <c r="D243" s="27">
        <v>6035812</v>
      </c>
      <c r="E243" s="27">
        <v>6094111</v>
      </c>
      <c r="F243" s="27">
        <v>6154495</v>
      </c>
      <c r="G243" s="27">
        <v>6255356</v>
      </c>
      <c r="H243" s="27">
        <v>6363314</v>
      </c>
      <c r="I243" s="27">
        <v>6470497</v>
      </c>
      <c r="J243" s="27">
        <v>6682997</v>
      </c>
      <c r="K243" s="27">
        <v>6725311</v>
      </c>
      <c r="L243" s="27">
        <v>6757695</v>
      </c>
      <c r="M243" s="27">
        <v>6786868</v>
      </c>
    </row>
    <row r="244" spans="1:13">
      <c r="A244" s="28" t="s">
        <v>482</v>
      </c>
      <c r="B244" s="27">
        <v>4339024</v>
      </c>
      <c r="C244" s="27">
        <v>4339024</v>
      </c>
      <c r="D244" s="27">
        <v>4294796</v>
      </c>
      <c r="E244" s="27">
        <v>4294796</v>
      </c>
      <c r="F244" s="27">
        <v>4294796</v>
      </c>
      <c r="G244" s="27">
        <v>4250569</v>
      </c>
      <c r="H244" s="27">
        <v>4250569</v>
      </c>
      <c r="I244" s="27">
        <v>4250569</v>
      </c>
      <c r="J244" s="27">
        <v>4206341</v>
      </c>
      <c r="K244" s="27">
        <v>4206341</v>
      </c>
      <c r="L244" s="27">
        <v>4206341</v>
      </c>
      <c r="M244" s="27">
        <v>4254160</v>
      </c>
    </row>
    <row r="245" spans="1:13">
      <c r="A245" s="29" t="s">
        <v>483</v>
      </c>
      <c r="B245" s="27">
        <v>4339024</v>
      </c>
      <c r="C245" s="27">
        <v>4339024</v>
      </c>
      <c r="D245" s="27">
        <v>4294796</v>
      </c>
      <c r="E245" s="27">
        <v>4294796</v>
      </c>
      <c r="F245" s="27">
        <v>4294796</v>
      </c>
      <c r="G245" s="27">
        <v>4250569</v>
      </c>
      <c r="H245" s="27">
        <v>4250569</v>
      </c>
      <c r="I245" s="27">
        <v>4250569</v>
      </c>
      <c r="J245" s="27">
        <v>4206341</v>
      </c>
      <c r="K245" s="27">
        <v>4206341</v>
      </c>
      <c r="L245" s="27">
        <v>4206341</v>
      </c>
      <c r="M245" s="27">
        <v>4254160</v>
      </c>
    </row>
    <row r="246" spans="1:13">
      <c r="A246" s="28" t="s">
        <v>484</v>
      </c>
      <c r="B246" s="27">
        <v>157054</v>
      </c>
      <c r="C246" s="27">
        <v>195155</v>
      </c>
      <c r="D246" s="27">
        <v>0</v>
      </c>
      <c r="E246" s="27">
        <v>407572</v>
      </c>
      <c r="F246" s="27">
        <v>475589</v>
      </c>
      <c r="G246" s="27">
        <v>0</v>
      </c>
      <c r="H246" s="27">
        <v>915286</v>
      </c>
      <c r="I246" s="27">
        <v>1006684</v>
      </c>
      <c r="J246" s="27">
        <v>0</v>
      </c>
      <c r="K246" s="27">
        <v>1525446</v>
      </c>
      <c r="L246" s="27">
        <v>1372313</v>
      </c>
      <c r="M246" s="27">
        <v>0</v>
      </c>
    </row>
    <row r="247" spans="1:13">
      <c r="A247" s="28" t="s">
        <v>485</v>
      </c>
      <c r="B247" s="27">
        <v>0</v>
      </c>
      <c r="C247" s="27">
        <v>0</v>
      </c>
      <c r="D247" s="27">
        <v>306453</v>
      </c>
      <c r="E247" s="27">
        <v>0</v>
      </c>
      <c r="F247" s="27">
        <v>0</v>
      </c>
      <c r="G247" s="27">
        <v>621959</v>
      </c>
      <c r="H247" s="27">
        <v>0</v>
      </c>
      <c r="I247" s="27">
        <v>0</v>
      </c>
      <c r="J247" s="27">
        <v>1245274</v>
      </c>
      <c r="K247" s="27">
        <v>0</v>
      </c>
      <c r="L247" s="27">
        <v>0</v>
      </c>
      <c r="M247" s="27">
        <v>1332345</v>
      </c>
    </row>
    <row r="248" spans="1:13">
      <c r="A248" s="28" t="s">
        <v>486</v>
      </c>
      <c r="B248" s="27">
        <v>0</v>
      </c>
      <c r="C248" s="27">
        <v>0</v>
      </c>
      <c r="D248" s="27">
        <v>0</v>
      </c>
      <c r="E248" s="27">
        <v>0</v>
      </c>
      <c r="F248" s="27">
        <v>0</v>
      </c>
      <c r="G248" s="27">
        <v>0</v>
      </c>
      <c r="H248" s="27">
        <v>0</v>
      </c>
      <c r="I248" s="27">
        <v>0</v>
      </c>
      <c r="J248" s="27">
        <v>0</v>
      </c>
      <c r="K248" s="27">
        <v>0</v>
      </c>
      <c r="L248" s="27">
        <v>0</v>
      </c>
      <c r="M248" s="27">
        <v>0</v>
      </c>
    </row>
    <row r="249" spans="1:13">
      <c r="A249" s="28" t="s">
        <v>487</v>
      </c>
      <c r="B249" s="27">
        <v>531667</v>
      </c>
      <c r="C249" s="27">
        <v>0</v>
      </c>
      <c r="D249" s="27">
        <v>0</v>
      </c>
      <c r="E249" s="27">
        <v>0</v>
      </c>
      <c r="F249" s="27">
        <v>266209</v>
      </c>
      <c r="G249" s="27">
        <v>228214</v>
      </c>
      <c r="H249" s="27">
        <v>190220</v>
      </c>
      <c r="I249" s="27">
        <v>151979</v>
      </c>
      <c r="J249" s="27">
        <v>113984</v>
      </c>
      <c r="K249" s="27">
        <v>75989</v>
      </c>
      <c r="L249" s="27">
        <v>37995</v>
      </c>
      <c r="M249" s="27">
        <v>0</v>
      </c>
    </row>
    <row r="250" spans="1:13">
      <c r="A250" s="28" t="s">
        <v>488</v>
      </c>
      <c r="B250" s="27">
        <v>0</v>
      </c>
      <c r="C250" s="27">
        <v>0</v>
      </c>
      <c r="D250" s="27">
        <v>0</v>
      </c>
      <c r="E250" s="27">
        <v>0</v>
      </c>
      <c r="F250" s="27">
        <v>0</v>
      </c>
      <c r="G250" s="27">
        <v>0</v>
      </c>
      <c r="H250" s="27">
        <v>0</v>
      </c>
      <c r="I250" s="27">
        <v>0</v>
      </c>
      <c r="J250" s="27">
        <v>0</v>
      </c>
      <c r="K250" s="27">
        <v>0</v>
      </c>
      <c r="L250" s="27">
        <v>0</v>
      </c>
      <c r="M250" s="27">
        <v>0</v>
      </c>
    </row>
    <row r="251" spans="1:13">
      <c r="A251" s="28" t="s">
        <v>489</v>
      </c>
      <c r="B251" s="30">
        <v>-1</v>
      </c>
      <c r="C251" s="30">
        <v>-1</v>
      </c>
      <c r="D251" s="30">
        <v>-1</v>
      </c>
      <c r="E251" s="30">
        <v>-1</v>
      </c>
      <c r="F251" s="30">
        <v>-1</v>
      </c>
      <c r="G251" s="30">
        <v>-1</v>
      </c>
      <c r="H251" s="30">
        <v>-1</v>
      </c>
      <c r="I251" s="30">
        <v>-1</v>
      </c>
      <c r="J251" s="30">
        <v>-1</v>
      </c>
      <c r="K251" s="30">
        <v>-1</v>
      </c>
      <c r="L251" s="30">
        <v>-1</v>
      </c>
      <c r="M251" s="30">
        <v>-1</v>
      </c>
    </row>
    <row r="252" spans="1:13">
      <c r="A252" s="28" t="s">
        <v>490</v>
      </c>
      <c r="B252" s="27">
        <v>19051</v>
      </c>
      <c r="C252" s="27">
        <v>36512</v>
      </c>
      <c r="D252" s="27">
        <v>18184</v>
      </c>
      <c r="E252" s="27">
        <v>22536</v>
      </c>
      <c r="F252" s="27">
        <v>15978</v>
      </c>
      <c r="G252" s="27">
        <v>10846</v>
      </c>
      <c r="H252" s="27">
        <v>31480</v>
      </c>
      <c r="I252" s="27">
        <v>19404</v>
      </c>
      <c r="J252" s="27">
        <v>13585</v>
      </c>
      <c r="K252" s="27">
        <v>10643</v>
      </c>
      <c r="L252" s="27">
        <v>9001</v>
      </c>
      <c r="M252" s="27">
        <v>21697</v>
      </c>
    </row>
    <row r="253" spans="1:13">
      <c r="A253" s="28" t="s">
        <v>491</v>
      </c>
      <c r="B253" s="30">
        <v>-2174</v>
      </c>
      <c r="C253" s="30">
        <v>-2174</v>
      </c>
      <c r="D253" s="27">
        <v>0</v>
      </c>
      <c r="E253" s="30">
        <v>-2174</v>
      </c>
      <c r="F253" s="30">
        <v>-2174</v>
      </c>
      <c r="G253" s="27">
        <v>39926</v>
      </c>
      <c r="H253" s="27">
        <v>39926</v>
      </c>
      <c r="I253" s="27">
        <v>39926</v>
      </c>
      <c r="J253" s="27">
        <v>278009</v>
      </c>
      <c r="K253" s="27">
        <v>278009</v>
      </c>
      <c r="L253" s="27">
        <v>278009</v>
      </c>
      <c r="M253" s="27">
        <v>52476</v>
      </c>
    </row>
    <row r="254" spans="1:13">
      <c r="A254" s="29" t="s">
        <v>492</v>
      </c>
      <c r="B254" s="27">
        <v>705596</v>
      </c>
      <c r="C254" s="27">
        <v>229492</v>
      </c>
      <c r="D254" s="27">
        <v>324636</v>
      </c>
      <c r="E254" s="27">
        <v>427932</v>
      </c>
      <c r="F254" s="27">
        <v>755601</v>
      </c>
      <c r="G254" s="27">
        <v>900944</v>
      </c>
      <c r="H254" s="27">
        <v>1176911</v>
      </c>
      <c r="I254" s="27">
        <v>1217991</v>
      </c>
      <c r="J254" s="27">
        <v>1650851</v>
      </c>
      <c r="K254" s="27">
        <v>1890086</v>
      </c>
      <c r="L254" s="27">
        <v>1697317</v>
      </c>
      <c r="M254" s="27">
        <v>1406516</v>
      </c>
    </row>
    <row r="255" spans="1:13">
      <c r="A255" s="28" t="s">
        <v>493</v>
      </c>
      <c r="B255" s="27">
        <v>1406519</v>
      </c>
      <c r="C255" s="27">
        <v>1406519</v>
      </c>
      <c r="D255" s="27">
        <v>1254210</v>
      </c>
      <c r="E255" s="27">
        <v>1254210</v>
      </c>
      <c r="F255" s="27">
        <v>1254210</v>
      </c>
      <c r="G255" s="27">
        <v>1223006</v>
      </c>
      <c r="H255" s="27">
        <v>1223006</v>
      </c>
      <c r="I255" s="27">
        <v>1223006</v>
      </c>
      <c r="J255" s="27">
        <v>1155589</v>
      </c>
      <c r="K255" s="27">
        <v>1155589</v>
      </c>
      <c r="L255" s="27">
        <v>1155589</v>
      </c>
      <c r="M255" s="27">
        <v>1081011</v>
      </c>
    </row>
    <row r="256" spans="1:13">
      <c r="A256" s="28" t="s">
        <v>494</v>
      </c>
      <c r="B256" s="27">
        <v>0</v>
      </c>
      <c r="C256" s="27">
        <v>0</v>
      </c>
      <c r="D256" s="27">
        <v>0</v>
      </c>
      <c r="E256" s="27">
        <v>0</v>
      </c>
      <c r="F256" s="27">
        <v>0</v>
      </c>
      <c r="G256" s="27">
        <v>0</v>
      </c>
      <c r="H256" s="27">
        <v>0</v>
      </c>
      <c r="I256" s="27">
        <v>0</v>
      </c>
      <c r="J256" s="27">
        <v>0</v>
      </c>
      <c r="K256" s="27">
        <v>0</v>
      </c>
      <c r="L256" s="27">
        <v>0</v>
      </c>
      <c r="M256" s="27">
        <v>0</v>
      </c>
    </row>
    <row r="257" spans="1:13">
      <c r="A257" s="28" t="s">
        <v>495</v>
      </c>
      <c r="B257" s="27">
        <v>859044</v>
      </c>
      <c r="C257" s="27">
        <v>859044</v>
      </c>
      <c r="D257" s="27">
        <v>859044</v>
      </c>
      <c r="E257" s="27">
        <v>859044</v>
      </c>
      <c r="F257" s="27">
        <v>859044</v>
      </c>
      <c r="G257" s="27">
        <v>859044</v>
      </c>
      <c r="H257" s="27">
        <v>859044</v>
      </c>
      <c r="I257" s="27">
        <v>859044</v>
      </c>
      <c r="J257" s="27">
        <v>859044</v>
      </c>
      <c r="K257" s="27">
        <v>859044</v>
      </c>
      <c r="L257" s="27">
        <v>859044</v>
      </c>
      <c r="M257" s="27">
        <v>0</v>
      </c>
    </row>
    <row r="258" spans="1:13">
      <c r="A258" s="28" t="s">
        <v>496</v>
      </c>
      <c r="B258" s="27">
        <v>1415230</v>
      </c>
      <c r="C258" s="27">
        <v>1415230</v>
      </c>
      <c r="D258" s="27">
        <v>1400805</v>
      </c>
      <c r="E258" s="27">
        <v>1400805</v>
      </c>
      <c r="F258" s="27">
        <v>1400805</v>
      </c>
      <c r="G258" s="27">
        <v>1386380</v>
      </c>
      <c r="H258" s="27">
        <v>1386380</v>
      </c>
      <c r="I258" s="27">
        <v>1386380</v>
      </c>
      <c r="J258" s="27">
        <v>1400805</v>
      </c>
      <c r="K258" s="27">
        <v>1400805</v>
      </c>
      <c r="L258" s="27">
        <v>1400805</v>
      </c>
      <c r="M258" s="27">
        <v>1401976</v>
      </c>
    </row>
    <row r="259" spans="1:13">
      <c r="A259" s="28" t="s">
        <v>497</v>
      </c>
      <c r="B259" s="27">
        <v>43586450</v>
      </c>
      <c r="C259" s="27">
        <v>43590126</v>
      </c>
      <c r="D259" s="27">
        <v>33809394</v>
      </c>
      <c r="E259" s="27">
        <v>33809394</v>
      </c>
      <c r="F259" s="27">
        <v>33809394</v>
      </c>
      <c r="G259" s="27">
        <v>33691106</v>
      </c>
      <c r="H259" s="27">
        <v>33691106</v>
      </c>
      <c r="I259" s="27">
        <v>33691106</v>
      </c>
      <c r="J259" s="27">
        <v>32709424</v>
      </c>
      <c r="K259" s="27">
        <v>32709424</v>
      </c>
      <c r="L259" s="27">
        <v>32709424</v>
      </c>
      <c r="M259" s="27">
        <v>32474719</v>
      </c>
    </row>
    <row r="260" spans="1:13">
      <c r="A260" s="28" t="s">
        <v>498</v>
      </c>
      <c r="B260" s="27">
        <v>0</v>
      </c>
      <c r="C260" s="27">
        <v>0</v>
      </c>
      <c r="D260" s="27">
        <v>4041210</v>
      </c>
      <c r="E260" s="27">
        <v>0</v>
      </c>
      <c r="F260" s="27">
        <v>0</v>
      </c>
      <c r="G260" s="27">
        <v>4380741</v>
      </c>
      <c r="H260" s="27">
        <v>0</v>
      </c>
      <c r="I260" s="27">
        <v>0</v>
      </c>
      <c r="J260" s="27">
        <v>4403321</v>
      </c>
      <c r="K260" s="27">
        <v>0</v>
      </c>
      <c r="L260" s="27">
        <v>0</v>
      </c>
      <c r="M260" s="27">
        <v>7751997</v>
      </c>
    </row>
    <row r="261" spans="1:13">
      <c r="A261" s="28" t="s">
        <v>499</v>
      </c>
      <c r="B261" s="27">
        <v>0</v>
      </c>
      <c r="C261" s="27">
        <v>0</v>
      </c>
      <c r="D261" s="27">
        <v>0</v>
      </c>
      <c r="E261" s="27">
        <v>0</v>
      </c>
      <c r="F261" s="27">
        <v>0</v>
      </c>
      <c r="G261" s="27">
        <v>0</v>
      </c>
      <c r="H261" s="27">
        <v>0</v>
      </c>
      <c r="I261" s="27">
        <v>0</v>
      </c>
      <c r="J261" s="27">
        <v>0</v>
      </c>
      <c r="K261" s="27">
        <v>0</v>
      </c>
      <c r="L261" s="27">
        <v>0</v>
      </c>
      <c r="M261" s="27">
        <v>0</v>
      </c>
    </row>
    <row r="262" spans="1:13">
      <c r="A262" s="28" t="s">
        <v>500</v>
      </c>
      <c r="B262" s="27">
        <v>4049566</v>
      </c>
      <c r="C262" s="27">
        <v>4049566</v>
      </c>
      <c r="D262" s="27">
        <v>4002836</v>
      </c>
      <c r="E262" s="27">
        <v>4002836</v>
      </c>
      <c r="F262" s="27">
        <v>4002836</v>
      </c>
      <c r="G262" s="27">
        <v>3956107</v>
      </c>
      <c r="H262" s="27">
        <v>3956107</v>
      </c>
      <c r="I262" s="27">
        <v>3956107</v>
      </c>
      <c r="J262" s="27">
        <v>3909378</v>
      </c>
      <c r="K262" s="27">
        <v>3909378</v>
      </c>
      <c r="L262" s="27">
        <v>3909378</v>
      </c>
      <c r="M262" s="27">
        <v>3242550</v>
      </c>
    </row>
    <row r="263" spans="1:13">
      <c r="A263" s="28" t="s">
        <v>501</v>
      </c>
      <c r="B263" s="27">
        <v>951064</v>
      </c>
      <c r="C263" s="27">
        <v>951064</v>
      </c>
      <c r="D263" s="27">
        <v>951064</v>
      </c>
      <c r="E263" s="27">
        <v>951064</v>
      </c>
      <c r="F263" s="27">
        <v>951064</v>
      </c>
      <c r="G263" s="27">
        <v>951064</v>
      </c>
      <c r="H263" s="27">
        <v>951064</v>
      </c>
      <c r="I263" s="27">
        <v>951064</v>
      </c>
      <c r="J263" s="27">
        <v>951064</v>
      </c>
      <c r="K263" s="27">
        <v>951064</v>
      </c>
      <c r="L263" s="27">
        <v>951064</v>
      </c>
      <c r="M263" s="27">
        <v>1211763</v>
      </c>
    </row>
    <row r="264" spans="1:13">
      <c r="A264" s="29" t="s">
        <v>502</v>
      </c>
      <c r="B264" s="27">
        <v>52267873</v>
      </c>
      <c r="C264" s="27">
        <v>52271549</v>
      </c>
      <c r="D264" s="27">
        <v>46318564</v>
      </c>
      <c r="E264" s="27">
        <v>42277354</v>
      </c>
      <c r="F264" s="27">
        <v>42277354</v>
      </c>
      <c r="G264" s="27">
        <v>46447448</v>
      </c>
      <c r="H264" s="27">
        <v>42066706</v>
      </c>
      <c r="I264" s="27">
        <v>42066706</v>
      </c>
      <c r="J264" s="27">
        <v>45388625</v>
      </c>
      <c r="K264" s="27">
        <v>40985303</v>
      </c>
      <c r="L264" s="27">
        <v>40985303</v>
      </c>
      <c r="M264" s="27">
        <v>47164016</v>
      </c>
    </row>
    <row r="265" spans="1:13">
      <c r="A265" s="28" t="s">
        <v>503</v>
      </c>
      <c r="B265" s="27">
        <v>126563350</v>
      </c>
      <c r="C265" s="27">
        <v>126563350</v>
      </c>
      <c r="D265" s="27">
        <v>127277082</v>
      </c>
      <c r="E265" s="27">
        <v>127277082</v>
      </c>
      <c r="F265" s="27">
        <v>127277082</v>
      </c>
      <c r="G265" s="27">
        <v>127990813</v>
      </c>
      <c r="H265" s="27">
        <v>127990813</v>
      </c>
      <c r="I265" s="27">
        <v>127990813</v>
      </c>
      <c r="J265" s="27">
        <v>130225083</v>
      </c>
      <c r="K265" s="27">
        <v>130224734</v>
      </c>
      <c r="L265" s="27">
        <v>130224734</v>
      </c>
      <c r="M265" s="27">
        <v>132070340</v>
      </c>
    </row>
    <row r="266" spans="1:13">
      <c r="A266" s="28" t="s">
        <v>504</v>
      </c>
      <c r="B266" s="30">
        <v>-5613181</v>
      </c>
      <c r="C266" s="30">
        <v>-5613181</v>
      </c>
      <c r="D266" s="30">
        <v>-5518876</v>
      </c>
      <c r="E266" s="30">
        <v>-5518876</v>
      </c>
      <c r="F266" s="30">
        <v>-5518876</v>
      </c>
      <c r="G266" s="30">
        <v>-5424571</v>
      </c>
      <c r="H266" s="30">
        <v>-5424571</v>
      </c>
      <c r="I266" s="30">
        <v>-5424571</v>
      </c>
      <c r="J266" s="30">
        <v>-5332935</v>
      </c>
      <c r="K266" s="30">
        <v>-5332935</v>
      </c>
      <c r="L266" s="30">
        <v>-5332935</v>
      </c>
      <c r="M266" s="30">
        <v>-5221632</v>
      </c>
    </row>
    <row r="267" spans="1:13">
      <c r="A267" s="28" t="s">
        <v>505</v>
      </c>
      <c r="B267" s="27">
        <v>198811</v>
      </c>
      <c r="C267" s="27">
        <v>198811</v>
      </c>
      <c r="D267" s="27">
        <v>191114</v>
      </c>
      <c r="E267" s="27">
        <v>191114</v>
      </c>
      <c r="F267" s="27">
        <v>191114</v>
      </c>
      <c r="G267" s="27">
        <v>188478</v>
      </c>
      <c r="H267" s="27">
        <v>188478</v>
      </c>
      <c r="I267" s="27">
        <v>188478</v>
      </c>
      <c r="J267" s="27">
        <v>183446</v>
      </c>
      <c r="K267" s="27">
        <v>183795</v>
      </c>
      <c r="L267" s="27">
        <v>183795</v>
      </c>
      <c r="M267" s="27">
        <v>181876</v>
      </c>
    </row>
    <row r="268" spans="1:13">
      <c r="A268" s="28" t="s">
        <v>506</v>
      </c>
      <c r="B268" s="27">
        <v>2960300</v>
      </c>
      <c r="C268" s="27">
        <v>2960300</v>
      </c>
      <c r="D268" s="27">
        <v>3287054</v>
      </c>
      <c r="E268" s="27">
        <v>3287054</v>
      </c>
      <c r="F268" s="27">
        <v>3287054</v>
      </c>
      <c r="G268" s="27">
        <v>3331709</v>
      </c>
      <c r="H268" s="27">
        <v>3331709</v>
      </c>
      <c r="I268" s="27">
        <v>3331709</v>
      </c>
      <c r="J268" s="27">
        <v>3436009</v>
      </c>
      <c r="K268" s="27">
        <v>3436009</v>
      </c>
      <c r="L268" s="27">
        <v>3436009</v>
      </c>
      <c r="M268" s="27">
        <v>3415823</v>
      </c>
    </row>
    <row r="269" spans="1:13">
      <c r="A269" s="29" t="s">
        <v>507</v>
      </c>
      <c r="B269" s="27">
        <v>124109280</v>
      </c>
      <c r="C269" s="27">
        <v>124109280</v>
      </c>
      <c r="D269" s="27">
        <v>125236373</v>
      </c>
      <c r="E269" s="27">
        <v>125236373</v>
      </c>
      <c r="F269" s="27">
        <v>125236373</v>
      </c>
      <c r="G269" s="27">
        <v>126086429</v>
      </c>
      <c r="H269" s="27">
        <v>126086429</v>
      </c>
      <c r="I269" s="27">
        <v>126086429</v>
      </c>
      <c r="J269" s="27">
        <v>128511603</v>
      </c>
      <c r="K269" s="27">
        <v>128511603</v>
      </c>
      <c r="L269" s="27">
        <v>128511603</v>
      </c>
      <c r="M269" s="27">
        <v>130446407</v>
      </c>
    </row>
    <row r="270" spans="1:13">
      <c r="A270" s="28" t="s">
        <v>508</v>
      </c>
      <c r="B270" s="27">
        <v>1376761</v>
      </c>
      <c r="C270" s="27">
        <v>1376761</v>
      </c>
      <c r="D270" s="27">
        <v>1719748</v>
      </c>
      <c r="E270" s="27">
        <v>1719748</v>
      </c>
      <c r="F270" s="27">
        <v>1719748</v>
      </c>
      <c r="G270" s="27">
        <v>1780334</v>
      </c>
      <c r="H270" s="27">
        <v>1780334</v>
      </c>
      <c r="I270" s="27">
        <v>1553837</v>
      </c>
      <c r="J270" s="27">
        <v>1222305</v>
      </c>
      <c r="K270" s="27">
        <v>1222305</v>
      </c>
      <c r="L270" s="27">
        <v>1222305</v>
      </c>
      <c r="M270" s="27">
        <v>1725012</v>
      </c>
    </row>
    <row r="271" spans="1:13">
      <c r="A271" s="28" t="s">
        <v>509</v>
      </c>
      <c r="B271" s="27">
        <v>30403217</v>
      </c>
      <c r="C271" s="27">
        <v>30403217</v>
      </c>
      <c r="D271" s="27">
        <v>31642239</v>
      </c>
      <c r="E271" s="27">
        <v>31642239</v>
      </c>
      <c r="F271" s="27">
        <v>31642239</v>
      </c>
      <c r="G271" s="27">
        <v>40060634</v>
      </c>
      <c r="H271" s="27">
        <v>40060634</v>
      </c>
      <c r="I271" s="27">
        <v>40060634</v>
      </c>
      <c r="J271" s="27">
        <v>37276076</v>
      </c>
      <c r="K271" s="27">
        <v>37257405</v>
      </c>
      <c r="L271" s="27">
        <v>37257405</v>
      </c>
      <c r="M271" s="27">
        <v>39804421</v>
      </c>
    </row>
    <row r="272" spans="1:13">
      <c r="A272" s="28" t="s">
        <v>510</v>
      </c>
      <c r="B272" s="27">
        <v>64858</v>
      </c>
      <c r="C272" s="27">
        <v>64858</v>
      </c>
      <c r="D272" s="27">
        <v>62337</v>
      </c>
      <c r="E272" s="27">
        <v>62337</v>
      </c>
      <c r="F272" s="27">
        <v>62337</v>
      </c>
      <c r="G272" s="27">
        <v>61477</v>
      </c>
      <c r="H272" s="27">
        <v>61477</v>
      </c>
      <c r="I272" s="27">
        <v>61477</v>
      </c>
      <c r="J272" s="27">
        <v>59836</v>
      </c>
      <c r="K272" s="27">
        <v>59950</v>
      </c>
      <c r="L272" s="27">
        <v>59950</v>
      </c>
      <c r="M272" s="27">
        <v>59324</v>
      </c>
    </row>
    <row r="273" spans="1:13">
      <c r="A273" s="29" t="s">
        <v>511</v>
      </c>
      <c r="B273" s="27">
        <v>31844836</v>
      </c>
      <c r="C273" s="27">
        <v>31844836</v>
      </c>
      <c r="D273" s="27">
        <v>33424324</v>
      </c>
      <c r="E273" s="27">
        <v>33424324</v>
      </c>
      <c r="F273" s="27">
        <v>33424324</v>
      </c>
      <c r="G273" s="27">
        <v>41902445</v>
      </c>
      <c r="H273" s="27">
        <v>41902445</v>
      </c>
      <c r="I273" s="27">
        <v>41675948</v>
      </c>
      <c r="J273" s="27">
        <v>38558217</v>
      </c>
      <c r="K273" s="27">
        <v>38539660</v>
      </c>
      <c r="L273" s="27">
        <v>38539660</v>
      </c>
      <c r="M273" s="27">
        <v>41588756</v>
      </c>
    </row>
    <row r="274" spans="1:13">
      <c r="A274" s="31" t="s">
        <v>512</v>
      </c>
      <c r="B274" s="32">
        <v>219162998</v>
      </c>
      <c r="C274" s="32">
        <v>218728201</v>
      </c>
      <c r="D274" s="32">
        <v>215634505</v>
      </c>
      <c r="E274" s="32">
        <v>211754890</v>
      </c>
      <c r="F274" s="32">
        <v>212142943</v>
      </c>
      <c r="G274" s="32">
        <v>225843190</v>
      </c>
      <c r="H274" s="32">
        <v>221846373</v>
      </c>
      <c r="I274" s="32">
        <v>221768141</v>
      </c>
      <c r="J274" s="32">
        <v>224998635</v>
      </c>
      <c r="K274" s="32">
        <v>220858305</v>
      </c>
      <c r="L274" s="32">
        <v>220697920</v>
      </c>
      <c r="M274" s="32">
        <v>231646723</v>
      </c>
    </row>
    <row r="275" spans="1:13">
      <c r="A275" s="25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</row>
    <row r="276" spans="1:13">
      <c r="A276" s="33" t="s">
        <v>513</v>
      </c>
      <c r="B276" s="27">
        <v>1845339</v>
      </c>
      <c r="C276" s="27">
        <v>1457187</v>
      </c>
      <c r="D276" s="27">
        <v>2391685</v>
      </c>
      <c r="E276" s="27">
        <v>2233423</v>
      </c>
      <c r="F276" s="27">
        <v>3556225</v>
      </c>
      <c r="G276" s="27">
        <v>9321776</v>
      </c>
      <c r="H276" s="27">
        <v>16097069</v>
      </c>
      <c r="I276" s="27">
        <v>24428605</v>
      </c>
      <c r="J276" s="27">
        <v>27043734</v>
      </c>
      <c r="K276" s="27">
        <v>28247987</v>
      </c>
      <c r="L276" s="27">
        <v>28162189</v>
      </c>
      <c r="M276" s="27">
        <v>31185389</v>
      </c>
    </row>
    <row r="277" spans="1:13">
      <c r="A277" s="25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</row>
    <row r="278" spans="1:13">
      <c r="A278" s="31" t="s">
        <v>514</v>
      </c>
      <c r="B278" s="32">
        <v>1182540456</v>
      </c>
      <c r="C278" s="32">
        <v>1204790334</v>
      </c>
      <c r="D278" s="32">
        <v>1211849039</v>
      </c>
      <c r="E278" s="32">
        <v>1209577930</v>
      </c>
      <c r="F278" s="32">
        <v>1220931595</v>
      </c>
      <c r="G278" s="32">
        <v>1248966239</v>
      </c>
      <c r="H278" s="32">
        <v>1250894164</v>
      </c>
      <c r="I278" s="32">
        <v>1259371466</v>
      </c>
      <c r="J278" s="32">
        <v>1265531210</v>
      </c>
      <c r="K278" s="32">
        <v>1264350985</v>
      </c>
      <c r="L278" s="32">
        <v>1267084301</v>
      </c>
      <c r="M278" s="32">
        <v>1286643845</v>
      </c>
    </row>
    <row r="279" spans="1:13">
      <c r="A279" s="25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</row>
    <row r="280" spans="1:13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>
      <c r="A281" s="332" t="s">
        <v>521</v>
      </c>
      <c r="B281" s="332"/>
      <c r="C281" s="332"/>
      <c r="D281" s="332"/>
      <c r="E281" s="332"/>
      <c r="F281" s="332"/>
      <c r="G281" s="332"/>
      <c r="H281" s="332"/>
      <c r="I281" s="35"/>
      <c r="J281" s="35"/>
      <c r="K281" s="35"/>
      <c r="L281" s="35"/>
      <c r="M281" s="35"/>
    </row>
    <row r="282" spans="1:13">
      <c r="A282" s="332" t="s">
        <v>522</v>
      </c>
      <c r="B282" s="332"/>
      <c r="C282" s="332"/>
      <c r="D282" s="332"/>
      <c r="E282" s="332"/>
      <c r="F282" s="332"/>
      <c r="G282" s="332"/>
      <c r="H282" s="332"/>
      <c r="I282" s="35"/>
      <c r="J282" s="35"/>
      <c r="K282" s="35"/>
      <c r="L282" s="35"/>
      <c r="M282" s="35"/>
    </row>
    <row r="283" spans="1:13">
      <c r="A283" s="332" t="s">
        <v>516</v>
      </c>
      <c r="B283" s="332"/>
      <c r="C283" s="332"/>
      <c r="D283" s="332"/>
      <c r="E283" s="332"/>
      <c r="F283" s="332"/>
      <c r="G283" s="332"/>
      <c r="H283" s="332"/>
      <c r="I283" s="35"/>
      <c r="J283" s="35"/>
      <c r="K283" s="35"/>
      <c r="L283" s="35"/>
      <c r="M283" s="35"/>
    </row>
  </sheetData>
  <mergeCells count="7">
    <mergeCell ref="A283:H283"/>
    <mergeCell ref="A1:H1"/>
    <mergeCell ref="A2:H2"/>
    <mergeCell ref="A3:H3"/>
    <mergeCell ref="A4:H4"/>
    <mergeCell ref="A281:H281"/>
    <mergeCell ref="A282:H282"/>
  </mergeCells>
  <pageMargins left="0.5" right="0.25" top="1" bottom="1" header="0.25" footer="0.5"/>
  <pageSetup scale="60" orientation="portrait" verticalDpi="0" r:id="rId1"/>
  <headerFooter alignWithMargins="0">
    <oddHeader>&amp;L&amp;"Times New Roman,Regular"&amp;12ARPA 5-8_Attach A.xlsx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F3F1-13C9-4CEB-BD82-BCCBC07FB1F1}">
  <sheetPr>
    <tabColor rgb="FF92D050"/>
  </sheetPr>
  <dimension ref="A1:N282"/>
  <sheetViews>
    <sheetView workbookViewId="0"/>
  </sheetViews>
  <sheetFormatPr defaultColWidth="8.85546875" defaultRowHeight="15"/>
  <cols>
    <col min="1" max="1" width="52.7109375" style="36" bestFit="1" customWidth="1"/>
    <col min="2" max="3" width="17.5703125" style="36" customWidth="1"/>
    <col min="4" max="13" width="15.42578125" style="36" customWidth="1"/>
    <col min="14" max="16384" width="8.85546875" style="36"/>
  </cols>
  <sheetData>
    <row r="1" spans="1:13" ht="17.25">
      <c r="A1" s="337" t="s">
        <v>234</v>
      </c>
      <c r="B1" s="337"/>
      <c r="C1" s="337"/>
      <c r="D1" s="337"/>
      <c r="E1" s="337"/>
      <c r="F1" s="337"/>
      <c r="G1" s="337"/>
      <c r="H1" s="337"/>
    </row>
    <row r="2" spans="1:13" ht="17.25">
      <c r="A2" s="337" t="s">
        <v>235</v>
      </c>
      <c r="B2" s="337"/>
      <c r="C2" s="337"/>
      <c r="D2" s="337"/>
      <c r="E2" s="337"/>
      <c r="F2" s="337"/>
      <c r="G2" s="337"/>
      <c r="H2" s="337"/>
    </row>
    <row r="3" spans="1:13" ht="17.25">
      <c r="A3" s="338" t="s">
        <v>236</v>
      </c>
      <c r="B3" s="338"/>
      <c r="C3" s="338"/>
      <c r="D3" s="338"/>
      <c r="E3" s="338"/>
      <c r="F3" s="338"/>
      <c r="G3" s="338"/>
      <c r="H3" s="338"/>
    </row>
    <row r="4" spans="1:13">
      <c r="A4" s="339" t="s">
        <v>237</v>
      </c>
      <c r="B4" s="339"/>
      <c r="C4" s="339"/>
      <c r="D4" s="339"/>
      <c r="E4" s="339"/>
      <c r="F4" s="339"/>
      <c r="G4" s="339"/>
      <c r="H4" s="339"/>
    </row>
    <row r="5" spans="1:13" ht="22.5" customHeight="1">
      <c r="A5" s="37"/>
      <c r="B5" s="38" t="s">
        <v>238</v>
      </c>
      <c r="C5" s="38" t="s">
        <v>239</v>
      </c>
      <c r="D5" s="38" t="s">
        <v>240</v>
      </c>
      <c r="E5" s="38" t="s">
        <v>241</v>
      </c>
      <c r="F5" s="38" t="s">
        <v>242</v>
      </c>
      <c r="G5" s="38" t="s">
        <v>243</v>
      </c>
      <c r="H5" s="38" t="s">
        <v>244</v>
      </c>
      <c r="I5" s="38" t="s">
        <v>245</v>
      </c>
      <c r="J5" s="38" t="s">
        <v>246</v>
      </c>
      <c r="K5" s="38" t="s">
        <v>247</v>
      </c>
      <c r="L5" s="38" t="s">
        <v>248</v>
      </c>
      <c r="M5" s="38" t="s">
        <v>249</v>
      </c>
    </row>
    <row r="6" spans="1:13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>
      <c r="A7" s="41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>
      <c r="A8" s="42" t="s">
        <v>250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3">
      <c r="A9" s="43" t="s">
        <v>251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>
      <c r="A10" s="57" t="s">
        <v>252</v>
      </c>
      <c r="B10" s="58">
        <v>1046032071</v>
      </c>
      <c r="C10" s="58">
        <v>1048504745</v>
      </c>
      <c r="D10" s="58">
        <v>1045049944</v>
      </c>
      <c r="E10" s="58">
        <v>1057190490</v>
      </c>
      <c r="F10" s="58">
        <v>1058982612</v>
      </c>
      <c r="G10" s="58">
        <v>1059113849</v>
      </c>
      <c r="H10" s="58">
        <v>1064775941</v>
      </c>
      <c r="I10" s="58">
        <v>1066343907</v>
      </c>
      <c r="J10" s="58">
        <v>1066614577</v>
      </c>
      <c r="K10" s="58">
        <v>1068874684</v>
      </c>
      <c r="L10" s="58">
        <v>1072012943</v>
      </c>
      <c r="M10" s="58">
        <v>1101795192</v>
      </c>
    </row>
    <row r="11" spans="1:13">
      <c r="A11" s="57" t="s">
        <v>253</v>
      </c>
      <c r="B11" s="58">
        <v>529900</v>
      </c>
      <c r="C11" s="58">
        <v>529900</v>
      </c>
      <c r="D11" s="58">
        <v>529900</v>
      </c>
      <c r="E11" s="58">
        <v>529900</v>
      </c>
      <c r="F11" s="58">
        <v>529900</v>
      </c>
      <c r="G11" s="58">
        <v>529900</v>
      </c>
      <c r="H11" s="58">
        <v>529900</v>
      </c>
      <c r="I11" s="58">
        <v>529900</v>
      </c>
      <c r="J11" s="58">
        <v>529900</v>
      </c>
      <c r="K11" s="58">
        <v>529900</v>
      </c>
      <c r="L11" s="58">
        <v>529900</v>
      </c>
      <c r="M11" s="58">
        <v>529900</v>
      </c>
    </row>
    <row r="12" spans="1:13">
      <c r="A12" s="56" t="s">
        <v>254</v>
      </c>
      <c r="B12" s="55">
        <v>1127251</v>
      </c>
      <c r="C12" s="55">
        <v>1127251</v>
      </c>
      <c r="D12" s="55">
        <v>1127251</v>
      </c>
      <c r="E12" s="55">
        <v>1127251</v>
      </c>
      <c r="F12" s="55">
        <v>1127251</v>
      </c>
      <c r="G12" s="55">
        <v>1127251</v>
      </c>
      <c r="H12" s="55">
        <v>1150852</v>
      </c>
      <c r="I12" s="55">
        <v>1151438</v>
      </c>
      <c r="J12" s="55">
        <v>1151438</v>
      </c>
      <c r="K12" s="55">
        <v>1151438</v>
      </c>
      <c r="L12" s="55">
        <v>1151438</v>
      </c>
      <c r="M12" s="55">
        <v>1151569</v>
      </c>
    </row>
    <row r="13" spans="1:13">
      <c r="A13" s="90" t="s">
        <v>255</v>
      </c>
      <c r="B13" s="91">
        <v>7196224</v>
      </c>
      <c r="C13" s="91">
        <v>7196224</v>
      </c>
      <c r="D13" s="91">
        <v>7196224</v>
      </c>
      <c r="E13" s="91">
        <v>7196224</v>
      </c>
      <c r="F13" s="91">
        <v>7196224</v>
      </c>
      <c r="G13" s="91">
        <v>7196224</v>
      </c>
      <c r="H13" s="91">
        <v>7196224</v>
      </c>
      <c r="I13" s="91">
        <v>7196224</v>
      </c>
      <c r="J13" s="91">
        <v>7196224</v>
      </c>
      <c r="K13" s="91">
        <v>7196224</v>
      </c>
      <c r="L13" s="91">
        <v>7196224</v>
      </c>
      <c r="M13" s="91">
        <v>7196224</v>
      </c>
    </row>
    <row r="14" spans="1:13">
      <c r="A14" s="44" t="s">
        <v>256</v>
      </c>
      <c r="B14" s="45">
        <v>4133205</v>
      </c>
      <c r="C14" s="45">
        <v>4133205</v>
      </c>
      <c r="D14" s="45">
        <v>4133205</v>
      </c>
      <c r="E14" s="45">
        <v>4133205</v>
      </c>
      <c r="F14" s="45">
        <v>4133205</v>
      </c>
      <c r="G14" s="45">
        <v>3181183</v>
      </c>
      <c r="H14" s="45">
        <v>3181183</v>
      </c>
      <c r="I14" s="45">
        <v>3181183</v>
      </c>
      <c r="J14" s="45">
        <v>3181183</v>
      </c>
      <c r="K14" s="45">
        <v>3181183</v>
      </c>
      <c r="L14" s="45">
        <v>3181183</v>
      </c>
      <c r="M14" s="45">
        <v>3181183</v>
      </c>
    </row>
    <row r="15" spans="1:13">
      <c r="A15" s="57" t="s">
        <v>257</v>
      </c>
      <c r="B15" s="58">
        <v>50919292</v>
      </c>
      <c r="C15" s="58">
        <v>51255488</v>
      </c>
      <c r="D15" s="58">
        <v>49762145</v>
      </c>
      <c r="E15" s="58">
        <v>59886715</v>
      </c>
      <c r="F15" s="58">
        <v>60790096</v>
      </c>
      <c r="G15" s="58">
        <v>61950136</v>
      </c>
      <c r="H15" s="58">
        <v>60847017</v>
      </c>
      <c r="I15" s="58">
        <v>60534186</v>
      </c>
      <c r="J15" s="58">
        <v>59890610</v>
      </c>
      <c r="K15" s="58">
        <v>62023622</v>
      </c>
      <c r="L15" s="58">
        <v>66651161</v>
      </c>
      <c r="M15" s="58">
        <v>42261684</v>
      </c>
    </row>
    <row r="16" spans="1:13">
      <c r="A16" s="44" t="s">
        <v>258</v>
      </c>
      <c r="B16" s="45">
        <v>234762278</v>
      </c>
      <c r="C16" s="45">
        <v>234762278</v>
      </c>
      <c r="D16" s="45">
        <v>234762278</v>
      </c>
      <c r="E16" s="45">
        <v>234762278</v>
      </c>
      <c r="F16" s="45">
        <v>234762278</v>
      </c>
      <c r="G16" s="45">
        <v>234762278</v>
      </c>
      <c r="H16" s="45">
        <v>234762278</v>
      </c>
      <c r="I16" s="45">
        <v>234762278</v>
      </c>
      <c r="J16" s="45">
        <v>234762278</v>
      </c>
      <c r="K16" s="45">
        <v>234762278</v>
      </c>
      <c r="L16" s="45">
        <v>234762278</v>
      </c>
      <c r="M16" s="45">
        <v>234762278</v>
      </c>
    </row>
    <row r="17" spans="1:13">
      <c r="A17" s="44" t="s">
        <v>259</v>
      </c>
      <c r="B17" s="45">
        <v>0</v>
      </c>
      <c r="C17" s="45">
        <v>0</v>
      </c>
      <c r="D17" s="45">
        <v>218054</v>
      </c>
      <c r="E17" s="45">
        <v>156348</v>
      </c>
      <c r="F17" s="45">
        <v>156348</v>
      </c>
      <c r="G17" s="45">
        <v>156198</v>
      </c>
      <c r="H17" s="45">
        <v>156198</v>
      </c>
      <c r="I17" s="45">
        <v>171555</v>
      </c>
      <c r="J17" s="45">
        <v>190241</v>
      </c>
      <c r="K17" s="45">
        <v>191492</v>
      </c>
      <c r="L17" s="45">
        <v>251069</v>
      </c>
      <c r="M17" s="45">
        <v>267217</v>
      </c>
    </row>
    <row r="18" spans="1:13">
      <c r="A18" s="56" t="s">
        <v>260</v>
      </c>
      <c r="B18" s="55">
        <v>22911759</v>
      </c>
      <c r="C18" s="55">
        <v>22687655</v>
      </c>
      <c r="D18" s="55">
        <v>22062653</v>
      </c>
      <c r="E18" s="55">
        <v>22041424</v>
      </c>
      <c r="F18" s="55">
        <v>22071596</v>
      </c>
      <c r="G18" s="55">
        <v>22212955</v>
      </c>
      <c r="H18" s="55">
        <v>22859010</v>
      </c>
      <c r="I18" s="55">
        <v>23083046</v>
      </c>
      <c r="J18" s="55">
        <v>23085671</v>
      </c>
      <c r="K18" s="55">
        <v>22812325</v>
      </c>
      <c r="L18" s="55">
        <v>22821284</v>
      </c>
      <c r="M18" s="55">
        <v>22478058</v>
      </c>
    </row>
    <row r="19" spans="1:13">
      <c r="A19" s="46" t="s">
        <v>261</v>
      </c>
      <c r="B19" s="45">
        <v>1367611981</v>
      </c>
      <c r="C19" s="45">
        <v>1370196747</v>
      </c>
      <c r="D19" s="45">
        <v>1364841655</v>
      </c>
      <c r="E19" s="45">
        <v>1387023835</v>
      </c>
      <c r="F19" s="45">
        <v>1389749511</v>
      </c>
      <c r="G19" s="45">
        <v>1390229974</v>
      </c>
      <c r="H19" s="45">
        <v>1395458603</v>
      </c>
      <c r="I19" s="45">
        <v>1396953718</v>
      </c>
      <c r="J19" s="45">
        <v>1396602122</v>
      </c>
      <c r="K19" s="45">
        <v>1400723147</v>
      </c>
      <c r="L19" s="45">
        <v>1408557482</v>
      </c>
      <c r="M19" s="45">
        <v>1413623306</v>
      </c>
    </row>
    <row r="20" spans="1:13">
      <c r="A20" s="44" t="s">
        <v>262</v>
      </c>
      <c r="B20" s="45">
        <v>76176540</v>
      </c>
      <c r="C20" s="45">
        <v>77806209</v>
      </c>
      <c r="D20" s="45">
        <v>80325494</v>
      </c>
      <c r="E20" s="45">
        <v>64288569</v>
      </c>
      <c r="F20" s="45">
        <v>70812988</v>
      </c>
      <c r="G20" s="45">
        <v>71698123</v>
      </c>
      <c r="H20" s="45">
        <v>73260460</v>
      </c>
      <c r="I20" s="45">
        <v>76407198</v>
      </c>
      <c r="J20" s="45">
        <v>79004464</v>
      </c>
      <c r="K20" s="45">
        <v>81540281</v>
      </c>
      <c r="L20" s="45">
        <v>76860082</v>
      </c>
      <c r="M20" s="45">
        <v>77751717</v>
      </c>
    </row>
    <row r="21" spans="1:13">
      <c r="A21" s="46" t="s">
        <v>263</v>
      </c>
      <c r="B21" s="45">
        <v>76176540</v>
      </c>
      <c r="C21" s="45">
        <v>77806209</v>
      </c>
      <c r="D21" s="45">
        <v>80325494</v>
      </c>
      <c r="E21" s="45">
        <v>64288569</v>
      </c>
      <c r="F21" s="45">
        <v>70812988</v>
      </c>
      <c r="G21" s="45">
        <v>71698123</v>
      </c>
      <c r="H21" s="45">
        <v>73260460</v>
      </c>
      <c r="I21" s="45">
        <v>76407198</v>
      </c>
      <c r="J21" s="45">
        <v>79004464</v>
      </c>
      <c r="K21" s="45">
        <v>81540281</v>
      </c>
      <c r="L21" s="45">
        <v>76860082</v>
      </c>
      <c r="M21" s="45">
        <v>77751717</v>
      </c>
    </row>
    <row r="22" spans="1:13">
      <c r="A22" s="47" t="s">
        <v>264</v>
      </c>
      <c r="B22" s="45">
        <v>1443788522</v>
      </c>
      <c r="C22" s="45">
        <v>1448002956</v>
      </c>
      <c r="D22" s="45">
        <v>1445167150</v>
      </c>
      <c r="E22" s="45">
        <v>1451312404</v>
      </c>
      <c r="F22" s="45">
        <v>1460562499</v>
      </c>
      <c r="G22" s="45">
        <v>1461928097</v>
      </c>
      <c r="H22" s="45">
        <v>1468719063</v>
      </c>
      <c r="I22" s="45">
        <v>1473360915</v>
      </c>
      <c r="J22" s="45">
        <v>1475606586</v>
      </c>
      <c r="K22" s="45">
        <v>1482263428</v>
      </c>
      <c r="L22" s="45">
        <v>1485417564</v>
      </c>
      <c r="M22" s="45">
        <v>1491375023</v>
      </c>
    </row>
    <row r="23" spans="1:13">
      <c r="A23" s="46" t="s">
        <v>265</v>
      </c>
      <c r="B23" s="48">
        <v>-320870048</v>
      </c>
      <c r="C23" s="48">
        <v>-322930896</v>
      </c>
      <c r="D23" s="48">
        <v>-318927008</v>
      </c>
      <c r="E23" s="48">
        <v>-321581670</v>
      </c>
      <c r="F23" s="48">
        <v>-323657814</v>
      </c>
      <c r="G23" s="48">
        <v>-323545288</v>
      </c>
      <c r="H23" s="48">
        <v>-327129946</v>
      </c>
      <c r="I23" s="48">
        <v>-329344330</v>
      </c>
      <c r="J23" s="48">
        <v>-329588730</v>
      </c>
      <c r="K23" s="48">
        <v>-333756565</v>
      </c>
      <c r="L23" s="48">
        <v>-335386693</v>
      </c>
      <c r="M23" s="48">
        <v>-335117369</v>
      </c>
    </row>
    <row r="24" spans="1:13">
      <c r="A24" s="46" t="s">
        <v>266</v>
      </c>
      <c r="B24" s="45">
        <v>492973</v>
      </c>
      <c r="C24" s="45">
        <v>418455</v>
      </c>
      <c r="D24" s="45">
        <v>438506</v>
      </c>
      <c r="E24" s="45">
        <v>654591</v>
      </c>
      <c r="F24" s="45">
        <v>413124</v>
      </c>
      <c r="G24" s="45">
        <v>1481370</v>
      </c>
      <c r="H24" s="45">
        <v>1550496</v>
      </c>
      <c r="I24" s="45">
        <v>1556402</v>
      </c>
      <c r="J24" s="45">
        <v>1499828</v>
      </c>
      <c r="K24" s="45">
        <v>1499642</v>
      </c>
      <c r="L24" s="45">
        <v>2020822</v>
      </c>
      <c r="M24" s="45">
        <v>261112</v>
      </c>
    </row>
    <row r="25" spans="1:13">
      <c r="A25" s="46" t="s">
        <v>267</v>
      </c>
      <c r="B25" s="48">
        <v>-16701165</v>
      </c>
      <c r="C25" s="48">
        <v>-16978442</v>
      </c>
      <c r="D25" s="48">
        <v>-17281818</v>
      </c>
      <c r="E25" s="48">
        <v>-17345789</v>
      </c>
      <c r="F25" s="48">
        <v>-17444862</v>
      </c>
      <c r="G25" s="48">
        <v>-17562670</v>
      </c>
      <c r="H25" s="48">
        <v>-17647867</v>
      </c>
      <c r="I25" s="48">
        <v>-18018638</v>
      </c>
      <c r="J25" s="48">
        <v>-18340860</v>
      </c>
      <c r="K25" s="48">
        <v>-18714211</v>
      </c>
      <c r="L25" s="48">
        <v>-19061510</v>
      </c>
      <c r="M25" s="48">
        <v>-18560644</v>
      </c>
    </row>
    <row r="26" spans="1:13">
      <c r="A26" s="46" t="s">
        <v>268</v>
      </c>
      <c r="B26" s="48">
        <v>-226463</v>
      </c>
      <c r="C26" s="48">
        <v>-227152</v>
      </c>
      <c r="D26" s="48">
        <v>-227842</v>
      </c>
      <c r="E26" s="48">
        <v>-228531</v>
      </c>
      <c r="F26" s="48">
        <v>-229221</v>
      </c>
      <c r="G26" s="48">
        <v>-229910</v>
      </c>
      <c r="H26" s="48">
        <v>-230600</v>
      </c>
      <c r="I26" s="48">
        <v>-231289</v>
      </c>
      <c r="J26" s="48">
        <v>-231979</v>
      </c>
      <c r="K26" s="48">
        <v>-232668</v>
      </c>
      <c r="L26" s="48">
        <v>-233358</v>
      </c>
      <c r="M26" s="48">
        <v>-234047</v>
      </c>
    </row>
    <row r="27" spans="1:13">
      <c r="A27" s="46" t="s">
        <v>269</v>
      </c>
      <c r="B27" s="48">
        <v>-381466</v>
      </c>
      <c r="C27" s="48">
        <v>-390135</v>
      </c>
      <c r="D27" s="48">
        <v>-398822</v>
      </c>
      <c r="E27" s="48">
        <v>-407527</v>
      </c>
      <c r="F27" s="48">
        <v>-416249</v>
      </c>
      <c r="G27" s="48">
        <v>-424988</v>
      </c>
      <c r="H27" s="48">
        <v>-433730</v>
      </c>
      <c r="I27" s="48">
        <v>-442503</v>
      </c>
      <c r="J27" s="48">
        <v>-451291</v>
      </c>
      <c r="K27" s="48">
        <v>-460097</v>
      </c>
      <c r="L27" s="48">
        <v>-468922</v>
      </c>
      <c r="M27" s="48">
        <v>-475160</v>
      </c>
    </row>
    <row r="28" spans="1:13">
      <c r="A28" s="46" t="s">
        <v>270</v>
      </c>
      <c r="B28" s="48">
        <v>-2222961</v>
      </c>
      <c r="C28" s="48">
        <v>-2248137</v>
      </c>
      <c r="D28" s="48">
        <v>-2273312</v>
      </c>
      <c r="E28" s="48">
        <v>-2298487</v>
      </c>
      <c r="F28" s="48">
        <v>-2323663</v>
      </c>
      <c r="G28" s="48">
        <v>-2348838</v>
      </c>
      <c r="H28" s="48">
        <v>-2374014</v>
      </c>
      <c r="I28" s="48">
        <v>-2374014</v>
      </c>
      <c r="J28" s="48">
        <v>-2424365</v>
      </c>
      <c r="K28" s="48">
        <v>-2449540</v>
      </c>
      <c r="L28" s="48">
        <v>-2474716</v>
      </c>
      <c r="M28" s="48">
        <v>-2499891</v>
      </c>
    </row>
    <row r="29" spans="1:13">
      <c r="A29" s="46" t="s">
        <v>271</v>
      </c>
      <c r="B29" s="48">
        <v>-1282191</v>
      </c>
      <c r="C29" s="48">
        <v>-1288354</v>
      </c>
      <c r="D29" s="48">
        <v>-1294517</v>
      </c>
      <c r="E29" s="48">
        <v>-1300679</v>
      </c>
      <c r="F29" s="48">
        <v>-1306842</v>
      </c>
      <c r="G29" s="48">
        <v>-1313005</v>
      </c>
      <c r="H29" s="48">
        <v>-1319773</v>
      </c>
      <c r="I29" s="48">
        <v>-1320090</v>
      </c>
      <c r="J29" s="48">
        <v>-1326253</v>
      </c>
      <c r="K29" s="48">
        <v>-1332416</v>
      </c>
      <c r="L29" s="48">
        <v>-1338579</v>
      </c>
      <c r="M29" s="48">
        <v>-1344766</v>
      </c>
    </row>
    <row r="30" spans="1:13">
      <c r="A30" s="46" t="s">
        <v>272</v>
      </c>
      <c r="B30" s="45">
        <v>0</v>
      </c>
      <c r="C30" s="45">
        <v>0</v>
      </c>
      <c r="D30" s="48">
        <v>-105822</v>
      </c>
      <c r="E30" s="48">
        <v>-76821</v>
      </c>
      <c r="F30" s="48">
        <v>-81825</v>
      </c>
      <c r="G30" s="48">
        <v>-86823</v>
      </c>
      <c r="H30" s="48">
        <v>-91815</v>
      </c>
      <c r="I30" s="48">
        <v>-97021</v>
      </c>
      <c r="J30" s="48">
        <v>-103034</v>
      </c>
      <c r="K30" s="48">
        <v>-108828</v>
      </c>
      <c r="L30" s="48">
        <v>-118777</v>
      </c>
      <c r="M30" s="48">
        <v>-126584</v>
      </c>
    </row>
    <row r="31" spans="1:13">
      <c r="A31" s="92" t="s">
        <v>273</v>
      </c>
      <c r="B31" s="93">
        <v>-2195122</v>
      </c>
      <c r="C31" s="93">
        <v>-2194948</v>
      </c>
      <c r="D31" s="93">
        <v>-2194992</v>
      </c>
      <c r="E31" s="93">
        <v>-2194975</v>
      </c>
      <c r="F31" s="93">
        <v>-2195032</v>
      </c>
      <c r="G31" s="93">
        <v>-2195132</v>
      </c>
      <c r="H31" s="93">
        <v>-2195215</v>
      </c>
      <c r="I31" s="93">
        <v>-2195313</v>
      </c>
      <c r="J31" s="93">
        <v>-2195426</v>
      </c>
      <c r="K31" s="93">
        <v>-1921672</v>
      </c>
      <c r="L31" s="93">
        <v>-1921773</v>
      </c>
      <c r="M31" s="93">
        <v>-1921877</v>
      </c>
    </row>
    <row r="32" spans="1:13">
      <c r="A32" s="92" t="s">
        <v>274</v>
      </c>
      <c r="B32" s="93">
        <v>-1539634</v>
      </c>
      <c r="C32" s="93">
        <v>-1859924</v>
      </c>
      <c r="D32" s="93">
        <v>-2002691</v>
      </c>
      <c r="E32" s="93">
        <v>-2250478</v>
      </c>
      <c r="F32" s="93">
        <v>-2402594</v>
      </c>
      <c r="G32" s="93">
        <v>-2648018</v>
      </c>
      <c r="H32" s="93">
        <v>-2748662</v>
      </c>
      <c r="I32" s="93">
        <v>-3006998</v>
      </c>
      <c r="J32" s="93">
        <v>-3262107</v>
      </c>
      <c r="K32" s="93">
        <v>-4581214</v>
      </c>
      <c r="L32" s="93">
        <v>-4838993</v>
      </c>
      <c r="M32" s="93">
        <v>-4220768</v>
      </c>
    </row>
    <row r="33" spans="1:13">
      <c r="A33" s="94" t="s">
        <v>275</v>
      </c>
      <c r="B33" s="93">
        <v>-344926077</v>
      </c>
      <c r="C33" s="93">
        <v>-347699532</v>
      </c>
      <c r="D33" s="93">
        <v>-344268318</v>
      </c>
      <c r="E33" s="93">
        <v>-347030368</v>
      </c>
      <c r="F33" s="93">
        <v>-349644977</v>
      </c>
      <c r="G33" s="93">
        <v>-348873304</v>
      </c>
      <c r="H33" s="93">
        <v>-352621125</v>
      </c>
      <c r="I33" s="93">
        <v>-355473794</v>
      </c>
      <c r="J33" s="93">
        <v>-356424217</v>
      </c>
      <c r="K33" s="93">
        <v>-362057569</v>
      </c>
      <c r="L33" s="93">
        <v>-363822498</v>
      </c>
      <c r="M33" s="93">
        <v>-364239994</v>
      </c>
    </row>
    <row r="34" spans="1:13">
      <c r="A34" s="95" t="s">
        <v>276</v>
      </c>
      <c r="B34" s="96">
        <v>1098862445</v>
      </c>
      <c r="C34" s="96">
        <v>1100303424</v>
      </c>
      <c r="D34" s="96">
        <v>1100898831</v>
      </c>
      <c r="E34" s="96">
        <v>1104282036</v>
      </c>
      <c r="F34" s="96">
        <v>1110917522</v>
      </c>
      <c r="G34" s="96">
        <v>1113054793</v>
      </c>
      <c r="H34" s="96">
        <v>1116097938</v>
      </c>
      <c r="I34" s="96">
        <v>1117887121</v>
      </c>
      <c r="J34" s="96">
        <v>1119182370</v>
      </c>
      <c r="K34" s="96">
        <v>1120205859</v>
      </c>
      <c r="L34" s="96">
        <v>1121595066</v>
      </c>
      <c r="M34" s="96">
        <v>1127135029</v>
      </c>
    </row>
    <row r="35" spans="1:13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</row>
    <row r="36" spans="1:13">
      <c r="A36" s="99" t="s">
        <v>277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</row>
    <row r="37" spans="1:13">
      <c r="A37" s="92" t="s">
        <v>278</v>
      </c>
      <c r="B37" s="91">
        <v>120841</v>
      </c>
      <c r="C37" s="91">
        <v>120841</v>
      </c>
      <c r="D37" s="91">
        <v>120841</v>
      </c>
      <c r="E37" s="91">
        <v>120841</v>
      </c>
      <c r="F37" s="91">
        <v>120841</v>
      </c>
      <c r="G37" s="91">
        <v>120841</v>
      </c>
      <c r="H37" s="91">
        <v>120841</v>
      </c>
      <c r="I37" s="91">
        <v>120841</v>
      </c>
      <c r="J37" s="91">
        <v>120841</v>
      </c>
      <c r="K37" s="91">
        <v>120841</v>
      </c>
      <c r="L37" s="91">
        <v>120841</v>
      </c>
      <c r="M37" s="91">
        <v>120802</v>
      </c>
    </row>
    <row r="38" spans="1:13">
      <c r="A38" s="47" t="s">
        <v>279</v>
      </c>
      <c r="B38" s="45">
        <v>120841</v>
      </c>
      <c r="C38" s="45">
        <v>120841</v>
      </c>
      <c r="D38" s="45">
        <v>120841</v>
      </c>
      <c r="E38" s="45">
        <v>120841</v>
      </c>
      <c r="F38" s="45">
        <v>120841</v>
      </c>
      <c r="G38" s="45">
        <v>120841</v>
      </c>
      <c r="H38" s="45">
        <v>120841</v>
      </c>
      <c r="I38" s="45">
        <v>120841</v>
      </c>
      <c r="J38" s="45">
        <v>120841</v>
      </c>
      <c r="K38" s="45">
        <v>120841</v>
      </c>
      <c r="L38" s="45">
        <v>120841</v>
      </c>
      <c r="M38" s="45">
        <v>120802</v>
      </c>
    </row>
    <row r="39" spans="1:13">
      <c r="A39" s="49" t="s">
        <v>280</v>
      </c>
      <c r="B39" s="50">
        <v>120841</v>
      </c>
      <c r="C39" s="50">
        <v>120841</v>
      </c>
      <c r="D39" s="50">
        <v>120841</v>
      </c>
      <c r="E39" s="50">
        <v>120841</v>
      </c>
      <c r="F39" s="50">
        <v>120841</v>
      </c>
      <c r="G39" s="50">
        <v>120841</v>
      </c>
      <c r="H39" s="50">
        <v>120841</v>
      </c>
      <c r="I39" s="50">
        <v>120841</v>
      </c>
      <c r="J39" s="50">
        <v>120841</v>
      </c>
      <c r="K39" s="50">
        <v>120841</v>
      </c>
      <c r="L39" s="50">
        <v>120841</v>
      </c>
      <c r="M39" s="50">
        <v>120802</v>
      </c>
    </row>
    <row r="40" spans="1:13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3">
      <c r="A41" s="43" t="s">
        <v>281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1:13">
      <c r="A42" s="46" t="s">
        <v>282</v>
      </c>
      <c r="B42" s="45">
        <v>463950</v>
      </c>
      <c r="C42" s="45">
        <v>487816</v>
      </c>
      <c r="D42" s="45">
        <v>1169096</v>
      </c>
      <c r="E42" s="45">
        <v>513927</v>
      </c>
      <c r="F42" s="45">
        <v>635321</v>
      </c>
      <c r="G42" s="45">
        <v>639746</v>
      </c>
      <c r="H42" s="45">
        <v>362162</v>
      </c>
      <c r="I42" s="45">
        <v>226611</v>
      </c>
      <c r="J42" s="45">
        <v>649402</v>
      </c>
      <c r="K42" s="45">
        <v>375192</v>
      </c>
      <c r="L42" s="45">
        <v>247058</v>
      </c>
      <c r="M42" s="45">
        <v>614583</v>
      </c>
    </row>
    <row r="43" spans="1:13">
      <c r="A43" s="46" t="s">
        <v>283</v>
      </c>
      <c r="B43" s="45">
        <v>201721</v>
      </c>
      <c r="C43" s="48">
        <v>-653</v>
      </c>
      <c r="D43" s="45">
        <v>205057</v>
      </c>
      <c r="E43" s="45">
        <v>12237</v>
      </c>
      <c r="F43" s="48">
        <v>-5401</v>
      </c>
      <c r="G43" s="45">
        <v>327181</v>
      </c>
      <c r="H43" s="48">
        <v>-68074</v>
      </c>
      <c r="I43" s="45">
        <v>126587</v>
      </c>
      <c r="J43" s="45">
        <v>401793</v>
      </c>
      <c r="K43" s="48">
        <v>-135</v>
      </c>
      <c r="L43" s="48">
        <v>-4246</v>
      </c>
      <c r="M43" s="45">
        <v>1066747</v>
      </c>
    </row>
    <row r="44" spans="1:13">
      <c r="A44" s="46" t="s">
        <v>284</v>
      </c>
      <c r="B44" s="48">
        <v>-2026009</v>
      </c>
      <c r="C44" s="48">
        <v>-1697778</v>
      </c>
      <c r="D44" s="48">
        <v>-515222</v>
      </c>
      <c r="E44" s="48">
        <v>-440652</v>
      </c>
      <c r="F44" s="48">
        <v>-364078</v>
      </c>
      <c r="G44" s="48">
        <v>-637068</v>
      </c>
      <c r="H44" s="48">
        <v>-332720</v>
      </c>
      <c r="I44" s="48">
        <v>-231309</v>
      </c>
      <c r="J44" s="48">
        <v>-291553</v>
      </c>
      <c r="K44" s="48">
        <v>-250301</v>
      </c>
      <c r="L44" s="48">
        <v>-323722</v>
      </c>
      <c r="M44" s="48">
        <v>-672255</v>
      </c>
    </row>
    <row r="45" spans="1:13">
      <c r="A45" s="46" t="s">
        <v>285</v>
      </c>
      <c r="B45" s="45">
        <v>443256</v>
      </c>
      <c r="C45" s="45">
        <v>313982</v>
      </c>
      <c r="D45" s="45">
        <v>216456</v>
      </c>
      <c r="E45" s="48">
        <v>-553581</v>
      </c>
      <c r="F45" s="48">
        <v>-31164</v>
      </c>
      <c r="G45" s="45">
        <v>104370</v>
      </c>
      <c r="H45" s="48">
        <v>-123536</v>
      </c>
      <c r="I45" s="48">
        <v>-345641</v>
      </c>
      <c r="J45" s="48">
        <v>-70943</v>
      </c>
      <c r="K45" s="45">
        <v>152683</v>
      </c>
      <c r="L45" s="48">
        <v>-219753</v>
      </c>
      <c r="M45" s="48">
        <v>-7100</v>
      </c>
    </row>
    <row r="46" spans="1:13">
      <c r="A46" s="46" t="s">
        <v>286</v>
      </c>
      <c r="B46" s="48">
        <v>-339</v>
      </c>
      <c r="C46" s="48">
        <v>-339</v>
      </c>
      <c r="D46" s="48">
        <v>-339</v>
      </c>
      <c r="E46" s="48">
        <v>-339</v>
      </c>
      <c r="F46" s="48">
        <v>-339</v>
      </c>
      <c r="G46" s="48">
        <v>-339</v>
      </c>
      <c r="H46" s="48">
        <v>-339</v>
      </c>
      <c r="I46" s="48">
        <v>-339</v>
      </c>
      <c r="J46" s="48">
        <v>-339</v>
      </c>
      <c r="K46" s="48">
        <v>-339</v>
      </c>
      <c r="L46" s="48">
        <v>-339</v>
      </c>
      <c r="M46" s="48">
        <v>-339</v>
      </c>
    </row>
    <row r="47" spans="1:13">
      <c r="A47" s="46" t="s">
        <v>287</v>
      </c>
      <c r="B47" s="45">
        <v>691</v>
      </c>
      <c r="C47" s="45">
        <v>53003</v>
      </c>
      <c r="D47" s="45">
        <v>648</v>
      </c>
      <c r="E47" s="45">
        <v>14647</v>
      </c>
      <c r="F47" s="45">
        <v>15382</v>
      </c>
      <c r="G47" s="45">
        <v>18046</v>
      </c>
      <c r="H47" s="45">
        <v>22518</v>
      </c>
      <c r="I47" s="45">
        <v>2742</v>
      </c>
      <c r="J47" s="45">
        <v>99</v>
      </c>
      <c r="K47" s="45">
        <v>17605</v>
      </c>
      <c r="L47" s="45">
        <v>0</v>
      </c>
      <c r="M47" s="45">
        <v>1564</v>
      </c>
    </row>
    <row r="48" spans="1:13">
      <c r="A48" s="46" t="s">
        <v>288</v>
      </c>
      <c r="B48" s="48">
        <v>-22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</row>
    <row r="49" spans="1:13">
      <c r="A49" s="46" t="s">
        <v>289</v>
      </c>
      <c r="B49" s="48">
        <v>-37975</v>
      </c>
      <c r="C49" s="48">
        <v>-5202</v>
      </c>
      <c r="D49" s="45">
        <v>99213</v>
      </c>
      <c r="E49" s="48">
        <v>-10357</v>
      </c>
      <c r="F49" s="48">
        <v>-15330</v>
      </c>
      <c r="G49" s="45">
        <v>256500</v>
      </c>
      <c r="H49" s="48">
        <v>-20728</v>
      </c>
      <c r="I49" s="45">
        <v>10428</v>
      </c>
      <c r="J49" s="48">
        <v>-30799</v>
      </c>
      <c r="K49" s="48">
        <v>-29220</v>
      </c>
      <c r="L49" s="45">
        <v>180298</v>
      </c>
      <c r="M49" s="45">
        <v>120299</v>
      </c>
    </row>
    <row r="50" spans="1:13">
      <c r="A50" s="46" t="s">
        <v>290</v>
      </c>
      <c r="B50" s="48">
        <v>-2326</v>
      </c>
      <c r="C50" s="48">
        <v>-2326</v>
      </c>
      <c r="D50" s="48">
        <v>-2326</v>
      </c>
      <c r="E50" s="48">
        <v>-2326</v>
      </c>
      <c r="F50" s="48">
        <v>-2326</v>
      </c>
      <c r="G50" s="48">
        <v>-2326</v>
      </c>
      <c r="H50" s="48">
        <v>-2326</v>
      </c>
      <c r="I50" s="48">
        <v>-2326</v>
      </c>
      <c r="J50" s="48">
        <v>-2326</v>
      </c>
      <c r="K50" s="48">
        <v>-2326</v>
      </c>
      <c r="L50" s="48">
        <v>-2326</v>
      </c>
      <c r="M50" s="48">
        <v>-2326</v>
      </c>
    </row>
    <row r="51" spans="1:13">
      <c r="A51" s="46" t="s">
        <v>291</v>
      </c>
      <c r="B51" s="45">
        <v>0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8">
        <v>-40</v>
      </c>
      <c r="J51" s="48">
        <v>-40</v>
      </c>
      <c r="K51" s="48">
        <v>-40</v>
      </c>
      <c r="L51" s="48">
        <v>-40</v>
      </c>
      <c r="M51" s="48">
        <v>-40</v>
      </c>
    </row>
    <row r="52" spans="1:13">
      <c r="A52" s="46" t="s">
        <v>292</v>
      </c>
      <c r="B52" s="48">
        <v>-3822</v>
      </c>
      <c r="C52" s="48">
        <v>-3697</v>
      </c>
      <c r="D52" s="48">
        <v>-3697</v>
      </c>
      <c r="E52" s="48">
        <v>-3697</v>
      </c>
      <c r="F52" s="48">
        <v>-3697</v>
      </c>
      <c r="G52" s="48">
        <v>-3906</v>
      </c>
      <c r="H52" s="48">
        <v>-3906</v>
      </c>
      <c r="I52" s="48">
        <v>-6101</v>
      </c>
      <c r="J52" s="48">
        <v>-6101</v>
      </c>
      <c r="K52" s="48">
        <v>-6129</v>
      </c>
      <c r="L52" s="48">
        <v>-6129</v>
      </c>
      <c r="M52" s="48">
        <v>-6129</v>
      </c>
    </row>
    <row r="53" spans="1:13">
      <c r="A53" s="46" t="s">
        <v>293</v>
      </c>
      <c r="B53" s="45">
        <v>210</v>
      </c>
      <c r="C53" s="45">
        <v>210</v>
      </c>
      <c r="D53" s="45">
        <v>210</v>
      </c>
      <c r="E53" s="45">
        <v>210</v>
      </c>
      <c r="F53" s="45">
        <v>210</v>
      </c>
      <c r="G53" s="45">
        <v>210</v>
      </c>
      <c r="H53" s="45">
        <v>210</v>
      </c>
      <c r="I53" s="45">
        <v>210</v>
      </c>
      <c r="J53" s="45">
        <v>210</v>
      </c>
      <c r="K53" s="45">
        <v>210</v>
      </c>
      <c r="L53" s="45">
        <v>210</v>
      </c>
      <c r="M53" s="45">
        <v>210</v>
      </c>
    </row>
    <row r="54" spans="1:13">
      <c r="A54" s="47" t="s">
        <v>294</v>
      </c>
      <c r="B54" s="48">
        <v>-960664</v>
      </c>
      <c r="C54" s="48">
        <v>-854985</v>
      </c>
      <c r="D54" s="45">
        <v>1169096</v>
      </c>
      <c r="E54" s="48">
        <v>-469930</v>
      </c>
      <c r="F54" s="45">
        <v>228579</v>
      </c>
      <c r="G54" s="45">
        <v>702413</v>
      </c>
      <c r="H54" s="48">
        <v>-166739</v>
      </c>
      <c r="I54" s="48">
        <v>-219178</v>
      </c>
      <c r="J54" s="45">
        <v>649402</v>
      </c>
      <c r="K54" s="45">
        <v>257200</v>
      </c>
      <c r="L54" s="48">
        <v>-128989</v>
      </c>
      <c r="M54" s="45">
        <v>1115213</v>
      </c>
    </row>
    <row r="55" spans="1:13">
      <c r="A55" s="46" t="s">
        <v>295</v>
      </c>
      <c r="B55" s="45">
        <v>4960764</v>
      </c>
      <c r="C55" s="45">
        <v>4970516</v>
      </c>
      <c r="D55" s="45">
        <v>5013688</v>
      </c>
      <c r="E55" s="45">
        <v>5057503</v>
      </c>
      <c r="F55" s="45">
        <v>5095178</v>
      </c>
      <c r="G55" s="45">
        <v>5138331</v>
      </c>
      <c r="H55" s="45">
        <v>5187809</v>
      </c>
      <c r="I55" s="45">
        <v>5298562</v>
      </c>
      <c r="J55" s="45">
        <v>5383976</v>
      </c>
      <c r="K55" s="45">
        <v>5407010</v>
      </c>
      <c r="L55" s="45">
        <v>5471558</v>
      </c>
      <c r="M55" s="45">
        <v>5527447</v>
      </c>
    </row>
    <row r="56" spans="1:13">
      <c r="A56" s="47" t="s">
        <v>296</v>
      </c>
      <c r="B56" s="45">
        <v>4960764</v>
      </c>
      <c r="C56" s="45">
        <v>4970516</v>
      </c>
      <c r="D56" s="45">
        <v>5013688</v>
      </c>
      <c r="E56" s="45">
        <v>5057503</v>
      </c>
      <c r="F56" s="45">
        <v>5095178</v>
      </c>
      <c r="G56" s="45">
        <v>5138331</v>
      </c>
      <c r="H56" s="45">
        <v>5187809</v>
      </c>
      <c r="I56" s="45">
        <v>5298562</v>
      </c>
      <c r="J56" s="45">
        <v>5383976</v>
      </c>
      <c r="K56" s="45">
        <v>5407010</v>
      </c>
      <c r="L56" s="45">
        <v>5471558</v>
      </c>
      <c r="M56" s="45">
        <v>5527447</v>
      </c>
    </row>
    <row r="57" spans="1:13">
      <c r="A57" s="46" t="s">
        <v>299</v>
      </c>
      <c r="B57" s="45">
        <v>15538653</v>
      </c>
      <c r="C57" s="45">
        <v>15607366</v>
      </c>
      <c r="D57" s="45">
        <v>15117069</v>
      </c>
      <c r="E57" s="45">
        <v>13903558</v>
      </c>
      <c r="F57" s="45">
        <v>13993555</v>
      </c>
      <c r="G57" s="45">
        <v>15028016</v>
      </c>
      <c r="H57" s="45">
        <v>19028086</v>
      </c>
      <c r="I57" s="45">
        <v>20393720</v>
      </c>
      <c r="J57" s="45">
        <v>20589005</v>
      </c>
      <c r="K57" s="45">
        <v>18122927</v>
      </c>
      <c r="L57" s="45">
        <v>17533466</v>
      </c>
      <c r="M57" s="45">
        <v>18770903</v>
      </c>
    </row>
    <row r="58" spans="1:13">
      <c r="A58" s="46" t="s">
        <v>300</v>
      </c>
      <c r="B58" s="45">
        <v>91</v>
      </c>
      <c r="C58" s="45">
        <v>20</v>
      </c>
      <c r="D58" s="45">
        <v>20</v>
      </c>
      <c r="E58" s="45">
        <v>20</v>
      </c>
      <c r="F58" s="45">
        <v>20</v>
      </c>
      <c r="G58" s="45">
        <v>890</v>
      </c>
      <c r="H58" s="45">
        <v>220</v>
      </c>
      <c r="I58" s="45">
        <v>20</v>
      </c>
      <c r="J58" s="45">
        <v>20</v>
      </c>
      <c r="K58" s="45">
        <v>20</v>
      </c>
      <c r="L58" s="45">
        <v>20</v>
      </c>
      <c r="M58" s="45">
        <v>20</v>
      </c>
    </row>
    <row r="59" spans="1:13">
      <c r="A59" s="46" t="s">
        <v>301</v>
      </c>
      <c r="B59" s="45">
        <v>39094</v>
      </c>
      <c r="C59" s="45">
        <v>40757</v>
      </c>
      <c r="D59" s="45">
        <v>36619</v>
      </c>
      <c r="E59" s="45">
        <v>40967</v>
      </c>
      <c r="F59" s="45">
        <v>40750</v>
      </c>
      <c r="G59" s="45">
        <v>42218</v>
      </c>
      <c r="H59" s="45">
        <v>49069</v>
      </c>
      <c r="I59" s="45">
        <v>44742</v>
      </c>
      <c r="J59" s="45">
        <v>49091</v>
      </c>
      <c r="K59" s="45">
        <v>51551</v>
      </c>
      <c r="L59" s="45">
        <v>51520</v>
      </c>
      <c r="M59" s="45">
        <v>54289</v>
      </c>
    </row>
    <row r="60" spans="1:13">
      <c r="A60" s="46" t="s">
        <v>302</v>
      </c>
      <c r="B60" s="45">
        <v>0</v>
      </c>
      <c r="C60" s="45">
        <v>0</v>
      </c>
      <c r="D60" s="45">
        <v>256430</v>
      </c>
      <c r="E60" s="45">
        <v>259377</v>
      </c>
      <c r="F60" s="45">
        <v>95753</v>
      </c>
      <c r="G60" s="45">
        <v>97843</v>
      </c>
      <c r="H60" s="45">
        <v>102094</v>
      </c>
      <c r="I60" s="45">
        <v>98482</v>
      </c>
      <c r="J60" s="45">
        <v>116886</v>
      </c>
      <c r="K60" s="45">
        <v>131206</v>
      </c>
      <c r="L60" s="45">
        <v>117209</v>
      </c>
      <c r="M60" s="45">
        <v>129605</v>
      </c>
    </row>
    <row r="61" spans="1:13">
      <c r="A61" s="46" t="s">
        <v>303</v>
      </c>
      <c r="B61" s="45">
        <v>4179625</v>
      </c>
      <c r="C61" s="45">
        <v>2479595</v>
      </c>
      <c r="D61" s="45">
        <v>1585882</v>
      </c>
      <c r="E61" s="45">
        <v>1015019</v>
      </c>
      <c r="F61" s="45">
        <v>877073</v>
      </c>
      <c r="G61" s="45">
        <v>1173248</v>
      </c>
      <c r="H61" s="45">
        <v>1014060</v>
      </c>
      <c r="I61" s="45">
        <v>1884709</v>
      </c>
      <c r="J61" s="45">
        <v>1643777</v>
      </c>
      <c r="K61" s="45">
        <v>1233218</v>
      </c>
      <c r="L61" s="45">
        <v>1224807</v>
      </c>
      <c r="M61" s="45">
        <v>2240343</v>
      </c>
    </row>
    <row r="62" spans="1:13">
      <c r="A62" s="46" t="s">
        <v>304</v>
      </c>
      <c r="B62" s="45">
        <v>0</v>
      </c>
      <c r="C62" s="45">
        <v>0</v>
      </c>
      <c r="D62" s="45">
        <v>0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</row>
    <row r="63" spans="1:13">
      <c r="A63" s="46" t="s">
        <v>305</v>
      </c>
      <c r="B63" s="45">
        <v>0</v>
      </c>
      <c r="C63" s="45">
        <v>0</v>
      </c>
      <c r="D63" s="45">
        <v>0</v>
      </c>
      <c r="E63" s="45">
        <v>0</v>
      </c>
      <c r="F63" s="45">
        <v>668150</v>
      </c>
      <c r="G63" s="45">
        <v>0</v>
      </c>
      <c r="H63" s="45">
        <v>0</v>
      </c>
      <c r="I63" s="45">
        <v>0</v>
      </c>
      <c r="J63" s="45">
        <v>0</v>
      </c>
      <c r="K63" s="45">
        <v>137638</v>
      </c>
      <c r="L63" s="45">
        <v>0</v>
      </c>
      <c r="M63" s="45">
        <v>260715</v>
      </c>
    </row>
    <row r="64" spans="1:13">
      <c r="A64" s="47" t="s">
        <v>306</v>
      </c>
      <c r="B64" s="45">
        <v>19757463</v>
      </c>
      <c r="C64" s="45">
        <v>18127737</v>
      </c>
      <c r="D64" s="45">
        <v>16996020</v>
      </c>
      <c r="E64" s="45">
        <v>15218941</v>
      </c>
      <c r="F64" s="45">
        <v>15675301</v>
      </c>
      <c r="G64" s="45">
        <v>16342215</v>
      </c>
      <c r="H64" s="45">
        <v>20193529</v>
      </c>
      <c r="I64" s="45">
        <v>22421672</v>
      </c>
      <c r="J64" s="45">
        <v>22398778</v>
      </c>
      <c r="K64" s="45">
        <v>19676560</v>
      </c>
      <c r="L64" s="45">
        <v>18927023</v>
      </c>
      <c r="M64" s="45">
        <v>21455874</v>
      </c>
    </row>
    <row r="65" spans="1:13">
      <c r="A65" s="46" t="s">
        <v>307</v>
      </c>
      <c r="B65" s="45">
        <v>1478701</v>
      </c>
      <c r="C65" s="45">
        <v>1897976</v>
      </c>
      <c r="D65" s="45">
        <v>2492062</v>
      </c>
      <c r="E65" s="45">
        <v>1773819</v>
      </c>
      <c r="F65" s="45">
        <v>1773819</v>
      </c>
      <c r="G65" s="45">
        <v>1652048</v>
      </c>
      <c r="H65" s="45">
        <v>533269</v>
      </c>
      <c r="I65" s="45">
        <v>363251</v>
      </c>
      <c r="J65" s="45">
        <v>360004</v>
      </c>
      <c r="K65" s="45">
        <v>360004</v>
      </c>
      <c r="L65" s="45">
        <v>225378</v>
      </c>
      <c r="M65" s="45">
        <v>225358</v>
      </c>
    </row>
    <row r="66" spans="1:13">
      <c r="A66" s="46" t="s">
        <v>308</v>
      </c>
      <c r="B66" s="45">
        <v>10059</v>
      </c>
      <c r="C66" s="45">
        <v>5551</v>
      </c>
      <c r="D66" s="45">
        <v>6350</v>
      </c>
      <c r="E66" s="45">
        <v>8259</v>
      </c>
      <c r="F66" s="45">
        <v>12939</v>
      </c>
      <c r="G66" s="45">
        <v>12183</v>
      </c>
      <c r="H66" s="45">
        <v>8201</v>
      </c>
      <c r="I66" s="45">
        <v>9554</v>
      </c>
      <c r="J66" s="45">
        <v>20262</v>
      </c>
      <c r="K66" s="45">
        <v>104724</v>
      </c>
      <c r="L66" s="45">
        <v>22483</v>
      </c>
      <c r="M66" s="45">
        <v>53538</v>
      </c>
    </row>
    <row r="67" spans="1:13">
      <c r="A67" s="46" t="s">
        <v>309</v>
      </c>
      <c r="B67" s="45">
        <v>0</v>
      </c>
      <c r="C67" s="45">
        <v>0</v>
      </c>
      <c r="D67" s="45">
        <v>0</v>
      </c>
      <c r="E67" s="48">
        <v>-13835</v>
      </c>
      <c r="F67" s="45">
        <v>72077</v>
      </c>
      <c r="G67" s="45">
        <v>72077</v>
      </c>
      <c r="H67" s="48">
        <v>-1</v>
      </c>
      <c r="I67" s="48">
        <v>-15589</v>
      </c>
      <c r="J67" s="48">
        <v>-1</v>
      </c>
      <c r="K67" s="48">
        <v>-1</v>
      </c>
      <c r="L67" s="48">
        <v>-1</v>
      </c>
      <c r="M67" s="45">
        <v>7759</v>
      </c>
    </row>
    <row r="68" spans="1:13">
      <c r="A68" s="46" t="s">
        <v>310</v>
      </c>
      <c r="B68" s="45">
        <v>107342</v>
      </c>
      <c r="C68" s="45">
        <v>105181</v>
      </c>
      <c r="D68" s="45">
        <v>110430</v>
      </c>
      <c r="E68" s="45">
        <v>127716</v>
      </c>
      <c r="F68" s="45">
        <v>144244</v>
      </c>
      <c r="G68" s="45">
        <v>167671</v>
      </c>
      <c r="H68" s="45">
        <v>154704</v>
      </c>
      <c r="I68" s="45">
        <v>151026</v>
      </c>
      <c r="J68" s="45">
        <v>138303</v>
      </c>
      <c r="K68" s="45">
        <v>144601</v>
      </c>
      <c r="L68" s="45">
        <v>158497</v>
      </c>
      <c r="M68" s="45">
        <v>166409</v>
      </c>
    </row>
    <row r="69" spans="1:13">
      <c r="A69" s="46" t="s">
        <v>311</v>
      </c>
      <c r="B69" s="45">
        <v>4277</v>
      </c>
      <c r="C69" s="45">
        <v>3751</v>
      </c>
      <c r="D69" s="45">
        <v>4508</v>
      </c>
      <c r="E69" s="45">
        <v>2026</v>
      </c>
      <c r="F69" s="45">
        <v>6478</v>
      </c>
      <c r="G69" s="45">
        <v>3401</v>
      </c>
      <c r="H69" s="45">
        <v>3042</v>
      </c>
      <c r="I69" s="45">
        <v>2866</v>
      </c>
      <c r="J69" s="45">
        <v>2615</v>
      </c>
      <c r="K69" s="45">
        <v>2376</v>
      </c>
      <c r="L69" s="45">
        <v>2241</v>
      </c>
      <c r="M69" s="45">
        <v>2100</v>
      </c>
    </row>
    <row r="70" spans="1:13">
      <c r="A70" s="46" t="s">
        <v>312</v>
      </c>
      <c r="B70" s="45">
        <v>0</v>
      </c>
      <c r="C70" s="45">
        <v>0</v>
      </c>
      <c r="D70" s="45">
        <v>118833</v>
      </c>
      <c r="E70" s="45">
        <v>0</v>
      </c>
      <c r="F70" s="45">
        <v>0</v>
      </c>
      <c r="G70" s="45">
        <v>172413</v>
      </c>
      <c r="H70" s="45">
        <v>0</v>
      </c>
      <c r="I70" s="45">
        <v>0</v>
      </c>
      <c r="J70" s="45">
        <v>64591</v>
      </c>
      <c r="K70" s="45">
        <v>0</v>
      </c>
      <c r="L70" s="45">
        <v>0</v>
      </c>
      <c r="M70" s="45">
        <v>199387</v>
      </c>
    </row>
    <row r="71" spans="1:13">
      <c r="A71" s="46" t="s">
        <v>313</v>
      </c>
      <c r="B71" s="45">
        <v>456489</v>
      </c>
      <c r="C71" s="45">
        <v>522556</v>
      </c>
      <c r="D71" s="45">
        <v>287951</v>
      </c>
      <c r="E71" s="45">
        <v>534822</v>
      </c>
      <c r="F71" s="45">
        <v>595407</v>
      </c>
      <c r="G71" s="45">
        <v>545345</v>
      </c>
      <c r="H71" s="45">
        <v>820926</v>
      </c>
      <c r="I71" s="45">
        <v>1011390</v>
      </c>
      <c r="J71" s="45">
        <v>567277</v>
      </c>
      <c r="K71" s="45">
        <v>457142</v>
      </c>
      <c r="L71" s="45">
        <v>962315</v>
      </c>
      <c r="M71" s="45">
        <v>546120</v>
      </c>
    </row>
    <row r="72" spans="1:13">
      <c r="A72" s="46" t="s">
        <v>314</v>
      </c>
      <c r="B72" s="45">
        <v>56940</v>
      </c>
      <c r="C72" s="45">
        <v>72077</v>
      </c>
      <c r="D72" s="45">
        <v>72077</v>
      </c>
      <c r="E72" s="45">
        <v>72077</v>
      </c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</row>
    <row r="73" spans="1:13">
      <c r="A73" s="47" t="s">
        <v>315</v>
      </c>
      <c r="B73" s="45">
        <v>2113809</v>
      </c>
      <c r="C73" s="45">
        <v>2607092</v>
      </c>
      <c r="D73" s="45">
        <v>3092210</v>
      </c>
      <c r="E73" s="45">
        <v>2504884</v>
      </c>
      <c r="F73" s="45">
        <v>2604963</v>
      </c>
      <c r="G73" s="45">
        <v>2625137</v>
      </c>
      <c r="H73" s="45">
        <v>1520142</v>
      </c>
      <c r="I73" s="45">
        <v>1522499</v>
      </c>
      <c r="J73" s="45">
        <v>1153051</v>
      </c>
      <c r="K73" s="45">
        <v>1068846</v>
      </c>
      <c r="L73" s="45">
        <v>1370914</v>
      </c>
      <c r="M73" s="45">
        <v>1200671</v>
      </c>
    </row>
    <row r="74" spans="1:13">
      <c r="A74" s="46" t="s">
        <v>316</v>
      </c>
      <c r="B74" s="48">
        <v>-272015</v>
      </c>
      <c r="C74" s="48">
        <v>-287585</v>
      </c>
      <c r="D74" s="48">
        <v>-292742</v>
      </c>
      <c r="E74" s="48">
        <v>-289027</v>
      </c>
      <c r="F74" s="48">
        <v>-280488</v>
      </c>
      <c r="G74" s="48">
        <v>-295072</v>
      </c>
      <c r="H74" s="48">
        <v>-368081</v>
      </c>
      <c r="I74" s="48">
        <v>-366961</v>
      </c>
      <c r="J74" s="48">
        <v>-353143</v>
      </c>
      <c r="K74" s="48">
        <v>-334159</v>
      </c>
      <c r="L74" s="48">
        <v>-312237</v>
      </c>
      <c r="M74" s="48">
        <v>-284192</v>
      </c>
    </row>
    <row r="75" spans="1:13">
      <c r="A75" s="47" t="s">
        <v>317</v>
      </c>
      <c r="B75" s="48">
        <v>-272015</v>
      </c>
      <c r="C75" s="48">
        <v>-287585</v>
      </c>
      <c r="D75" s="48">
        <v>-292742</v>
      </c>
      <c r="E75" s="48">
        <v>-289027</v>
      </c>
      <c r="F75" s="48">
        <v>-280488</v>
      </c>
      <c r="G75" s="48">
        <v>-295072</v>
      </c>
      <c r="H75" s="48">
        <v>-368081</v>
      </c>
      <c r="I75" s="48">
        <v>-366961</v>
      </c>
      <c r="J75" s="48">
        <v>-353143</v>
      </c>
      <c r="K75" s="48">
        <v>-334159</v>
      </c>
      <c r="L75" s="48">
        <v>-312237</v>
      </c>
      <c r="M75" s="48">
        <v>-284192</v>
      </c>
    </row>
    <row r="76" spans="1:13">
      <c r="A76" s="46" t="s">
        <v>318</v>
      </c>
      <c r="B76" s="45">
        <v>0</v>
      </c>
      <c r="C76" s="45">
        <v>0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</row>
    <row r="77" spans="1:13">
      <c r="A77" s="47" t="s">
        <v>320</v>
      </c>
      <c r="B77" s="45">
        <v>0</v>
      </c>
      <c r="C77" s="45"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</row>
    <row r="78" spans="1:13">
      <c r="A78" s="46" t="s">
        <v>321</v>
      </c>
      <c r="B78" s="45">
        <v>1000107</v>
      </c>
      <c r="C78" s="45">
        <v>869873</v>
      </c>
      <c r="D78" s="45">
        <v>1881764</v>
      </c>
      <c r="E78" s="45">
        <v>1833271</v>
      </c>
      <c r="F78" s="45">
        <v>1347786</v>
      </c>
      <c r="G78" s="45">
        <v>2183014</v>
      </c>
      <c r="H78" s="45">
        <v>2355739</v>
      </c>
      <c r="I78" s="45">
        <v>2758870</v>
      </c>
      <c r="J78" s="45">
        <v>2377877</v>
      </c>
      <c r="K78" s="45">
        <v>1841185</v>
      </c>
      <c r="L78" s="45">
        <v>2562040</v>
      </c>
      <c r="M78" s="45">
        <v>5525591</v>
      </c>
    </row>
    <row r="79" spans="1:13">
      <c r="A79" s="47" t="s">
        <v>322</v>
      </c>
      <c r="B79" s="45">
        <v>1000107</v>
      </c>
      <c r="C79" s="45">
        <v>869873</v>
      </c>
      <c r="D79" s="45">
        <v>1881764</v>
      </c>
      <c r="E79" s="45">
        <v>1833271</v>
      </c>
      <c r="F79" s="45">
        <v>1347786</v>
      </c>
      <c r="G79" s="45">
        <v>2183014</v>
      </c>
      <c r="H79" s="45">
        <v>2355739</v>
      </c>
      <c r="I79" s="45">
        <v>2758870</v>
      </c>
      <c r="J79" s="45">
        <v>2377877</v>
      </c>
      <c r="K79" s="45">
        <v>1841185</v>
      </c>
      <c r="L79" s="45">
        <v>2562040</v>
      </c>
      <c r="M79" s="45">
        <v>5525591</v>
      </c>
    </row>
    <row r="80" spans="1:13">
      <c r="A80" s="46" t="s">
        <v>323</v>
      </c>
      <c r="B80" s="45">
        <v>313781</v>
      </c>
      <c r="C80" s="45">
        <v>294234</v>
      </c>
      <c r="D80" s="45">
        <v>164192</v>
      </c>
      <c r="E80" s="45">
        <v>0</v>
      </c>
      <c r="F80" s="45">
        <v>0</v>
      </c>
      <c r="G80" s="45">
        <v>862734</v>
      </c>
      <c r="H80" s="45">
        <v>145529</v>
      </c>
      <c r="I80" s="45">
        <v>0</v>
      </c>
      <c r="J80" s="45">
        <v>0</v>
      </c>
      <c r="K80" s="45">
        <v>0</v>
      </c>
      <c r="L80" s="45">
        <v>7624</v>
      </c>
      <c r="M80" s="45">
        <v>0</v>
      </c>
    </row>
    <row r="81" spans="1:14">
      <c r="A81" s="46" t="s">
        <v>324</v>
      </c>
      <c r="B81" s="45">
        <v>441977</v>
      </c>
      <c r="C81" s="45">
        <v>439687</v>
      </c>
      <c r="D81" s="45">
        <v>438529</v>
      </c>
      <c r="E81" s="45">
        <v>435237</v>
      </c>
      <c r="F81" s="45">
        <v>435237</v>
      </c>
      <c r="G81" s="45">
        <v>435237</v>
      </c>
      <c r="H81" s="45">
        <v>432094</v>
      </c>
      <c r="I81" s="45">
        <v>431000</v>
      </c>
      <c r="J81" s="45">
        <v>430104</v>
      </c>
      <c r="K81" s="45">
        <v>430104</v>
      </c>
      <c r="L81" s="45">
        <v>427478</v>
      </c>
      <c r="M81" s="45">
        <v>556373</v>
      </c>
    </row>
    <row r="82" spans="1:14">
      <c r="A82" s="47" t="s">
        <v>325</v>
      </c>
      <c r="B82" s="45">
        <v>755758</v>
      </c>
      <c r="C82" s="45">
        <v>733921</v>
      </c>
      <c r="D82" s="45">
        <v>602720</v>
      </c>
      <c r="E82" s="45">
        <v>435237</v>
      </c>
      <c r="F82" s="45">
        <v>435237</v>
      </c>
      <c r="G82" s="45">
        <v>1297971</v>
      </c>
      <c r="H82" s="45">
        <v>577623</v>
      </c>
      <c r="I82" s="45">
        <v>431000</v>
      </c>
      <c r="J82" s="45">
        <v>430104</v>
      </c>
      <c r="K82" s="45">
        <v>430104</v>
      </c>
      <c r="L82" s="45">
        <v>435102</v>
      </c>
      <c r="M82" s="45">
        <v>556373</v>
      </c>
    </row>
    <row r="83" spans="1:14">
      <c r="A83" s="46" t="s">
        <v>326</v>
      </c>
      <c r="B83" s="45">
        <v>9011959</v>
      </c>
      <c r="C83" s="45">
        <v>8939896</v>
      </c>
      <c r="D83" s="45">
        <v>9138526</v>
      </c>
      <c r="E83" s="45">
        <v>9209344</v>
      </c>
      <c r="F83" s="45">
        <v>9398882</v>
      </c>
      <c r="G83" s="45">
        <v>9530856</v>
      </c>
      <c r="H83" s="45">
        <v>9586528</v>
      </c>
      <c r="I83" s="45">
        <v>9647441</v>
      </c>
      <c r="J83" s="45">
        <v>9671801</v>
      </c>
      <c r="K83" s="45">
        <v>9443439</v>
      </c>
      <c r="L83" s="45">
        <v>9684342</v>
      </c>
      <c r="M83" s="45">
        <v>9719847</v>
      </c>
      <c r="N83" s="200"/>
    </row>
    <row r="84" spans="1:14">
      <c r="A84" s="46" t="s">
        <v>327</v>
      </c>
      <c r="B84" s="45">
        <v>3800</v>
      </c>
      <c r="C84" s="45">
        <v>3800</v>
      </c>
      <c r="D84" s="45">
        <v>3800</v>
      </c>
      <c r="E84" s="45">
        <v>3800</v>
      </c>
      <c r="F84" s="45">
        <v>3800</v>
      </c>
      <c r="G84" s="45">
        <v>3800</v>
      </c>
      <c r="H84" s="45">
        <v>3800</v>
      </c>
      <c r="I84" s="45">
        <v>3800</v>
      </c>
      <c r="J84" s="45">
        <v>3800</v>
      </c>
      <c r="K84" s="48">
        <v>-480</v>
      </c>
      <c r="L84" s="45">
        <v>3800</v>
      </c>
      <c r="M84" s="45">
        <v>3800</v>
      </c>
    </row>
    <row r="85" spans="1:14">
      <c r="A85" s="46" t="s">
        <v>328</v>
      </c>
      <c r="B85" s="45">
        <v>0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1423</v>
      </c>
      <c r="K85" s="45">
        <v>0</v>
      </c>
      <c r="L85" s="45">
        <v>35129</v>
      </c>
      <c r="M85" s="45">
        <v>548</v>
      </c>
    </row>
    <row r="86" spans="1:14">
      <c r="A86" s="47" t="s">
        <v>329</v>
      </c>
      <c r="B86" s="45">
        <v>9015759</v>
      </c>
      <c r="C86" s="45">
        <v>8943696</v>
      </c>
      <c r="D86" s="45">
        <v>9142326</v>
      </c>
      <c r="E86" s="45">
        <v>9213144</v>
      </c>
      <c r="F86" s="45">
        <v>9402683</v>
      </c>
      <c r="G86" s="45">
        <v>9534656</v>
      </c>
      <c r="H86" s="45">
        <v>9590328</v>
      </c>
      <c r="I86" s="45">
        <v>9651241</v>
      </c>
      <c r="J86" s="45">
        <v>9677024</v>
      </c>
      <c r="K86" s="45">
        <v>9442960</v>
      </c>
      <c r="L86" s="45">
        <v>9723271</v>
      </c>
      <c r="M86" s="45">
        <v>9724195</v>
      </c>
    </row>
    <row r="87" spans="1:14">
      <c r="A87" s="46" t="s">
        <v>330</v>
      </c>
      <c r="B87" s="45">
        <v>1025149</v>
      </c>
      <c r="C87" s="45">
        <v>1039430</v>
      </c>
      <c r="D87" s="45">
        <v>1109064</v>
      </c>
      <c r="E87" s="45">
        <v>1113084</v>
      </c>
      <c r="F87" s="45">
        <v>1185209</v>
      </c>
      <c r="G87" s="45">
        <v>950337</v>
      </c>
      <c r="H87" s="45">
        <v>985101</v>
      </c>
      <c r="I87" s="45">
        <v>1107172</v>
      </c>
      <c r="J87" s="45">
        <v>1225739</v>
      </c>
      <c r="K87" s="45">
        <v>1203784</v>
      </c>
      <c r="L87" s="45">
        <v>1320593</v>
      </c>
      <c r="M87" s="45">
        <v>1307851</v>
      </c>
    </row>
    <row r="88" spans="1:14">
      <c r="A88" s="47" t="s">
        <v>331</v>
      </c>
      <c r="B88" s="45">
        <v>1025149</v>
      </c>
      <c r="C88" s="45">
        <v>1039430</v>
      </c>
      <c r="D88" s="45">
        <v>1109064</v>
      </c>
      <c r="E88" s="45">
        <v>1113084</v>
      </c>
      <c r="F88" s="45">
        <v>1185209</v>
      </c>
      <c r="G88" s="45">
        <v>950337</v>
      </c>
      <c r="H88" s="45">
        <v>985101</v>
      </c>
      <c r="I88" s="45">
        <v>1107172</v>
      </c>
      <c r="J88" s="45">
        <v>1225739</v>
      </c>
      <c r="K88" s="45">
        <v>1203784</v>
      </c>
      <c r="L88" s="45">
        <v>1320593</v>
      </c>
      <c r="M88" s="45">
        <v>1307851</v>
      </c>
    </row>
    <row r="89" spans="1:14">
      <c r="A89" s="46" t="s">
        <v>332</v>
      </c>
      <c r="B89" s="45">
        <v>849122</v>
      </c>
      <c r="C89" s="45">
        <v>741224</v>
      </c>
      <c r="D89" s="45">
        <v>633327</v>
      </c>
      <c r="E89" s="45">
        <v>525430</v>
      </c>
      <c r="F89" s="45">
        <v>417836</v>
      </c>
      <c r="G89" s="45">
        <v>309939</v>
      </c>
      <c r="H89" s="45">
        <v>254984</v>
      </c>
      <c r="I89" s="45">
        <v>147275</v>
      </c>
      <c r="J89" s="45">
        <v>39566</v>
      </c>
      <c r="K89" s="45">
        <v>955356</v>
      </c>
      <c r="L89" s="45">
        <v>890608</v>
      </c>
      <c r="M89" s="45">
        <v>800228</v>
      </c>
    </row>
    <row r="90" spans="1:14">
      <c r="A90" s="46" t="s">
        <v>333</v>
      </c>
      <c r="B90" s="45">
        <v>1757</v>
      </c>
      <c r="C90" s="45">
        <v>1317</v>
      </c>
      <c r="D90" s="45">
        <v>878</v>
      </c>
      <c r="E90" s="45">
        <v>439</v>
      </c>
      <c r="F90" s="45">
        <v>0</v>
      </c>
      <c r="G90" s="45">
        <v>5375</v>
      </c>
      <c r="H90" s="45">
        <v>4683</v>
      </c>
      <c r="I90" s="45">
        <v>4194</v>
      </c>
      <c r="J90" s="45">
        <v>3909</v>
      </c>
      <c r="K90" s="45">
        <v>3421</v>
      </c>
      <c r="L90" s="45">
        <v>7145</v>
      </c>
      <c r="M90" s="45">
        <v>24297</v>
      </c>
    </row>
    <row r="91" spans="1:14">
      <c r="A91" s="46" t="s">
        <v>334</v>
      </c>
      <c r="B91" s="45">
        <v>1</v>
      </c>
      <c r="C91" s="45">
        <v>1</v>
      </c>
      <c r="D91" s="45">
        <v>2</v>
      </c>
      <c r="E91" s="45">
        <v>2</v>
      </c>
      <c r="F91" s="45">
        <v>2</v>
      </c>
      <c r="G91" s="45">
        <v>2</v>
      </c>
      <c r="H91" s="45">
        <v>2</v>
      </c>
      <c r="I91" s="45">
        <v>2</v>
      </c>
      <c r="J91" s="45">
        <v>2</v>
      </c>
      <c r="K91" s="45">
        <v>2</v>
      </c>
      <c r="L91" s="45">
        <v>2</v>
      </c>
      <c r="M91" s="45">
        <v>2</v>
      </c>
    </row>
    <row r="92" spans="1:14">
      <c r="A92" s="46" t="s">
        <v>335</v>
      </c>
      <c r="B92" s="45">
        <v>479219</v>
      </c>
      <c r="C92" s="45">
        <v>379891</v>
      </c>
      <c r="D92" s="45">
        <v>207947</v>
      </c>
      <c r="E92" s="45">
        <v>483466</v>
      </c>
      <c r="F92" s="45">
        <v>842825</v>
      </c>
      <c r="G92" s="45">
        <v>747443</v>
      </c>
      <c r="H92" s="45">
        <v>552061</v>
      </c>
      <c r="I92" s="45">
        <v>356858</v>
      </c>
      <c r="J92" s="45">
        <v>651082</v>
      </c>
      <c r="K92" s="45">
        <v>489820</v>
      </c>
      <c r="L92" s="45">
        <v>262209</v>
      </c>
      <c r="M92" s="45">
        <v>568150</v>
      </c>
    </row>
    <row r="93" spans="1:14">
      <c r="A93" s="46" t="s">
        <v>336</v>
      </c>
      <c r="B93" s="45">
        <v>194576</v>
      </c>
      <c r="C93" s="45">
        <v>176887</v>
      </c>
      <c r="D93" s="45">
        <v>159199</v>
      </c>
      <c r="E93" s="45">
        <v>141510</v>
      </c>
      <c r="F93" s="45">
        <v>123821</v>
      </c>
      <c r="G93" s="45">
        <v>106132</v>
      </c>
      <c r="H93" s="45">
        <v>88444</v>
      </c>
      <c r="I93" s="45">
        <v>70755</v>
      </c>
      <c r="J93" s="45">
        <v>53066</v>
      </c>
      <c r="K93" s="45">
        <v>35377</v>
      </c>
      <c r="L93" s="45">
        <v>204001</v>
      </c>
      <c r="M93" s="45">
        <v>186312</v>
      </c>
    </row>
    <row r="94" spans="1:14">
      <c r="A94" s="47" t="s">
        <v>338</v>
      </c>
      <c r="B94" s="45">
        <v>1524675</v>
      </c>
      <c r="C94" s="45">
        <v>1299321</v>
      </c>
      <c r="D94" s="45">
        <v>1001352</v>
      </c>
      <c r="E94" s="45">
        <v>1150846</v>
      </c>
      <c r="F94" s="45">
        <v>1384484</v>
      </c>
      <c r="G94" s="45">
        <v>1168891</v>
      </c>
      <c r="H94" s="45">
        <v>900174</v>
      </c>
      <c r="I94" s="45">
        <v>579084</v>
      </c>
      <c r="J94" s="45">
        <v>747625</v>
      </c>
      <c r="K94" s="45">
        <v>1483975</v>
      </c>
      <c r="L94" s="45">
        <v>1363964</v>
      </c>
      <c r="M94" s="45">
        <v>1578989</v>
      </c>
    </row>
    <row r="95" spans="1:14">
      <c r="A95" s="46" t="s">
        <v>339</v>
      </c>
      <c r="B95" s="45">
        <v>14562364</v>
      </c>
      <c r="C95" s="45">
        <v>14048667</v>
      </c>
      <c r="D95" s="45">
        <v>13741296</v>
      </c>
      <c r="E95" s="45">
        <v>13227173</v>
      </c>
      <c r="F95" s="45">
        <v>15267631</v>
      </c>
      <c r="G95" s="45">
        <v>16989785</v>
      </c>
      <c r="H95" s="45">
        <v>20290023</v>
      </c>
      <c r="I95" s="45">
        <v>19911567</v>
      </c>
      <c r="J95" s="45">
        <v>16827427</v>
      </c>
      <c r="K95" s="45">
        <v>15697909</v>
      </c>
      <c r="L95" s="45">
        <v>16432641</v>
      </c>
      <c r="M95" s="45">
        <v>18610337</v>
      </c>
    </row>
    <row r="96" spans="1:14">
      <c r="A96" s="47" t="s">
        <v>340</v>
      </c>
      <c r="B96" s="45">
        <v>14562364</v>
      </c>
      <c r="C96" s="45">
        <v>14048667</v>
      </c>
      <c r="D96" s="45">
        <v>13741296</v>
      </c>
      <c r="E96" s="45">
        <v>13227173</v>
      </c>
      <c r="F96" s="45">
        <v>15267631</v>
      </c>
      <c r="G96" s="45">
        <v>16989785</v>
      </c>
      <c r="H96" s="45">
        <v>20290023</v>
      </c>
      <c r="I96" s="45">
        <v>19911567</v>
      </c>
      <c r="J96" s="45">
        <v>16827427</v>
      </c>
      <c r="K96" s="45">
        <v>15697909</v>
      </c>
      <c r="L96" s="45">
        <v>16432641</v>
      </c>
      <c r="M96" s="45">
        <v>18610337</v>
      </c>
    </row>
    <row r="97" spans="1:13">
      <c r="A97" s="46" t="s">
        <v>341</v>
      </c>
      <c r="B97" s="45">
        <v>922096</v>
      </c>
      <c r="C97" s="45">
        <v>1523483</v>
      </c>
      <c r="D97" s="45">
        <v>1060954</v>
      </c>
      <c r="E97" s="45">
        <v>406924</v>
      </c>
      <c r="F97" s="48">
        <v>-67741</v>
      </c>
      <c r="G97" s="45">
        <v>443684</v>
      </c>
      <c r="H97" s="45">
        <v>21192</v>
      </c>
      <c r="I97" s="45">
        <v>79131</v>
      </c>
      <c r="J97" s="45">
        <v>0</v>
      </c>
      <c r="K97" s="45">
        <v>20473</v>
      </c>
      <c r="L97" s="45">
        <v>10667</v>
      </c>
      <c r="M97" s="45">
        <v>828335</v>
      </c>
    </row>
    <row r="98" spans="1:13">
      <c r="A98" s="47" t="s">
        <v>342</v>
      </c>
      <c r="B98" s="45">
        <v>922096</v>
      </c>
      <c r="C98" s="45">
        <v>1523483</v>
      </c>
      <c r="D98" s="45">
        <v>1060954</v>
      </c>
      <c r="E98" s="45">
        <v>406924</v>
      </c>
      <c r="F98" s="48">
        <v>-67741</v>
      </c>
      <c r="G98" s="45">
        <v>443684</v>
      </c>
      <c r="H98" s="45">
        <v>21192</v>
      </c>
      <c r="I98" s="45">
        <v>79131</v>
      </c>
      <c r="J98" s="45">
        <v>0</v>
      </c>
      <c r="K98" s="45">
        <v>20473</v>
      </c>
      <c r="L98" s="45">
        <v>10667</v>
      </c>
      <c r="M98" s="45">
        <v>828335</v>
      </c>
    </row>
    <row r="99" spans="1:13">
      <c r="A99" s="49" t="s">
        <v>343</v>
      </c>
      <c r="B99" s="50">
        <v>54405265</v>
      </c>
      <c r="C99" s="50">
        <v>53021166</v>
      </c>
      <c r="D99" s="50">
        <v>54517749</v>
      </c>
      <c r="E99" s="50">
        <v>49402049</v>
      </c>
      <c r="F99" s="50">
        <v>52278822</v>
      </c>
      <c r="G99" s="50">
        <v>57081363</v>
      </c>
      <c r="H99" s="50">
        <v>61086839</v>
      </c>
      <c r="I99" s="50">
        <v>63174658</v>
      </c>
      <c r="J99" s="50">
        <v>60517861</v>
      </c>
      <c r="K99" s="50">
        <v>56195846</v>
      </c>
      <c r="L99" s="50">
        <v>57176547</v>
      </c>
      <c r="M99" s="50">
        <v>67146685</v>
      </c>
    </row>
    <row r="100" spans="1:13">
      <c r="A100" s="3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</row>
    <row r="101" spans="1:13">
      <c r="A101" s="43" t="s">
        <v>344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</row>
    <row r="102" spans="1:13">
      <c r="A102" s="46" t="s">
        <v>345</v>
      </c>
      <c r="B102" s="45">
        <v>0</v>
      </c>
      <c r="C102" s="45">
        <v>0</v>
      </c>
      <c r="D102" s="45">
        <v>11164522</v>
      </c>
      <c r="E102" s="48">
        <v>-114571</v>
      </c>
      <c r="F102" s="48">
        <v>-765314</v>
      </c>
      <c r="G102" s="45">
        <v>10089706</v>
      </c>
      <c r="H102" s="45">
        <v>19614743</v>
      </c>
      <c r="I102" s="45">
        <v>18537625</v>
      </c>
      <c r="J102" s="45">
        <v>11650217</v>
      </c>
      <c r="K102" s="45">
        <v>16614367</v>
      </c>
      <c r="L102" s="45">
        <v>15805918</v>
      </c>
      <c r="M102" s="45">
        <v>11954395</v>
      </c>
    </row>
    <row r="103" spans="1:13">
      <c r="A103" s="46" t="s">
        <v>346</v>
      </c>
      <c r="B103" s="45">
        <v>22329045</v>
      </c>
      <c r="C103" s="45">
        <v>22329045</v>
      </c>
      <c r="D103" s="45">
        <v>11164522</v>
      </c>
      <c r="E103" s="45">
        <v>22329045</v>
      </c>
      <c r="F103" s="45">
        <v>22329045</v>
      </c>
      <c r="G103" s="45">
        <v>10540408</v>
      </c>
      <c r="H103" s="45">
        <v>0</v>
      </c>
      <c r="I103" s="45">
        <v>0</v>
      </c>
      <c r="J103" s="45">
        <v>5825108</v>
      </c>
      <c r="K103" s="45">
        <v>0</v>
      </c>
      <c r="L103" s="45">
        <v>0</v>
      </c>
      <c r="M103" s="45">
        <v>2988599</v>
      </c>
    </row>
    <row r="104" spans="1:13">
      <c r="A104" s="46" t="s">
        <v>347</v>
      </c>
      <c r="B104" s="45">
        <v>3557321</v>
      </c>
      <c r="C104" s="45">
        <v>3693352</v>
      </c>
      <c r="D104" s="45">
        <v>3810643</v>
      </c>
      <c r="E104" s="45">
        <v>3972475</v>
      </c>
      <c r="F104" s="45">
        <v>4230503</v>
      </c>
      <c r="G104" s="45">
        <v>4098011</v>
      </c>
      <c r="H104" s="45">
        <v>4159467</v>
      </c>
      <c r="I104" s="45">
        <v>4198171</v>
      </c>
      <c r="J104" s="45">
        <v>4128068</v>
      </c>
      <c r="K104" s="45">
        <v>4203212</v>
      </c>
      <c r="L104" s="45">
        <v>4356859</v>
      </c>
      <c r="M104" s="45">
        <v>4429498</v>
      </c>
    </row>
    <row r="105" spans="1:13">
      <c r="A105" s="46" t="s">
        <v>348</v>
      </c>
      <c r="B105" s="45">
        <v>333303</v>
      </c>
      <c r="C105" s="45">
        <v>333704</v>
      </c>
      <c r="D105" s="45">
        <v>334105</v>
      </c>
      <c r="E105" s="45">
        <v>334506</v>
      </c>
      <c r="F105" s="45">
        <v>334907</v>
      </c>
      <c r="G105" s="45">
        <v>335308</v>
      </c>
      <c r="H105" s="45">
        <v>335709</v>
      </c>
      <c r="I105" s="45">
        <v>335709</v>
      </c>
      <c r="J105" s="45">
        <v>336511</v>
      </c>
      <c r="K105" s="45">
        <v>336912</v>
      </c>
      <c r="L105" s="45">
        <v>337313</v>
      </c>
      <c r="M105" s="45">
        <v>337714</v>
      </c>
    </row>
    <row r="106" spans="1:13">
      <c r="A106" s="46" t="s">
        <v>349</v>
      </c>
      <c r="B106" s="45">
        <v>417005</v>
      </c>
      <c r="C106" s="45">
        <v>369249</v>
      </c>
      <c r="D106" s="45">
        <v>321492</v>
      </c>
      <c r="E106" s="45">
        <v>273735</v>
      </c>
      <c r="F106" s="45">
        <v>225979</v>
      </c>
      <c r="G106" s="45">
        <v>178222</v>
      </c>
      <c r="H106" s="45">
        <v>130465</v>
      </c>
      <c r="I106" s="45">
        <v>82709</v>
      </c>
      <c r="J106" s="45">
        <v>34952</v>
      </c>
      <c r="K106" s="45">
        <v>0</v>
      </c>
      <c r="L106" s="45">
        <v>0</v>
      </c>
      <c r="M106" s="45">
        <v>0</v>
      </c>
    </row>
    <row r="107" spans="1:13">
      <c r="A107" s="46" t="s">
        <v>350</v>
      </c>
      <c r="B107" s="45">
        <v>116257</v>
      </c>
      <c r="C107" s="45">
        <v>105871</v>
      </c>
      <c r="D107" s="45">
        <v>0</v>
      </c>
      <c r="E107" s="45">
        <v>0</v>
      </c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</row>
    <row r="108" spans="1:13">
      <c r="A108" s="46" t="s">
        <v>351</v>
      </c>
      <c r="B108" s="45">
        <v>9476734</v>
      </c>
      <c r="C108" s="45">
        <v>9476734</v>
      </c>
      <c r="D108" s="45">
        <v>9476734</v>
      </c>
      <c r="E108" s="45">
        <v>9476734</v>
      </c>
      <c r="F108" s="45">
        <v>9476734</v>
      </c>
      <c r="G108" s="45">
        <v>9476734</v>
      </c>
      <c r="H108" s="45">
        <v>9476734</v>
      </c>
      <c r="I108" s="45">
        <v>9476734</v>
      </c>
      <c r="J108" s="45">
        <v>9476734</v>
      </c>
      <c r="K108" s="45">
        <v>9476734</v>
      </c>
      <c r="L108" s="45">
        <v>9476734</v>
      </c>
      <c r="M108" s="45">
        <v>10702462</v>
      </c>
    </row>
    <row r="109" spans="1:13">
      <c r="A109" s="46" t="s">
        <v>352</v>
      </c>
      <c r="B109" s="48">
        <v>-173550</v>
      </c>
      <c r="C109" s="48">
        <v>-168655</v>
      </c>
      <c r="D109" s="45">
        <v>0</v>
      </c>
      <c r="E109" s="48">
        <v>-198944</v>
      </c>
      <c r="F109" s="48">
        <v>-220647</v>
      </c>
      <c r="G109" s="45">
        <v>0</v>
      </c>
      <c r="H109" s="48">
        <v>-296070</v>
      </c>
      <c r="I109" s="48">
        <v>-352868</v>
      </c>
      <c r="J109" s="45">
        <v>0</v>
      </c>
      <c r="K109" s="48">
        <v>-486712</v>
      </c>
      <c r="L109" s="48">
        <v>-567944</v>
      </c>
      <c r="M109" s="45">
        <v>0</v>
      </c>
    </row>
    <row r="110" spans="1:13">
      <c r="A110" s="46" t="s">
        <v>353</v>
      </c>
      <c r="B110" s="48">
        <v>-8068465</v>
      </c>
      <c r="C110" s="48">
        <v>-8990810</v>
      </c>
      <c r="D110" s="45">
        <v>0</v>
      </c>
      <c r="E110" s="48">
        <v>-11112444</v>
      </c>
      <c r="F110" s="48">
        <v>-11612249</v>
      </c>
      <c r="G110" s="45">
        <v>0</v>
      </c>
      <c r="H110" s="48">
        <v>-12569588</v>
      </c>
      <c r="I110" s="48">
        <v>-12513966</v>
      </c>
      <c r="J110" s="45">
        <v>0</v>
      </c>
      <c r="K110" s="48">
        <v>-12443116</v>
      </c>
      <c r="L110" s="48">
        <v>-13290076</v>
      </c>
      <c r="M110" s="45">
        <v>0</v>
      </c>
    </row>
    <row r="111" spans="1:13">
      <c r="A111" s="46" t="s">
        <v>354</v>
      </c>
      <c r="B111" s="45">
        <v>16342853</v>
      </c>
      <c r="C111" s="45">
        <v>19420820</v>
      </c>
      <c r="D111" s="45">
        <v>20921632</v>
      </c>
      <c r="E111" s="45">
        <v>20862463</v>
      </c>
      <c r="F111" s="45">
        <v>22071484</v>
      </c>
      <c r="G111" s="45">
        <v>25208806</v>
      </c>
      <c r="H111" s="45">
        <v>26199240</v>
      </c>
      <c r="I111" s="45">
        <v>28615447</v>
      </c>
      <c r="J111" s="45">
        <v>30690347</v>
      </c>
      <c r="K111" s="45">
        <v>30111020</v>
      </c>
      <c r="L111" s="45">
        <v>29145390</v>
      </c>
      <c r="M111" s="45">
        <v>30715762</v>
      </c>
    </row>
    <row r="112" spans="1:13">
      <c r="A112" s="46" t="s">
        <v>355</v>
      </c>
      <c r="B112" s="45">
        <v>1080344</v>
      </c>
      <c r="C112" s="45">
        <v>1199899</v>
      </c>
      <c r="D112" s="45">
        <v>953664</v>
      </c>
      <c r="E112" s="45">
        <v>930206</v>
      </c>
      <c r="F112" s="45">
        <v>722414</v>
      </c>
      <c r="G112" s="45">
        <v>905472</v>
      </c>
      <c r="H112" s="45">
        <v>753959</v>
      </c>
      <c r="I112" s="45">
        <v>829773</v>
      </c>
      <c r="J112" s="45">
        <v>487170</v>
      </c>
      <c r="K112" s="45">
        <v>308873</v>
      </c>
      <c r="L112" s="45">
        <v>249562</v>
      </c>
      <c r="M112" s="45">
        <v>129976</v>
      </c>
    </row>
    <row r="113" spans="1:13">
      <c r="A113" s="46" t="s">
        <v>356</v>
      </c>
      <c r="B113" s="45">
        <v>0</v>
      </c>
      <c r="C113" s="45">
        <v>0</v>
      </c>
      <c r="D113" s="45">
        <v>0</v>
      </c>
      <c r="E113" s="45">
        <v>0</v>
      </c>
      <c r="F113" s="45">
        <v>0</v>
      </c>
      <c r="G113" s="45">
        <v>47023</v>
      </c>
      <c r="H113" s="45">
        <v>0</v>
      </c>
      <c r="I113" s="45">
        <v>0</v>
      </c>
      <c r="J113" s="45">
        <v>47023</v>
      </c>
      <c r="K113" s="45">
        <v>0</v>
      </c>
      <c r="L113" s="45">
        <v>0</v>
      </c>
      <c r="M113" s="45">
        <v>47023</v>
      </c>
    </row>
    <row r="114" spans="1:13">
      <c r="A114" s="46" t="s">
        <v>357</v>
      </c>
      <c r="B114" s="45">
        <v>395233</v>
      </c>
      <c r="C114" s="45">
        <v>395233</v>
      </c>
      <c r="D114" s="45">
        <v>395233</v>
      </c>
      <c r="E114" s="45">
        <v>395233</v>
      </c>
      <c r="F114" s="45">
        <v>395233</v>
      </c>
      <c r="G114" s="45">
        <v>395233</v>
      </c>
      <c r="H114" s="45">
        <v>395233</v>
      </c>
      <c r="I114" s="45">
        <v>395233</v>
      </c>
      <c r="J114" s="45">
        <v>395233</v>
      </c>
      <c r="K114" s="45">
        <v>395233</v>
      </c>
      <c r="L114" s="45">
        <v>395233</v>
      </c>
      <c r="M114" s="45">
        <v>498951</v>
      </c>
    </row>
    <row r="115" spans="1:13">
      <c r="A115" s="46" t="s">
        <v>358</v>
      </c>
      <c r="B115" s="45">
        <v>241263</v>
      </c>
      <c r="C115" s="45">
        <v>241263</v>
      </c>
      <c r="D115" s="45">
        <v>238959</v>
      </c>
      <c r="E115" s="45">
        <v>238959</v>
      </c>
      <c r="F115" s="45">
        <v>238959</v>
      </c>
      <c r="G115" s="45">
        <v>237237</v>
      </c>
      <c r="H115" s="45">
        <v>237237</v>
      </c>
      <c r="I115" s="45">
        <v>237237</v>
      </c>
      <c r="J115" s="45">
        <v>231338</v>
      </c>
      <c r="K115" s="45">
        <v>231338</v>
      </c>
      <c r="L115" s="45">
        <v>231338</v>
      </c>
      <c r="M115" s="45">
        <v>229298</v>
      </c>
    </row>
    <row r="116" spans="1:13">
      <c r="A116" s="46" t="s">
        <v>359</v>
      </c>
      <c r="B116" s="45">
        <v>0</v>
      </c>
      <c r="C116" s="45">
        <v>0</v>
      </c>
      <c r="D116" s="45">
        <v>42852206</v>
      </c>
      <c r="E116" s="45">
        <v>42852206</v>
      </c>
      <c r="F116" s="45">
        <v>42852206</v>
      </c>
      <c r="G116" s="45">
        <v>42553993</v>
      </c>
      <c r="H116" s="45">
        <v>42553993</v>
      </c>
      <c r="I116" s="45">
        <v>42553993</v>
      </c>
      <c r="J116" s="45">
        <v>41516315</v>
      </c>
      <c r="K116" s="45">
        <v>41516315</v>
      </c>
      <c r="L116" s="45">
        <v>41516315</v>
      </c>
      <c r="M116" s="45">
        <v>40533610</v>
      </c>
    </row>
    <row r="117" spans="1:13">
      <c r="A117" s="47" t="s">
        <v>360</v>
      </c>
      <c r="B117" s="45">
        <v>46047343</v>
      </c>
      <c r="C117" s="45">
        <v>48405703</v>
      </c>
      <c r="D117" s="45">
        <v>101633713</v>
      </c>
      <c r="E117" s="45">
        <v>90239603</v>
      </c>
      <c r="F117" s="45">
        <v>90279253</v>
      </c>
      <c r="G117" s="45">
        <v>104066152</v>
      </c>
      <c r="H117" s="45">
        <v>90991124</v>
      </c>
      <c r="I117" s="45">
        <v>92395796</v>
      </c>
      <c r="J117" s="45">
        <v>104819015</v>
      </c>
      <c r="K117" s="45">
        <v>90264175</v>
      </c>
      <c r="L117" s="45">
        <v>87656642</v>
      </c>
      <c r="M117" s="45">
        <v>102567287</v>
      </c>
    </row>
    <row r="118" spans="1:13">
      <c r="A118" s="46" t="s">
        <v>361</v>
      </c>
      <c r="B118" s="45">
        <v>80317</v>
      </c>
      <c r="C118" s="45">
        <v>77630</v>
      </c>
      <c r="D118" s="45">
        <v>86499</v>
      </c>
      <c r="E118" s="45">
        <v>95330</v>
      </c>
      <c r="F118" s="45">
        <v>97806</v>
      </c>
      <c r="G118" s="45">
        <v>101468</v>
      </c>
      <c r="H118" s="45">
        <v>105380</v>
      </c>
      <c r="I118" s="45">
        <v>110092</v>
      </c>
      <c r="J118" s="45">
        <v>112313</v>
      </c>
      <c r="K118" s="45">
        <v>116141</v>
      </c>
      <c r="L118" s="45">
        <v>89175</v>
      </c>
      <c r="M118" s="45">
        <v>89600</v>
      </c>
    </row>
    <row r="119" spans="1:13">
      <c r="A119" s="47" t="s">
        <v>362</v>
      </c>
      <c r="B119" s="45">
        <v>80317</v>
      </c>
      <c r="C119" s="45">
        <v>77630</v>
      </c>
      <c r="D119" s="45">
        <v>86499</v>
      </c>
      <c r="E119" s="45">
        <v>95330</v>
      </c>
      <c r="F119" s="45">
        <v>97806</v>
      </c>
      <c r="G119" s="45">
        <v>101468</v>
      </c>
      <c r="H119" s="45">
        <v>105380</v>
      </c>
      <c r="I119" s="45">
        <v>110092</v>
      </c>
      <c r="J119" s="45">
        <v>112313</v>
      </c>
      <c r="K119" s="45">
        <v>116141</v>
      </c>
      <c r="L119" s="45">
        <v>89175</v>
      </c>
      <c r="M119" s="45">
        <v>89600</v>
      </c>
    </row>
    <row r="120" spans="1:13">
      <c r="A120" s="46" t="s">
        <v>363</v>
      </c>
      <c r="B120" s="45">
        <v>88889</v>
      </c>
      <c r="C120" s="45">
        <v>85326</v>
      </c>
      <c r="D120" s="45">
        <v>101075</v>
      </c>
      <c r="E120" s="45">
        <v>90500</v>
      </c>
      <c r="F120" s="45">
        <v>87974</v>
      </c>
      <c r="G120" s="45">
        <v>68455</v>
      </c>
      <c r="H120" s="45">
        <v>84464</v>
      </c>
      <c r="I120" s="45">
        <v>92974</v>
      </c>
      <c r="J120" s="45">
        <v>88786</v>
      </c>
      <c r="K120" s="45">
        <v>88085</v>
      </c>
      <c r="L120" s="45">
        <v>96009</v>
      </c>
      <c r="M120" s="45">
        <v>101450</v>
      </c>
    </row>
    <row r="121" spans="1:13">
      <c r="A121" s="46" t="s">
        <v>364</v>
      </c>
      <c r="B121" s="48">
        <v>-156802</v>
      </c>
      <c r="C121" s="48">
        <v>-166369</v>
      </c>
      <c r="D121" s="48">
        <v>-663</v>
      </c>
      <c r="E121" s="45">
        <v>93055</v>
      </c>
      <c r="F121" s="48">
        <v>-396307</v>
      </c>
      <c r="G121" s="48">
        <v>-620831</v>
      </c>
      <c r="H121" s="48">
        <v>-546218</v>
      </c>
      <c r="I121" s="48">
        <v>-617088</v>
      </c>
      <c r="J121" s="48">
        <v>-552868</v>
      </c>
      <c r="K121" s="48">
        <v>-417483</v>
      </c>
      <c r="L121" s="48">
        <v>-260950</v>
      </c>
      <c r="M121" s="48">
        <v>-90490</v>
      </c>
    </row>
    <row r="122" spans="1:13">
      <c r="A122" s="46" t="s">
        <v>365</v>
      </c>
      <c r="B122" s="45">
        <v>557945</v>
      </c>
      <c r="C122" s="45">
        <v>326207</v>
      </c>
      <c r="D122" s="48">
        <v>-8850</v>
      </c>
      <c r="E122" s="48">
        <v>-68935</v>
      </c>
      <c r="F122" s="48">
        <v>-180603</v>
      </c>
      <c r="G122" s="48">
        <v>-120946</v>
      </c>
      <c r="H122" s="45">
        <v>58289</v>
      </c>
      <c r="I122" s="45">
        <v>212227</v>
      </c>
      <c r="J122" s="45">
        <v>383595</v>
      </c>
      <c r="K122" s="45">
        <v>471359</v>
      </c>
      <c r="L122" s="45">
        <v>688351</v>
      </c>
      <c r="M122" s="45">
        <v>756256</v>
      </c>
    </row>
    <row r="123" spans="1:13">
      <c r="A123" s="46" t="s">
        <v>366</v>
      </c>
      <c r="B123" s="45">
        <v>7967</v>
      </c>
      <c r="C123" s="45">
        <v>35251</v>
      </c>
      <c r="D123" s="45">
        <v>35192</v>
      </c>
      <c r="E123" s="45">
        <v>48526</v>
      </c>
      <c r="F123" s="48">
        <v>-11279</v>
      </c>
      <c r="G123" s="48">
        <v>-31580</v>
      </c>
      <c r="H123" s="48">
        <v>-33000</v>
      </c>
      <c r="I123" s="48">
        <v>-17471</v>
      </c>
      <c r="J123" s="48">
        <v>-7803</v>
      </c>
      <c r="K123" s="45">
        <v>937</v>
      </c>
      <c r="L123" s="45">
        <v>14607</v>
      </c>
      <c r="M123" s="45">
        <v>27210</v>
      </c>
    </row>
    <row r="124" spans="1:13">
      <c r="A124" s="46" t="s">
        <v>367</v>
      </c>
      <c r="B124" s="45">
        <v>0</v>
      </c>
      <c r="C124" s="45">
        <v>0</v>
      </c>
      <c r="D124" s="45">
        <v>0</v>
      </c>
      <c r="E124" s="45">
        <v>0</v>
      </c>
      <c r="F124" s="45">
        <v>0</v>
      </c>
      <c r="G124" s="45">
        <v>1860</v>
      </c>
      <c r="H124" s="45">
        <v>0</v>
      </c>
      <c r="I124" s="45">
        <v>0</v>
      </c>
      <c r="J124" s="45">
        <v>0</v>
      </c>
      <c r="K124" s="45">
        <v>0</v>
      </c>
      <c r="L124" s="45">
        <v>0</v>
      </c>
      <c r="M124" s="45">
        <v>0</v>
      </c>
    </row>
    <row r="125" spans="1:13">
      <c r="A125" s="46" t="s">
        <v>368</v>
      </c>
      <c r="B125" s="45">
        <v>0</v>
      </c>
      <c r="C125" s="45">
        <v>0</v>
      </c>
      <c r="D125" s="45">
        <v>0</v>
      </c>
      <c r="E125" s="45">
        <v>0</v>
      </c>
      <c r="F125" s="45">
        <v>0</v>
      </c>
      <c r="G125" s="45">
        <v>0</v>
      </c>
      <c r="H125" s="45">
        <v>0</v>
      </c>
      <c r="I125" s="48">
        <v>-17505</v>
      </c>
      <c r="J125" s="45">
        <v>0</v>
      </c>
      <c r="K125" s="48">
        <v>-16708</v>
      </c>
      <c r="L125" s="48">
        <v>-16498</v>
      </c>
      <c r="M125" s="45">
        <v>0</v>
      </c>
    </row>
    <row r="126" spans="1:13">
      <c r="A126" s="46" t="s">
        <v>369</v>
      </c>
      <c r="B126" s="48">
        <v>-8807</v>
      </c>
      <c r="C126" s="48">
        <v>-8845</v>
      </c>
      <c r="D126" s="48">
        <v>-8853</v>
      </c>
      <c r="E126" s="48">
        <v>-8882</v>
      </c>
      <c r="F126" s="48">
        <v>-36</v>
      </c>
      <c r="G126" s="48">
        <v>-255</v>
      </c>
      <c r="H126" s="48">
        <v>-268</v>
      </c>
      <c r="I126" s="48">
        <v>-277</v>
      </c>
      <c r="J126" s="48">
        <v>-285</v>
      </c>
      <c r="K126" s="48">
        <v>-178</v>
      </c>
      <c r="L126" s="48">
        <v>-182</v>
      </c>
      <c r="M126" s="45">
        <v>0</v>
      </c>
    </row>
    <row r="127" spans="1:13">
      <c r="A127" s="46" t="s">
        <v>370</v>
      </c>
      <c r="B127" s="45">
        <v>0</v>
      </c>
      <c r="C127" s="45">
        <v>0</v>
      </c>
      <c r="D127" s="45">
        <v>0</v>
      </c>
      <c r="E127" s="45">
        <v>0</v>
      </c>
      <c r="F127" s="45">
        <v>0</v>
      </c>
      <c r="G127" s="45">
        <v>0</v>
      </c>
      <c r="H127" s="45">
        <v>0</v>
      </c>
      <c r="I127" s="48">
        <v>-8394</v>
      </c>
      <c r="J127" s="45">
        <v>0</v>
      </c>
      <c r="K127" s="45">
        <v>0</v>
      </c>
      <c r="L127" s="45">
        <v>0</v>
      </c>
      <c r="M127" s="45">
        <v>0</v>
      </c>
    </row>
    <row r="128" spans="1:13">
      <c r="A128" s="47" t="s">
        <v>371</v>
      </c>
      <c r="B128" s="45">
        <v>489193</v>
      </c>
      <c r="C128" s="45">
        <v>271569</v>
      </c>
      <c r="D128" s="45">
        <v>117900</v>
      </c>
      <c r="E128" s="45">
        <v>154265</v>
      </c>
      <c r="F128" s="48">
        <v>-500252</v>
      </c>
      <c r="G128" s="48">
        <v>-703297</v>
      </c>
      <c r="H128" s="48">
        <v>-436733</v>
      </c>
      <c r="I128" s="48">
        <v>-355534</v>
      </c>
      <c r="J128" s="48">
        <v>-88576</v>
      </c>
      <c r="K128" s="45">
        <v>126012</v>
      </c>
      <c r="L128" s="45">
        <v>521336</v>
      </c>
      <c r="M128" s="45">
        <v>794427</v>
      </c>
    </row>
    <row r="129" spans="1:13">
      <c r="A129" s="46" t="s">
        <v>372</v>
      </c>
      <c r="B129" s="45">
        <v>0</v>
      </c>
      <c r="C129" s="45">
        <v>0</v>
      </c>
      <c r="D129" s="45">
        <v>0</v>
      </c>
      <c r="E129" s="45">
        <v>0</v>
      </c>
      <c r="F129" s="45">
        <v>0</v>
      </c>
      <c r="G129" s="45">
        <v>0</v>
      </c>
      <c r="H129" s="45">
        <v>8933</v>
      </c>
      <c r="I129" s="45">
        <v>9129</v>
      </c>
      <c r="J129" s="45">
        <v>9129</v>
      </c>
      <c r="K129" s="45">
        <v>23811</v>
      </c>
      <c r="L129" s="45">
        <v>29801</v>
      </c>
      <c r="M129" s="45">
        <v>36637</v>
      </c>
    </row>
    <row r="130" spans="1:13">
      <c r="A130" s="46" t="s">
        <v>373</v>
      </c>
      <c r="B130" s="45">
        <v>514796</v>
      </c>
      <c r="C130" s="45">
        <v>517218</v>
      </c>
      <c r="D130" s="45">
        <v>522969</v>
      </c>
      <c r="E130" s="45">
        <v>517218</v>
      </c>
      <c r="F130" s="45">
        <v>517218</v>
      </c>
      <c r="G130" s="45">
        <v>369215</v>
      </c>
      <c r="H130" s="45">
        <v>369215</v>
      </c>
      <c r="I130" s="45">
        <v>369215</v>
      </c>
      <c r="J130" s="45">
        <v>369215</v>
      </c>
      <c r="K130" s="45">
        <v>369215</v>
      </c>
      <c r="L130" s="45">
        <v>369215</v>
      </c>
      <c r="M130" s="45">
        <v>369215</v>
      </c>
    </row>
    <row r="131" spans="1:13">
      <c r="A131" s="46" t="s">
        <v>374</v>
      </c>
      <c r="B131" s="45">
        <v>0</v>
      </c>
      <c r="C131" s="45">
        <v>0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45">
        <v>0</v>
      </c>
    </row>
    <row r="132" spans="1:13">
      <c r="A132" s="47" t="s">
        <v>375</v>
      </c>
      <c r="B132" s="45">
        <v>514796</v>
      </c>
      <c r="C132" s="45">
        <v>517218</v>
      </c>
      <c r="D132" s="45">
        <v>522969</v>
      </c>
      <c r="E132" s="45">
        <v>517218</v>
      </c>
      <c r="F132" s="45">
        <v>517218</v>
      </c>
      <c r="G132" s="45">
        <v>369215</v>
      </c>
      <c r="H132" s="45">
        <v>378148</v>
      </c>
      <c r="I132" s="45">
        <v>378344</v>
      </c>
      <c r="J132" s="45">
        <v>378344</v>
      </c>
      <c r="K132" s="45">
        <v>393026</v>
      </c>
      <c r="L132" s="45">
        <v>399016</v>
      </c>
      <c r="M132" s="45">
        <v>405852</v>
      </c>
    </row>
    <row r="133" spans="1:13">
      <c r="A133" s="46" t="s">
        <v>376</v>
      </c>
      <c r="B133" s="45">
        <v>95726474</v>
      </c>
      <c r="C133" s="45">
        <v>95726474</v>
      </c>
      <c r="D133" s="45">
        <v>77693577</v>
      </c>
      <c r="E133" s="45">
        <v>77693577</v>
      </c>
      <c r="F133" s="45">
        <v>77860461</v>
      </c>
      <c r="G133" s="45">
        <v>79409772</v>
      </c>
      <c r="H133" s="45">
        <v>79409772</v>
      </c>
      <c r="I133" s="45">
        <v>79409772</v>
      </c>
      <c r="J133" s="45">
        <v>80139134</v>
      </c>
      <c r="K133" s="45">
        <v>80139134</v>
      </c>
      <c r="L133" s="45">
        <v>80210193</v>
      </c>
      <c r="M133" s="45">
        <v>83873101</v>
      </c>
    </row>
    <row r="134" spans="1:13">
      <c r="A134" s="46" t="s">
        <v>377</v>
      </c>
      <c r="B134" s="48">
        <v>-21022043</v>
      </c>
      <c r="C134" s="48">
        <v>-21022043</v>
      </c>
      <c r="D134" s="45">
        <v>357717</v>
      </c>
      <c r="E134" s="45">
        <v>357717</v>
      </c>
      <c r="F134" s="45">
        <v>357717</v>
      </c>
      <c r="G134" s="48">
        <v>-32654</v>
      </c>
      <c r="H134" s="48">
        <v>-32654</v>
      </c>
      <c r="I134" s="48">
        <v>-649550</v>
      </c>
      <c r="J134" s="48">
        <v>-7228880</v>
      </c>
      <c r="K134" s="48">
        <v>-7228880</v>
      </c>
      <c r="L134" s="48">
        <v>-7231517</v>
      </c>
      <c r="M134" s="48">
        <v>-10937773</v>
      </c>
    </row>
    <row r="135" spans="1:13">
      <c r="A135" s="46" t="s">
        <v>378</v>
      </c>
      <c r="B135" s="45">
        <v>251617</v>
      </c>
      <c r="C135" s="45">
        <v>251617</v>
      </c>
      <c r="D135" s="45">
        <v>238869</v>
      </c>
      <c r="E135" s="45">
        <v>238869</v>
      </c>
      <c r="F135" s="45">
        <v>238869</v>
      </c>
      <c r="G135" s="45">
        <v>226585</v>
      </c>
      <c r="H135" s="45">
        <v>226585</v>
      </c>
      <c r="I135" s="45">
        <v>226585</v>
      </c>
      <c r="J135" s="45">
        <v>191875</v>
      </c>
      <c r="K135" s="45">
        <v>191875</v>
      </c>
      <c r="L135" s="45">
        <v>191875</v>
      </c>
      <c r="M135" s="45">
        <v>195038</v>
      </c>
    </row>
    <row r="136" spans="1:13">
      <c r="A136" s="47" t="s">
        <v>379</v>
      </c>
      <c r="B136" s="45">
        <v>74956049</v>
      </c>
      <c r="C136" s="45">
        <v>74956049</v>
      </c>
      <c r="D136" s="45">
        <v>78290163</v>
      </c>
      <c r="E136" s="45">
        <v>78290163</v>
      </c>
      <c r="F136" s="45">
        <v>78457047</v>
      </c>
      <c r="G136" s="45">
        <v>79603704</v>
      </c>
      <c r="H136" s="45">
        <v>79603704</v>
      </c>
      <c r="I136" s="45">
        <v>78986808</v>
      </c>
      <c r="J136" s="45">
        <v>73102129</v>
      </c>
      <c r="K136" s="45">
        <v>73102129</v>
      </c>
      <c r="L136" s="45">
        <v>73170551</v>
      </c>
      <c r="M136" s="45">
        <v>73130366</v>
      </c>
    </row>
    <row r="137" spans="1:13">
      <c r="A137" s="49" t="s">
        <v>380</v>
      </c>
      <c r="B137" s="50">
        <v>122087697</v>
      </c>
      <c r="C137" s="50">
        <v>124228169</v>
      </c>
      <c r="D137" s="50">
        <v>180651244</v>
      </c>
      <c r="E137" s="50">
        <v>169296578</v>
      </c>
      <c r="F137" s="50">
        <v>168851072</v>
      </c>
      <c r="G137" s="50">
        <v>183437242</v>
      </c>
      <c r="H137" s="50">
        <v>170641622</v>
      </c>
      <c r="I137" s="50">
        <v>171515506</v>
      </c>
      <c r="J137" s="50">
        <v>178323225</v>
      </c>
      <c r="K137" s="50">
        <v>164001482</v>
      </c>
      <c r="L137" s="50">
        <v>161836720</v>
      </c>
      <c r="M137" s="50">
        <v>176987532</v>
      </c>
    </row>
    <row r="138" spans="1:13">
      <c r="A138" s="3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</row>
    <row r="139" spans="1:13" ht="15.75" customHeight="1">
      <c r="A139" s="3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</row>
    <row r="140" spans="1:13">
      <c r="A140" s="49" t="s">
        <v>381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</row>
    <row r="141" spans="1:13">
      <c r="A141" s="3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</row>
    <row r="142" spans="1:13">
      <c r="A142" s="49" t="s">
        <v>382</v>
      </c>
      <c r="B142" s="50">
        <v>1275476249</v>
      </c>
      <c r="C142" s="50">
        <v>1277673601</v>
      </c>
      <c r="D142" s="50">
        <v>1336188665</v>
      </c>
      <c r="E142" s="50">
        <v>1323101505</v>
      </c>
      <c r="F142" s="50">
        <v>1332168258</v>
      </c>
      <c r="G142" s="50">
        <v>1353694239</v>
      </c>
      <c r="H142" s="50">
        <v>1347947240</v>
      </c>
      <c r="I142" s="50">
        <v>1352698127</v>
      </c>
      <c r="J142" s="50">
        <v>1358144297</v>
      </c>
      <c r="K142" s="50">
        <v>1340524029</v>
      </c>
      <c r="L142" s="50">
        <v>1340729174</v>
      </c>
      <c r="M142" s="50">
        <v>1371390048</v>
      </c>
    </row>
    <row r="143" spans="1:13">
      <c r="A143" s="3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</row>
    <row r="144" spans="1:13">
      <c r="A144" s="43" t="s">
        <v>383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</row>
    <row r="145" spans="1:13">
      <c r="A145" s="43" t="s">
        <v>384</v>
      </c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</row>
    <row r="146" spans="1:13">
      <c r="A146" s="46" t="s">
        <v>385</v>
      </c>
      <c r="B146" s="45">
        <v>407981943</v>
      </c>
      <c r="C146" s="45">
        <v>407981943</v>
      </c>
      <c r="D146" s="45">
        <v>407981943</v>
      </c>
      <c r="E146" s="45">
        <v>407981943</v>
      </c>
      <c r="F146" s="45">
        <v>407981943</v>
      </c>
      <c r="G146" s="45">
        <v>407981943</v>
      </c>
      <c r="H146" s="45">
        <v>407981943</v>
      </c>
      <c r="I146" s="45">
        <v>407981943</v>
      </c>
      <c r="J146" s="45">
        <v>407981943</v>
      </c>
      <c r="K146" s="45">
        <v>407981943</v>
      </c>
      <c r="L146" s="45">
        <v>407981943</v>
      </c>
      <c r="M146" s="45">
        <v>407981943</v>
      </c>
    </row>
    <row r="147" spans="1:13">
      <c r="A147" s="47" t="s">
        <v>386</v>
      </c>
      <c r="B147" s="45">
        <v>407981943</v>
      </c>
      <c r="C147" s="45">
        <v>407981943</v>
      </c>
      <c r="D147" s="45">
        <v>407981943</v>
      </c>
      <c r="E147" s="45">
        <v>407981943</v>
      </c>
      <c r="F147" s="45">
        <v>407981943</v>
      </c>
      <c r="G147" s="45">
        <v>407981943</v>
      </c>
      <c r="H147" s="45">
        <v>407981943</v>
      </c>
      <c r="I147" s="45">
        <v>407981943</v>
      </c>
      <c r="J147" s="45">
        <v>407981943</v>
      </c>
      <c r="K147" s="45">
        <v>407981943</v>
      </c>
      <c r="L147" s="45">
        <v>407981943</v>
      </c>
      <c r="M147" s="45">
        <v>407981943</v>
      </c>
    </row>
    <row r="148" spans="1:13">
      <c r="A148" s="46" t="s">
        <v>387</v>
      </c>
      <c r="B148" s="45">
        <v>64726146</v>
      </c>
      <c r="C148" s="45">
        <v>64726146</v>
      </c>
      <c r="D148" s="45">
        <v>64726146</v>
      </c>
      <c r="E148" s="45">
        <v>64726146</v>
      </c>
      <c r="F148" s="45">
        <v>64726146</v>
      </c>
      <c r="G148" s="45">
        <v>64726146</v>
      </c>
      <c r="H148" s="45">
        <v>64726146</v>
      </c>
      <c r="I148" s="45">
        <v>64726146</v>
      </c>
      <c r="J148" s="45">
        <v>52726146</v>
      </c>
      <c r="K148" s="45">
        <v>52726146</v>
      </c>
      <c r="L148" s="45">
        <v>52726146</v>
      </c>
      <c r="M148" s="45">
        <v>49726146</v>
      </c>
    </row>
    <row r="149" spans="1:13">
      <c r="A149" s="46" t="s">
        <v>388</v>
      </c>
      <c r="B149" s="45">
        <v>21867</v>
      </c>
      <c r="C149" s="45">
        <v>21867</v>
      </c>
      <c r="D149" s="45">
        <v>21867</v>
      </c>
      <c r="E149" s="45">
        <v>21867</v>
      </c>
      <c r="F149" s="45">
        <v>21867</v>
      </c>
      <c r="G149" s="45">
        <v>21867</v>
      </c>
      <c r="H149" s="45">
        <v>21867</v>
      </c>
      <c r="I149" s="45">
        <v>21867</v>
      </c>
      <c r="J149" s="45">
        <v>21867</v>
      </c>
      <c r="K149" s="45">
        <v>21867</v>
      </c>
      <c r="L149" s="45">
        <v>21867</v>
      </c>
      <c r="M149" s="45">
        <v>21867</v>
      </c>
    </row>
    <row r="150" spans="1:13">
      <c r="A150" s="47" t="s">
        <v>389</v>
      </c>
      <c r="B150" s="45">
        <v>64748014</v>
      </c>
      <c r="C150" s="45">
        <v>64748014</v>
      </c>
      <c r="D150" s="45">
        <v>64748014</v>
      </c>
      <c r="E150" s="45">
        <v>64748014</v>
      </c>
      <c r="F150" s="45">
        <v>64748014</v>
      </c>
      <c r="G150" s="45">
        <v>64748014</v>
      </c>
      <c r="H150" s="45">
        <v>64748014</v>
      </c>
      <c r="I150" s="45">
        <v>64748014</v>
      </c>
      <c r="J150" s="45">
        <v>52748014</v>
      </c>
      <c r="K150" s="45">
        <v>52748014</v>
      </c>
      <c r="L150" s="45">
        <v>52748014</v>
      </c>
      <c r="M150" s="45">
        <v>49748014</v>
      </c>
    </row>
    <row r="151" spans="1:13">
      <c r="A151" s="49" t="s">
        <v>390</v>
      </c>
      <c r="B151" s="50">
        <v>472729957</v>
      </c>
      <c r="C151" s="50">
        <v>472729957</v>
      </c>
      <c r="D151" s="50">
        <v>472729957</v>
      </c>
      <c r="E151" s="50">
        <v>472729957</v>
      </c>
      <c r="F151" s="50">
        <v>472729957</v>
      </c>
      <c r="G151" s="50">
        <v>472729957</v>
      </c>
      <c r="H151" s="50">
        <v>472729957</v>
      </c>
      <c r="I151" s="50">
        <v>472729957</v>
      </c>
      <c r="J151" s="50">
        <v>460729957</v>
      </c>
      <c r="K151" s="50">
        <v>460729957</v>
      </c>
      <c r="L151" s="50">
        <v>460729957</v>
      </c>
      <c r="M151" s="50">
        <v>457729957</v>
      </c>
    </row>
    <row r="152" spans="1:13">
      <c r="A152" s="3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</row>
    <row r="153" spans="1:13">
      <c r="A153" s="43" t="s">
        <v>391</v>
      </c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</row>
    <row r="154" spans="1:13">
      <c r="A154" s="46" t="s">
        <v>392</v>
      </c>
      <c r="B154" s="45">
        <v>150000000</v>
      </c>
      <c r="C154" s="45">
        <v>150000000</v>
      </c>
      <c r="D154" s="45">
        <v>150000000</v>
      </c>
      <c r="E154" s="45">
        <v>150000000</v>
      </c>
      <c r="F154" s="45">
        <v>150000000</v>
      </c>
      <c r="G154" s="45">
        <v>150000000</v>
      </c>
      <c r="H154" s="45">
        <v>150000000</v>
      </c>
      <c r="I154" s="45">
        <v>150000000</v>
      </c>
      <c r="J154" s="45">
        <v>150000000</v>
      </c>
      <c r="K154" s="45">
        <v>150000000</v>
      </c>
      <c r="L154" s="45">
        <v>150000000</v>
      </c>
      <c r="M154" s="45">
        <v>150000000</v>
      </c>
    </row>
    <row r="155" spans="1:13">
      <c r="A155" s="47" t="s">
        <v>393</v>
      </c>
      <c r="B155" s="45">
        <v>150000000</v>
      </c>
      <c r="C155" s="45">
        <v>150000000</v>
      </c>
      <c r="D155" s="45">
        <v>150000000</v>
      </c>
      <c r="E155" s="45">
        <v>150000000</v>
      </c>
      <c r="F155" s="45">
        <v>150000000</v>
      </c>
      <c r="G155" s="45">
        <v>150000000</v>
      </c>
      <c r="H155" s="45">
        <v>150000000</v>
      </c>
      <c r="I155" s="45">
        <v>150000000</v>
      </c>
      <c r="J155" s="45">
        <v>150000000</v>
      </c>
      <c r="K155" s="45">
        <v>150000000</v>
      </c>
      <c r="L155" s="45">
        <v>150000000</v>
      </c>
      <c r="M155" s="45">
        <v>150000000</v>
      </c>
    </row>
    <row r="156" spans="1:13">
      <c r="A156" s="49" t="s">
        <v>394</v>
      </c>
      <c r="B156" s="50">
        <v>150000000</v>
      </c>
      <c r="C156" s="50">
        <v>150000000</v>
      </c>
      <c r="D156" s="50">
        <v>150000000</v>
      </c>
      <c r="E156" s="50">
        <v>150000000</v>
      </c>
      <c r="F156" s="50">
        <v>150000000</v>
      </c>
      <c r="G156" s="50">
        <v>150000000</v>
      </c>
      <c r="H156" s="50">
        <v>150000000</v>
      </c>
      <c r="I156" s="50">
        <v>150000000</v>
      </c>
      <c r="J156" s="50">
        <v>150000000</v>
      </c>
      <c r="K156" s="50">
        <v>150000000</v>
      </c>
      <c r="L156" s="50">
        <v>150000000</v>
      </c>
      <c r="M156" s="50">
        <v>150000000</v>
      </c>
    </row>
    <row r="157" spans="1:13">
      <c r="A157" s="3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</row>
    <row r="158" spans="1:13">
      <c r="A158" s="43" t="s">
        <v>395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</row>
    <row r="159" spans="1:13">
      <c r="A159" s="46" t="s">
        <v>396</v>
      </c>
      <c r="B159" s="45">
        <v>893071</v>
      </c>
      <c r="C159" s="45">
        <v>885455</v>
      </c>
      <c r="D159" s="45">
        <v>785677</v>
      </c>
      <c r="E159" s="45">
        <v>870169</v>
      </c>
      <c r="F159" s="45">
        <v>862500</v>
      </c>
      <c r="G159" s="45">
        <v>762917</v>
      </c>
      <c r="H159" s="45">
        <v>870772</v>
      </c>
      <c r="I159" s="45">
        <v>863698</v>
      </c>
      <c r="J159" s="45">
        <v>757146</v>
      </c>
      <c r="K159" s="45">
        <v>847971</v>
      </c>
      <c r="L159" s="45">
        <v>805959</v>
      </c>
      <c r="M159" s="45">
        <v>735519</v>
      </c>
    </row>
    <row r="160" spans="1:13">
      <c r="A160" s="47" t="s">
        <v>397</v>
      </c>
      <c r="B160" s="45">
        <v>893071</v>
      </c>
      <c r="C160" s="45">
        <v>885455</v>
      </c>
      <c r="D160" s="45">
        <v>785677</v>
      </c>
      <c r="E160" s="45">
        <v>870169</v>
      </c>
      <c r="F160" s="45">
        <v>862500</v>
      </c>
      <c r="G160" s="45">
        <v>762917</v>
      </c>
      <c r="H160" s="45">
        <v>870772</v>
      </c>
      <c r="I160" s="45">
        <v>863698</v>
      </c>
      <c r="J160" s="45">
        <v>757146</v>
      </c>
      <c r="K160" s="45">
        <v>847971</v>
      </c>
      <c r="L160" s="45">
        <v>805959</v>
      </c>
      <c r="M160" s="45">
        <v>735519</v>
      </c>
    </row>
    <row r="161" spans="1:13">
      <c r="A161" s="46" t="s">
        <v>398</v>
      </c>
      <c r="B161" s="45">
        <v>563543</v>
      </c>
      <c r="C161" s="45">
        <v>567000</v>
      </c>
      <c r="D161" s="45">
        <v>570183</v>
      </c>
      <c r="E161" s="45">
        <v>574175</v>
      </c>
      <c r="F161" s="45">
        <v>573785</v>
      </c>
      <c r="G161" s="45">
        <v>585804</v>
      </c>
      <c r="H161" s="45">
        <v>586390</v>
      </c>
      <c r="I161" s="45">
        <v>584280</v>
      </c>
      <c r="J161" s="45">
        <v>583053</v>
      </c>
      <c r="K161" s="45">
        <v>590674</v>
      </c>
      <c r="L161" s="45">
        <v>586289</v>
      </c>
      <c r="M161" s="45">
        <v>455789</v>
      </c>
    </row>
    <row r="162" spans="1:13">
      <c r="A162" s="46" t="s">
        <v>400</v>
      </c>
      <c r="B162" s="45">
        <v>125339</v>
      </c>
      <c r="C162" s="45">
        <v>125339</v>
      </c>
      <c r="D162" s="45">
        <v>125339</v>
      </c>
      <c r="E162" s="45">
        <v>125339</v>
      </c>
      <c r="F162" s="45">
        <v>125339</v>
      </c>
      <c r="G162" s="45">
        <v>125339</v>
      </c>
      <c r="H162" s="45">
        <v>125339</v>
      </c>
      <c r="I162" s="45">
        <v>125339</v>
      </c>
      <c r="J162" s="45">
        <v>125339</v>
      </c>
      <c r="K162" s="45">
        <v>125339</v>
      </c>
      <c r="L162" s="45">
        <v>125339</v>
      </c>
      <c r="M162" s="45">
        <v>147982</v>
      </c>
    </row>
    <row r="163" spans="1:13">
      <c r="A163" s="47" t="s">
        <v>401</v>
      </c>
      <c r="B163" s="45">
        <v>688882</v>
      </c>
      <c r="C163" s="45">
        <v>692339</v>
      </c>
      <c r="D163" s="45">
        <v>695522</v>
      </c>
      <c r="E163" s="45">
        <v>699514</v>
      </c>
      <c r="F163" s="45">
        <v>699124</v>
      </c>
      <c r="G163" s="45">
        <v>711143</v>
      </c>
      <c r="H163" s="45">
        <v>711729</v>
      </c>
      <c r="I163" s="45">
        <v>709619</v>
      </c>
      <c r="J163" s="45">
        <v>708392</v>
      </c>
      <c r="K163" s="45">
        <v>716013</v>
      </c>
      <c r="L163" s="45">
        <v>711628</v>
      </c>
      <c r="M163" s="45">
        <v>603771</v>
      </c>
    </row>
    <row r="164" spans="1:13">
      <c r="A164" s="46" t="s">
        <v>402</v>
      </c>
      <c r="B164" s="45">
        <v>2705442</v>
      </c>
      <c r="C164" s="45">
        <v>2642966</v>
      </c>
      <c r="D164" s="45">
        <v>2626141</v>
      </c>
      <c r="E164" s="45">
        <v>2604664</v>
      </c>
      <c r="F164" s="45">
        <v>2586625</v>
      </c>
      <c r="G164" s="45">
        <v>2577010</v>
      </c>
      <c r="H164" s="45">
        <v>2560011</v>
      </c>
      <c r="I164" s="45">
        <v>2551255</v>
      </c>
      <c r="J164" s="45">
        <v>2543469</v>
      </c>
      <c r="K164" s="45">
        <v>2526991</v>
      </c>
      <c r="L164" s="45">
        <v>2512680</v>
      </c>
      <c r="M164" s="45">
        <v>2152070</v>
      </c>
    </row>
    <row r="165" spans="1:13">
      <c r="A165" s="46" t="s">
        <v>403</v>
      </c>
      <c r="B165" s="45">
        <v>1161343</v>
      </c>
      <c r="C165" s="45">
        <v>1192069</v>
      </c>
      <c r="D165" s="45">
        <v>1222794</v>
      </c>
      <c r="E165" s="45">
        <v>1253520</v>
      </c>
      <c r="F165" s="45">
        <v>1284245</v>
      </c>
      <c r="G165" s="45">
        <v>1314971</v>
      </c>
      <c r="H165" s="45">
        <v>1345696</v>
      </c>
      <c r="I165" s="45">
        <v>1376422</v>
      </c>
      <c r="J165" s="45">
        <v>1407147</v>
      </c>
      <c r="K165" s="45">
        <v>1437873</v>
      </c>
      <c r="L165" s="45">
        <v>1468598</v>
      </c>
      <c r="M165" s="45">
        <v>2725052</v>
      </c>
    </row>
    <row r="166" spans="1:13">
      <c r="A166" s="47" t="s">
        <v>404</v>
      </c>
      <c r="B166" s="45">
        <v>3866785</v>
      </c>
      <c r="C166" s="45">
        <v>3835035</v>
      </c>
      <c r="D166" s="45">
        <v>3848936</v>
      </c>
      <c r="E166" s="45">
        <v>3858184</v>
      </c>
      <c r="F166" s="45">
        <v>3870870</v>
      </c>
      <c r="G166" s="45">
        <v>3891981</v>
      </c>
      <c r="H166" s="45">
        <v>3905708</v>
      </c>
      <c r="I166" s="45">
        <v>3927677</v>
      </c>
      <c r="J166" s="45">
        <v>3950616</v>
      </c>
      <c r="K166" s="45">
        <v>3964864</v>
      </c>
      <c r="L166" s="45">
        <v>3981278</v>
      </c>
      <c r="M166" s="45">
        <v>4877122</v>
      </c>
    </row>
    <row r="167" spans="1:13">
      <c r="A167" s="46" t="s">
        <v>405</v>
      </c>
      <c r="B167" s="45">
        <v>0</v>
      </c>
      <c r="C167" s="45">
        <v>0</v>
      </c>
      <c r="D167" s="45">
        <v>0</v>
      </c>
      <c r="E167" s="45">
        <v>0</v>
      </c>
      <c r="F167" s="45">
        <v>0</v>
      </c>
      <c r="G167" s="45">
        <v>0</v>
      </c>
      <c r="H167" s="45">
        <v>0</v>
      </c>
      <c r="I167" s="45">
        <v>0</v>
      </c>
      <c r="J167" s="45">
        <v>93761</v>
      </c>
      <c r="K167" s="45">
        <v>93761</v>
      </c>
      <c r="L167" s="45">
        <v>93761</v>
      </c>
      <c r="M167" s="45">
        <v>93761</v>
      </c>
    </row>
    <row r="168" spans="1:13">
      <c r="A168" s="47" t="s">
        <v>406</v>
      </c>
      <c r="B168" s="45">
        <v>0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93761</v>
      </c>
      <c r="K168" s="45">
        <v>93761</v>
      </c>
      <c r="L168" s="45">
        <v>93761</v>
      </c>
      <c r="M168" s="45">
        <v>93761</v>
      </c>
    </row>
    <row r="169" spans="1:13">
      <c r="A169" s="46" t="s">
        <v>407</v>
      </c>
      <c r="B169" s="45">
        <v>10148984</v>
      </c>
      <c r="C169" s="45">
        <v>10185232</v>
      </c>
      <c r="D169" s="45">
        <v>10221479</v>
      </c>
      <c r="E169" s="45">
        <v>10257726</v>
      </c>
      <c r="F169" s="45">
        <v>10293974</v>
      </c>
      <c r="G169" s="45">
        <v>10330221</v>
      </c>
      <c r="H169" s="45">
        <v>10366468</v>
      </c>
      <c r="I169" s="45">
        <v>10366468</v>
      </c>
      <c r="J169" s="45">
        <v>10438963</v>
      </c>
      <c r="K169" s="45">
        <v>10475210</v>
      </c>
      <c r="L169" s="45">
        <v>10511457</v>
      </c>
      <c r="M169" s="45">
        <v>10547704</v>
      </c>
    </row>
    <row r="170" spans="1:13">
      <c r="A170" s="47" t="s">
        <v>408</v>
      </c>
      <c r="B170" s="45">
        <v>10148984</v>
      </c>
      <c r="C170" s="45">
        <v>10185232</v>
      </c>
      <c r="D170" s="45">
        <v>10221479</v>
      </c>
      <c r="E170" s="45">
        <v>10257726</v>
      </c>
      <c r="F170" s="45">
        <v>10293974</v>
      </c>
      <c r="G170" s="45">
        <v>10330221</v>
      </c>
      <c r="H170" s="45">
        <v>10366468</v>
      </c>
      <c r="I170" s="45">
        <v>10366468</v>
      </c>
      <c r="J170" s="45">
        <v>10438963</v>
      </c>
      <c r="K170" s="45">
        <v>10475210</v>
      </c>
      <c r="L170" s="45">
        <v>10511457</v>
      </c>
      <c r="M170" s="45">
        <v>10547704</v>
      </c>
    </row>
    <row r="171" spans="1:13" ht="22.5">
      <c r="A171" s="49" t="s">
        <v>409</v>
      </c>
      <c r="B171" s="50">
        <v>15597723</v>
      </c>
      <c r="C171" s="50">
        <v>15598061</v>
      </c>
      <c r="D171" s="50">
        <v>15551613</v>
      </c>
      <c r="E171" s="50">
        <v>15685593</v>
      </c>
      <c r="F171" s="50">
        <v>15726468</v>
      </c>
      <c r="G171" s="50">
        <v>15696262</v>
      </c>
      <c r="H171" s="50">
        <v>15854676</v>
      </c>
      <c r="I171" s="50">
        <v>15867462</v>
      </c>
      <c r="J171" s="50">
        <v>15948878</v>
      </c>
      <c r="K171" s="50">
        <v>16097819</v>
      </c>
      <c r="L171" s="50">
        <v>16104084</v>
      </c>
      <c r="M171" s="50">
        <v>16857877</v>
      </c>
    </row>
    <row r="172" spans="1:13">
      <c r="A172" s="3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</row>
    <row r="173" spans="1:13">
      <c r="A173" s="43" t="s">
        <v>410</v>
      </c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</row>
    <row r="174" spans="1:13">
      <c r="A174" s="46" t="s">
        <v>411</v>
      </c>
      <c r="B174" s="45">
        <v>2517461</v>
      </c>
      <c r="C174" s="45">
        <v>3092603</v>
      </c>
      <c r="D174" s="45">
        <v>2743325</v>
      </c>
      <c r="E174" s="45">
        <v>2241856</v>
      </c>
      <c r="F174" s="45">
        <v>9606947</v>
      </c>
      <c r="G174" s="45">
        <v>3526835</v>
      </c>
      <c r="H174" s="45">
        <v>3348876</v>
      </c>
      <c r="I174" s="45">
        <v>3588208</v>
      </c>
      <c r="J174" s="45">
        <v>3935186</v>
      </c>
      <c r="K174" s="45">
        <v>3245201</v>
      </c>
      <c r="L174" s="45">
        <v>3580202</v>
      </c>
      <c r="M174" s="45">
        <v>5125180</v>
      </c>
    </row>
    <row r="175" spans="1:13">
      <c r="A175" s="46" t="s">
        <v>412</v>
      </c>
      <c r="B175" s="48">
        <v>-149490</v>
      </c>
      <c r="C175" s="48">
        <v>-221905</v>
      </c>
      <c r="D175" s="45">
        <v>0</v>
      </c>
      <c r="E175" s="48">
        <v>-201152</v>
      </c>
      <c r="F175" s="48">
        <v>-239096</v>
      </c>
      <c r="G175" s="45">
        <v>0</v>
      </c>
      <c r="H175" s="48">
        <v>-126054</v>
      </c>
      <c r="I175" s="48">
        <v>-103745</v>
      </c>
      <c r="J175" s="45">
        <v>0</v>
      </c>
      <c r="K175" s="48">
        <v>-208931</v>
      </c>
      <c r="L175" s="48">
        <v>-214562</v>
      </c>
      <c r="M175" s="45">
        <v>0</v>
      </c>
    </row>
    <row r="176" spans="1:13">
      <c r="A176" s="46" t="s">
        <v>413</v>
      </c>
      <c r="B176" s="45">
        <v>2451364</v>
      </c>
      <c r="C176" s="45">
        <v>1774876</v>
      </c>
      <c r="D176" s="45">
        <v>1861613</v>
      </c>
      <c r="E176" s="45">
        <v>1785333</v>
      </c>
      <c r="F176" s="45">
        <v>1857806</v>
      </c>
      <c r="G176" s="45">
        <v>1960886</v>
      </c>
      <c r="H176" s="45">
        <v>2367825</v>
      </c>
      <c r="I176" s="45">
        <v>2891267</v>
      </c>
      <c r="J176" s="45">
        <v>1891918</v>
      </c>
      <c r="K176" s="45">
        <v>1633734</v>
      </c>
      <c r="L176" s="45">
        <v>1317625</v>
      </c>
      <c r="M176" s="45">
        <v>2067081</v>
      </c>
    </row>
    <row r="177" spans="1:13">
      <c r="A177" s="46" t="s">
        <v>414</v>
      </c>
      <c r="B177" s="45">
        <v>101489</v>
      </c>
      <c r="C177" s="45">
        <v>78367</v>
      </c>
      <c r="D177" s="45">
        <v>55813</v>
      </c>
      <c r="E177" s="45">
        <v>184014</v>
      </c>
      <c r="F177" s="45">
        <v>183366</v>
      </c>
      <c r="G177" s="45">
        <v>184048</v>
      </c>
      <c r="H177" s="45">
        <v>23091</v>
      </c>
      <c r="I177" s="45">
        <v>51525</v>
      </c>
      <c r="J177" s="45">
        <v>2503</v>
      </c>
      <c r="K177" s="45">
        <v>23373</v>
      </c>
      <c r="L177" s="45">
        <v>496471</v>
      </c>
      <c r="M177" s="45">
        <v>497598</v>
      </c>
    </row>
    <row r="178" spans="1:13">
      <c r="A178" s="46" t="s">
        <v>415</v>
      </c>
      <c r="B178" s="45">
        <v>6416717</v>
      </c>
      <c r="C178" s="45">
        <v>5664379</v>
      </c>
      <c r="D178" s="45">
        <v>3704072</v>
      </c>
      <c r="E178" s="45">
        <v>2183837</v>
      </c>
      <c r="F178" s="45">
        <v>5127557</v>
      </c>
      <c r="G178" s="45">
        <v>8267764</v>
      </c>
      <c r="H178" s="45">
        <v>6210716</v>
      </c>
      <c r="I178" s="45">
        <v>9862491</v>
      </c>
      <c r="J178" s="45">
        <v>8710949</v>
      </c>
      <c r="K178" s="45">
        <v>5258728</v>
      </c>
      <c r="L178" s="45">
        <v>5629004</v>
      </c>
      <c r="M178" s="45">
        <v>11457063</v>
      </c>
    </row>
    <row r="179" spans="1:13">
      <c r="A179" s="46" t="s">
        <v>416</v>
      </c>
      <c r="B179" s="45">
        <v>5594977</v>
      </c>
      <c r="C179" s="45">
        <v>3525819</v>
      </c>
      <c r="D179" s="45">
        <v>2452329</v>
      </c>
      <c r="E179" s="45">
        <v>4252290</v>
      </c>
      <c r="F179" s="45">
        <v>3873729</v>
      </c>
      <c r="G179" s="45">
        <v>1544326</v>
      </c>
      <c r="H179" s="45">
        <v>2869509</v>
      </c>
      <c r="I179" s="45">
        <v>1832408</v>
      </c>
      <c r="J179" s="45">
        <v>2033514</v>
      </c>
      <c r="K179" s="45">
        <v>1666504</v>
      </c>
      <c r="L179" s="45">
        <v>1488454</v>
      </c>
      <c r="M179" s="45">
        <v>5248526</v>
      </c>
    </row>
    <row r="180" spans="1:13">
      <c r="A180" s="46" t="s">
        <v>417</v>
      </c>
      <c r="B180" s="45">
        <v>5746</v>
      </c>
      <c r="C180" s="45">
        <v>2136</v>
      </c>
      <c r="D180" s="45">
        <v>3104</v>
      </c>
      <c r="E180" s="45">
        <v>3487</v>
      </c>
      <c r="F180" s="45">
        <v>3741</v>
      </c>
      <c r="G180" s="45">
        <v>4219</v>
      </c>
      <c r="H180" s="45">
        <v>4544</v>
      </c>
      <c r="I180" s="45">
        <v>2423</v>
      </c>
      <c r="J180" s="45">
        <v>3029</v>
      </c>
      <c r="K180" s="45">
        <v>3442</v>
      </c>
      <c r="L180" s="45">
        <v>4068</v>
      </c>
      <c r="M180" s="45">
        <v>4694</v>
      </c>
    </row>
    <row r="181" spans="1:13">
      <c r="A181" s="46" t="s">
        <v>418</v>
      </c>
      <c r="B181" s="45">
        <v>34478</v>
      </c>
      <c r="C181" s="45">
        <v>13137</v>
      </c>
      <c r="D181" s="45">
        <v>17921</v>
      </c>
      <c r="E181" s="45">
        <v>21855</v>
      </c>
      <c r="F181" s="45">
        <v>25825</v>
      </c>
      <c r="G181" s="45">
        <v>29692</v>
      </c>
      <c r="H181" s="45">
        <v>32099</v>
      </c>
      <c r="I181" s="45">
        <v>17257</v>
      </c>
      <c r="J181" s="45">
        <v>21284</v>
      </c>
      <c r="K181" s="45">
        <v>23923</v>
      </c>
      <c r="L181" s="45">
        <v>28999</v>
      </c>
      <c r="M181" s="45">
        <v>33333</v>
      </c>
    </row>
    <row r="182" spans="1:13">
      <c r="A182" s="46" t="s">
        <v>419</v>
      </c>
      <c r="B182" s="45">
        <v>341</v>
      </c>
      <c r="C182" s="45">
        <v>81</v>
      </c>
      <c r="D182" s="45">
        <v>124</v>
      </c>
      <c r="E182" s="45">
        <v>137</v>
      </c>
      <c r="F182" s="45">
        <v>165</v>
      </c>
      <c r="G182" s="45">
        <v>192</v>
      </c>
      <c r="H182" s="45">
        <v>206</v>
      </c>
      <c r="I182" s="45">
        <v>110</v>
      </c>
      <c r="J182" s="45">
        <v>197</v>
      </c>
      <c r="K182" s="45">
        <v>217</v>
      </c>
      <c r="L182" s="45">
        <v>256</v>
      </c>
      <c r="M182" s="45">
        <v>295</v>
      </c>
    </row>
    <row r="183" spans="1:13">
      <c r="A183" s="46" t="s">
        <v>420</v>
      </c>
      <c r="B183" s="45">
        <v>0</v>
      </c>
      <c r="C183" s="48">
        <v>-16105</v>
      </c>
      <c r="D183" s="45">
        <v>0</v>
      </c>
      <c r="E183" s="45">
        <v>0</v>
      </c>
      <c r="F183" s="45">
        <v>0</v>
      </c>
      <c r="G183" s="45">
        <v>0</v>
      </c>
      <c r="H183" s="45">
        <v>0</v>
      </c>
      <c r="I183" s="45">
        <v>0</v>
      </c>
      <c r="J183" s="45">
        <v>0</v>
      </c>
      <c r="K183" s="45">
        <v>0</v>
      </c>
      <c r="L183" s="45">
        <v>0</v>
      </c>
      <c r="M183" s="45">
        <v>0</v>
      </c>
    </row>
    <row r="184" spans="1:13">
      <c r="A184" s="46" t="s">
        <v>421</v>
      </c>
      <c r="B184" s="45">
        <v>1415</v>
      </c>
      <c r="C184" s="45">
        <v>558</v>
      </c>
      <c r="D184" s="45">
        <v>739</v>
      </c>
      <c r="E184" s="45">
        <v>846</v>
      </c>
      <c r="F184" s="45">
        <v>988</v>
      </c>
      <c r="G184" s="45">
        <v>2255</v>
      </c>
      <c r="H184" s="45">
        <v>1144</v>
      </c>
      <c r="I184" s="45">
        <v>621</v>
      </c>
      <c r="J184" s="45">
        <v>777</v>
      </c>
      <c r="K184" s="45">
        <v>815</v>
      </c>
      <c r="L184" s="45">
        <v>963</v>
      </c>
      <c r="M184" s="45">
        <v>1036</v>
      </c>
    </row>
    <row r="185" spans="1:13">
      <c r="A185" s="46" t="s">
        <v>422</v>
      </c>
      <c r="B185" s="45">
        <v>1205</v>
      </c>
      <c r="C185" s="45">
        <v>1105</v>
      </c>
      <c r="D185" s="45">
        <v>599</v>
      </c>
      <c r="E185" s="45">
        <v>665</v>
      </c>
      <c r="F185" s="45">
        <v>798</v>
      </c>
      <c r="G185" s="45">
        <v>2053</v>
      </c>
      <c r="H185" s="45">
        <v>998</v>
      </c>
      <c r="I185" s="45">
        <v>532</v>
      </c>
      <c r="J185" s="45">
        <v>665</v>
      </c>
      <c r="K185" s="45">
        <v>732</v>
      </c>
      <c r="L185" s="45">
        <v>1459</v>
      </c>
      <c r="M185" s="45">
        <v>1683</v>
      </c>
    </row>
    <row r="186" spans="1:13">
      <c r="A186" s="46" t="s">
        <v>423</v>
      </c>
      <c r="B186" s="45">
        <v>5966</v>
      </c>
      <c r="C186" s="45">
        <v>2230</v>
      </c>
      <c r="D186" s="45">
        <v>3440</v>
      </c>
      <c r="E186" s="45">
        <v>3888</v>
      </c>
      <c r="F186" s="45">
        <v>4530</v>
      </c>
      <c r="G186" s="45">
        <v>5269</v>
      </c>
      <c r="H186" s="45">
        <v>5727</v>
      </c>
      <c r="I186" s="45">
        <v>3059</v>
      </c>
      <c r="J186" s="45">
        <v>3884</v>
      </c>
      <c r="K186" s="45">
        <v>4317</v>
      </c>
      <c r="L186" s="45">
        <v>5541</v>
      </c>
      <c r="M186" s="45">
        <v>6389</v>
      </c>
    </row>
    <row r="187" spans="1:13">
      <c r="A187" s="46" t="s">
        <v>424</v>
      </c>
      <c r="B187" s="45">
        <v>5</v>
      </c>
      <c r="C187" s="45">
        <v>2</v>
      </c>
      <c r="D187" s="45">
        <v>3</v>
      </c>
      <c r="E187" s="45">
        <v>3</v>
      </c>
      <c r="F187" s="45">
        <v>4</v>
      </c>
      <c r="G187" s="45">
        <v>4</v>
      </c>
      <c r="H187" s="45">
        <v>5</v>
      </c>
      <c r="I187" s="45">
        <v>2</v>
      </c>
      <c r="J187" s="45">
        <v>3</v>
      </c>
      <c r="K187" s="45">
        <v>3</v>
      </c>
      <c r="L187" s="45">
        <v>4</v>
      </c>
      <c r="M187" s="45">
        <v>5</v>
      </c>
    </row>
    <row r="188" spans="1:13">
      <c r="A188" s="46" t="s">
        <v>425</v>
      </c>
      <c r="B188" s="45">
        <v>3437</v>
      </c>
      <c r="C188" s="45">
        <v>1989</v>
      </c>
      <c r="D188" s="45">
        <v>1848</v>
      </c>
      <c r="E188" s="45">
        <v>1149</v>
      </c>
      <c r="F188" s="45">
        <v>2152</v>
      </c>
      <c r="G188" s="45">
        <v>3059</v>
      </c>
      <c r="H188" s="45">
        <v>4491</v>
      </c>
      <c r="I188" s="45">
        <v>3434</v>
      </c>
      <c r="J188" s="45">
        <v>1840</v>
      </c>
      <c r="K188" s="45">
        <v>2163</v>
      </c>
      <c r="L188" s="45">
        <v>535</v>
      </c>
      <c r="M188" s="45">
        <v>2191</v>
      </c>
    </row>
    <row r="189" spans="1:13">
      <c r="A189" s="46" t="s">
        <v>426</v>
      </c>
      <c r="B189" s="45">
        <v>0</v>
      </c>
      <c r="C189" s="45">
        <v>0</v>
      </c>
      <c r="D189" s="45">
        <v>0</v>
      </c>
      <c r="E189" s="45">
        <v>0</v>
      </c>
      <c r="F189" s="45">
        <v>0</v>
      </c>
      <c r="G189" s="45">
        <v>0</v>
      </c>
      <c r="H189" s="45">
        <v>0</v>
      </c>
      <c r="I189" s="45">
        <v>37</v>
      </c>
      <c r="J189" s="45">
        <v>37</v>
      </c>
      <c r="K189" s="45">
        <v>0</v>
      </c>
      <c r="L189" s="45">
        <v>0</v>
      </c>
      <c r="M189" s="45">
        <v>0</v>
      </c>
    </row>
    <row r="190" spans="1:13">
      <c r="A190" s="46" t="s">
        <v>427</v>
      </c>
      <c r="B190" s="45">
        <v>11</v>
      </c>
      <c r="C190" s="45">
        <v>11</v>
      </c>
      <c r="D190" s="45">
        <v>11</v>
      </c>
      <c r="E190" s="45">
        <v>11</v>
      </c>
      <c r="F190" s="45">
        <v>11</v>
      </c>
      <c r="G190" s="45">
        <v>11</v>
      </c>
      <c r="H190" s="45">
        <v>11</v>
      </c>
      <c r="I190" s="45">
        <v>11</v>
      </c>
      <c r="J190" s="45">
        <v>11</v>
      </c>
      <c r="K190" s="45">
        <v>11</v>
      </c>
      <c r="L190" s="45">
        <v>11</v>
      </c>
      <c r="M190" s="45">
        <v>11</v>
      </c>
    </row>
    <row r="191" spans="1:13">
      <c r="A191" s="47" t="s">
        <v>428</v>
      </c>
      <c r="B191" s="45">
        <v>16985120</v>
      </c>
      <c r="C191" s="45">
        <v>13919282</v>
      </c>
      <c r="D191" s="45">
        <v>10844940</v>
      </c>
      <c r="E191" s="45">
        <v>10478217</v>
      </c>
      <c r="F191" s="45">
        <v>20448521</v>
      </c>
      <c r="G191" s="45">
        <v>15530612</v>
      </c>
      <c r="H191" s="45">
        <v>14743186</v>
      </c>
      <c r="I191" s="45">
        <v>18149641</v>
      </c>
      <c r="J191" s="45">
        <v>16605795</v>
      </c>
      <c r="K191" s="45">
        <v>11654231</v>
      </c>
      <c r="L191" s="45">
        <v>12339028</v>
      </c>
      <c r="M191" s="45">
        <v>24445083</v>
      </c>
    </row>
    <row r="192" spans="1:13">
      <c r="A192" s="46" t="s">
        <v>429</v>
      </c>
      <c r="B192" s="45">
        <v>34168544</v>
      </c>
      <c r="C192" s="45">
        <v>41547783</v>
      </c>
      <c r="D192" s="45">
        <v>44313134</v>
      </c>
      <c r="E192" s="45">
        <v>45808050</v>
      </c>
      <c r="F192" s="45">
        <v>50639736</v>
      </c>
      <c r="G192" s="45">
        <v>43236449</v>
      </c>
      <c r="H192" s="45">
        <v>40358139</v>
      </c>
      <c r="I192" s="45">
        <v>37231596</v>
      </c>
      <c r="J192" s="45">
        <v>18790151</v>
      </c>
      <c r="K192" s="45">
        <v>18179274</v>
      </c>
      <c r="L192" s="45">
        <v>17726425</v>
      </c>
      <c r="M192" s="45">
        <v>20148946</v>
      </c>
    </row>
    <row r="193" spans="1:13">
      <c r="A193" s="46" t="s">
        <v>430</v>
      </c>
      <c r="B193" s="45">
        <v>301200000</v>
      </c>
      <c r="C193" s="45">
        <v>301200000</v>
      </c>
      <c r="D193" s="45">
        <v>300300000</v>
      </c>
      <c r="E193" s="45">
        <v>300300000</v>
      </c>
      <c r="F193" s="45">
        <v>300300000</v>
      </c>
      <c r="G193" s="45">
        <v>309600000</v>
      </c>
      <c r="H193" s="45">
        <v>309600000</v>
      </c>
      <c r="I193" s="45">
        <v>309600000</v>
      </c>
      <c r="J193" s="45">
        <v>306500000</v>
      </c>
      <c r="K193" s="45">
        <v>306500000</v>
      </c>
      <c r="L193" s="45">
        <v>306500000</v>
      </c>
      <c r="M193" s="45">
        <v>303800000</v>
      </c>
    </row>
    <row r="194" spans="1:13">
      <c r="A194" s="46" t="s">
        <v>431</v>
      </c>
      <c r="B194" s="45">
        <v>13026</v>
      </c>
      <c r="C194" s="45">
        <v>13747</v>
      </c>
      <c r="D194" s="45">
        <v>30526</v>
      </c>
      <c r="E194" s="45">
        <v>40923</v>
      </c>
      <c r="F194" s="45">
        <v>54376</v>
      </c>
      <c r="G194" s="45">
        <v>59899</v>
      </c>
      <c r="H194" s="45">
        <v>75507</v>
      </c>
      <c r="I194" s="45">
        <v>90093</v>
      </c>
      <c r="J194" s="45">
        <v>117649</v>
      </c>
      <c r="K194" s="45">
        <v>56597</v>
      </c>
      <c r="L194" s="45">
        <v>66712</v>
      </c>
      <c r="M194" s="45">
        <v>97439</v>
      </c>
    </row>
    <row r="195" spans="1:13">
      <c r="A195" s="46" t="s">
        <v>432</v>
      </c>
      <c r="B195" s="45">
        <v>1418836</v>
      </c>
      <c r="C195" s="45">
        <v>1418840</v>
      </c>
      <c r="D195" s="45">
        <v>1418063</v>
      </c>
      <c r="E195" s="45">
        <v>1418063</v>
      </c>
      <c r="F195" s="45">
        <v>1418063</v>
      </c>
      <c r="G195" s="45">
        <v>1450047</v>
      </c>
      <c r="H195" s="45">
        <v>1450047</v>
      </c>
      <c r="I195" s="45">
        <v>1450047</v>
      </c>
      <c r="J195" s="45">
        <v>1447368</v>
      </c>
      <c r="K195" s="45">
        <v>1447368</v>
      </c>
      <c r="L195" s="45">
        <v>1447368</v>
      </c>
      <c r="M195" s="45">
        <v>1445035</v>
      </c>
    </row>
    <row r="196" spans="1:13">
      <c r="A196" s="47" t="s">
        <v>433</v>
      </c>
      <c r="B196" s="45">
        <v>336800406</v>
      </c>
      <c r="C196" s="45">
        <v>344180370</v>
      </c>
      <c r="D196" s="45">
        <v>346061723</v>
      </c>
      <c r="E196" s="45">
        <v>347567035</v>
      </c>
      <c r="F196" s="45">
        <v>352412175</v>
      </c>
      <c r="G196" s="45">
        <v>354346395</v>
      </c>
      <c r="H196" s="45">
        <v>351483693</v>
      </c>
      <c r="I196" s="45">
        <v>348371737</v>
      </c>
      <c r="J196" s="45">
        <v>326855168</v>
      </c>
      <c r="K196" s="45">
        <v>326183240</v>
      </c>
      <c r="L196" s="45">
        <v>325740505</v>
      </c>
      <c r="M196" s="45">
        <v>325491420</v>
      </c>
    </row>
    <row r="197" spans="1:13">
      <c r="A197" s="46" t="s">
        <v>434</v>
      </c>
      <c r="B197" s="45">
        <v>34883536</v>
      </c>
      <c r="C197" s="45">
        <v>35174220</v>
      </c>
      <c r="D197" s="45">
        <v>34761812</v>
      </c>
      <c r="E197" s="45">
        <v>31552390</v>
      </c>
      <c r="F197" s="45">
        <v>29542474</v>
      </c>
      <c r="G197" s="45">
        <v>33256903</v>
      </c>
      <c r="H197" s="45">
        <v>36651953</v>
      </c>
      <c r="I197" s="45">
        <v>35439235</v>
      </c>
      <c r="J197" s="45">
        <v>37617330</v>
      </c>
      <c r="K197" s="45">
        <v>36107967</v>
      </c>
      <c r="L197" s="45">
        <v>31215090</v>
      </c>
      <c r="M197" s="45">
        <v>33725711</v>
      </c>
    </row>
    <row r="198" spans="1:13">
      <c r="A198" s="47" t="s">
        <v>437</v>
      </c>
      <c r="B198" s="45">
        <v>34883536</v>
      </c>
      <c r="C198" s="45">
        <v>35174220</v>
      </c>
      <c r="D198" s="45">
        <v>34761812</v>
      </c>
      <c r="E198" s="45">
        <v>31552390</v>
      </c>
      <c r="F198" s="45">
        <v>29542474</v>
      </c>
      <c r="G198" s="45">
        <v>33256903</v>
      </c>
      <c r="H198" s="45">
        <v>36651953</v>
      </c>
      <c r="I198" s="45">
        <v>35439235</v>
      </c>
      <c r="J198" s="45">
        <v>37617330</v>
      </c>
      <c r="K198" s="45">
        <v>36107967</v>
      </c>
      <c r="L198" s="45">
        <v>31215090</v>
      </c>
      <c r="M198" s="45">
        <v>33725711</v>
      </c>
    </row>
    <row r="199" spans="1:13">
      <c r="A199" s="46" t="s">
        <v>438</v>
      </c>
      <c r="B199" s="45">
        <v>2125331</v>
      </c>
      <c r="C199" s="45">
        <v>2150320</v>
      </c>
      <c r="D199" s="45">
        <v>2148734</v>
      </c>
      <c r="E199" s="45">
        <v>2125549</v>
      </c>
      <c r="F199" s="45">
        <v>2105964</v>
      </c>
      <c r="G199" s="45">
        <v>2085118</v>
      </c>
      <c r="H199" s="45">
        <v>2016699</v>
      </c>
      <c r="I199" s="45">
        <v>1995931</v>
      </c>
      <c r="J199" s="45">
        <v>1984892</v>
      </c>
      <c r="K199" s="45">
        <v>1966693</v>
      </c>
      <c r="L199" s="45">
        <v>1964214</v>
      </c>
      <c r="M199" s="45">
        <v>2087940</v>
      </c>
    </row>
    <row r="200" spans="1:13">
      <c r="A200" s="46" t="s">
        <v>439</v>
      </c>
      <c r="B200" s="45">
        <v>685300</v>
      </c>
      <c r="C200" s="45">
        <v>675300</v>
      </c>
      <c r="D200" s="45">
        <v>675000</v>
      </c>
      <c r="E200" s="45">
        <v>685000</v>
      </c>
      <c r="F200" s="45">
        <v>435000</v>
      </c>
      <c r="G200" s="45">
        <v>505000</v>
      </c>
      <c r="H200" s="45">
        <v>515000</v>
      </c>
      <c r="I200" s="45">
        <v>410000</v>
      </c>
      <c r="J200" s="45">
        <v>390000</v>
      </c>
      <c r="K200" s="45">
        <v>550000</v>
      </c>
      <c r="L200" s="45">
        <v>610000</v>
      </c>
      <c r="M200" s="45">
        <v>730000</v>
      </c>
    </row>
    <row r="201" spans="1:13">
      <c r="A201" s="47" t="s">
        <v>440</v>
      </c>
      <c r="B201" s="45">
        <v>2810631</v>
      </c>
      <c r="C201" s="45">
        <v>2825620</v>
      </c>
      <c r="D201" s="45">
        <v>2823734</v>
      </c>
      <c r="E201" s="45">
        <v>2810549</v>
      </c>
      <c r="F201" s="45">
        <v>2540964</v>
      </c>
      <c r="G201" s="45">
        <v>2590118</v>
      </c>
      <c r="H201" s="45">
        <v>2531699</v>
      </c>
      <c r="I201" s="45">
        <v>2405931</v>
      </c>
      <c r="J201" s="45">
        <v>2374892</v>
      </c>
      <c r="K201" s="45">
        <v>2516693</v>
      </c>
      <c r="L201" s="45">
        <v>2574214</v>
      </c>
      <c r="M201" s="45">
        <v>2817940</v>
      </c>
    </row>
    <row r="202" spans="1:13">
      <c r="A202" s="46" t="s">
        <v>441</v>
      </c>
      <c r="B202" s="48">
        <v>-4431</v>
      </c>
      <c r="C202" s="45">
        <v>28453</v>
      </c>
      <c r="D202" s="45">
        <v>0</v>
      </c>
      <c r="E202" s="48">
        <v>-28195</v>
      </c>
      <c r="F202" s="48">
        <v>-27627</v>
      </c>
      <c r="G202" s="45">
        <v>0</v>
      </c>
      <c r="H202" s="45">
        <v>707205</v>
      </c>
      <c r="I202" s="45">
        <v>188911</v>
      </c>
      <c r="J202" s="45">
        <v>0</v>
      </c>
      <c r="K202" s="45">
        <v>16995</v>
      </c>
      <c r="L202" s="45">
        <v>3083322</v>
      </c>
      <c r="M202" s="45">
        <v>0</v>
      </c>
    </row>
    <row r="203" spans="1:13">
      <c r="A203" s="46" t="s">
        <v>442</v>
      </c>
      <c r="B203" s="45">
        <v>137963</v>
      </c>
      <c r="C203" s="45">
        <v>203690</v>
      </c>
      <c r="D203" s="45">
        <v>2</v>
      </c>
      <c r="E203" s="48">
        <v>-77281</v>
      </c>
      <c r="F203" s="48">
        <v>-24535</v>
      </c>
      <c r="G203" s="45">
        <v>2</v>
      </c>
      <c r="H203" s="45">
        <v>279530</v>
      </c>
      <c r="I203" s="45">
        <v>566674</v>
      </c>
      <c r="J203" s="45">
        <v>2</v>
      </c>
      <c r="K203" s="45">
        <v>50069</v>
      </c>
      <c r="L203" s="48">
        <v>-72676</v>
      </c>
      <c r="M203" s="45">
        <v>2</v>
      </c>
    </row>
    <row r="204" spans="1:13">
      <c r="A204" s="46" t="s">
        <v>443</v>
      </c>
      <c r="B204" s="45">
        <v>46216</v>
      </c>
      <c r="C204" s="45">
        <v>19647</v>
      </c>
      <c r="D204" s="45">
        <v>7563</v>
      </c>
      <c r="E204" s="45">
        <v>23517</v>
      </c>
      <c r="F204" s="45">
        <v>109274</v>
      </c>
      <c r="G204" s="45">
        <v>84539</v>
      </c>
      <c r="H204" s="48">
        <v>-65082</v>
      </c>
      <c r="I204" s="45">
        <v>11176</v>
      </c>
      <c r="J204" s="45">
        <v>20055</v>
      </c>
      <c r="K204" s="45">
        <v>6841</v>
      </c>
      <c r="L204" s="45">
        <v>16975</v>
      </c>
      <c r="M204" s="45">
        <v>50995</v>
      </c>
    </row>
    <row r="205" spans="1:13">
      <c r="A205" s="46" t="s">
        <v>444</v>
      </c>
      <c r="B205" s="45">
        <v>12051710</v>
      </c>
      <c r="C205" s="45">
        <v>7557405</v>
      </c>
      <c r="D205" s="45">
        <v>8526371</v>
      </c>
      <c r="E205" s="45">
        <v>9495337</v>
      </c>
      <c r="F205" s="45">
        <v>4844830</v>
      </c>
      <c r="G205" s="45">
        <v>5813899</v>
      </c>
      <c r="H205" s="45">
        <v>6782865</v>
      </c>
      <c r="I205" s="45">
        <v>7538162</v>
      </c>
      <c r="J205" s="45">
        <v>8480432</v>
      </c>
      <c r="K205" s="45">
        <v>9422702</v>
      </c>
      <c r="L205" s="45">
        <v>10364972</v>
      </c>
      <c r="M205" s="45">
        <v>11307242</v>
      </c>
    </row>
    <row r="206" spans="1:13">
      <c r="A206" s="46" t="s">
        <v>445</v>
      </c>
      <c r="B206" s="45">
        <v>80985</v>
      </c>
      <c r="C206" s="45">
        <v>89807</v>
      </c>
      <c r="D206" s="45">
        <v>47470</v>
      </c>
      <c r="E206" s="45">
        <v>56913</v>
      </c>
      <c r="F206" s="45">
        <v>69935</v>
      </c>
      <c r="G206" s="45">
        <v>89229</v>
      </c>
      <c r="H206" s="45">
        <v>69557</v>
      </c>
      <c r="I206" s="45">
        <v>104164</v>
      </c>
      <c r="J206" s="45">
        <v>126598</v>
      </c>
      <c r="K206" s="45">
        <v>147811</v>
      </c>
      <c r="L206" s="45">
        <v>82741</v>
      </c>
      <c r="M206" s="45">
        <v>94490</v>
      </c>
    </row>
    <row r="207" spans="1:13">
      <c r="A207" s="46" t="s">
        <v>446</v>
      </c>
      <c r="B207" s="45">
        <v>1911</v>
      </c>
      <c r="C207" s="45">
        <v>14</v>
      </c>
      <c r="D207" s="45">
        <v>27</v>
      </c>
      <c r="E207" s="45">
        <v>48</v>
      </c>
      <c r="F207" s="45">
        <v>13</v>
      </c>
      <c r="G207" s="45">
        <v>37</v>
      </c>
      <c r="H207" s="45">
        <v>43</v>
      </c>
      <c r="I207" s="45">
        <v>41</v>
      </c>
      <c r="J207" s="45">
        <v>54</v>
      </c>
      <c r="K207" s="45">
        <v>92</v>
      </c>
      <c r="L207" s="45">
        <v>42</v>
      </c>
      <c r="M207" s="45">
        <v>1360</v>
      </c>
    </row>
    <row r="208" spans="1:13">
      <c r="A208" s="46" t="s">
        <v>447</v>
      </c>
      <c r="B208" s="45">
        <v>3334</v>
      </c>
      <c r="C208" s="45">
        <v>2458</v>
      </c>
      <c r="D208" s="45">
        <v>123</v>
      </c>
      <c r="E208" s="45">
        <v>194</v>
      </c>
      <c r="F208" s="45">
        <v>188</v>
      </c>
      <c r="G208" s="45">
        <v>56</v>
      </c>
      <c r="H208" s="45">
        <v>2</v>
      </c>
      <c r="I208" s="45">
        <v>188</v>
      </c>
      <c r="J208" s="45">
        <v>210</v>
      </c>
      <c r="K208" s="45">
        <v>291</v>
      </c>
      <c r="L208" s="45">
        <v>108</v>
      </c>
      <c r="M208" s="45">
        <v>3985</v>
      </c>
    </row>
    <row r="209" spans="1:13">
      <c r="A209" s="47" t="s">
        <v>448</v>
      </c>
      <c r="B209" s="45">
        <v>12317687</v>
      </c>
      <c r="C209" s="45">
        <v>7901475</v>
      </c>
      <c r="D209" s="45">
        <v>8581555</v>
      </c>
      <c r="E209" s="45">
        <v>9470533</v>
      </c>
      <c r="F209" s="45">
        <v>4972079</v>
      </c>
      <c r="G209" s="45">
        <v>5987761</v>
      </c>
      <c r="H209" s="45">
        <v>7774121</v>
      </c>
      <c r="I209" s="45">
        <v>8409315</v>
      </c>
      <c r="J209" s="45">
        <v>8627349</v>
      </c>
      <c r="K209" s="45">
        <v>9644800</v>
      </c>
      <c r="L209" s="45">
        <v>13475483</v>
      </c>
      <c r="M209" s="45">
        <v>11458074</v>
      </c>
    </row>
    <row r="210" spans="1:13">
      <c r="A210" s="46" t="s">
        <v>449</v>
      </c>
      <c r="B210" s="45">
        <v>75464</v>
      </c>
      <c r="C210" s="45">
        <v>75482</v>
      </c>
      <c r="D210" s="45">
        <v>80046</v>
      </c>
      <c r="E210" s="45">
        <v>80017</v>
      </c>
      <c r="F210" s="45">
        <v>54951</v>
      </c>
      <c r="G210" s="45">
        <v>57354</v>
      </c>
      <c r="H210" s="45">
        <v>57420</v>
      </c>
      <c r="I210" s="45">
        <v>51118</v>
      </c>
      <c r="J210" s="45">
        <v>53299</v>
      </c>
      <c r="K210" s="45">
        <v>53398</v>
      </c>
      <c r="L210" s="45">
        <v>53289</v>
      </c>
      <c r="M210" s="45">
        <v>94411</v>
      </c>
    </row>
    <row r="211" spans="1:13">
      <c r="A211" s="47" t="s">
        <v>450</v>
      </c>
      <c r="B211" s="45">
        <v>75464</v>
      </c>
      <c r="C211" s="45">
        <v>75482</v>
      </c>
      <c r="D211" s="45">
        <v>80046</v>
      </c>
      <c r="E211" s="45">
        <v>80017</v>
      </c>
      <c r="F211" s="45">
        <v>54951</v>
      </c>
      <c r="G211" s="45">
        <v>57354</v>
      </c>
      <c r="H211" s="45">
        <v>57420</v>
      </c>
      <c r="I211" s="45">
        <v>51118</v>
      </c>
      <c r="J211" s="45">
        <v>53299</v>
      </c>
      <c r="K211" s="45">
        <v>53398</v>
      </c>
      <c r="L211" s="45">
        <v>53289</v>
      </c>
      <c r="M211" s="45">
        <v>94411</v>
      </c>
    </row>
    <row r="212" spans="1:13">
      <c r="A212" s="46" t="s">
        <v>451</v>
      </c>
      <c r="B212" s="45">
        <v>23606</v>
      </c>
      <c r="C212" s="45">
        <v>27933</v>
      </c>
      <c r="D212" s="45">
        <v>33269</v>
      </c>
      <c r="E212" s="45">
        <v>38226</v>
      </c>
      <c r="F212" s="45">
        <v>46772</v>
      </c>
      <c r="G212" s="45">
        <v>54563</v>
      </c>
      <c r="H212" s="45">
        <v>18487</v>
      </c>
      <c r="I212" s="45">
        <v>32878</v>
      </c>
      <c r="J212" s="45">
        <v>38549</v>
      </c>
      <c r="K212" s="45">
        <v>40437</v>
      </c>
      <c r="L212" s="45">
        <v>45769</v>
      </c>
      <c r="M212" s="45">
        <v>52398</v>
      </c>
    </row>
    <row r="213" spans="1:13">
      <c r="A213" s="46" t="s">
        <v>452</v>
      </c>
      <c r="B213" s="45">
        <v>34698</v>
      </c>
      <c r="C213" s="45">
        <v>53356</v>
      </c>
      <c r="D213" s="45">
        <v>45007</v>
      </c>
      <c r="E213" s="45">
        <v>53097</v>
      </c>
      <c r="F213" s="45">
        <v>64841</v>
      </c>
      <c r="G213" s="45">
        <v>86465</v>
      </c>
      <c r="H213" s="45">
        <v>23754</v>
      </c>
      <c r="I213" s="45">
        <v>47770</v>
      </c>
      <c r="J213" s="45">
        <v>60489</v>
      </c>
      <c r="K213" s="45">
        <v>63215</v>
      </c>
      <c r="L213" s="45">
        <v>80679</v>
      </c>
      <c r="M213" s="45">
        <v>92542</v>
      </c>
    </row>
    <row r="214" spans="1:13">
      <c r="A214" s="46" t="s">
        <v>453</v>
      </c>
      <c r="B214" s="45">
        <v>331530</v>
      </c>
      <c r="C214" s="45">
        <v>350347</v>
      </c>
      <c r="D214" s="45">
        <v>392692</v>
      </c>
      <c r="E214" s="45">
        <v>375968</v>
      </c>
      <c r="F214" s="45">
        <v>426100</v>
      </c>
      <c r="G214" s="45">
        <v>513977</v>
      </c>
      <c r="H214" s="45">
        <v>618568</v>
      </c>
      <c r="I214" s="45">
        <v>718312</v>
      </c>
      <c r="J214" s="45">
        <v>724935</v>
      </c>
      <c r="K214" s="45">
        <v>658360</v>
      </c>
      <c r="L214" s="45">
        <v>653735</v>
      </c>
      <c r="M214" s="45">
        <v>734781</v>
      </c>
    </row>
    <row r="215" spans="1:13">
      <c r="A215" s="46" t="s">
        <v>454</v>
      </c>
      <c r="B215" s="45">
        <v>638718</v>
      </c>
      <c r="C215" s="45">
        <v>613117</v>
      </c>
      <c r="D215" s="45">
        <v>639280</v>
      </c>
      <c r="E215" s="45">
        <v>556964</v>
      </c>
      <c r="F215" s="45">
        <v>547350</v>
      </c>
      <c r="G215" s="45">
        <v>671876</v>
      </c>
      <c r="H215" s="45">
        <v>832870</v>
      </c>
      <c r="I215" s="45">
        <v>914705</v>
      </c>
      <c r="J215" s="45">
        <v>842639</v>
      </c>
      <c r="K215" s="45">
        <v>686189</v>
      </c>
      <c r="L215" s="45">
        <v>622506</v>
      </c>
      <c r="M215" s="45">
        <v>710473</v>
      </c>
    </row>
    <row r="216" spans="1:13">
      <c r="A216" s="46" t="s">
        <v>455</v>
      </c>
      <c r="B216" s="45">
        <v>120</v>
      </c>
      <c r="C216" s="45">
        <v>0</v>
      </c>
      <c r="D216" s="45">
        <v>120</v>
      </c>
      <c r="E216" s="45">
        <v>120</v>
      </c>
      <c r="F216" s="45">
        <v>120</v>
      </c>
      <c r="G216" s="45">
        <v>240</v>
      </c>
      <c r="H216" s="45">
        <v>240</v>
      </c>
      <c r="I216" s="45">
        <v>120</v>
      </c>
      <c r="J216" s="45">
        <v>240</v>
      </c>
      <c r="K216" s="45">
        <v>240</v>
      </c>
      <c r="L216" s="45">
        <v>240</v>
      </c>
      <c r="M216" s="45">
        <v>240</v>
      </c>
    </row>
    <row r="217" spans="1:13">
      <c r="A217" s="46" t="s">
        <v>456</v>
      </c>
      <c r="B217" s="45">
        <v>11478</v>
      </c>
      <c r="C217" s="45">
        <v>16201</v>
      </c>
      <c r="D217" s="45">
        <v>16228</v>
      </c>
      <c r="E217" s="45">
        <v>18521</v>
      </c>
      <c r="F217" s="45">
        <v>22834</v>
      </c>
      <c r="G217" s="45">
        <v>28304</v>
      </c>
      <c r="H217" s="45">
        <v>8088</v>
      </c>
      <c r="I217" s="45">
        <v>16183</v>
      </c>
      <c r="J217" s="45">
        <v>20112</v>
      </c>
      <c r="K217" s="45">
        <v>21680</v>
      </c>
      <c r="L217" s="45">
        <v>27229</v>
      </c>
      <c r="M217" s="45">
        <v>31401</v>
      </c>
    </row>
    <row r="218" spans="1:13">
      <c r="A218" s="46" t="s">
        <v>457</v>
      </c>
      <c r="B218" s="45">
        <v>37372</v>
      </c>
      <c r="C218" s="45">
        <v>115876</v>
      </c>
      <c r="D218" s="45">
        <v>143111</v>
      </c>
      <c r="E218" s="45">
        <v>47348</v>
      </c>
      <c r="F218" s="45">
        <v>95460</v>
      </c>
      <c r="G218" s="45">
        <v>143517</v>
      </c>
      <c r="H218" s="45">
        <v>48383</v>
      </c>
      <c r="I218" s="45">
        <v>96781</v>
      </c>
      <c r="J218" s="45">
        <v>144690</v>
      </c>
      <c r="K218" s="45">
        <v>59532</v>
      </c>
      <c r="L218" s="45">
        <v>133017</v>
      </c>
      <c r="M218" s="45">
        <v>204865</v>
      </c>
    </row>
    <row r="219" spans="1:13">
      <c r="A219" s="47" t="s">
        <v>458</v>
      </c>
      <c r="B219" s="45">
        <v>1077523</v>
      </c>
      <c r="C219" s="45">
        <v>1176828</v>
      </c>
      <c r="D219" s="45">
        <v>1269707</v>
      </c>
      <c r="E219" s="45">
        <v>1090244</v>
      </c>
      <c r="F219" s="45">
        <v>1203477</v>
      </c>
      <c r="G219" s="45">
        <v>1498942</v>
      </c>
      <c r="H219" s="45">
        <v>1550391</v>
      </c>
      <c r="I219" s="45">
        <v>1826750</v>
      </c>
      <c r="J219" s="45">
        <v>1831653</v>
      </c>
      <c r="K219" s="45">
        <v>1529652</v>
      </c>
      <c r="L219" s="45">
        <v>1563175</v>
      </c>
      <c r="M219" s="45">
        <v>1826701</v>
      </c>
    </row>
    <row r="220" spans="1:13">
      <c r="A220" s="46" t="s">
        <v>459</v>
      </c>
      <c r="B220" s="45">
        <v>504760</v>
      </c>
      <c r="C220" s="45">
        <v>491718</v>
      </c>
      <c r="D220" s="45">
        <v>520420</v>
      </c>
      <c r="E220" s="45">
        <v>541958</v>
      </c>
      <c r="F220" s="45">
        <v>512136</v>
      </c>
      <c r="G220" s="45">
        <v>492753</v>
      </c>
      <c r="H220" s="45">
        <v>468628</v>
      </c>
      <c r="I220" s="45">
        <v>477687</v>
      </c>
      <c r="J220" s="45">
        <v>505256</v>
      </c>
      <c r="K220" s="45">
        <v>521689</v>
      </c>
      <c r="L220" s="45">
        <v>426552</v>
      </c>
      <c r="M220" s="45">
        <v>425133</v>
      </c>
    </row>
    <row r="221" spans="1:13">
      <c r="A221" s="46" t="s">
        <v>460</v>
      </c>
      <c r="B221" s="45">
        <v>393000</v>
      </c>
      <c r="C221" s="45">
        <v>393000</v>
      </c>
      <c r="D221" s="45">
        <v>393000</v>
      </c>
      <c r="E221" s="45">
        <v>393000</v>
      </c>
      <c r="F221" s="45">
        <v>393000</v>
      </c>
      <c r="G221" s="45">
        <v>393000</v>
      </c>
      <c r="H221" s="45">
        <v>393000</v>
      </c>
      <c r="I221" s="45">
        <v>393000</v>
      </c>
      <c r="J221" s="45">
        <v>393000</v>
      </c>
      <c r="K221" s="45">
        <v>393000</v>
      </c>
      <c r="L221" s="45">
        <v>393000</v>
      </c>
      <c r="M221" s="45">
        <v>366000</v>
      </c>
    </row>
    <row r="222" spans="1:13">
      <c r="A222" s="46" t="s">
        <v>461</v>
      </c>
      <c r="B222" s="45">
        <v>205466</v>
      </c>
      <c r="C222" s="45">
        <v>98299</v>
      </c>
      <c r="D222" s="45">
        <v>105818</v>
      </c>
      <c r="E222" s="45">
        <v>123012</v>
      </c>
      <c r="F222" s="45">
        <v>155464</v>
      </c>
      <c r="G222" s="45">
        <v>178658</v>
      </c>
      <c r="H222" s="45">
        <v>188075</v>
      </c>
      <c r="I222" s="45">
        <v>112799</v>
      </c>
      <c r="J222" s="45">
        <v>129060</v>
      </c>
      <c r="K222" s="45">
        <v>136791</v>
      </c>
      <c r="L222" s="45">
        <v>161920</v>
      </c>
      <c r="M222" s="45">
        <v>179914</v>
      </c>
    </row>
    <row r="223" spans="1:13">
      <c r="A223" s="46" t="s">
        <v>462</v>
      </c>
      <c r="B223" s="45">
        <v>8931</v>
      </c>
      <c r="C223" s="45">
        <v>383</v>
      </c>
      <c r="D223" s="45">
        <v>2397</v>
      </c>
      <c r="E223" s="45">
        <v>9971</v>
      </c>
      <c r="F223" s="45">
        <v>10067</v>
      </c>
      <c r="G223" s="45">
        <v>9729</v>
      </c>
      <c r="H223" s="45">
        <v>9782</v>
      </c>
      <c r="I223" s="45">
        <v>10358</v>
      </c>
      <c r="J223" s="45">
        <v>10054</v>
      </c>
      <c r="K223" s="45">
        <v>8795</v>
      </c>
      <c r="L223" s="45">
        <v>9192</v>
      </c>
      <c r="M223" s="45">
        <v>4000</v>
      </c>
    </row>
    <row r="224" spans="1:13">
      <c r="A224" s="46" t="s">
        <v>463</v>
      </c>
      <c r="B224" s="45">
        <v>10144</v>
      </c>
      <c r="C224" s="45">
        <v>7552</v>
      </c>
      <c r="D224" s="45">
        <v>13190</v>
      </c>
      <c r="E224" s="45">
        <v>10459</v>
      </c>
      <c r="F224" s="45">
        <v>7247</v>
      </c>
      <c r="G224" s="45">
        <v>10776</v>
      </c>
      <c r="H224" s="45">
        <v>8660</v>
      </c>
      <c r="I224" s="45">
        <v>7273</v>
      </c>
      <c r="J224" s="45">
        <v>11087</v>
      </c>
      <c r="K224" s="45">
        <v>7296</v>
      </c>
      <c r="L224" s="45">
        <v>7565</v>
      </c>
      <c r="M224" s="45">
        <v>17572</v>
      </c>
    </row>
    <row r="225" spans="1:13">
      <c r="A225" s="46" t="s">
        <v>464</v>
      </c>
      <c r="B225" s="45">
        <v>155</v>
      </c>
      <c r="C225" s="45">
        <v>163</v>
      </c>
      <c r="D225" s="45">
        <v>171</v>
      </c>
      <c r="E225" s="45">
        <v>183</v>
      </c>
      <c r="F225" s="45">
        <v>192</v>
      </c>
      <c r="G225" s="45">
        <v>197</v>
      </c>
      <c r="H225" s="45">
        <v>203</v>
      </c>
      <c r="I225" s="45">
        <v>212</v>
      </c>
      <c r="J225" s="45">
        <v>17654</v>
      </c>
      <c r="K225" s="45">
        <v>117</v>
      </c>
      <c r="L225" s="45">
        <v>122</v>
      </c>
      <c r="M225" s="45">
        <v>138</v>
      </c>
    </row>
    <row r="226" spans="1:13">
      <c r="A226" s="46" t="s">
        <v>465</v>
      </c>
      <c r="B226" s="45">
        <v>739381</v>
      </c>
      <c r="C226" s="45">
        <v>798145</v>
      </c>
      <c r="D226" s="45">
        <v>188347</v>
      </c>
      <c r="E226" s="45">
        <v>246095</v>
      </c>
      <c r="F226" s="45">
        <v>304859</v>
      </c>
      <c r="G226" s="45">
        <v>341450</v>
      </c>
      <c r="H226" s="45">
        <v>396518</v>
      </c>
      <c r="I226" s="45">
        <v>451587</v>
      </c>
      <c r="J226" s="45">
        <v>406461</v>
      </c>
      <c r="K226" s="45">
        <v>450397</v>
      </c>
      <c r="L226" s="45">
        <v>494333</v>
      </c>
      <c r="M226" s="45">
        <v>505411</v>
      </c>
    </row>
    <row r="227" spans="1:13">
      <c r="A227" s="46" t="s">
        <v>466</v>
      </c>
      <c r="B227" s="45">
        <v>458532</v>
      </c>
      <c r="C227" s="45">
        <v>439205</v>
      </c>
      <c r="D227" s="45">
        <v>277129</v>
      </c>
      <c r="E227" s="45">
        <v>322095</v>
      </c>
      <c r="F227" s="45">
        <v>378836</v>
      </c>
      <c r="G227" s="45">
        <v>429581</v>
      </c>
      <c r="H227" s="45">
        <v>520731</v>
      </c>
      <c r="I227" s="45">
        <v>275897</v>
      </c>
      <c r="J227" s="45">
        <v>330122</v>
      </c>
      <c r="K227" s="45">
        <v>359714</v>
      </c>
      <c r="L227" s="45">
        <v>468152</v>
      </c>
      <c r="M227" s="45">
        <v>491593</v>
      </c>
    </row>
    <row r="228" spans="1:13">
      <c r="A228" s="46" t="s">
        <v>467</v>
      </c>
      <c r="B228" s="45">
        <v>11531</v>
      </c>
      <c r="C228" s="45">
        <v>9176</v>
      </c>
      <c r="D228" s="45">
        <v>12994</v>
      </c>
      <c r="E228" s="45">
        <v>11624</v>
      </c>
      <c r="F228" s="45">
        <v>14280</v>
      </c>
      <c r="G228" s="45">
        <v>16094</v>
      </c>
      <c r="H228" s="45">
        <v>14743</v>
      </c>
      <c r="I228" s="45">
        <v>18568</v>
      </c>
      <c r="J228" s="45">
        <v>27504</v>
      </c>
      <c r="K228" s="45">
        <v>34902</v>
      </c>
      <c r="L228" s="45">
        <v>25621</v>
      </c>
      <c r="M228" s="45">
        <v>19682</v>
      </c>
    </row>
    <row r="229" spans="1:13">
      <c r="A229" s="46" t="s">
        <v>468</v>
      </c>
      <c r="B229" s="45">
        <v>5644</v>
      </c>
      <c r="C229" s="45">
        <v>5644</v>
      </c>
      <c r="D229" s="45">
        <v>5644</v>
      </c>
      <c r="E229" s="45">
        <v>0</v>
      </c>
      <c r="F229" s="45">
        <v>0</v>
      </c>
      <c r="G229" s="45">
        <v>0</v>
      </c>
      <c r="H229" s="45">
        <v>0</v>
      </c>
      <c r="I229" s="45">
        <v>0</v>
      </c>
      <c r="J229" s="45">
        <v>0</v>
      </c>
      <c r="K229" s="45">
        <v>0</v>
      </c>
      <c r="L229" s="45">
        <v>0</v>
      </c>
      <c r="M229" s="45">
        <v>0</v>
      </c>
    </row>
    <row r="230" spans="1:13">
      <c r="A230" s="46" t="s">
        <v>469</v>
      </c>
      <c r="B230" s="45">
        <v>1893</v>
      </c>
      <c r="C230" s="45">
        <v>3786</v>
      </c>
      <c r="D230" s="45">
        <v>665496</v>
      </c>
      <c r="E230" s="45">
        <v>7572</v>
      </c>
      <c r="F230" s="45">
        <v>9465</v>
      </c>
      <c r="G230" s="45">
        <v>473046</v>
      </c>
      <c r="H230" s="45">
        <v>0</v>
      </c>
      <c r="I230" s="45">
        <v>0</v>
      </c>
      <c r="J230" s="45">
        <v>377612</v>
      </c>
      <c r="K230" s="45">
        <v>0</v>
      </c>
      <c r="L230" s="45">
        <v>0</v>
      </c>
      <c r="M230" s="45">
        <v>377612</v>
      </c>
    </row>
    <row r="231" spans="1:13">
      <c r="A231" s="46" t="s">
        <v>470</v>
      </c>
      <c r="B231" s="45">
        <v>0</v>
      </c>
      <c r="C231" s="45">
        <v>0</v>
      </c>
      <c r="D231" s="45">
        <v>0</v>
      </c>
      <c r="E231" s="45">
        <v>0</v>
      </c>
      <c r="F231" s="45">
        <v>0</v>
      </c>
      <c r="G231" s="45">
        <v>0</v>
      </c>
      <c r="H231" s="45">
        <v>0</v>
      </c>
      <c r="I231" s="45">
        <v>0</v>
      </c>
      <c r="J231" s="45">
        <v>98959</v>
      </c>
      <c r="K231" s="45">
        <v>0</v>
      </c>
      <c r="L231" s="45">
        <v>0</v>
      </c>
      <c r="M231" s="45">
        <v>0</v>
      </c>
    </row>
    <row r="232" spans="1:13">
      <c r="A232" s="46" t="s">
        <v>471</v>
      </c>
      <c r="B232" s="45">
        <v>3148219</v>
      </c>
      <c r="C232" s="45">
        <v>3203494</v>
      </c>
      <c r="D232" s="45">
        <v>3555499</v>
      </c>
      <c r="E232" s="45">
        <v>3805271</v>
      </c>
      <c r="F232" s="45">
        <v>3931573</v>
      </c>
      <c r="G232" s="45">
        <v>4112708</v>
      </c>
      <c r="H232" s="45">
        <v>3570947</v>
      </c>
      <c r="I232" s="45">
        <v>3147381</v>
      </c>
      <c r="J232" s="45">
        <v>2828450</v>
      </c>
      <c r="K232" s="45">
        <v>3320807</v>
      </c>
      <c r="L232" s="45">
        <v>3564009</v>
      </c>
      <c r="M232" s="45">
        <v>3297890</v>
      </c>
    </row>
    <row r="233" spans="1:13">
      <c r="A233" s="47" t="s">
        <v>472</v>
      </c>
      <c r="B233" s="45">
        <v>5487657</v>
      </c>
      <c r="C233" s="45">
        <v>5450565</v>
      </c>
      <c r="D233" s="45">
        <v>5740104</v>
      </c>
      <c r="E233" s="45">
        <v>5471240</v>
      </c>
      <c r="F233" s="45">
        <v>5717120</v>
      </c>
      <c r="G233" s="45">
        <v>6457991</v>
      </c>
      <c r="H233" s="45">
        <v>5571288</v>
      </c>
      <c r="I233" s="45">
        <v>4894761</v>
      </c>
      <c r="J233" s="45">
        <v>5135219</v>
      </c>
      <c r="K233" s="45">
        <v>5233509</v>
      </c>
      <c r="L233" s="45">
        <v>5550466</v>
      </c>
      <c r="M233" s="45">
        <v>5684945</v>
      </c>
    </row>
    <row r="234" spans="1:13">
      <c r="A234" s="46" t="s">
        <v>473</v>
      </c>
      <c r="B234" s="45">
        <v>0</v>
      </c>
      <c r="C234" s="45">
        <v>0</v>
      </c>
      <c r="D234" s="45">
        <v>92144</v>
      </c>
      <c r="E234" s="45">
        <v>0</v>
      </c>
      <c r="F234" s="45">
        <v>0</v>
      </c>
      <c r="G234" s="45">
        <v>91897</v>
      </c>
      <c r="H234" s="45">
        <v>0</v>
      </c>
      <c r="I234" s="45">
        <v>0</v>
      </c>
      <c r="J234" s="45">
        <v>98698</v>
      </c>
      <c r="K234" s="45">
        <v>0</v>
      </c>
      <c r="L234" s="45">
        <v>0</v>
      </c>
      <c r="M234" s="45">
        <v>63375</v>
      </c>
    </row>
    <row r="235" spans="1:13">
      <c r="A235" s="46" t="s">
        <v>474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  <c r="J235" s="45">
        <v>0</v>
      </c>
      <c r="K235" s="45">
        <v>0</v>
      </c>
      <c r="L235" s="45">
        <v>0</v>
      </c>
      <c r="M235" s="45">
        <v>0</v>
      </c>
    </row>
    <row r="236" spans="1:13">
      <c r="A236" s="47" t="s">
        <v>475</v>
      </c>
      <c r="B236" s="45">
        <v>0</v>
      </c>
      <c r="C236" s="45">
        <v>0</v>
      </c>
      <c r="D236" s="45">
        <v>92144</v>
      </c>
      <c r="E236" s="45">
        <v>0</v>
      </c>
      <c r="F236" s="45">
        <v>0</v>
      </c>
      <c r="G236" s="45">
        <v>91897</v>
      </c>
      <c r="H236" s="45">
        <v>0</v>
      </c>
      <c r="I236" s="45">
        <v>0</v>
      </c>
      <c r="J236" s="45">
        <v>98698</v>
      </c>
      <c r="K236" s="45">
        <v>0</v>
      </c>
      <c r="L236" s="45">
        <v>0</v>
      </c>
      <c r="M236" s="45">
        <v>63375</v>
      </c>
    </row>
    <row r="237" spans="1:13">
      <c r="A237" s="49" t="s">
        <v>476</v>
      </c>
      <c r="B237" s="50">
        <v>410438024</v>
      </c>
      <c r="C237" s="50">
        <v>410703842</v>
      </c>
      <c r="D237" s="50">
        <v>410255766</v>
      </c>
      <c r="E237" s="50">
        <v>408520224</v>
      </c>
      <c r="F237" s="50">
        <v>416891759</v>
      </c>
      <c r="G237" s="50">
        <v>419817973</v>
      </c>
      <c r="H237" s="50">
        <v>420363751</v>
      </c>
      <c r="I237" s="50">
        <v>419548487</v>
      </c>
      <c r="J237" s="50">
        <v>399199403</v>
      </c>
      <c r="K237" s="50">
        <v>392923490</v>
      </c>
      <c r="L237" s="50">
        <v>392511251</v>
      </c>
      <c r="M237" s="50">
        <v>405607658</v>
      </c>
    </row>
    <row r="238" spans="1:13">
      <c r="A238" s="39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</row>
    <row r="239" spans="1:13">
      <c r="A239" s="43" t="s">
        <v>477</v>
      </c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</row>
    <row r="240" spans="1:13">
      <c r="A240" s="46" t="s">
        <v>478</v>
      </c>
      <c r="B240" s="45">
        <v>1830049</v>
      </c>
      <c r="C240" s="45">
        <v>1861036</v>
      </c>
      <c r="D240" s="45">
        <v>1921361</v>
      </c>
      <c r="E240" s="45">
        <v>2107903</v>
      </c>
      <c r="F240" s="45">
        <v>2186698</v>
      </c>
      <c r="G240" s="45">
        <v>2219543</v>
      </c>
      <c r="H240" s="45">
        <v>2260395</v>
      </c>
      <c r="I240" s="45">
        <v>2230449</v>
      </c>
      <c r="J240" s="45">
        <v>2189008</v>
      </c>
      <c r="K240" s="45">
        <v>2179201</v>
      </c>
      <c r="L240" s="45">
        <v>2190028</v>
      </c>
      <c r="M240" s="45">
        <v>2252971</v>
      </c>
    </row>
    <row r="241" spans="1:13">
      <c r="A241" s="46" t="s">
        <v>479</v>
      </c>
      <c r="B241" s="45">
        <v>132820</v>
      </c>
      <c r="C241" s="45">
        <v>132820</v>
      </c>
      <c r="D241" s="45">
        <v>132820</v>
      </c>
      <c r="E241" s="45">
        <v>132820</v>
      </c>
      <c r="F241" s="45">
        <v>132820</v>
      </c>
      <c r="G241" s="45">
        <v>132820</v>
      </c>
      <c r="H241" s="45">
        <v>132820</v>
      </c>
      <c r="I241" s="45">
        <v>132820</v>
      </c>
      <c r="J241" s="45">
        <v>132820</v>
      </c>
      <c r="K241" s="45">
        <v>132820</v>
      </c>
      <c r="L241" s="45">
        <v>132820</v>
      </c>
      <c r="M241" s="45">
        <v>132820</v>
      </c>
    </row>
    <row r="242" spans="1:13">
      <c r="A242" s="46" t="s">
        <v>480</v>
      </c>
      <c r="B242" s="45">
        <v>4970477</v>
      </c>
      <c r="C242" s="45">
        <v>5013506</v>
      </c>
      <c r="D242" s="45">
        <v>5057321</v>
      </c>
      <c r="E242" s="45">
        <v>5094996</v>
      </c>
      <c r="F242" s="45">
        <v>5136044</v>
      </c>
      <c r="G242" s="45">
        <v>5185523</v>
      </c>
      <c r="H242" s="45">
        <v>5246796</v>
      </c>
      <c r="I242" s="45">
        <v>5316011</v>
      </c>
      <c r="J242" s="45">
        <v>5397699</v>
      </c>
      <c r="K242" s="45">
        <v>5456697</v>
      </c>
      <c r="L242" s="45">
        <v>5515237</v>
      </c>
      <c r="M242" s="45">
        <v>5576934</v>
      </c>
    </row>
    <row r="243" spans="1:13" ht="19.149999999999999" customHeight="1">
      <c r="A243" s="47" t="s">
        <v>481</v>
      </c>
      <c r="B243" s="45">
        <v>6933347</v>
      </c>
      <c r="C243" s="45">
        <v>7007362</v>
      </c>
      <c r="D243" s="45">
        <v>7111502</v>
      </c>
      <c r="E243" s="45">
        <v>7335719</v>
      </c>
      <c r="F243" s="45">
        <v>7455562</v>
      </c>
      <c r="G243" s="45">
        <v>7537885</v>
      </c>
      <c r="H243" s="45">
        <v>7640011</v>
      </c>
      <c r="I243" s="45">
        <v>7679281</v>
      </c>
      <c r="J243" s="45">
        <v>7719527</v>
      </c>
      <c r="K243" s="45">
        <v>7768718</v>
      </c>
      <c r="L243" s="45">
        <v>7838085</v>
      </c>
      <c r="M243" s="45">
        <v>7962725</v>
      </c>
    </row>
    <row r="244" spans="1:13">
      <c r="A244" s="46" t="s">
        <v>482</v>
      </c>
      <c r="B244" s="45">
        <v>4254160</v>
      </c>
      <c r="C244" s="45">
        <v>4254160</v>
      </c>
      <c r="D244" s="45">
        <v>4209933</v>
      </c>
      <c r="E244" s="45">
        <v>4209933</v>
      </c>
      <c r="F244" s="45">
        <v>4209933</v>
      </c>
      <c r="G244" s="45">
        <v>4163613</v>
      </c>
      <c r="H244" s="45">
        <v>4163613</v>
      </c>
      <c r="I244" s="45">
        <v>4163613</v>
      </c>
      <c r="J244" s="45">
        <v>4118340</v>
      </c>
      <c r="K244" s="45">
        <v>4118340</v>
      </c>
      <c r="L244" s="45">
        <v>4118340</v>
      </c>
      <c r="M244" s="45">
        <v>3869706</v>
      </c>
    </row>
    <row r="245" spans="1:13">
      <c r="A245" s="47" t="s">
        <v>483</v>
      </c>
      <c r="B245" s="45">
        <v>4254160</v>
      </c>
      <c r="C245" s="45">
        <v>4254160</v>
      </c>
      <c r="D245" s="45">
        <v>4209933</v>
      </c>
      <c r="E245" s="45">
        <v>4209933</v>
      </c>
      <c r="F245" s="45">
        <v>4209933</v>
      </c>
      <c r="G245" s="45">
        <v>4163613</v>
      </c>
      <c r="H245" s="45">
        <v>4163613</v>
      </c>
      <c r="I245" s="45">
        <v>4163613</v>
      </c>
      <c r="J245" s="45">
        <v>4118340</v>
      </c>
      <c r="K245" s="45">
        <v>4118340</v>
      </c>
      <c r="L245" s="45">
        <v>4118340</v>
      </c>
      <c r="M245" s="45">
        <v>3869706</v>
      </c>
    </row>
    <row r="246" spans="1:13">
      <c r="A246" s="46" t="s">
        <v>484</v>
      </c>
      <c r="B246" s="45">
        <v>1104723</v>
      </c>
      <c r="C246" s="45">
        <v>1191664</v>
      </c>
      <c r="D246" s="45">
        <v>0</v>
      </c>
      <c r="E246" s="45">
        <v>1094485</v>
      </c>
      <c r="F246" s="45">
        <v>618352</v>
      </c>
      <c r="G246" s="45">
        <v>0</v>
      </c>
      <c r="H246" s="45">
        <v>855630</v>
      </c>
      <c r="I246" s="45">
        <v>524936</v>
      </c>
      <c r="J246" s="45">
        <v>0</v>
      </c>
      <c r="K246" s="45">
        <v>804936</v>
      </c>
      <c r="L246" s="45">
        <v>787727</v>
      </c>
      <c r="M246" s="45">
        <v>0</v>
      </c>
    </row>
    <row r="247" spans="1:13">
      <c r="A247" s="46" t="s">
        <v>485</v>
      </c>
      <c r="B247" s="45">
        <v>0</v>
      </c>
      <c r="C247" s="45">
        <v>0</v>
      </c>
      <c r="D247" s="45">
        <v>1064485</v>
      </c>
      <c r="E247" s="45">
        <v>0</v>
      </c>
      <c r="F247" s="45">
        <v>0</v>
      </c>
      <c r="G247" s="45">
        <v>755630</v>
      </c>
      <c r="H247" s="45">
        <v>0</v>
      </c>
      <c r="I247" s="45">
        <v>0</v>
      </c>
      <c r="J247" s="45">
        <v>664936</v>
      </c>
      <c r="K247" s="45">
        <v>0</v>
      </c>
      <c r="L247" s="45">
        <v>0</v>
      </c>
      <c r="M247" s="45">
        <v>787727</v>
      </c>
    </row>
    <row r="248" spans="1:13">
      <c r="A248" s="46" t="s">
        <v>486</v>
      </c>
      <c r="B248" s="45">
        <v>0</v>
      </c>
      <c r="C248" s="45">
        <v>0</v>
      </c>
      <c r="D248" s="45">
        <v>0</v>
      </c>
      <c r="E248" s="45">
        <v>0</v>
      </c>
      <c r="F248" s="45">
        <v>0</v>
      </c>
      <c r="G248" s="45">
        <v>0</v>
      </c>
      <c r="H248" s="45">
        <v>0</v>
      </c>
      <c r="I248" s="45">
        <v>0</v>
      </c>
      <c r="J248" s="45">
        <v>0</v>
      </c>
      <c r="K248" s="45">
        <v>0</v>
      </c>
      <c r="L248" s="45">
        <v>0</v>
      </c>
      <c r="M248" s="45">
        <v>0</v>
      </c>
    </row>
    <row r="249" spans="1:13">
      <c r="A249" s="46" t="s">
        <v>487</v>
      </c>
      <c r="B249" s="45">
        <v>0</v>
      </c>
      <c r="C249" s="45">
        <v>383832</v>
      </c>
      <c r="D249" s="45">
        <v>345449</v>
      </c>
      <c r="E249" s="45">
        <v>307066</v>
      </c>
      <c r="F249" s="45">
        <v>268683</v>
      </c>
      <c r="G249" s="45">
        <v>230299</v>
      </c>
      <c r="H249" s="45">
        <v>191916</v>
      </c>
      <c r="I249" s="45">
        <v>153533</v>
      </c>
      <c r="J249" s="45">
        <v>115150</v>
      </c>
      <c r="K249" s="45">
        <v>76766</v>
      </c>
      <c r="L249" s="45">
        <v>38383</v>
      </c>
      <c r="M249" s="45">
        <v>0</v>
      </c>
    </row>
    <row r="250" spans="1:13">
      <c r="A250" s="46" t="s">
        <v>488</v>
      </c>
      <c r="B250" s="45">
        <v>0</v>
      </c>
      <c r="C250" s="45">
        <v>0</v>
      </c>
      <c r="D250" s="45">
        <v>0</v>
      </c>
      <c r="E250" s="45">
        <v>0</v>
      </c>
      <c r="F250" s="45">
        <v>0</v>
      </c>
      <c r="G250" s="45">
        <v>0</v>
      </c>
      <c r="H250" s="45">
        <v>0</v>
      </c>
      <c r="I250" s="45">
        <v>0</v>
      </c>
      <c r="J250" s="45">
        <v>0</v>
      </c>
      <c r="K250" s="45">
        <v>0</v>
      </c>
      <c r="L250" s="45">
        <v>0</v>
      </c>
      <c r="M250" s="45">
        <v>0</v>
      </c>
    </row>
    <row r="251" spans="1:13">
      <c r="A251" s="46" t="s">
        <v>489</v>
      </c>
      <c r="B251" s="48">
        <v>-1</v>
      </c>
      <c r="C251" s="48">
        <v>-1</v>
      </c>
      <c r="D251" s="48">
        <v>-1</v>
      </c>
      <c r="E251" s="48">
        <v>-1</v>
      </c>
      <c r="F251" s="48">
        <v>-1</v>
      </c>
      <c r="G251" s="48">
        <v>-1</v>
      </c>
      <c r="H251" s="48">
        <v>-1</v>
      </c>
      <c r="I251" s="48">
        <v>-1</v>
      </c>
      <c r="J251" s="48">
        <v>-1</v>
      </c>
      <c r="K251" s="45">
        <v>0</v>
      </c>
      <c r="L251" s="45">
        <v>0</v>
      </c>
      <c r="M251" s="45">
        <v>0</v>
      </c>
    </row>
    <row r="252" spans="1:13">
      <c r="A252" s="46" t="s">
        <v>490</v>
      </c>
      <c r="B252" s="45">
        <v>20074</v>
      </c>
      <c r="C252" s="45">
        <v>60531</v>
      </c>
      <c r="D252" s="45">
        <v>37553</v>
      </c>
      <c r="E252" s="45">
        <v>40337</v>
      </c>
      <c r="F252" s="45">
        <v>28909</v>
      </c>
      <c r="G252" s="45">
        <v>119772</v>
      </c>
      <c r="H252" s="45">
        <v>156409</v>
      </c>
      <c r="I252" s="45">
        <v>114488</v>
      </c>
      <c r="J252" s="45">
        <v>104953</v>
      </c>
      <c r="K252" s="45">
        <v>82703</v>
      </c>
      <c r="L252" s="45">
        <v>58407</v>
      </c>
      <c r="M252" s="45">
        <v>70295</v>
      </c>
    </row>
    <row r="253" spans="1:13">
      <c r="A253" s="46" t="s">
        <v>491</v>
      </c>
      <c r="B253" s="45">
        <v>52476</v>
      </c>
      <c r="C253" s="45">
        <v>52476</v>
      </c>
      <c r="D253" s="45">
        <v>52476</v>
      </c>
      <c r="E253" s="45">
        <v>52476</v>
      </c>
      <c r="F253" s="45">
        <v>6981</v>
      </c>
      <c r="G253" s="45">
        <v>6981</v>
      </c>
      <c r="H253" s="48">
        <v>-2174</v>
      </c>
      <c r="I253" s="48">
        <v>-2174</v>
      </c>
      <c r="J253" s="45">
        <v>0</v>
      </c>
      <c r="K253" s="48">
        <v>-2174</v>
      </c>
      <c r="L253" s="48">
        <v>-2174</v>
      </c>
      <c r="M253" s="45">
        <v>0</v>
      </c>
    </row>
    <row r="254" spans="1:13">
      <c r="A254" s="47" t="s">
        <v>492</v>
      </c>
      <c r="B254" s="45">
        <v>1177272</v>
      </c>
      <c r="C254" s="45">
        <v>1688501</v>
      </c>
      <c r="D254" s="45">
        <v>1499961</v>
      </c>
      <c r="E254" s="45">
        <v>1494362</v>
      </c>
      <c r="F254" s="45">
        <v>922923</v>
      </c>
      <c r="G254" s="45">
        <v>1112680</v>
      </c>
      <c r="H254" s="45">
        <v>1201779</v>
      </c>
      <c r="I254" s="45">
        <v>790781</v>
      </c>
      <c r="J254" s="45">
        <v>885037</v>
      </c>
      <c r="K254" s="45">
        <v>962231</v>
      </c>
      <c r="L254" s="45">
        <v>882342</v>
      </c>
      <c r="M254" s="45">
        <v>858022</v>
      </c>
    </row>
    <row r="255" spans="1:13">
      <c r="A255" s="46" t="s">
        <v>493</v>
      </c>
      <c r="B255" s="45">
        <v>1081011</v>
      </c>
      <c r="C255" s="45">
        <v>1081011</v>
      </c>
      <c r="D255" s="45">
        <v>1026264</v>
      </c>
      <c r="E255" s="45">
        <v>1026264</v>
      </c>
      <c r="F255" s="45">
        <v>1026264</v>
      </c>
      <c r="G255" s="45">
        <v>979609</v>
      </c>
      <c r="H255" s="45">
        <v>979609</v>
      </c>
      <c r="I255" s="45">
        <v>979609</v>
      </c>
      <c r="J255" s="45">
        <v>832912</v>
      </c>
      <c r="K255" s="45">
        <v>832912</v>
      </c>
      <c r="L255" s="45">
        <v>832912</v>
      </c>
      <c r="M255" s="45">
        <v>846735</v>
      </c>
    </row>
    <row r="256" spans="1:13">
      <c r="A256" s="46" t="s">
        <v>494</v>
      </c>
      <c r="B256" s="45">
        <v>0</v>
      </c>
      <c r="C256" s="45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</row>
    <row r="257" spans="1:13">
      <c r="A257" s="46" t="s">
        <v>496</v>
      </c>
      <c r="B257" s="45">
        <v>1401976</v>
      </c>
      <c r="C257" s="45">
        <v>1401976</v>
      </c>
      <c r="D257" s="45">
        <v>1387551</v>
      </c>
      <c r="E257" s="45">
        <v>1387551</v>
      </c>
      <c r="F257" s="45">
        <v>1387551</v>
      </c>
      <c r="G257" s="45">
        <v>1372443</v>
      </c>
      <c r="H257" s="45">
        <v>1372443</v>
      </c>
      <c r="I257" s="45">
        <v>1372443</v>
      </c>
      <c r="J257" s="45">
        <v>1372443</v>
      </c>
      <c r="K257" s="45">
        <v>1372443</v>
      </c>
      <c r="L257" s="45">
        <v>1358018</v>
      </c>
      <c r="M257" s="45">
        <v>1268260</v>
      </c>
    </row>
    <row r="258" spans="1:13">
      <c r="A258" s="46" t="s">
        <v>497</v>
      </c>
      <c r="B258" s="45">
        <v>32474719</v>
      </c>
      <c r="C258" s="45">
        <v>32474719</v>
      </c>
      <c r="D258" s="45">
        <v>75164394</v>
      </c>
      <c r="E258" s="45">
        <v>75164394</v>
      </c>
      <c r="F258" s="45">
        <v>75164394</v>
      </c>
      <c r="G258" s="45">
        <v>74752250</v>
      </c>
      <c r="H258" s="45">
        <v>74752250</v>
      </c>
      <c r="I258" s="45">
        <v>74752250</v>
      </c>
      <c r="J258" s="45">
        <v>73325083</v>
      </c>
      <c r="K258" s="45">
        <v>73325083</v>
      </c>
      <c r="L258" s="45">
        <v>73325083</v>
      </c>
      <c r="M258" s="45">
        <v>72757391</v>
      </c>
    </row>
    <row r="259" spans="1:13">
      <c r="A259" s="46" t="s">
        <v>498</v>
      </c>
      <c r="B259" s="45">
        <v>0</v>
      </c>
      <c r="C259" s="45">
        <v>0</v>
      </c>
      <c r="D259" s="45">
        <v>10111182</v>
      </c>
      <c r="E259" s="45">
        <v>0</v>
      </c>
      <c r="F259" s="45">
        <v>0</v>
      </c>
      <c r="G259" s="45">
        <v>12416067</v>
      </c>
      <c r="H259" s="45">
        <v>0</v>
      </c>
      <c r="I259" s="45">
        <v>0</v>
      </c>
      <c r="J259" s="45">
        <v>12652993</v>
      </c>
      <c r="K259" s="45">
        <v>0</v>
      </c>
      <c r="L259" s="45">
        <v>0</v>
      </c>
      <c r="M259" s="45">
        <v>16301459</v>
      </c>
    </row>
    <row r="260" spans="1:13">
      <c r="A260" s="46" t="s">
        <v>499</v>
      </c>
      <c r="B260" s="45">
        <v>0</v>
      </c>
      <c r="C260" s="45">
        <v>0</v>
      </c>
      <c r="D260" s="45">
        <v>0</v>
      </c>
      <c r="E260" s="45">
        <v>0</v>
      </c>
      <c r="F260" s="45">
        <v>0</v>
      </c>
      <c r="G260" s="45">
        <v>0</v>
      </c>
      <c r="H260" s="45">
        <v>0</v>
      </c>
      <c r="I260" s="45">
        <v>0</v>
      </c>
      <c r="J260" s="45">
        <v>0</v>
      </c>
      <c r="K260" s="45">
        <v>0</v>
      </c>
      <c r="L260" s="45">
        <v>0</v>
      </c>
      <c r="M260" s="45">
        <v>0</v>
      </c>
    </row>
    <row r="261" spans="1:13">
      <c r="A261" s="46" t="s">
        <v>500</v>
      </c>
      <c r="B261" s="45">
        <v>3242550</v>
      </c>
      <c r="C261" s="45">
        <v>3242550</v>
      </c>
      <c r="D261" s="45">
        <v>3195821</v>
      </c>
      <c r="E261" s="45">
        <v>3195821</v>
      </c>
      <c r="F261" s="45">
        <v>3195821</v>
      </c>
      <c r="G261" s="45">
        <v>3149091</v>
      </c>
      <c r="H261" s="45">
        <v>3149091</v>
      </c>
      <c r="I261" s="45">
        <v>3149091</v>
      </c>
      <c r="J261" s="45">
        <v>3102362</v>
      </c>
      <c r="K261" s="45">
        <v>3102362</v>
      </c>
      <c r="L261" s="45">
        <v>3102362</v>
      </c>
      <c r="M261" s="45">
        <v>3468480</v>
      </c>
    </row>
    <row r="262" spans="1:13">
      <c r="A262" s="46" t="s">
        <v>501</v>
      </c>
      <c r="B262" s="45">
        <v>1211763</v>
      </c>
      <c r="C262" s="45">
        <v>1211763</v>
      </c>
      <c r="D262" s="45">
        <v>1211763</v>
      </c>
      <c r="E262" s="45">
        <v>1211763</v>
      </c>
      <c r="F262" s="45">
        <v>1211763</v>
      </c>
      <c r="G262" s="45">
        <v>1211763</v>
      </c>
      <c r="H262" s="45">
        <v>1211763</v>
      </c>
      <c r="I262" s="45">
        <v>1211763</v>
      </c>
      <c r="J262" s="45">
        <v>1211763</v>
      </c>
      <c r="K262" s="45">
        <v>1211763</v>
      </c>
      <c r="L262" s="45">
        <v>1211763</v>
      </c>
      <c r="M262" s="45">
        <v>1539579</v>
      </c>
    </row>
    <row r="263" spans="1:13">
      <c r="A263" s="47" t="s">
        <v>502</v>
      </c>
      <c r="B263" s="45">
        <v>39412020</v>
      </c>
      <c r="C263" s="45">
        <v>39412020</v>
      </c>
      <c r="D263" s="45">
        <v>92096975</v>
      </c>
      <c r="E263" s="45">
        <v>81985793</v>
      </c>
      <c r="F263" s="45">
        <v>81985793</v>
      </c>
      <c r="G263" s="45">
        <v>93881224</v>
      </c>
      <c r="H263" s="45">
        <v>81465156</v>
      </c>
      <c r="I263" s="45">
        <v>81465156</v>
      </c>
      <c r="J263" s="45">
        <v>92497557</v>
      </c>
      <c r="K263" s="45">
        <v>79844563</v>
      </c>
      <c r="L263" s="45">
        <v>79830138</v>
      </c>
      <c r="M263" s="45">
        <v>96181903</v>
      </c>
    </row>
    <row r="264" spans="1:13">
      <c r="A264" s="46" t="s">
        <v>503</v>
      </c>
      <c r="B264" s="45">
        <v>132070340</v>
      </c>
      <c r="C264" s="45">
        <v>132070340</v>
      </c>
      <c r="D264" s="45">
        <v>132213322</v>
      </c>
      <c r="E264" s="45">
        <v>132213322</v>
      </c>
      <c r="F264" s="45">
        <v>132213322</v>
      </c>
      <c r="G264" s="45">
        <v>132155489</v>
      </c>
      <c r="H264" s="45">
        <v>132155489</v>
      </c>
      <c r="I264" s="45">
        <v>132155489</v>
      </c>
      <c r="J264" s="45">
        <v>131760957</v>
      </c>
      <c r="K264" s="45">
        <v>131760957</v>
      </c>
      <c r="L264" s="45">
        <v>131760957</v>
      </c>
      <c r="M264" s="45">
        <v>134394200</v>
      </c>
    </row>
    <row r="265" spans="1:13">
      <c r="A265" s="46" t="s">
        <v>504</v>
      </c>
      <c r="B265" s="48">
        <v>-5221632</v>
      </c>
      <c r="C265" s="48">
        <v>-5221632</v>
      </c>
      <c r="D265" s="48">
        <v>-5127827</v>
      </c>
      <c r="E265" s="48">
        <v>-5127827</v>
      </c>
      <c r="F265" s="48">
        <v>-5127827</v>
      </c>
      <c r="G265" s="48">
        <v>-5034022</v>
      </c>
      <c r="H265" s="48">
        <v>-5034022</v>
      </c>
      <c r="I265" s="48">
        <v>-5034022</v>
      </c>
      <c r="J265" s="48">
        <v>-4929143</v>
      </c>
      <c r="K265" s="48">
        <v>-4929143</v>
      </c>
      <c r="L265" s="48">
        <v>-4929143</v>
      </c>
      <c r="M265" s="48">
        <v>-4767015</v>
      </c>
    </row>
    <row r="266" spans="1:13">
      <c r="A266" s="46" t="s">
        <v>505</v>
      </c>
      <c r="B266" s="45">
        <v>181876</v>
      </c>
      <c r="C266" s="45">
        <v>181876</v>
      </c>
      <c r="D266" s="45">
        <v>180139</v>
      </c>
      <c r="E266" s="45">
        <v>180139</v>
      </c>
      <c r="F266" s="45">
        <v>180139</v>
      </c>
      <c r="G266" s="45">
        <v>178888</v>
      </c>
      <c r="H266" s="45">
        <v>178888</v>
      </c>
      <c r="I266" s="45">
        <v>178888</v>
      </c>
      <c r="J266" s="45">
        <v>174440</v>
      </c>
      <c r="K266" s="45">
        <v>174440</v>
      </c>
      <c r="L266" s="45">
        <v>174440</v>
      </c>
      <c r="M266" s="45">
        <v>173170</v>
      </c>
    </row>
    <row r="267" spans="1:13">
      <c r="A267" s="46" t="s">
        <v>506</v>
      </c>
      <c r="B267" s="45">
        <v>3415823</v>
      </c>
      <c r="C267" s="45">
        <v>3415823</v>
      </c>
      <c r="D267" s="45">
        <v>3451663</v>
      </c>
      <c r="E267" s="45">
        <v>3451663</v>
      </c>
      <c r="F267" s="45">
        <v>3451663</v>
      </c>
      <c r="G267" s="45">
        <v>3487503</v>
      </c>
      <c r="H267" s="45">
        <v>3487503</v>
      </c>
      <c r="I267" s="45">
        <v>3487503</v>
      </c>
      <c r="J267" s="45">
        <v>3534636</v>
      </c>
      <c r="K267" s="45">
        <v>3534636</v>
      </c>
      <c r="L267" s="45">
        <v>3178658</v>
      </c>
      <c r="M267" s="45">
        <v>3108923</v>
      </c>
    </row>
    <row r="268" spans="1:13">
      <c r="A268" s="47" t="s">
        <v>507</v>
      </c>
      <c r="B268" s="45">
        <v>130446407</v>
      </c>
      <c r="C268" s="45">
        <v>130446407</v>
      </c>
      <c r="D268" s="45">
        <v>130717296</v>
      </c>
      <c r="E268" s="45">
        <v>130717296</v>
      </c>
      <c r="F268" s="45">
        <v>130717296</v>
      </c>
      <c r="G268" s="45">
        <v>130787858</v>
      </c>
      <c r="H268" s="45">
        <v>130787858</v>
      </c>
      <c r="I268" s="45">
        <v>130787858</v>
      </c>
      <c r="J268" s="45">
        <v>130540891</v>
      </c>
      <c r="K268" s="45">
        <v>130540891</v>
      </c>
      <c r="L268" s="45">
        <v>130184912</v>
      </c>
      <c r="M268" s="45">
        <v>132909277</v>
      </c>
    </row>
    <row r="269" spans="1:13">
      <c r="A269" s="46" t="s">
        <v>508</v>
      </c>
      <c r="B269" s="45">
        <v>1725012</v>
      </c>
      <c r="C269" s="45">
        <v>1725012</v>
      </c>
      <c r="D269" s="45">
        <v>1455211</v>
      </c>
      <c r="E269" s="45">
        <v>1455211</v>
      </c>
      <c r="F269" s="45">
        <v>1455211</v>
      </c>
      <c r="G269" s="45">
        <v>1461179</v>
      </c>
      <c r="H269" s="45">
        <v>1461179</v>
      </c>
      <c r="I269" s="45">
        <v>1461179</v>
      </c>
      <c r="J269" s="45">
        <v>1322334</v>
      </c>
      <c r="K269" s="45">
        <v>1322334</v>
      </c>
      <c r="L269" s="45">
        <v>1322334</v>
      </c>
      <c r="M269" s="45">
        <v>1740778</v>
      </c>
    </row>
    <row r="270" spans="1:13">
      <c r="A270" s="46" t="s">
        <v>509</v>
      </c>
      <c r="B270" s="45">
        <v>39804421</v>
      </c>
      <c r="C270" s="45">
        <v>39804421</v>
      </c>
      <c r="D270" s="45">
        <v>44097405</v>
      </c>
      <c r="E270" s="45">
        <v>44097405</v>
      </c>
      <c r="F270" s="45">
        <v>44097405</v>
      </c>
      <c r="G270" s="45">
        <v>45432778</v>
      </c>
      <c r="H270" s="45">
        <v>45432778</v>
      </c>
      <c r="I270" s="45">
        <v>45432778</v>
      </c>
      <c r="J270" s="45">
        <v>69356848</v>
      </c>
      <c r="K270" s="45">
        <v>69356848</v>
      </c>
      <c r="L270" s="45">
        <v>69373779</v>
      </c>
      <c r="M270" s="45">
        <v>68886730</v>
      </c>
    </row>
    <row r="271" spans="1:13">
      <c r="A271" s="46" t="s">
        <v>510</v>
      </c>
      <c r="B271" s="45">
        <v>59324</v>
      </c>
      <c r="C271" s="45">
        <v>59324</v>
      </c>
      <c r="D271" s="45">
        <v>58757</v>
      </c>
      <c r="E271" s="45">
        <v>58757</v>
      </c>
      <c r="F271" s="45">
        <v>58757</v>
      </c>
      <c r="G271" s="45">
        <v>58349</v>
      </c>
      <c r="H271" s="45">
        <v>58349</v>
      </c>
      <c r="I271" s="45">
        <v>58349</v>
      </c>
      <c r="J271" s="45">
        <v>56898</v>
      </c>
      <c r="K271" s="45">
        <v>56898</v>
      </c>
      <c r="L271" s="45">
        <v>56898</v>
      </c>
      <c r="M271" s="45">
        <v>56128</v>
      </c>
    </row>
    <row r="272" spans="1:13">
      <c r="A272" s="47" t="s">
        <v>511</v>
      </c>
      <c r="B272" s="45">
        <v>41588756</v>
      </c>
      <c r="C272" s="45">
        <v>41588756</v>
      </c>
      <c r="D272" s="45">
        <v>45611372</v>
      </c>
      <c r="E272" s="45">
        <v>45611372</v>
      </c>
      <c r="F272" s="45">
        <v>45611372</v>
      </c>
      <c r="G272" s="45">
        <v>46952307</v>
      </c>
      <c r="H272" s="45">
        <v>46952307</v>
      </c>
      <c r="I272" s="45">
        <v>46952307</v>
      </c>
      <c r="J272" s="45">
        <v>70736081</v>
      </c>
      <c r="K272" s="45">
        <v>70736081</v>
      </c>
      <c r="L272" s="45">
        <v>70753012</v>
      </c>
      <c r="M272" s="45">
        <v>70683636</v>
      </c>
    </row>
    <row r="273" spans="1:13">
      <c r="A273" s="49" t="s">
        <v>512</v>
      </c>
      <c r="B273" s="50">
        <v>223811961</v>
      </c>
      <c r="C273" s="50">
        <v>224397206</v>
      </c>
      <c r="D273" s="50">
        <v>281247039</v>
      </c>
      <c r="E273" s="50">
        <v>271354476</v>
      </c>
      <c r="F273" s="50">
        <v>270902878</v>
      </c>
      <c r="G273" s="50">
        <v>284435567</v>
      </c>
      <c r="H273" s="50">
        <v>272210724</v>
      </c>
      <c r="I273" s="50">
        <v>271838995</v>
      </c>
      <c r="J273" s="50">
        <v>306497432</v>
      </c>
      <c r="K273" s="50">
        <v>293970823</v>
      </c>
      <c r="L273" s="50">
        <v>293606829</v>
      </c>
      <c r="M273" s="50">
        <v>312465269</v>
      </c>
    </row>
    <row r="274" spans="1:13">
      <c r="A274" s="39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</row>
    <row r="275" spans="1:13">
      <c r="A275" s="51" t="s">
        <v>513</v>
      </c>
      <c r="B275" s="45">
        <v>2898582</v>
      </c>
      <c r="C275" s="45">
        <v>4244534</v>
      </c>
      <c r="D275" s="45">
        <v>6404289</v>
      </c>
      <c r="E275" s="45">
        <v>4811254</v>
      </c>
      <c r="F275" s="45">
        <v>5917194</v>
      </c>
      <c r="G275" s="45">
        <v>11014481</v>
      </c>
      <c r="H275" s="45">
        <v>16788132</v>
      </c>
      <c r="I275" s="45">
        <v>22713226</v>
      </c>
      <c r="J275" s="45">
        <v>25768627</v>
      </c>
      <c r="K275" s="45">
        <v>26801940</v>
      </c>
      <c r="L275" s="45">
        <v>27777055</v>
      </c>
      <c r="M275" s="45">
        <v>28729289</v>
      </c>
    </row>
    <row r="276" spans="1:13">
      <c r="A276" s="39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</row>
    <row r="277" spans="1:13">
      <c r="A277" s="49" t="s">
        <v>514</v>
      </c>
      <c r="B277" s="50">
        <v>1275476248</v>
      </c>
      <c r="C277" s="50">
        <v>1277673600</v>
      </c>
      <c r="D277" s="50">
        <v>1336188664</v>
      </c>
      <c r="E277" s="50">
        <v>1323101504</v>
      </c>
      <c r="F277" s="50">
        <v>1332168257</v>
      </c>
      <c r="G277" s="50">
        <v>1353694239</v>
      </c>
      <c r="H277" s="50">
        <v>1347947240</v>
      </c>
      <c r="I277" s="50">
        <v>1352698127</v>
      </c>
      <c r="J277" s="50">
        <v>1358144297</v>
      </c>
      <c r="K277" s="50">
        <v>1340524029</v>
      </c>
      <c r="L277" s="50">
        <v>1340729175</v>
      </c>
      <c r="M277" s="50">
        <v>1371390049</v>
      </c>
    </row>
    <row r="278" spans="1:13">
      <c r="A278" s="39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</row>
    <row r="279" spans="1:13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</row>
    <row r="280" spans="1:13">
      <c r="A280" s="336" t="s">
        <v>515</v>
      </c>
      <c r="B280" s="336"/>
      <c r="C280" s="336"/>
      <c r="D280" s="336"/>
      <c r="E280" s="336"/>
      <c r="F280" s="336"/>
      <c r="G280" s="336"/>
      <c r="H280" s="336"/>
    </row>
    <row r="281" spans="1:13">
      <c r="A281" s="336" t="s">
        <v>523</v>
      </c>
      <c r="B281" s="336"/>
      <c r="C281" s="336"/>
      <c r="D281" s="336"/>
      <c r="E281" s="336"/>
      <c r="F281" s="336"/>
      <c r="G281" s="336"/>
      <c r="H281" s="336"/>
    </row>
    <row r="282" spans="1:13">
      <c r="A282" s="336" t="s">
        <v>516</v>
      </c>
      <c r="B282" s="336"/>
      <c r="C282" s="336"/>
      <c r="D282" s="336"/>
      <c r="E282" s="336"/>
      <c r="F282" s="336"/>
      <c r="G282" s="336"/>
      <c r="H282" s="336"/>
    </row>
  </sheetData>
  <mergeCells count="7">
    <mergeCell ref="A282:H282"/>
    <mergeCell ref="A1:H1"/>
    <mergeCell ref="A2:H2"/>
    <mergeCell ref="A3:H3"/>
    <mergeCell ref="A4:H4"/>
    <mergeCell ref="A280:H280"/>
    <mergeCell ref="A281:H281"/>
  </mergeCells>
  <pageMargins left="0.5" right="0.25" top="1" bottom="1" header="0.25" footer="0.5"/>
  <pageSetup scale="60" orientation="portrait" verticalDpi="0" r:id="rId1"/>
  <headerFooter alignWithMargins="0">
    <oddHeader>&amp;L&amp;"Times New Roman,Regular"&amp;12ARPA 5-8_Attach A.xlsx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1CC2C-DA73-48FF-87A6-190B35F640A0}">
  <sheetPr>
    <tabColor rgb="FF92D050"/>
  </sheetPr>
  <dimension ref="A1:N66"/>
  <sheetViews>
    <sheetView workbookViewId="0">
      <selection sqref="A1:H1"/>
    </sheetView>
  </sheetViews>
  <sheetFormatPr defaultColWidth="8.85546875" defaultRowHeight="15"/>
  <cols>
    <col min="1" max="1" width="47.85546875" style="224" customWidth="1"/>
    <col min="2" max="13" width="15.42578125" style="224" customWidth="1"/>
    <col min="14" max="14" width="19.140625" style="224" customWidth="1"/>
    <col min="15" max="16384" width="8.85546875" style="224"/>
  </cols>
  <sheetData>
    <row r="1" spans="1:14" ht="17.25">
      <c r="A1" s="341" t="s">
        <v>234</v>
      </c>
      <c r="B1" s="341"/>
      <c r="C1" s="341"/>
      <c r="D1" s="341"/>
      <c r="E1" s="341"/>
      <c r="F1" s="341"/>
      <c r="G1" s="341"/>
      <c r="H1" s="341"/>
    </row>
    <row r="2" spans="1:14" ht="17.25">
      <c r="A2" s="341" t="s">
        <v>846</v>
      </c>
      <c r="B2" s="341"/>
      <c r="C2" s="341"/>
      <c r="D2" s="341"/>
      <c r="E2" s="341"/>
      <c r="F2" s="341"/>
      <c r="G2" s="341"/>
      <c r="H2" s="341"/>
    </row>
    <row r="3" spans="1:14" ht="17.25">
      <c r="A3" s="342" t="s">
        <v>847</v>
      </c>
      <c r="B3" s="342"/>
      <c r="C3" s="342"/>
      <c r="D3" s="342"/>
      <c r="E3" s="342"/>
      <c r="F3" s="342"/>
      <c r="G3" s="342"/>
      <c r="H3" s="342"/>
    </row>
    <row r="4" spans="1:14">
      <c r="A4" s="343" t="s">
        <v>237</v>
      </c>
      <c r="B4" s="343"/>
      <c r="C4" s="343"/>
      <c r="D4" s="343"/>
      <c r="E4" s="343"/>
      <c r="F4" s="343"/>
      <c r="G4" s="343"/>
      <c r="H4" s="343"/>
    </row>
    <row r="5" spans="1:14" ht="22.5" customHeight="1">
      <c r="A5" s="225"/>
      <c r="B5" s="226" t="s">
        <v>238</v>
      </c>
      <c r="C5" s="226" t="s">
        <v>239</v>
      </c>
      <c r="D5" s="226" t="s">
        <v>240</v>
      </c>
      <c r="E5" s="226" t="s">
        <v>241</v>
      </c>
      <c r="F5" s="226" t="s">
        <v>242</v>
      </c>
      <c r="G5" s="226" t="s">
        <v>243</v>
      </c>
      <c r="H5" s="226" t="s">
        <v>244</v>
      </c>
      <c r="I5" s="226" t="s">
        <v>245</v>
      </c>
      <c r="J5" s="226" t="s">
        <v>246</v>
      </c>
      <c r="K5" s="226" t="s">
        <v>247</v>
      </c>
      <c r="L5" s="226" t="s">
        <v>248</v>
      </c>
      <c r="M5" s="226" t="s">
        <v>249</v>
      </c>
      <c r="N5" s="226" t="s">
        <v>249</v>
      </c>
    </row>
    <row r="6" spans="1:14" ht="24" customHeight="1">
      <c r="A6" s="225"/>
      <c r="B6" s="227" t="s">
        <v>136</v>
      </c>
      <c r="C6" s="227" t="s">
        <v>136</v>
      </c>
      <c r="D6" s="227" t="s">
        <v>136</v>
      </c>
      <c r="E6" s="227" t="s">
        <v>136</v>
      </c>
      <c r="F6" s="227" t="s">
        <v>136</v>
      </c>
      <c r="G6" s="227" t="s">
        <v>136</v>
      </c>
      <c r="H6" s="227" t="s">
        <v>136</v>
      </c>
      <c r="I6" s="227" t="s">
        <v>136</v>
      </c>
      <c r="J6" s="227" t="s">
        <v>136</v>
      </c>
      <c r="K6" s="227" t="s">
        <v>136</v>
      </c>
      <c r="L6" s="227" t="s">
        <v>136</v>
      </c>
      <c r="M6" s="227" t="s">
        <v>136</v>
      </c>
      <c r="N6" s="227" t="s">
        <v>135</v>
      </c>
    </row>
    <row r="7" spans="1:14">
      <c r="A7" s="228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</row>
    <row r="8" spans="1:14">
      <c r="A8" s="230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</row>
    <row r="9" spans="1:14">
      <c r="A9" s="231" t="s">
        <v>250</v>
      </c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</row>
    <row r="10" spans="1:14">
      <c r="A10" s="232" t="s">
        <v>251</v>
      </c>
      <c r="B10" s="228"/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</row>
    <row r="11" spans="1:14">
      <c r="A11" s="233" t="s">
        <v>848</v>
      </c>
      <c r="B11" s="243">
        <v>261441404</v>
      </c>
      <c r="C11" s="243">
        <v>261441404</v>
      </c>
      <c r="D11" s="243">
        <v>261441404</v>
      </c>
      <c r="E11" s="243">
        <v>261441404</v>
      </c>
      <c r="F11" s="243">
        <v>261441404</v>
      </c>
      <c r="G11" s="243">
        <v>261441404</v>
      </c>
      <c r="H11" s="243">
        <v>261441404</v>
      </c>
      <c r="I11" s="243">
        <v>261441404</v>
      </c>
      <c r="J11" s="243">
        <v>261441404</v>
      </c>
      <c r="K11" s="243">
        <v>261441404</v>
      </c>
      <c r="L11" s="243">
        <v>261441404</v>
      </c>
      <c r="M11" s="243">
        <v>261441404</v>
      </c>
      <c r="N11" s="243">
        <v>261441404</v>
      </c>
    </row>
    <row r="12" spans="1:14">
      <c r="A12" s="235" t="s">
        <v>261</v>
      </c>
      <c r="B12" s="234">
        <v>261441404</v>
      </c>
      <c r="C12" s="234">
        <v>261441404</v>
      </c>
      <c r="D12" s="234">
        <v>261441404</v>
      </c>
      <c r="E12" s="234">
        <v>261441404</v>
      </c>
      <c r="F12" s="234">
        <v>261441404</v>
      </c>
      <c r="G12" s="234">
        <v>261441404</v>
      </c>
      <c r="H12" s="234">
        <v>261441404</v>
      </c>
      <c r="I12" s="234">
        <v>261441404</v>
      </c>
      <c r="J12" s="234">
        <v>261441404</v>
      </c>
      <c r="K12" s="234">
        <v>261441404</v>
      </c>
      <c r="L12" s="234">
        <v>261441404</v>
      </c>
      <c r="M12" s="234">
        <v>261441404</v>
      </c>
      <c r="N12" s="234">
        <v>261441404</v>
      </c>
    </row>
    <row r="13" spans="1:14">
      <c r="A13" s="236" t="s">
        <v>264</v>
      </c>
      <c r="B13" s="234">
        <v>261441404</v>
      </c>
      <c r="C13" s="234">
        <v>261441404</v>
      </c>
      <c r="D13" s="234">
        <v>261441404</v>
      </c>
      <c r="E13" s="234">
        <v>261441404</v>
      </c>
      <c r="F13" s="234">
        <v>261441404</v>
      </c>
      <c r="G13" s="234">
        <v>261441404</v>
      </c>
      <c r="H13" s="234">
        <v>261441404</v>
      </c>
      <c r="I13" s="234">
        <v>261441404</v>
      </c>
      <c r="J13" s="234">
        <v>261441404</v>
      </c>
      <c r="K13" s="234">
        <v>261441404</v>
      </c>
      <c r="L13" s="234">
        <v>261441404</v>
      </c>
      <c r="M13" s="234">
        <v>261441404</v>
      </c>
      <c r="N13" s="234">
        <v>261441404</v>
      </c>
    </row>
    <row r="14" spans="1:14">
      <c r="A14" s="235" t="s">
        <v>265</v>
      </c>
      <c r="B14" s="244">
        <v>-131810041</v>
      </c>
      <c r="C14" s="244">
        <v>-132899380</v>
      </c>
      <c r="D14" s="244">
        <v>-133988719</v>
      </c>
      <c r="E14" s="244">
        <v>-135078058</v>
      </c>
      <c r="F14" s="244">
        <v>-136167397</v>
      </c>
      <c r="G14" s="244">
        <v>-137256736</v>
      </c>
      <c r="H14" s="244">
        <v>-138346076</v>
      </c>
      <c r="I14" s="244">
        <v>-139435415</v>
      </c>
      <c r="J14" s="244">
        <v>-140524754</v>
      </c>
      <c r="K14" s="244">
        <v>-141614093</v>
      </c>
      <c r="L14" s="244">
        <v>-142703432</v>
      </c>
      <c r="M14" s="244">
        <v>-143792772</v>
      </c>
      <c r="N14" s="244">
        <v>-130720701</v>
      </c>
    </row>
    <row r="15" spans="1:14">
      <c r="A15" s="236" t="s">
        <v>275</v>
      </c>
      <c r="B15" s="237">
        <v>-131810041</v>
      </c>
      <c r="C15" s="237">
        <v>-132899380</v>
      </c>
      <c r="D15" s="237">
        <v>-133988719</v>
      </c>
      <c r="E15" s="237">
        <v>-135078058</v>
      </c>
      <c r="F15" s="237">
        <v>-136167397</v>
      </c>
      <c r="G15" s="237">
        <v>-137256736</v>
      </c>
      <c r="H15" s="237">
        <v>-138346076</v>
      </c>
      <c r="I15" s="237">
        <v>-139435415</v>
      </c>
      <c r="J15" s="237">
        <v>-140524754</v>
      </c>
      <c r="K15" s="237">
        <v>-141614093</v>
      </c>
      <c r="L15" s="237">
        <v>-142703432</v>
      </c>
      <c r="M15" s="237">
        <v>-143792772</v>
      </c>
      <c r="N15" s="237">
        <v>-130720701</v>
      </c>
    </row>
    <row r="16" spans="1:14">
      <c r="A16" s="238" t="s">
        <v>276</v>
      </c>
      <c r="B16" s="239">
        <v>129631363</v>
      </c>
      <c r="C16" s="239">
        <v>128542024</v>
      </c>
      <c r="D16" s="239">
        <v>127452685</v>
      </c>
      <c r="E16" s="239">
        <v>126363346</v>
      </c>
      <c r="F16" s="239">
        <v>125274007</v>
      </c>
      <c r="G16" s="239">
        <v>124184668</v>
      </c>
      <c r="H16" s="239">
        <v>123095328</v>
      </c>
      <c r="I16" s="239">
        <v>122005989</v>
      </c>
      <c r="J16" s="239">
        <v>120916650</v>
      </c>
      <c r="K16" s="239">
        <v>119827311</v>
      </c>
      <c r="L16" s="239">
        <v>118737972</v>
      </c>
      <c r="M16" s="239">
        <v>117648632</v>
      </c>
      <c r="N16" s="239">
        <v>130720703</v>
      </c>
    </row>
    <row r="17" spans="1:14">
      <c r="A17" s="228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</row>
    <row r="18" spans="1:14">
      <c r="A18" s="232" t="s">
        <v>277</v>
      </c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</row>
    <row r="19" spans="1:14">
      <c r="A19" s="228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</row>
    <row r="20" spans="1:14">
      <c r="A20" s="232" t="s">
        <v>281</v>
      </c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</row>
    <row r="21" spans="1:14">
      <c r="A21" s="235" t="s">
        <v>321</v>
      </c>
      <c r="B21" s="234">
        <v>22850465</v>
      </c>
      <c r="C21" s="234">
        <v>22850465</v>
      </c>
      <c r="D21" s="234">
        <v>22850465</v>
      </c>
      <c r="E21" s="234">
        <v>22850465</v>
      </c>
      <c r="F21" s="234">
        <v>22850465</v>
      </c>
      <c r="G21" s="234">
        <v>22850465</v>
      </c>
      <c r="H21" s="234">
        <v>22850465</v>
      </c>
      <c r="I21" s="234">
        <v>22850465</v>
      </c>
      <c r="J21" s="234">
        <v>22850465</v>
      </c>
      <c r="K21" s="234">
        <v>22850465</v>
      </c>
      <c r="L21" s="234">
        <v>22850465</v>
      </c>
      <c r="M21" s="234">
        <v>22850465</v>
      </c>
      <c r="N21" s="234">
        <v>22850465</v>
      </c>
    </row>
    <row r="22" spans="1:14">
      <c r="A22" s="236" t="s">
        <v>322</v>
      </c>
      <c r="B22" s="234">
        <v>22850465</v>
      </c>
      <c r="C22" s="234">
        <v>22850465</v>
      </c>
      <c r="D22" s="234">
        <v>22850465</v>
      </c>
      <c r="E22" s="234">
        <v>22850465</v>
      </c>
      <c r="F22" s="234">
        <v>22850465</v>
      </c>
      <c r="G22" s="234">
        <v>22850465</v>
      </c>
      <c r="H22" s="234">
        <v>22850465</v>
      </c>
      <c r="I22" s="234">
        <v>22850465</v>
      </c>
      <c r="J22" s="234">
        <v>22850465</v>
      </c>
      <c r="K22" s="234">
        <v>22850465</v>
      </c>
      <c r="L22" s="234">
        <v>22850465</v>
      </c>
      <c r="M22" s="234">
        <v>22850465</v>
      </c>
      <c r="N22" s="234">
        <v>22850465</v>
      </c>
    </row>
    <row r="23" spans="1:14">
      <c r="A23" s="235" t="s">
        <v>334</v>
      </c>
      <c r="B23" s="234">
        <v>727786</v>
      </c>
      <c r="C23" s="234">
        <v>780919</v>
      </c>
      <c r="D23" s="234">
        <v>802374</v>
      </c>
      <c r="E23" s="234">
        <v>851100</v>
      </c>
      <c r="F23" s="234">
        <v>897589</v>
      </c>
      <c r="G23" s="234">
        <v>916020</v>
      </c>
      <c r="H23" s="234">
        <v>957966</v>
      </c>
      <c r="I23" s="234">
        <v>997605</v>
      </c>
      <c r="J23" s="234">
        <v>1012918</v>
      </c>
      <c r="K23" s="234">
        <v>1047874</v>
      </c>
      <c r="L23" s="234">
        <v>1080294</v>
      </c>
      <c r="M23" s="234">
        <v>1093212</v>
      </c>
      <c r="N23" s="234">
        <v>672483</v>
      </c>
    </row>
    <row r="24" spans="1:14">
      <c r="A24" s="235" t="s">
        <v>337</v>
      </c>
      <c r="B24" s="234">
        <v>152650</v>
      </c>
      <c r="C24" s="234">
        <v>152650</v>
      </c>
      <c r="D24" s="234">
        <v>182135</v>
      </c>
      <c r="E24" s="234">
        <v>182135</v>
      </c>
      <c r="F24" s="234">
        <v>182135</v>
      </c>
      <c r="G24" s="234">
        <v>207932</v>
      </c>
      <c r="H24" s="234">
        <v>207932</v>
      </c>
      <c r="I24" s="234">
        <v>207932</v>
      </c>
      <c r="J24" s="234">
        <v>229927</v>
      </c>
      <c r="K24" s="234">
        <v>229927</v>
      </c>
      <c r="L24" s="234">
        <v>229927</v>
      </c>
      <c r="M24" s="234">
        <v>244860</v>
      </c>
      <c r="N24" s="234">
        <v>152650</v>
      </c>
    </row>
    <row r="25" spans="1:14">
      <c r="A25" s="236" t="s">
        <v>338</v>
      </c>
      <c r="B25" s="234">
        <v>880436</v>
      </c>
      <c r="C25" s="234">
        <v>933569</v>
      </c>
      <c r="D25" s="234">
        <v>984509</v>
      </c>
      <c r="E25" s="234">
        <v>1033235</v>
      </c>
      <c r="F25" s="234">
        <v>1079724</v>
      </c>
      <c r="G25" s="234">
        <v>1123952</v>
      </c>
      <c r="H25" s="234">
        <v>1165898</v>
      </c>
      <c r="I25" s="234">
        <v>1205537</v>
      </c>
      <c r="J25" s="234">
        <v>1242845</v>
      </c>
      <c r="K25" s="234">
        <v>1277801</v>
      </c>
      <c r="L25" s="234">
        <v>1310221</v>
      </c>
      <c r="M25" s="234">
        <v>1338072</v>
      </c>
      <c r="N25" s="234">
        <v>825134</v>
      </c>
    </row>
    <row r="26" spans="1:14">
      <c r="A26" s="238" t="s">
        <v>343</v>
      </c>
      <c r="B26" s="239">
        <v>23730901</v>
      </c>
      <c r="C26" s="239">
        <v>23784034</v>
      </c>
      <c r="D26" s="239">
        <v>23834974</v>
      </c>
      <c r="E26" s="239">
        <v>23883700</v>
      </c>
      <c r="F26" s="239">
        <v>23930188</v>
      </c>
      <c r="G26" s="239">
        <v>23974417</v>
      </c>
      <c r="H26" s="239">
        <v>24016362</v>
      </c>
      <c r="I26" s="239">
        <v>24056001</v>
      </c>
      <c r="J26" s="239">
        <v>24093310</v>
      </c>
      <c r="K26" s="239">
        <v>24128265</v>
      </c>
      <c r="L26" s="239">
        <v>24160686</v>
      </c>
      <c r="M26" s="239">
        <v>24188536</v>
      </c>
      <c r="N26" s="239">
        <v>23675598</v>
      </c>
    </row>
    <row r="27" spans="1:14">
      <c r="A27" s="228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</row>
    <row r="28" spans="1:14">
      <c r="A28" s="232" t="s">
        <v>344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</row>
    <row r="29" spans="1:14">
      <c r="A29" s="238" t="s">
        <v>380</v>
      </c>
      <c r="B29" s="239">
        <v>0</v>
      </c>
      <c r="C29" s="239">
        <v>0</v>
      </c>
      <c r="D29" s="239">
        <v>0</v>
      </c>
      <c r="E29" s="239">
        <v>0</v>
      </c>
      <c r="F29" s="239">
        <v>0</v>
      </c>
      <c r="G29" s="239">
        <v>0</v>
      </c>
      <c r="H29" s="239">
        <v>0</v>
      </c>
      <c r="I29" s="239">
        <v>0</v>
      </c>
      <c r="J29" s="239">
        <v>0</v>
      </c>
      <c r="K29" s="239">
        <v>0</v>
      </c>
      <c r="L29" s="239">
        <v>0</v>
      </c>
      <c r="M29" s="239">
        <v>0</v>
      </c>
      <c r="N29" s="239">
        <v>0</v>
      </c>
    </row>
    <row r="30" spans="1:14">
      <c r="A30" s="228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</row>
    <row r="31" spans="1:14" ht="15.75" customHeight="1">
      <c r="A31" s="228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</row>
    <row r="32" spans="1:14" ht="22.5">
      <c r="A32" s="238" t="s">
        <v>381</v>
      </c>
      <c r="B32" s="239">
        <v>0</v>
      </c>
      <c r="C32" s="239">
        <v>0</v>
      </c>
      <c r="D32" s="239">
        <v>0</v>
      </c>
      <c r="E32" s="239">
        <v>0</v>
      </c>
      <c r="F32" s="239">
        <v>0</v>
      </c>
      <c r="G32" s="239">
        <v>0</v>
      </c>
      <c r="H32" s="239">
        <v>0</v>
      </c>
      <c r="I32" s="239">
        <v>0</v>
      </c>
      <c r="J32" s="239">
        <v>0</v>
      </c>
      <c r="K32" s="239">
        <v>0</v>
      </c>
      <c r="L32" s="239">
        <v>0</v>
      </c>
      <c r="M32" s="239">
        <v>0</v>
      </c>
      <c r="N32" s="239">
        <v>0</v>
      </c>
    </row>
    <row r="33" spans="1:14">
      <c r="A33" s="228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</row>
    <row r="34" spans="1:14">
      <c r="A34" s="238" t="s">
        <v>382</v>
      </c>
      <c r="B34" s="239">
        <v>153362265</v>
      </c>
      <c r="C34" s="239">
        <v>152326058</v>
      </c>
      <c r="D34" s="239">
        <v>151287659</v>
      </c>
      <c r="E34" s="239">
        <v>150247045</v>
      </c>
      <c r="F34" s="239">
        <v>149204195</v>
      </c>
      <c r="G34" s="239">
        <v>148159084</v>
      </c>
      <c r="H34" s="239">
        <v>147111691</v>
      </c>
      <c r="I34" s="239">
        <v>146061991</v>
      </c>
      <c r="J34" s="239">
        <v>145009960</v>
      </c>
      <c r="K34" s="239">
        <v>143955576</v>
      </c>
      <c r="L34" s="239">
        <v>142898658</v>
      </c>
      <c r="M34" s="239">
        <v>141837169</v>
      </c>
      <c r="N34" s="239">
        <v>154396301</v>
      </c>
    </row>
    <row r="35" spans="1:14">
      <c r="A35" s="228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</row>
    <row r="36" spans="1:14">
      <c r="A36" s="232" t="s">
        <v>383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</row>
    <row r="37" spans="1:14">
      <c r="A37" s="232" t="s">
        <v>384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</row>
    <row r="38" spans="1:14">
      <c r="A38" s="235" t="s">
        <v>387</v>
      </c>
      <c r="B38" s="237">
        <v>-47392641</v>
      </c>
      <c r="C38" s="237">
        <v>-47392641</v>
      </c>
      <c r="D38" s="237">
        <v>-47392641</v>
      </c>
      <c r="E38" s="237">
        <v>-47392641</v>
      </c>
      <c r="F38" s="237">
        <v>-47392641</v>
      </c>
      <c r="G38" s="237">
        <v>-47392641</v>
      </c>
      <c r="H38" s="237">
        <v>-47392641</v>
      </c>
      <c r="I38" s="237">
        <v>-47392641</v>
      </c>
      <c r="J38" s="237">
        <v>-47392641</v>
      </c>
      <c r="K38" s="237">
        <v>-47392641</v>
      </c>
      <c r="L38" s="237">
        <v>-47392641</v>
      </c>
      <c r="M38" s="237">
        <v>-47392641</v>
      </c>
      <c r="N38" s="237">
        <v>-44862821</v>
      </c>
    </row>
    <row r="39" spans="1:14">
      <c r="A39" s="236" t="s">
        <v>389</v>
      </c>
      <c r="B39" s="237">
        <v>-47392641</v>
      </c>
      <c r="C39" s="237">
        <v>-47392641</v>
      </c>
      <c r="D39" s="237">
        <v>-47392641</v>
      </c>
      <c r="E39" s="237">
        <v>-47392641</v>
      </c>
      <c r="F39" s="237">
        <v>-47392641</v>
      </c>
      <c r="G39" s="237">
        <v>-47392641</v>
      </c>
      <c r="H39" s="237">
        <v>-47392641</v>
      </c>
      <c r="I39" s="237">
        <v>-47392641</v>
      </c>
      <c r="J39" s="237">
        <v>-47392641</v>
      </c>
      <c r="K39" s="237">
        <v>-47392641</v>
      </c>
      <c r="L39" s="237">
        <v>-47392641</v>
      </c>
      <c r="M39" s="237">
        <v>-47392641</v>
      </c>
      <c r="N39" s="237">
        <v>-44862821</v>
      </c>
    </row>
    <row r="40" spans="1:14">
      <c r="A40" s="238" t="s">
        <v>390</v>
      </c>
      <c r="B40" s="240">
        <v>-47392641</v>
      </c>
      <c r="C40" s="240">
        <v>-47392641</v>
      </c>
      <c r="D40" s="240">
        <v>-47392641</v>
      </c>
      <c r="E40" s="240">
        <v>-47392641</v>
      </c>
      <c r="F40" s="240">
        <v>-47392641</v>
      </c>
      <c r="G40" s="240">
        <v>-47392641</v>
      </c>
      <c r="H40" s="240">
        <v>-47392641</v>
      </c>
      <c r="I40" s="240">
        <v>-47392641</v>
      </c>
      <c r="J40" s="240">
        <v>-47392641</v>
      </c>
      <c r="K40" s="240">
        <v>-47392641</v>
      </c>
      <c r="L40" s="240">
        <v>-47392641</v>
      </c>
      <c r="M40" s="240">
        <v>-47392641</v>
      </c>
      <c r="N40" s="240">
        <v>-44862821</v>
      </c>
    </row>
    <row r="41" spans="1:14">
      <c r="A41" s="228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</row>
    <row r="42" spans="1:14">
      <c r="A42" s="232" t="s">
        <v>391</v>
      </c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</row>
    <row r="43" spans="1:14">
      <c r="A43" s="228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</row>
    <row r="44" spans="1:14">
      <c r="A44" s="232" t="s">
        <v>395</v>
      </c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</row>
    <row r="45" spans="1:14">
      <c r="A45" s="235" t="s">
        <v>849</v>
      </c>
      <c r="B45" s="234">
        <v>189900109</v>
      </c>
      <c r="C45" s="234">
        <v>188923597</v>
      </c>
      <c r="D45" s="234">
        <v>187937118</v>
      </c>
      <c r="E45" s="234">
        <v>186940570</v>
      </c>
      <c r="F45" s="234">
        <v>185933852</v>
      </c>
      <c r="G45" s="234">
        <v>184916857</v>
      </c>
      <c r="H45" s="234">
        <v>183878997</v>
      </c>
      <c r="I45" s="234">
        <v>182830544</v>
      </c>
      <c r="J45" s="234">
        <v>181771390</v>
      </c>
      <c r="K45" s="234">
        <v>180701426</v>
      </c>
      <c r="L45" s="234">
        <v>179620541</v>
      </c>
      <c r="M45" s="234">
        <v>178528624</v>
      </c>
      <c r="N45" s="234">
        <v>190866756</v>
      </c>
    </row>
    <row r="46" spans="1:14">
      <c r="A46" s="236" t="s">
        <v>397</v>
      </c>
      <c r="B46" s="234">
        <v>189900109</v>
      </c>
      <c r="C46" s="234">
        <v>188923597</v>
      </c>
      <c r="D46" s="234">
        <v>187937118</v>
      </c>
      <c r="E46" s="234">
        <v>186940570</v>
      </c>
      <c r="F46" s="234">
        <v>185933852</v>
      </c>
      <c r="G46" s="234">
        <v>184916857</v>
      </c>
      <c r="H46" s="234">
        <v>183878997</v>
      </c>
      <c r="I46" s="234">
        <v>182830544</v>
      </c>
      <c r="J46" s="234">
        <v>181771390</v>
      </c>
      <c r="K46" s="234">
        <v>180701426</v>
      </c>
      <c r="L46" s="234">
        <v>179620541</v>
      </c>
      <c r="M46" s="234">
        <v>178528624</v>
      </c>
      <c r="N46" s="234">
        <v>190866756</v>
      </c>
    </row>
    <row r="47" spans="1:14" ht="22.5">
      <c r="A47" s="238" t="s">
        <v>409</v>
      </c>
      <c r="B47" s="239">
        <v>189900109</v>
      </c>
      <c r="C47" s="239">
        <v>188923597</v>
      </c>
      <c r="D47" s="239">
        <v>187937118</v>
      </c>
      <c r="E47" s="239">
        <v>186940570</v>
      </c>
      <c r="F47" s="239">
        <v>185933852</v>
      </c>
      <c r="G47" s="239">
        <v>184916857</v>
      </c>
      <c r="H47" s="239">
        <v>183878997</v>
      </c>
      <c r="I47" s="239">
        <v>182830544</v>
      </c>
      <c r="J47" s="239">
        <v>181771390</v>
      </c>
      <c r="K47" s="239">
        <v>180701426</v>
      </c>
      <c r="L47" s="239">
        <v>179620541</v>
      </c>
      <c r="M47" s="239">
        <v>178528624</v>
      </c>
      <c r="N47" s="239">
        <v>190866756</v>
      </c>
    </row>
    <row r="48" spans="1:14">
      <c r="A48" s="228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</row>
    <row r="49" spans="1:14">
      <c r="A49" s="232" t="s">
        <v>410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</row>
    <row r="50" spans="1:14">
      <c r="A50" s="235" t="s">
        <v>441</v>
      </c>
      <c r="B50" s="234">
        <v>0</v>
      </c>
      <c r="C50" s="234">
        <v>0</v>
      </c>
      <c r="D50" s="237">
        <v>-1</v>
      </c>
      <c r="E50" s="237">
        <v>-1</v>
      </c>
      <c r="F50" s="237">
        <v>-1</v>
      </c>
      <c r="G50" s="237">
        <v>-1</v>
      </c>
      <c r="H50" s="237">
        <v>-1</v>
      </c>
      <c r="I50" s="237">
        <v>-1</v>
      </c>
      <c r="J50" s="237">
        <v>-1</v>
      </c>
      <c r="K50" s="237">
        <v>-1</v>
      </c>
      <c r="L50" s="237">
        <v>-1</v>
      </c>
      <c r="M50" s="237">
        <v>-1</v>
      </c>
      <c r="N50" s="234">
        <v>0</v>
      </c>
    </row>
    <row r="51" spans="1:14">
      <c r="A51" s="235" t="s">
        <v>442</v>
      </c>
      <c r="B51" s="234">
        <v>0</v>
      </c>
      <c r="C51" s="234">
        <v>0</v>
      </c>
      <c r="D51" s="234">
        <v>0</v>
      </c>
      <c r="E51" s="234">
        <v>0</v>
      </c>
      <c r="F51" s="234">
        <v>0</v>
      </c>
      <c r="G51" s="234">
        <v>0</v>
      </c>
      <c r="H51" s="234">
        <v>0</v>
      </c>
      <c r="I51" s="234">
        <v>0</v>
      </c>
      <c r="J51" s="237">
        <v>-1</v>
      </c>
      <c r="K51" s="237">
        <v>-1</v>
      </c>
      <c r="L51" s="237">
        <v>-1</v>
      </c>
      <c r="M51" s="234">
        <v>0</v>
      </c>
      <c r="N51" s="234">
        <v>0</v>
      </c>
    </row>
    <row r="52" spans="1:14">
      <c r="A52" s="236" t="s">
        <v>448</v>
      </c>
      <c r="B52" s="234">
        <v>0</v>
      </c>
      <c r="C52" s="234">
        <v>0</v>
      </c>
      <c r="D52" s="237">
        <v>-1</v>
      </c>
      <c r="E52" s="237">
        <v>-1</v>
      </c>
      <c r="F52" s="237">
        <v>-1</v>
      </c>
      <c r="G52" s="237">
        <v>-1</v>
      </c>
      <c r="H52" s="237">
        <v>-1</v>
      </c>
      <c r="I52" s="237">
        <v>-1</v>
      </c>
      <c r="J52" s="237">
        <v>-2</v>
      </c>
      <c r="K52" s="237">
        <v>-2</v>
      </c>
      <c r="L52" s="237">
        <v>-2</v>
      </c>
      <c r="M52" s="237">
        <v>-1</v>
      </c>
      <c r="N52" s="234">
        <v>0</v>
      </c>
    </row>
    <row r="53" spans="1:14">
      <c r="A53" s="235" t="s">
        <v>474</v>
      </c>
      <c r="B53" s="234">
        <v>11024352</v>
      </c>
      <c r="C53" s="234">
        <v>11127560</v>
      </c>
      <c r="D53" s="234">
        <v>11231821</v>
      </c>
      <c r="E53" s="234">
        <v>11337146</v>
      </c>
      <c r="F53" s="234">
        <v>11443546</v>
      </c>
      <c r="G53" s="234">
        <v>11551033</v>
      </c>
      <c r="H53" s="234">
        <v>11670102</v>
      </c>
      <c r="I53" s="234">
        <v>11790387</v>
      </c>
      <c r="J53" s="234">
        <v>11911899</v>
      </c>
      <c r="K53" s="234">
        <v>12034651</v>
      </c>
      <c r="L53" s="234">
        <v>12158657</v>
      </c>
      <c r="M53" s="234">
        <v>12283928</v>
      </c>
      <c r="N53" s="234">
        <v>10922187</v>
      </c>
    </row>
    <row r="54" spans="1:14">
      <c r="A54" s="236" t="s">
        <v>475</v>
      </c>
      <c r="B54" s="234">
        <v>11024352</v>
      </c>
      <c r="C54" s="234">
        <v>11127560</v>
      </c>
      <c r="D54" s="234">
        <v>11231821</v>
      </c>
      <c r="E54" s="234">
        <v>11337146</v>
      </c>
      <c r="F54" s="234">
        <v>11443546</v>
      </c>
      <c r="G54" s="234">
        <v>11551033</v>
      </c>
      <c r="H54" s="234">
        <v>11670102</v>
      </c>
      <c r="I54" s="234">
        <v>11790387</v>
      </c>
      <c r="J54" s="234">
        <v>11911899</v>
      </c>
      <c r="K54" s="234">
        <v>12034651</v>
      </c>
      <c r="L54" s="234">
        <v>12158657</v>
      </c>
      <c r="M54" s="234">
        <v>12283928</v>
      </c>
      <c r="N54" s="234">
        <v>10922187</v>
      </c>
    </row>
    <row r="55" spans="1:14">
      <c r="A55" s="238" t="s">
        <v>476</v>
      </c>
      <c r="B55" s="239">
        <v>11024351</v>
      </c>
      <c r="C55" s="239">
        <v>11127559</v>
      </c>
      <c r="D55" s="239">
        <v>11231820</v>
      </c>
      <c r="E55" s="239">
        <v>11337145</v>
      </c>
      <c r="F55" s="239">
        <v>11443545</v>
      </c>
      <c r="G55" s="239">
        <v>11551032</v>
      </c>
      <c r="H55" s="239">
        <v>11670101</v>
      </c>
      <c r="I55" s="239">
        <v>11790386</v>
      </c>
      <c r="J55" s="239">
        <v>11911897</v>
      </c>
      <c r="K55" s="239">
        <v>12034650</v>
      </c>
      <c r="L55" s="239">
        <v>12158655</v>
      </c>
      <c r="M55" s="239">
        <v>12283927</v>
      </c>
      <c r="N55" s="239">
        <v>10922186</v>
      </c>
    </row>
    <row r="56" spans="1:14">
      <c r="A56" s="228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</row>
    <row r="57" spans="1:14">
      <c r="A57" s="232" t="s">
        <v>477</v>
      </c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</row>
    <row r="58" spans="1:14">
      <c r="A58" s="228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</row>
    <row r="59" spans="1:14">
      <c r="A59" s="241" t="s">
        <v>513</v>
      </c>
      <c r="B59" s="237">
        <v>-169555</v>
      </c>
      <c r="C59" s="237">
        <v>-332457</v>
      </c>
      <c r="D59" s="237">
        <v>-488638</v>
      </c>
      <c r="E59" s="237">
        <v>-638029</v>
      </c>
      <c r="F59" s="237">
        <v>-780561</v>
      </c>
      <c r="G59" s="237">
        <v>-916164</v>
      </c>
      <c r="H59" s="237">
        <v>-1044767</v>
      </c>
      <c r="I59" s="237">
        <v>-1166298</v>
      </c>
      <c r="J59" s="237">
        <v>-1280686</v>
      </c>
      <c r="K59" s="237">
        <v>-1387858</v>
      </c>
      <c r="L59" s="237">
        <v>-1487897</v>
      </c>
      <c r="M59" s="237">
        <v>-1582741</v>
      </c>
      <c r="N59" s="237">
        <v>-2529820</v>
      </c>
    </row>
    <row r="60" spans="1:14">
      <c r="A60" s="228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</row>
    <row r="61" spans="1:14">
      <c r="A61" s="238" t="s">
        <v>514</v>
      </c>
      <c r="B61" s="239">
        <v>153362265</v>
      </c>
      <c r="C61" s="239">
        <v>152326058</v>
      </c>
      <c r="D61" s="239">
        <v>151287659</v>
      </c>
      <c r="E61" s="239">
        <v>150247045</v>
      </c>
      <c r="F61" s="239">
        <v>149204195</v>
      </c>
      <c r="G61" s="239">
        <v>148159084</v>
      </c>
      <c r="H61" s="239">
        <v>147111691</v>
      </c>
      <c r="I61" s="239">
        <v>146061991</v>
      </c>
      <c r="J61" s="239">
        <v>145009960</v>
      </c>
      <c r="K61" s="239">
        <v>143955576</v>
      </c>
      <c r="L61" s="239">
        <v>142898658</v>
      </c>
      <c r="M61" s="239">
        <v>141837169</v>
      </c>
      <c r="N61" s="239">
        <v>154396301</v>
      </c>
    </row>
    <row r="62" spans="1:14">
      <c r="A62" s="228"/>
      <c r="B62" s="229"/>
      <c r="C62" s="229"/>
      <c r="D62" s="229"/>
      <c r="E62" s="229"/>
      <c r="F62" s="229"/>
      <c r="G62" s="229"/>
      <c r="H62" s="229"/>
      <c r="I62" s="229"/>
      <c r="J62" s="229"/>
      <c r="K62" s="229"/>
      <c r="L62" s="229"/>
      <c r="M62" s="229"/>
      <c r="N62" s="229"/>
    </row>
    <row r="63" spans="1:14">
      <c r="A63" s="242"/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</row>
    <row r="64" spans="1:14">
      <c r="A64" s="340" t="s">
        <v>521</v>
      </c>
      <c r="B64" s="340"/>
      <c r="C64" s="340"/>
      <c r="D64" s="340"/>
      <c r="E64" s="340"/>
      <c r="F64" s="340"/>
      <c r="G64" s="340"/>
      <c r="H64" s="340"/>
    </row>
    <row r="65" spans="1:8">
      <c r="A65" s="340" t="s">
        <v>850</v>
      </c>
      <c r="B65" s="340"/>
      <c r="C65" s="340"/>
      <c r="D65" s="340"/>
      <c r="E65" s="340"/>
      <c r="F65" s="340"/>
      <c r="G65" s="340"/>
      <c r="H65" s="340"/>
    </row>
    <row r="66" spans="1:8">
      <c r="A66" s="340" t="s">
        <v>516</v>
      </c>
      <c r="B66" s="340"/>
      <c r="C66" s="340"/>
      <c r="D66" s="340"/>
      <c r="E66" s="340"/>
      <c r="F66" s="340"/>
      <c r="G66" s="340"/>
      <c r="H66" s="340"/>
    </row>
  </sheetData>
  <mergeCells count="7">
    <mergeCell ref="A66:H66"/>
    <mergeCell ref="A1:H1"/>
    <mergeCell ref="A2:H2"/>
    <mergeCell ref="A3:H3"/>
    <mergeCell ref="A4:H4"/>
    <mergeCell ref="A64:H64"/>
    <mergeCell ref="A65:H65"/>
  </mergeCells>
  <pageMargins left="0.5" right="0.25" top="1" bottom="1" header="0.25" footer="0.5"/>
  <pageSetup scale="60" orientation="portrait" verticalDpi="0" r:id="rId1"/>
  <headerFooter alignWithMargins="0">
    <oddHeader>&amp;L&amp;"Times New Roman,Regular"&amp;12ARPA 5-8_Attach A.xlsx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57B4-D69E-4190-978B-0AFC57BBD280}">
  <sheetPr>
    <tabColor rgb="FFFFFF00"/>
  </sheetPr>
  <dimension ref="A2:T144"/>
  <sheetViews>
    <sheetView topLeftCell="A98" zoomScale="80" zoomScaleNormal="80" workbookViewId="0"/>
  </sheetViews>
  <sheetFormatPr defaultColWidth="8.85546875" defaultRowHeight="12.75"/>
  <cols>
    <col min="1" max="1" width="41.140625" style="181" bestFit="1" customWidth="1"/>
    <col min="2" max="2" width="18.7109375" style="181" bestFit="1" customWidth="1"/>
    <col min="3" max="3" width="16.28515625" style="181" bestFit="1" customWidth="1"/>
    <col min="4" max="4" width="29.5703125" style="181" customWidth="1"/>
    <col min="5" max="5" width="20.28515625" style="181" customWidth="1"/>
    <col min="6" max="8" width="17.5703125" style="181" customWidth="1"/>
    <col min="9" max="9" width="17.42578125" style="181" bestFit="1" customWidth="1"/>
    <col min="10" max="10" width="15.28515625" style="181" bestFit="1" customWidth="1"/>
    <col min="11" max="11" width="16.28515625" style="181" bestFit="1" customWidth="1"/>
    <col min="12" max="12" width="19.42578125" style="181" bestFit="1" customWidth="1"/>
    <col min="13" max="13" width="15.7109375" style="181" bestFit="1" customWidth="1"/>
    <col min="14" max="14" width="16.28515625" style="181" bestFit="1" customWidth="1"/>
    <col min="15" max="15" width="15.140625" style="181" bestFit="1" customWidth="1"/>
    <col min="16" max="19" width="8.85546875" style="181"/>
    <col min="20" max="20" width="10" style="181" bestFit="1" customWidth="1"/>
    <col min="21" max="16384" width="8.85546875" style="181"/>
  </cols>
  <sheetData>
    <row r="2" spans="1:15">
      <c r="A2" s="178" t="s">
        <v>529</v>
      </c>
      <c r="B2" s="179">
        <v>44531</v>
      </c>
      <c r="C2" s="179">
        <v>44562</v>
      </c>
      <c r="D2" s="179">
        <v>44593</v>
      </c>
      <c r="E2" s="179">
        <v>44621</v>
      </c>
      <c r="F2" s="179">
        <v>44652</v>
      </c>
      <c r="G2" s="179">
        <v>44682</v>
      </c>
      <c r="H2" s="179">
        <v>44713</v>
      </c>
      <c r="I2" s="179">
        <v>44743</v>
      </c>
      <c r="J2" s="179">
        <v>44774</v>
      </c>
      <c r="K2" s="179">
        <v>44805</v>
      </c>
      <c r="L2" s="179">
        <v>44835</v>
      </c>
      <c r="M2" s="179">
        <v>44866</v>
      </c>
      <c r="N2" s="179">
        <v>44896</v>
      </c>
      <c r="O2" s="180" t="s">
        <v>518</v>
      </c>
    </row>
    <row r="3" spans="1:15">
      <c r="A3" s="182" t="s">
        <v>525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5">
      <c r="A4" s="181" t="s">
        <v>155</v>
      </c>
      <c r="B4" s="9">
        <v>-0.01</v>
      </c>
      <c r="C4" s="9">
        <v>-0.01</v>
      </c>
      <c r="D4" s="9">
        <v>-0.01</v>
      </c>
      <c r="E4" s="9">
        <v>-0.01</v>
      </c>
      <c r="F4" s="9">
        <v>-0.01</v>
      </c>
      <c r="G4" s="9">
        <v>-0.01</v>
      </c>
      <c r="H4" s="9">
        <v>-0.01</v>
      </c>
      <c r="I4" s="9">
        <v>-0.01</v>
      </c>
      <c r="J4" s="9">
        <v>-0.01</v>
      </c>
      <c r="K4" s="9">
        <v>-0.01</v>
      </c>
      <c r="L4" s="9">
        <v>-0.01</v>
      </c>
      <c r="M4" s="9">
        <v>-0.01</v>
      </c>
      <c r="N4" s="9">
        <v>-23.990000000000002</v>
      </c>
    </row>
    <row r="5" spans="1:15">
      <c r="A5" s="181" t="s">
        <v>192</v>
      </c>
      <c r="B5" s="9">
        <v>238149.72</v>
      </c>
      <c r="C5" s="9">
        <v>239847.5</v>
      </c>
      <c r="D5" s="9">
        <v>236452.09000000003</v>
      </c>
      <c r="E5" s="9">
        <v>238160.18</v>
      </c>
      <c r="F5" s="9">
        <v>239868.27</v>
      </c>
      <c r="G5" s="9">
        <v>241576.36000000002</v>
      </c>
      <c r="H5" s="9">
        <v>243284.44999999998</v>
      </c>
      <c r="I5" s="9">
        <v>244992.54</v>
      </c>
      <c r="J5" s="9">
        <v>246700.63</v>
      </c>
      <c r="K5" s="9">
        <v>248408.72000000003</v>
      </c>
      <c r="L5" s="9">
        <v>250116.81</v>
      </c>
      <c r="M5" s="9">
        <v>251824.90000000002</v>
      </c>
      <c r="N5" s="9">
        <v>253946.76</v>
      </c>
      <c r="O5" s="9"/>
    </row>
    <row r="6" spans="1:15">
      <c r="A6" s="181" t="s">
        <v>194</v>
      </c>
      <c r="B6" s="71">
        <f>14667701.18+'Pending Retirements'!B7</f>
        <v>14588774.91</v>
      </c>
      <c r="C6" s="9">
        <v>14652237.370000001</v>
      </c>
      <c r="D6" s="9">
        <v>14716774.370000001</v>
      </c>
      <c r="E6" s="71">
        <f>14781385.12+'Pending Retirements'!C7</f>
        <v>14721119.659999998</v>
      </c>
      <c r="F6" s="9">
        <v>14848786.469999999</v>
      </c>
      <c r="G6" s="9">
        <v>14914092.139999999</v>
      </c>
      <c r="H6" s="71">
        <f>14983515.72+'Pending Retirements'!D7</f>
        <v>14923250.26</v>
      </c>
      <c r="I6" s="9">
        <v>15053688.92</v>
      </c>
      <c r="J6" s="9">
        <v>15078424.27</v>
      </c>
      <c r="K6" s="71">
        <f>15148575.96+'Pending Retirements'!E7</f>
        <v>15116215.75</v>
      </c>
      <c r="L6" s="9">
        <v>15218769.620000001</v>
      </c>
      <c r="M6" s="9">
        <v>15292298.440000001</v>
      </c>
      <c r="N6" s="71">
        <f>15295828.35+'Pending Retirements'!F7</f>
        <v>15193505.02</v>
      </c>
      <c r="O6" s="9"/>
    </row>
    <row r="7" spans="1:15">
      <c r="A7" s="181" t="s">
        <v>195</v>
      </c>
      <c r="B7" s="71">
        <f>29028577.01+'Pending Retirements'!B8</f>
        <v>28653077.220000003</v>
      </c>
      <c r="C7" s="9">
        <v>28992661.800000001</v>
      </c>
      <c r="D7" s="9">
        <v>29121667.379999999</v>
      </c>
      <c r="E7" s="71">
        <f>29318843.19+'Pending Retirements'!C8</f>
        <v>29210049.290000003</v>
      </c>
      <c r="F7" s="9">
        <v>29494412.939999998</v>
      </c>
      <c r="G7" s="9">
        <v>29420083.969999999</v>
      </c>
      <c r="H7" s="71">
        <f>29403881.36+'Pending Retirements'!D8</f>
        <v>28736650.73</v>
      </c>
      <c r="I7" s="9">
        <v>29475825.600000001</v>
      </c>
      <c r="J7" s="9">
        <v>29700290.719999999</v>
      </c>
      <c r="K7" s="71">
        <f>29876073.72+'Pending Retirements'!E8</f>
        <v>29193438.98</v>
      </c>
      <c r="L7" s="9">
        <v>30093041.099999998</v>
      </c>
      <c r="M7" s="9">
        <v>30251385.75</v>
      </c>
      <c r="N7" s="71">
        <f>29410033.91+'Pending Retirements'!F8</f>
        <v>29390854.23</v>
      </c>
      <c r="O7" s="9"/>
    </row>
    <row r="8" spans="1:15">
      <c r="A8" s="181" t="s">
        <v>196</v>
      </c>
      <c r="B8" s="71">
        <f>27723427.76+'Pending Retirements'!B9</f>
        <v>27687929.010000002</v>
      </c>
      <c r="C8" s="9">
        <v>27788517.129999999</v>
      </c>
      <c r="D8" s="9">
        <v>27874575.059999999</v>
      </c>
      <c r="E8" s="71">
        <f>27932955+'Pending Retirements'!C9</f>
        <v>27918078.129999999</v>
      </c>
      <c r="F8" s="9">
        <v>28022532.370000001</v>
      </c>
      <c r="G8" s="9">
        <v>28109314.770000003</v>
      </c>
      <c r="H8" s="71">
        <f>28193030.69+'Pending Retirements'!D9</f>
        <v>27658252.240000002</v>
      </c>
      <c r="I8" s="9">
        <v>28205167.030000001</v>
      </c>
      <c r="J8" s="9">
        <v>28304882.98</v>
      </c>
      <c r="K8" s="71">
        <f>28402973.82+'Pending Retirements'!E9</f>
        <v>27861569.690000001</v>
      </c>
      <c r="L8" s="9">
        <v>28495482.129999999</v>
      </c>
      <c r="M8" s="9">
        <v>28595997.950000003</v>
      </c>
      <c r="N8" s="71">
        <f>27874172.16+'Pending Retirements'!F9</f>
        <v>27844750.960000001</v>
      </c>
      <c r="O8" s="9"/>
    </row>
    <row r="9" spans="1:15">
      <c r="A9" s="181" t="s">
        <v>197</v>
      </c>
      <c r="B9" s="71">
        <f>5740183.25+'Pending Retirements'!B10</f>
        <v>5737691.54</v>
      </c>
      <c r="C9" s="9">
        <v>5770534.2100000009</v>
      </c>
      <c r="D9" s="9">
        <v>5802755.8999999994</v>
      </c>
      <c r="E9" s="71">
        <f>5832989.76+'Pending Retirements'!C10</f>
        <v>5828141.71</v>
      </c>
      <c r="F9" s="9">
        <v>5865218.1600000001</v>
      </c>
      <c r="G9" s="9">
        <v>5898272.0099999998</v>
      </c>
      <c r="H9" s="71">
        <f>5930063.64+'Pending Retirements'!D10</f>
        <v>5926958.8599999994</v>
      </c>
      <c r="I9" s="9">
        <v>5889937.1200000001</v>
      </c>
      <c r="J9" s="9">
        <v>5924109.8399999999</v>
      </c>
      <c r="K9" s="71">
        <f>5958084.08+'Pending Retirements'!E10</f>
        <v>5954979.2999999998</v>
      </c>
      <c r="L9" s="9">
        <v>5992202.1199999992</v>
      </c>
      <c r="M9" s="9">
        <v>6026972.3300000001</v>
      </c>
      <c r="N9" s="71">
        <f>5951991.48+'Pending Retirements'!F10</f>
        <v>5951155.7000000002</v>
      </c>
      <c r="O9" s="9"/>
    </row>
    <row r="10" spans="1:15">
      <c r="A10" s="181" t="s">
        <v>198</v>
      </c>
      <c r="B10" s="71">
        <f>14123051.11+'Pending Retirements'!B11</f>
        <v>14015118.74</v>
      </c>
      <c r="C10" s="9">
        <v>14139951.619999999</v>
      </c>
      <c r="D10" s="9">
        <v>14181400.93</v>
      </c>
      <c r="E10" s="71">
        <f>14186955.66+'Pending Retirements'!C11</f>
        <v>14164768.140000001</v>
      </c>
      <c r="F10" s="9">
        <v>14221079.789999999</v>
      </c>
      <c r="G10" s="9">
        <v>14248173.469999999</v>
      </c>
      <c r="H10" s="71">
        <f>14276766.3+'Pending Retirements'!D11</f>
        <v>14245135.930000002</v>
      </c>
      <c r="I10" s="9">
        <v>14270747.880000001</v>
      </c>
      <c r="J10" s="9">
        <v>14313694.189999999</v>
      </c>
      <c r="K10" s="71">
        <f>14351060.48+'Pending Retirements'!E11</f>
        <v>14338594.440000001</v>
      </c>
      <c r="L10" s="9">
        <v>14388318.98</v>
      </c>
      <c r="M10" s="9">
        <v>14431474.77</v>
      </c>
      <c r="N10" s="71">
        <f>14401330.68+'Pending Retirements'!F11</f>
        <v>14391820.529999999</v>
      </c>
      <c r="O10" s="9"/>
    </row>
    <row r="11" spans="1:15">
      <c r="A11" s="181" t="s">
        <v>199</v>
      </c>
      <c r="B11" s="71">
        <f>3163736.53+'Pending Retirements'!B12</f>
        <v>3136097.2899999996</v>
      </c>
      <c r="C11" s="9">
        <v>3176326.05</v>
      </c>
      <c r="D11" s="9">
        <v>3187871.7600000002</v>
      </c>
      <c r="E11" s="71">
        <f>3200045.22+'Pending Retirements'!C12</f>
        <v>3187478.23</v>
      </c>
      <c r="F11" s="9">
        <v>3206941</v>
      </c>
      <c r="G11" s="9">
        <v>3203790.98</v>
      </c>
      <c r="H11" s="71">
        <f>3202377.54+'Pending Retirements'!D12</f>
        <v>3197477.04</v>
      </c>
      <c r="I11" s="9">
        <v>3164465.46</v>
      </c>
      <c r="J11" s="9">
        <v>3179142.25</v>
      </c>
      <c r="K11" s="71">
        <f>3188482.36+'Pending Retirements'!E12</f>
        <v>3183766.42</v>
      </c>
      <c r="L11" s="9">
        <v>3202006.08</v>
      </c>
      <c r="M11" s="9">
        <v>3109234.53</v>
      </c>
      <c r="N11" s="71">
        <f>3038707.9+'Pending Retirements'!F12</f>
        <v>3037470.31</v>
      </c>
      <c r="O11" s="9"/>
    </row>
    <row r="12" spans="1:15">
      <c r="A12" s="181" t="s">
        <v>200</v>
      </c>
      <c r="B12" s="71">
        <f>13720625.98+'Pending Retirements'!B13</f>
        <v>13675337.73</v>
      </c>
      <c r="C12" s="9">
        <v>13728747.810000001</v>
      </c>
      <c r="D12" s="9">
        <v>13742354.309999999</v>
      </c>
      <c r="E12" s="71">
        <f>13756687.86+'Pending Retirements'!C13</f>
        <v>13713770.49</v>
      </c>
      <c r="F12" s="9">
        <v>13794412.15</v>
      </c>
      <c r="G12" s="9">
        <v>13808382.33</v>
      </c>
      <c r="H12" s="71">
        <f>13827505.28+'Pending Retirements'!D13</f>
        <v>13740608.399999999</v>
      </c>
      <c r="I12" s="9">
        <v>13830646.899999999</v>
      </c>
      <c r="J12" s="9">
        <v>13846807.049999999</v>
      </c>
      <c r="K12" s="71">
        <f>13868829.59+'Pending Retirements'!E13</f>
        <v>13780444.800000001</v>
      </c>
      <c r="L12" s="9">
        <v>13890999.810000001</v>
      </c>
      <c r="M12" s="9">
        <v>13907378.66</v>
      </c>
      <c r="N12" s="71">
        <f>13925619.28+'Pending Retirements'!F13</f>
        <v>13842227.889999999</v>
      </c>
      <c r="O12" s="9"/>
    </row>
    <row r="13" spans="1:15">
      <c r="A13" s="181" t="s">
        <v>201</v>
      </c>
      <c r="B13" s="71">
        <f>10774079.52+'Pending Retirements'!B14</f>
        <v>10761961.859999999</v>
      </c>
      <c r="C13" s="9">
        <v>10802020.029999999</v>
      </c>
      <c r="D13" s="9">
        <v>10829178.200000001</v>
      </c>
      <c r="E13" s="71">
        <f>10855086.3+'Pending Retirements'!C14</f>
        <v>10842759.790000001</v>
      </c>
      <c r="F13" s="9">
        <v>10883422.85</v>
      </c>
      <c r="G13" s="9">
        <v>10913083.829999998</v>
      </c>
      <c r="H13" s="71">
        <f>10941015.57+'Pending Retirements'!D14</f>
        <v>10928840.710000001</v>
      </c>
      <c r="I13" s="9">
        <v>10971016.600000001</v>
      </c>
      <c r="J13" s="9">
        <v>11001031.73</v>
      </c>
      <c r="K13" s="71">
        <f>11031313.01+'Pending Retirements'!E14</f>
        <v>11019138.15</v>
      </c>
      <c r="L13" s="9">
        <v>11061786.07</v>
      </c>
      <c r="M13" s="9">
        <v>11092368.430000002</v>
      </c>
      <c r="N13" s="71">
        <f>11123342+'Pending Retirements'!F14</f>
        <v>11110093.57</v>
      </c>
      <c r="O13" s="9"/>
    </row>
    <row r="14" spans="1:15">
      <c r="A14" s="181" t="s">
        <v>202</v>
      </c>
      <c r="B14" s="71">
        <f>8755735.83+'Pending Retirements'!B15</f>
        <v>8731248.5199999996</v>
      </c>
      <c r="C14" s="9">
        <v>8786731.5500000007</v>
      </c>
      <c r="D14" s="9">
        <v>8817896.629999999</v>
      </c>
      <c r="E14" s="71">
        <f>8846132.97+'Pending Retirements'!C15</f>
        <v>8834954.790000001</v>
      </c>
      <c r="F14" s="9">
        <v>8876906.2100000009</v>
      </c>
      <c r="G14" s="9">
        <v>8907181.620000001</v>
      </c>
      <c r="H14" s="71">
        <f>8932530.95+'Pending Retirements'!D15</f>
        <v>8924902</v>
      </c>
      <c r="I14" s="9">
        <v>8964561.7199999988</v>
      </c>
      <c r="J14" s="9">
        <v>8997484.5899999999</v>
      </c>
      <c r="K14" s="71">
        <f>9030468.25+'Pending Retirements'!E15</f>
        <v>9017916.2599999998</v>
      </c>
      <c r="L14" s="9">
        <v>9063476.1699999999</v>
      </c>
      <c r="M14" s="9">
        <v>9009505.0999999996</v>
      </c>
      <c r="N14" s="71">
        <f>9019284.88+'Pending Retirements'!F15</f>
        <v>9016266.9800000004</v>
      </c>
      <c r="O14" s="9"/>
    </row>
    <row r="15" spans="1:15">
      <c r="A15" s="181" t="s">
        <v>203</v>
      </c>
      <c r="B15" s="71">
        <f>10164109.78+'Pending Retirements'!B16</f>
        <v>10160773.029999999</v>
      </c>
      <c r="C15" s="9">
        <v>10219810.68</v>
      </c>
      <c r="D15" s="9">
        <v>10275574.41</v>
      </c>
      <c r="E15" s="71">
        <f>10331021.09+'Pending Retirements'!C16</f>
        <v>10329133.029999999</v>
      </c>
      <c r="F15" s="9">
        <v>10386906.92</v>
      </c>
      <c r="G15" s="9">
        <v>10443671.870000001</v>
      </c>
      <c r="H15" s="71">
        <f>10484622.91+'Pending Retirements'!D16</f>
        <v>10484600.460000001</v>
      </c>
      <c r="I15" s="9">
        <v>10541960.390000001</v>
      </c>
      <c r="J15" s="9">
        <v>10599398.210000001</v>
      </c>
      <c r="K15" s="71">
        <f>10657196.46+'Pending Retirements'!E16</f>
        <v>10656371.630000001</v>
      </c>
      <c r="L15" s="9">
        <v>10715147.91</v>
      </c>
      <c r="M15" s="9">
        <v>10772080.620000001</v>
      </c>
      <c r="N15" s="9">
        <v>10825842</v>
      </c>
      <c r="O15" s="9"/>
    </row>
    <row r="16" spans="1:15">
      <c r="A16" s="181" t="s">
        <v>204</v>
      </c>
      <c r="B16" s="9">
        <v>1305200.2100000002</v>
      </c>
      <c r="C16" s="9">
        <v>1321816.03</v>
      </c>
      <c r="D16" s="9">
        <v>1338649.51</v>
      </c>
      <c r="E16" s="9">
        <v>1355358.02</v>
      </c>
      <c r="F16" s="9">
        <v>1372141.34</v>
      </c>
      <c r="G16" s="9">
        <v>1388999.25</v>
      </c>
      <c r="H16" s="9">
        <v>1406005.96</v>
      </c>
      <c r="I16" s="9">
        <v>1423000.6600000001</v>
      </c>
      <c r="J16" s="9">
        <v>1440017.56</v>
      </c>
      <c r="K16" s="9">
        <v>1457037.5</v>
      </c>
      <c r="L16" s="9">
        <v>1474047.35</v>
      </c>
      <c r="M16" s="9">
        <v>1491120.57</v>
      </c>
      <c r="N16" s="9">
        <v>1508185.84</v>
      </c>
      <c r="O16" s="9"/>
    </row>
    <row r="17" spans="1:15">
      <c r="A17" s="181" t="s">
        <v>205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/>
    </row>
    <row r="18" spans="1:15">
      <c r="A18" s="181" t="s">
        <v>206</v>
      </c>
      <c r="B18" s="9">
        <v>6699008.71</v>
      </c>
      <c r="C18" s="9">
        <v>6418503.8200000003</v>
      </c>
      <c r="D18" s="9">
        <v>6452752.7199999997</v>
      </c>
      <c r="E18" s="9">
        <v>6552124.8999999994</v>
      </c>
      <c r="F18" s="9">
        <v>6651734.4199999999</v>
      </c>
      <c r="G18" s="9">
        <v>6751539.5600000005</v>
      </c>
      <c r="H18" s="9">
        <v>6851322.7400000002</v>
      </c>
      <c r="I18" s="9">
        <v>6695456.9900000002</v>
      </c>
      <c r="J18" s="9">
        <v>6792658.3300000001</v>
      </c>
      <c r="K18" s="9">
        <v>6890675.6200000001</v>
      </c>
      <c r="L18" s="9">
        <v>6990802.1699999999</v>
      </c>
      <c r="M18" s="9">
        <v>6916248.8100000005</v>
      </c>
      <c r="N18" s="9">
        <v>7025012.3900000006</v>
      </c>
      <c r="O18" s="9"/>
    </row>
    <row r="19" spans="1:15">
      <c r="A19" s="181" t="s">
        <v>207</v>
      </c>
      <c r="B19" s="71">
        <f>1331735.97+'Pending Retirements'!B17</f>
        <v>1317930.01</v>
      </c>
      <c r="C19" s="9">
        <v>1333257.4800000002</v>
      </c>
      <c r="D19" s="9">
        <v>1334780.6599999999</v>
      </c>
      <c r="E19" s="71">
        <f>1336179.46+'Pending Retirements'!C17</f>
        <v>1321791.2</v>
      </c>
      <c r="F19" s="9">
        <v>1334536.06</v>
      </c>
      <c r="G19" s="9">
        <v>1334038.1700000002</v>
      </c>
      <c r="H19" s="71">
        <f>1335948.76+'Pending Retirements'!D17</f>
        <v>1329873.83</v>
      </c>
      <c r="I19" s="9">
        <v>1335243.81</v>
      </c>
      <c r="J19" s="9">
        <v>1336782.4000000001</v>
      </c>
      <c r="K19" s="71">
        <f>1338339.23+'Pending Retirements'!E17</f>
        <v>1333191.46</v>
      </c>
      <c r="L19" s="9">
        <v>1339906.1300000001</v>
      </c>
      <c r="M19" s="9">
        <v>1341479.27</v>
      </c>
      <c r="N19" s="71">
        <f>1322982.54+'Pending Retirements'!F17</f>
        <v>1320775.6200000001</v>
      </c>
      <c r="O19" s="9"/>
    </row>
    <row r="20" spans="1:15">
      <c r="A20" s="181" t="s">
        <v>208</v>
      </c>
      <c r="B20" s="71">
        <f>6076672.54+'Pending Retirements'!B18</f>
        <v>6048817</v>
      </c>
      <c r="C20" s="9">
        <v>6093719.9400000004</v>
      </c>
      <c r="D20" s="9">
        <v>6111082.4399999995</v>
      </c>
      <c r="E20" s="71">
        <f>6127570.58+'Pending Retirements'!C18</f>
        <v>6104711.4800000004</v>
      </c>
      <c r="F20" s="9">
        <v>6144221.3799999999</v>
      </c>
      <c r="G20" s="9">
        <v>6157649.75</v>
      </c>
      <c r="H20" s="71">
        <f>6171081.06+'Pending Retirements'!D18</f>
        <v>6152572.6999999993</v>
      </c>
      <c r="I20" s="9">
        <v>6188690.9299999997</v>
      </c>
      <c r="J20" s="9">
        <v>6206262.8499999996</v>
      </c>
      <c r="K20" s="71">
        <f>6223793.78+'Pending Retirements'!E18</f>
        <v>6199348.0600000005</v>
      </c>
      <c r="L20" s="9">
        <v>6240248.2399999993</v>
      </c>
      <c r="M20" s="9">
        <v>6255343.2599999998</v>
      </c>
      <c r="N20" s="71">
        <f>6224341.19+'Pending Retirements'!F18</f>
        <v>6218251.6300000008</v>
      </c>
      <c r="O20" s="9"/>
    </row>
    <row r="21" spans="1:15">
      <c r="A21" s="183" t="s">
        <v>532</v>
      </c>
      <c r="B21" s="60">
        <f t="shared" ref="B21:M21" si="0">SUM(B4:B20)</f>
        <v>152757115.49000001</v>
      </c>
      <c r="C21" s="60">
        <f t="shared" si="0"/>
        <v>153464683.00999999</v>
      </c>
      <c r="D21" s="60">
        <f t="shared" si="0"/>
        <v>154023766.35999998</v>
      </c>
      <c r="E21" s="60">
        <f t="shared" si="0"/>
        <v>154322399.03</v>
      </c>
      <c r="F21" s="60">
        <f t="shared" si="0"/>
        <v>155343120.31999996</v>
      </c>
      <c r="G21" s="60">
        <f t="shared" si="0"/>
        <v>155739850.06999999</v>
      </c>
      <c r="H21" s="60">
        <f t="shared" si="0"/>
        <v>154749736.30000004</v>
      </c>
      <c r="I21" s="60">
        <f t="shared" si="0"/>
        <v>156255402.53999999</v>
      </c>
      <c r="J21" s="60">
        <f t="shared" si="0"/>
        <v>156967687.59000003</v>
      </c>
      <c r="K21" s="60">
        <f t="shared" si="0"/>
        <v>156251096.77000001</v>
      </c>
      <c r="L21" s="60">
        <f t="shared" si="0"/>
        <v>158416350.68000001</v>
      </c>
      <c r="M21" s="60">
        <f t="shared" si="0"/>
        <v>158744713.38</v>
      </c>
      <c r="N21" s="60">
        <f>SUM(N4:N20)</f>
        <v>156930135.44</v>
      </c>
      <c r="O21" s="184">
        <f>AVERAGE(B21:N21)</f>
        <v>155689696.69076923</v>
      </c>
    </row>
    <row r="22" spans="1:1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178" t="s">
        <v>526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181" t="s">
        <v>152</v>
      </c>
      <c r="B24" s="9">
        <v>185731.42</v>
      </c>
      <c r="C24" s="9">
        <v>186420.93</v>
      </c>
      <c r="D24" s="9">
        <v>187110.41</v>
      </c>
      <c r="E24" s="9">
        <v>187799.92</v>
      </c>
      <c r="F24" s="9">
        <v>188489.4</v>
      </c>
      <c r="G24" s="9">
        <v>189178.91</v>
      </c>
      <c r="H24" s="9">
        <v>189868.39</v>
      </c>
      <c r="I24" s="9">
        <v>190557.9</v>
      </c>
      <c r="J24" s="9">
        <v>191247.38</v>
      </c>
      <c r="K24" s="9">
        <v>191936.86000000002</v>
      </c>
      <c r="L24" s="9">
        <v>192626.37</v>
      </c>
      <c r="M24" s="9">
        <v>193315.85</v>
      </c>
      <c r="N24" s="9">
        <v>194005.36000000002</v>
      </c>
      <c r="O24" s="9"/>
    </row>
    <row r="25" spans="1:15">
      <c r="A25" s="181" t="s">
        <v>153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/>
    </row>
    <row r="26" spans="1:15">
      <c r="A26" s="181" t="s">
        <v>154</v>
      </c>
      <c r="B26" s="9">
        <v>40041.770000000004</v>
      </c>
      <c r="C26" s="9">
        <v>40041.770000000004</v>
      </c>
      <c r="D26" s="9">
        <v>40041.770000000004</v>
      </c>
      <c r="E26" s="9">
        <v>40041.770000000004</v>
      </c>
      <c r="F26" s="9">
        <v>40041.770000000004</v>
      </c>
      <c r="G26" s="9">
        <v>40041.770000000004</v>
      </c>
      <c r="H26" s="9">
        <v>40041.770000000004</v>
      </c>
      <c r="I26" s="9">
        <v>40041.770000000004</v>
      </c>
      <c r="J26" s="9">
        <v>40041.770000000004</v>
      </c>
      <c r="K26" s="9">
        <v>40041.770000000004</v>
      </c>
      <c r="L26" s="9">
        <v>40041.770000000004</v>
      </c>
      <c r="M26" s="9">
        <v>40041.770000000004</v>
      </c>
      <c r="N26" s="9">
        <v>40041.770000000004</v>
      </c>
      <c r="O26" s="9"/>
    </row>
    <row r="27" spans="1:15">
      <c r="A27" s="181" t="s">
        <v>156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/>
    </row>
    <row r="28" spans="1:15">
      <c r="A28" s="181" t="s">
        <v>157</v>
      </c>
      <c r="B28" s="194">
        <v>0</v>
      </c>
      <c r="C28" s="194">
        <v>0</v>
      </c>
      <c r="D28" s="194">
        <v>0</v>
      </c>
      <c r="E28" s="194">
        <v>0</v>
      </c>
      <c r="F28" s="194">
        <v>0</v>
      </c>
      <c r="G28" s="194">
        <v>0</v>
      </c>
      <c r="H28" s="194">
        <v>0</v>
      </c>
      <c r="I28" s="194">
        <v>0</v>
      </c>
      <c r="J28" s="194">
        <v>0</v>
      </c>
      <c r="K28" s="194">
        <v>0</v>
      </c>
      <c r="L28" s="194">
        <v>0</v>
      </c>
      <c r="M28" s="194">
        <v>0</v>
      </c>
      <c r="N28" s="9">
        <v>0</v>
      </c>
      <c r="O28" s="9"/>
    </row>
    <row r="29" spans="1:15">
      <c r="A29" s="181" t="s">
        <v>158</v>
      </c>
      <c r="B29" s="194">
        <v>-1526.96</v>
      </c>
      <c r="C29" s="194">
        <v>-1526.96</v>
      </c>
      <c r="D29" s="194">
        <v>-1526.96</v>
      </c>
      <c r="E29" s="194">
        <v>-1526.96</v>
      </c>
      <c r="F29" s="194">
        <v>-1526.96</v>
      </c>
      <c r="G29" s="194">
        <v>-1526.96</v>
      </c>
      <c r="H29" s="194">
        <v>-1526.96</v>
      </c>
      <c r="I29" s="194">
        <v>-1526.96</v>
      </c>
      <c r="J29" s="194">
        <v>-1526.96</v>
      </c>
      <c r="K29" s="194">
        <v>-1526.96</v>
      </c>
      <c r="L29" s="194">
        <v>-1526.96</v>
      </c>
      <c r="M29" s="194">
        <v>-1526.96</v>
      </c>
      <c r="N29" s="9">
        <v>-1526.96</v>
      </c>
      <c r="O29" s="9"/>
    </row>
    <row r="30" spans="1:15">
      <c r="A30" s="181" t="s">
        <v>189</v>
      </c>
      <c r="B30" s="8">
        <v>-385.8</v>
      </c>
      <c r="C30" s="8">
        <v>-385.8</v>
      </c>
      <c r="D30" s="8">
        <v>-385.8</v>
      </c>
      <c r="E30" s="8">
        <v>-385.8</v>
      </c>
      <c r="F30" s="8">
        <v>-385.8</v>
      </c>
      <c r="G30" s="8">
        <v>-385.8</v>
      </c>
      <c r="H30" s="8">
        <v>-385.8</v>
      </c>
      <c r="I30" s="8">
        <v>-385.8</v>
      </c>
      <c r="J30" s="8">
        <v>-385.8</v>
      </c>
      <c r="K30" s="8">
        <v>-385.8</v>
      </c>
      <c r="L30" s="8">
        <v>-385.8</v>
      </c>
      <c r="M30" s="8">
        <v>-385.8</v>
      </c>
      <c r="N30" s="8">
        <v>-388.95</v>
      </c>
      <c r="O30" s="9"/>
    </row>
    <row r="31" spans="1:15">
      <c r="A31" s="181" t="s">
        <v>190</v>
      </c>
      <c r="B31" s="8">
        <v>-4.18</v>
      </c>
      <c r="C31" s="8">
        <v>-4.18</v>
      </c>
      <c r="D31" s="8">
        <v>-4.18</v>
      </c>
      <c r="E31" s="8">
        <v>-4.18</v>
      </c>
      <c r="F31" s="8">
        <v>-4.18</v>
      </c>
      <c r="G31" s="8">
        <v>-4.18</v>
      </c>
      <c r="H31" s="8">
        <v>-4.18</v>
      </c>
      <c r="I31" s="8">
        <v>-4.18</v>
      </c>
      <c r="J31" s="8">
        <v>-4.18</v>
      </c>
      <c r="K31" s="8">
        <v>-4.18</v>
      </c>
      <c r="L31" s="8">
        <v>-4.18</v>
      </c>
      <c r="M31" s="8">
        <v>-4.18</v>
      </c>
      <c r="N31" s="8">
        <v>-4.18</v>
      </c>
      <c r="O31" s="9"/>
    </row>
    <row r="32" spans="1:15">
      <c r="A32" s="181" t="s">
        <v>209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604.41999999999996</v>
      </c>
      <c r="J32" s="9">
        <v>-5241.08</v>
      </c>
      <c r="K32" s="9">
        <v>-5241.08</v>
      </c>
      <c r="L32" s="9">
        <v>-5241.08</v>
      </c>
      <c r="M32" s="9">
        <v>-5241.08</v>
      </c>
      <c r="N32" s="9">
        <v>-5241.08</v>
      </c>
      <c r="O32" s="9"/>
    </row>
    <row r="33" spans="1:15">
      <c r="A33" s="181" t="s">
        <v>210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/>
    </row>
    <row r="34" spans="1:15">
      <c r="A34" s="181" t="s">
        <v>211</v>
      </c>
      <c r="B34" s="71">
        <f>5048243.26+'Pending Retirements'!B19</f>
        <v>4952414.41</v>
      </c>
      <c r="C34" s="9">
        <v>5068188.54</v>
      </c>
      <c r="D34" s="9">
        <v>5088133.82</v>
      </c>
      <c r="E34" s="71">
        <f>5108045.33+'Pending Retirements'!C19</f>
        <v>5012216.4800000004</v>
      </c>
      <c r="F34" s="9">
        <v>5127923.08</v>
      </c>
      <c r="G34" s="9">
        <v>5147800.8400000008</v>
      </c>
      <c r="H34" s="71">
        <f>5167807.48+'Pending Retirements'!D19</f>
        <v>5071978.6300000008</v>
      </c>
      <c r="I34" s="9">
        <v>4984612.3100000005</v>
      </c>
      <c r="J34" s="9">
        <v>5004994.99</v>
      </c>
      <c r="K34" s="9">
        <v>5025377.67</v>
      </c>
      <c r="L34" s="9">
        <v>5045794.9500000011</v>
      </c>
      <c r="M34" s="9">
        <v>5066246.8500000006</v>
      </c>
      <c r="N34" s="9">
        <v>5086569.29</v>
      </c>
      <c r="O34" s="9"/>
    </row>
    <row r="35" spans="1:15">
      <c r="A35" s="181" t="s">
        <v>212</v>
      </c>
      <c r="B35" s="9">
        <v>397368.72000000003</v>
      </c>
      <c r="C35" s="9">
        <v>402124.92</v>
      </c>
      <c r="D35" s="9">
        <v>406881.12</v>
      </c>
      <c r="E35" s="9">
        <v>411637.32</v>
      </c>
      <c r="F35" s="9">
        <v>416393.52</v>
      </c>
      <c r="G35" s="9">
        <v>421149.72000000003</v>
      </c>
      <c r="H35" s="9">
        <v>425905.91999999998</v>
      </c>
      <c r="I35" s="9">
        <v>430662.12</v>
      </c>
      <c r="J35" s="9">
        <v>435418.32</v>
      </c>
      <c r="K35" s="9">
        <v>440174.52</v>
      </c>
      <c r="L35" s="9">
        <v>444930.72000000003</v>
      </c>
      <c r="M35" s="9">
        <v>449686.92</v>
      </c>
      <c r="N35" s="9">
        <v>454443.12</v>
      </c>
      <c r="O35" s="9"/>
    </row>
    <row r="36" spans="1:15">
      <c r="A36" s="181" t="s">
        <v>213</v>
      </c>
      <c r="B36" s="9">
        <v>1090647.8800000001</v>
      </c>
      <c r="C36" s="9">
        <v>1100888.54</v>
      </c>
      <c r="D36" s="9">
        <v>1111129.2</v>
      </c>
      <c r="E36" s="9">
        <v>1121445.44</v>
      </c>
      <c r="F36" s="9">
        <v>1131837.27</v>
      </c>
      <c r="G36" s="9">
        <v>1141051.1200000001</v>
      </c>
      <c r="H36" s="9">
        <v>1151436.1300000001</v>
      </c>
      <c r="I36" s="9">
        <v>1160519.76</v>
      </c>
      <c r="J36" s="9">
        <v>1168302.03</v>
      </c>
      <c r="K36" s="9">
        <v>1176084.3</v>
      </c>
      <c r="L36" s="9">
        <v>1183866.57</v>
      </c>
      <c r="M36" s="9">
        <v>1191648.8400000001</v>
      </c>
      <c r="N36" s="9">
        <v>1199313.4500000002</v>
      </c>
      <c r="O36" s="9"/>
    </row>
    <row r="37" spans="1:15">
      <c r="A37" s="181" t="s">
        <v>214</v>
      </c>
      <c r="B37" s="9">
        <v>110516.14</v>
      </c>
      <c r="C37" s="9">
        <v>139459.66999999998</v>
      </c>
      <c r="D37" s="9">
        <v>168916.19999999998</v>
      </c>
      <c r="E37" s="9">
        <v>198372.73</v>
      </c>
      <c r="F37" s="9">
        <v>199538.62</v>
      </c>
      <c r="G37" s="9">
        <v>226940.61000000002</v>
      </c>
      <c r="H37" s="9">
        <v>252821.52000000002</v>
      </c>
      <c r="I37" s="9">
        <v>278702.43</v>
      </c>
      <c r="J37" s="9">
        <v>304583.33999999997</v>
      </c>
      <c r="K37" s="9">
        <v>330464.25</v>
      </c>
      <c r="L37" s="9">
        <v>357022.66000000003</v>
      </c>
      <c r="M37" s="9">
        <v>384258.57</v>
      </c>
      <c r="N37" s="9">
        <v>416488.81</v>
      </c>
      <c r="O37" s="9"/>
    </row>
    <row r="38" spans="1:15">
      <c r="A38" s="181" t="s">
        <v>215</v>
      </c>
      <c r="B38" s="9">
        <v>12735.400000000001</v>
      </c>
      <c r="C38" s="9">
        <v>12961.35</v>
      </c>
      <c r="D38" s="9">
        <v>13187.300000000001</v>
      </c>
      <c r="E38" s="9">
        <v>13413.25</v>
      </c>
      <c r="F38" s="9">
        <v>13639.2</v>
      </c>
      <c r="G38" s="9">
        <v>13865.150000000001</v>
      </c>
      <c r="H38" s="9">
        <v>14091.100000000002</v>
      </c>
      <c r="I38" s="9">
        <v>14317.050000000001</v>
      </c>
      <c r="J38" s="9">
        <v>14543</v>
      </c>
      <c r="K38" s="9">
        <v>12034</v>
      </c>
      <c r="L38" s="9">
        <v>12034</v>
      </c>
      <c r="M38" s="9">
        <v>12034</v>
      </c>
      <c r="N38" s="9">
        <v>12034</v>
      </c>
      <c r="O38" s="9"/>
    </row>
    <row r="39" spans="1:15">
      <c r="A39" s="181" t="s">
        <v>216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/>
    </row>
    <row r="40" spans="1:15">
      <c r="A40" s="181" t="s">
        <v>217</v>
      </c>
      <c r="B40" s="9">
        <v>-10275.93</v>
      </c>
      <c r="C40" s="9">
        <v>-10275.93</v>
      </c>
      <c r="D40" s="9">
        <v>-10275.93</v>
      </c>
      <c r="E40" s="9">
        <v>-10275.93</v>
      </c>
      <c r="F40" s="9">
        <v>-10275.93</v>
      </c>
      <c r="G40" s="9">
        <v>-10275.93</v>
      </c>
      <c r="H40" s="9">
        <v>-10275.93</v>
      </c>
      <c r="I40" s="9">
        <v>-10275.93</v>
      </c>
      <c r="J40" s="9">
        <v>-10275.93</v>
      </c>
      <c r="K40" s="9">
        <v>-10275.93</v>
      </c>
      <c r="L40" s="9">
        <v>-10275.93</v>
      </c>
      <c r="M40" s="9">
        <v>-10275.93</v>
      </c>
      <c r="N40" s="9">
        <v>-10275.93</v>
      </c>
      <c r="O40" s="9"/>
    </row>
    <row r="41" spans="1:15">
      <c r="A41" s="181" t="s">
        <v>218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/>
    </row>
    <row r="42" spans="1:15">
      <c r="A42" s="181" t="s">
        <v>219</v>
      </c>
      <c r="B42" s="9">
        <v>41602.21</v>
      </c>
      <c r="C42" s="9">
        <v>42813.38</v>
      </c>
      <c r="D42" s="9">
        <v>44024.55</v>
      </c>
      <c r="E42" s="9">
        <v>45235.72</v>
      </c>
      <c r="F42" s="9">
        <v>46446.89</v>
      </c>
      <c r="G42" s="9">
        <v>47658.06</v>
      </c>
      <c r="H42" s="9">
        <v>48869.229999999996</v>
      </c>
      <c r="I42" s="9">
        <v>51290.74</v>
      </c>
      <c r="J42" s="9">
        <v>53712.25</v>
      </c>
      <c r="K42" s="9">
        <v>52502.74</v>
      </c>
      <c r="L42" s="9">
        <v>53713.909999999996</v>
      </c>
      <c r="M42" s="9">
        <v>54925.08</v>
      </c>
      <c r="N42" s="9">
        <v>56136.25</v>
      </c>
      <c r="O42" s="9"/>
    </row>
    <row r="43" spans="1:15">
      <c r="A43" s="181" t="s">
        <v>220</v>
      </c>
      <c r="B43" s="9">
        <v>55399.39</v>
      </c>
      <c r="C43" s="9">
        <v>55399.39</v>
      </c>
      <c r="D43" s="9">
        <v>55399.39</v>
      </c>
      <c r="E43" s="9">
        <v>55399.39</v>
      </c>
      <c r="F43" s="9">
        <v>55399.39</v>
      </c>
      <c r="G43" s="9">
        <v>55399.39</v>
      </c>
      <c r="H43" s="9">
        <v>55399.39</v>
      </c>
      <c r="I43" s="9">
        <v>55399.39</v>
      </c>
      <c r="J43" s="9">
        <v>55399.39</v>
      </c>
      <c r="K43" s="9">
        <v>55399.39</v>
      </c>
      <c r="L43" s="9">
        <v>55399.39</v>
      </c>
      <c r="M43" s="9">
        <v>55399.39</v>
      </c>
      <c r="N43" s="9">
        <v>55399.39</v>
      </c>
      <c r="O43" s="9"/>
    </row>
    <row r="44" spans="1:15">
      <c r="A44" s="181" t="s">
        <v>221</v>
      </c>
      <c r="B44" s="9">
        <v>2421384.63</v>
      </c>
      <c r="C44" s="9">
        <v>2454853.9300000002</v>
      </c>
      <c r="D44" s="9">
        <v>2488346.17</v>
      </c>
      <c r="E44" s="9">
        <v>2520701.88</v>
      </c>
      <c r="F44" s="9">
        <v>2561806.6800000002</v>
      </c>
      <c r="G44" s="9">
        <v>2589647.64</v>
      </c>
      <c r="H44" s="9">
        <v>2622701.84</v>
      </c>
      <c r="I44" s="9">
        <v>2636811.91</v>
      </c>
      <c r="J44" s="9">
        <v>2669584.48</v>
      </c>
      <c r="K44" s="9">
        <v>2703380.42</v>
      </c>
      <c r="L44" s="9">
        <v>2737864.94</v>
      </c>
      <c r="M44" s="9">
        <v>2772856.94</v>
      </c>
      <c r="N44" s="9">
        <v>2807716.16</v>
      </c>
      <c r="O44" s="9"/>
    </row>
    <row r="45" spans="1:15">
      <c r="A45" s="181" t="s">
        <v>222</v>
      </c>
      <c r="B45" s="9">
        <v>984431.5</v>
      </c>
      <c r="C45" s="9">
        <v>1002686.27</v>
      </c>
      <c r="D45" s="9">
        <v>1020965.87</v>
      </c>
      <c r="E45" s="9">
        <v>1039338.47</v>
      </c>
      <c r="F45" s="9">
        <v>1057825.8999999999</v>
      </c>
      <c r="G45" s="9">
        <v>1020841.0599999999</v>
      </c>
      <c r="H45" s="9">
        <v>1038632.7999999999</v>
      </c>
      <c r="I45" s="9">
        <v>1039315.4299999999</v>
      </c>
      <c r="J45" s="9">
        <v>1056961.33</v>
      </c>
      <c r="K45" s="9">
        <v>1074607.23</v>
      </c>
      <c r="L45" s="9">
        <v>1092253.19</v>
      </c>
      <c r="M45" s="9">
        <v>1109899.22</v>
      </c>
      <c r="N45" s="9">
        <v>1128140.97</v>
      </c>
      <c r="O45" s="9"/>
    </row>
    <row r="46" spans="1:15">
      <c r="A46" s="181" t="s">
        <v>223</v>
      </c>
      <c r="B46" s="9">
        <v>5377038.3499999996</v>
      </c>
      <c r="C46" s="9">
        <v>5458005.1899999995</v>
      </c>
      <c r="D46" s="9">
        <v>5548598.3300000001</v>
      </c>
      <c r="E46" s="9">
        <v>5641436.9100000001</v>
      </c>
      <c r="F46" s="9">
        <v>5735428.6200000001</v>
      </c>
      <c r="G46" s="9">
        <v>5807360.79</v>
      </c>
      <c r="H46" s="9">
        <v>5902893.4299999997</v>
      </c>
      <c r="I46" s="9">
        <v>6004329.0099999998</v>
      </c>
      <c r="J46" s="9">
        <v>6111576.0699999994</v>
      </c>
      <c r="K46" s="9">
        <v>6219426.96</v>
      </c>
      <c r="L46" s="9">
        <v>6327536.7399999993</v>
      </c>
      <c r="M46" s="9">
        <v>6435708.2999999998</v>
      </c>
      <c r="N46" s="9">
        <v>6544256.2199999997</v>
      </c>
      <c r="O46" s="9"/>
    </row>
    <row r="47" spans="1:15">
      <c r="A47" s="181" t="s">
        <v>224</v>
      </c>
      <c r="B47" s="9">
        <v>151079.56</v>
      </c>
      <c r="C47" s="9">
        <v>151704.57999999999</v>
      </c>
      <c r="D47" s="9">
        <v>152329.59999999998</v>
      </c>
      <c r="E47" s="9">
        <v>145779.99</v>
      </c>
      <c r="F47" s="9">
        <v>146403.16999999998</v>
      </c>
      <c r="G47" s="9">
        <v>147026.40999999997</v>
      </c>
      <c r="H47" s="9">
        <v>147649.97999999998</v>
      </c>
      <c r="I47" s="9">
        <v>148273.87</v>
      </c>
      <c r="J47" s="9">
        <v>148897.76</v>
      </c>
      <c r="K47" s="9">
        <v>149521.65</v>
      </c>
      <c r="L47" s="9">
        <v>150171.94999999998</v>
      </c>
      <c r="M47" s="9">
        <v>150852.20000000001</v>
      </c>
      <c r="N47" s="9">
        <v>151538.34</v>
      </c>
      <c r="O47" s="9"/>
    </row>
    <row r="48" spans="1:15">
      <c r="A48" s="181" t="s">
        <v>225</v>
      </c>
      <c r="B48" s="9">
        <v>23195.93</v>
      </c>
      <c r="C48" s="9">
        <v>23322.32</v>
      </c>
      <c r="D48" s="9">
        <v>23448.71</v>
      </c>
      <c r="E48" s="9">
        <v>23575.100000000002</v>
      </c>
      <c r="F48" s="9">
        <v>23701.49</v>
      </c>
      <c r="G48" s="9">
        <v>23827.88</v>
      </c>
      <c r="H48" s="9">
        <v>23954.27</v>
      </c>
      <c r="I48" s="9">
        <v>24080.66</v>
      </c>
      <c r="J48" s="9">
        <v>24207.05</v>
      </c>
      <c r="K48" s="9">
        <v>24333.439999999999</v>
      </c>
      <c r="L48" s="9">
        <v>24459.83</v>
      </c>
      <c r="M48" s="9">
        <v>24586.22</v>
      </c>
      <c r="N48" s="9">
        <v>24712.61</v>
      </c>
      <c r="O48" s="9"/>
    </row>
    <row r="49" spans="1:20">
      <c r="A49" s="181" t="s">
        <v>226</v>
      </c>
      <c r="B49" s="9">
        <v>375177.27</v>
      </c>
      <c r="C49" s="9">
        <v>380520.23000000004</v>
      </c>
      <c r="D49" s="9">
        <v>343282.15</v>
      </c>
      <c r="E49" s="9">
        <v>348580.7</v>
      </c>
      <c r="F49" s="9">
        <v>351400.47000000003</v>
      </c>
      <c r="G49" s="9">
        <v>356724.62</v>
      </c>
      <c r="H49" s="9">
        <v>362161.11</v>
      </c>
      <c r="I49" s="9">
        <v>311879.28000000003</v>
      </c>
      <c r="J49" s="9">
        <v>317396.24000000005</v>
      </c>
      <c r="K49" s="9">
        <v>322923.28000000003</v>
      </c>
      <c r="L49" s="9">
        <v>328464.16000000003</v>
      </c>
      <c r="M49" s="9">
        <v>334075.02</v>
      </c>
      <c r="N49" s="9">
        <v>337770.64</v>
      </c>
      <c r="O49" s="9"/>
    </row>
    <row r="50" spans="1:20">
      <c r="A50" s="181" t="s">
        <v>227</v>
      </c>
      <c r="B50" s="9">
        <v>-9292.49</v>
      </c>
      <c r="C50" s="9">
        <v>-9267.68</v>
      </c>
      <c r="D50" s="9">
        <v>-9242.8700000000008</v>
      </c>
      <c r="E50" s="9">
        <v>-9218.06</v>
      </c>
      <c r="F50" s="9">
        <v>-9193.25</v>
      </c>
      <c r="G50" s="9">
        <v>-9168.44</v>
      </c>
      <c r="H50" s="9">
        <v>-9143.6299999999992</v>
      </c>
      <c r="I50" s="9">
        <v>-9118.82</v>
      </c>
      <c r="J50" s="9">
        <v>-9094.01</v>
      </c>
      <c r="K50" s="9">
        <v>-9069.2000000000007</v>
      </c>
      <c r="L50" s="9">
        <v>-9044.39</v>
      </c>
      <c r="M50" s="9">
        <v>-9019.58</v>
      </c>
      <c r="N50" s="9">
        <v>-8994.77</v>
      </c>
      <c r="O50" s="9"/>
    </row>
    <row r="51" spans="1:20">
      <c r="A51" s="181" t="s">
        <v>228</v>
      </c>
      <c r="B51" s="9">
        <v>172270.66</v>
      </c>
      <c r="C51" s="9">
        <v>172703.27</v>
      </c>
      <c r="D51" s="9">
        <v>173136.71</v>
      </c>
      <c r="E51" s="9">
        <v>173569.87</v>
      </c>
      <c r="F51" s="9">
        <v>166582.39999999999</v>
      </c>
      <c r="G51" s="9">
        <v>167007.78</v>
      </c>
      <c r="H51" s="9">
        <v>167426.70000000001</v>
      </c>
      <c r="I51" s="9">
        <v>135255.09</v>
      </c>
      <c r="J51" s="9">
        <v>135633.36000000002</v>
      </c>
      <c r="K51" s="9">
        <v>131054.43</v>
      </c>
      <c r="L51" s="9">
        <v>131427.49</v>
      </c>
      <c r="M51" s="9">
        <v>131800.55000000002</v>
      </c>
      <c r="N51" s="9">
        <v>132173.61000000002</v>
      </c>
      <c r="O51" s="9"/>
    </row>
    <row r="52" spans="1:20">
      <c r="A52" s="181" t="s">
        <v>229</v>
      </c>
      <c r="B52" s="9">
        <v>310960.57</v>
      </c>
      <c r="C52" s="9">
        <v>310960.57</v>
      </c>
      <c r="D52" s="9">
        <v>310960.57</v>
      </c>
      <c r="E52" s="9">
        <v>310960.57</v>
      </c>
      <c r="F52" s="9">
        <v>310960.57</v>
      </c>
      <c r="G52" s="9">
        <v>310960.57</v>
      </c>
      <c r="H52" s="9">
        <v>310960.57</v>
      </c>
      <c r="I52" s="9">
        <v>310960.57</v>
      </c>
      <c r="J52" s="9">
        <v>310960.57</v>
      </c>
      <c r="K52" s="9">
        <v>310960.57</v>
      </c>
      <c r="L52" s="9">
        <v>310960.57</v>
      </c>
      <c r="M52" s="9">
        <v>310960.57</v>
      </c>
      <c r="N52" s="9">
        <v>310960.57</v>
      </c>
      <c r="O52" s="9"/>
    </row>
    <row r="53" spans="1:20">
      <c r="A53" s="181" t="s">
        <v>230</v>
      </c>
      <c r="B53" s="9">
        <v>903237.37000000011</v>
      </c>
      <c r="C53" s="9">
        <v>912434.2</v>
      </c>
      <c r="D53" s="9">
        <v>921631.03</v>
      </c>
      <c r="E53" s="9">
        <v>930948.39000000013</v>
      </c>
      <c r="F53" s="9">
        <v>940386.29000000015</v>
      </c>
      <c r="G53" s="9">
        <v>949824.19000000006</v>
      </c>
      <c r="H53" s="9">
        <v>959262.09000000008</v>
      </c>
      <c r="I53" s="9">
        <v>968699.99</v>
      </c>
      <c r="J53" s="9">
        <v>978148.66</v>
      </c>
      <c r="K53" s="9">
        <v>987608.12</v>
      </c>
      <c r="L53" s="9">
        <v>997067.58000000007</v>
      </c>
      <c r="M53" s="9">
        <v>1006527.04</v>
      </c>
      <c r="N53" s="71">
        <f>1163248.43+T53</f>
        <v>1015851.85</v>
      </c>
      <c r="O53" s="193" t="s">
        <v>836</v>
      </c>
      <c r="P53" s="209"/>
      <c r="Q53" s="209"/>
      <c r="R53" s="209"/>
      <c r="S53" s="209"/>
      <c r="T53" s="197">
        <v>-147396.57999999999</v>
      </c>
    </row>
    <row r="54" spans="1:20">
      <c r="A54" s="181" t="s">
        <v>231</v>
      </c>
      <c r="B54" s="9">
        <v>737383.79999999993</v>
      </c>
      <c r="C54" s="9">
        <v>746561.85</v>
      </c>
      <c r="D54" s="9">
        <v>755739.9</v>
      </c>
      <c r="E54" s="9">
        <v>464721.36</v>
      </c>
      <c r="F54" s="9">
        <v>471748.23</v>
      </c>
      <c r="G54" s="9">
        <v>478775.1</v>
      </c>
      <c r="H54" s="9">
        <v>485801.97</v>
      </c>
      <c r="I54" s="9">
        <v>492828.83999999997</v>
      </c>
      <c r="J54" s="9">
        <v>499855.70999999996</v>
      </c>
      <c r="K54" s="9">
        <v>506882.57999999996</v>
      </c>
      <c r="L54" s="9">
        <v>513909.44999999995</v>
      </c>
      <c r="M54" s="9">
        <v>389076.07000000007</v>
      </c>
      <c r="N54" s="9">
        <v>395394.94000000006</v>
      </c>
      <c r="O54" s="9"/>
    </row>
    <row r="55" spans="1:20">
      <c r="A55" s="181" t="s">
        <v>232</v>
      </c>
      <c r="B55" s="9">
        <v>1040073.4600000001</v>
      </c>
      <c r="C55" s="9">
        <v>1048739.08</v>
      </c>
      <c r="D55" s="9">
        <v>1057404.7</v>
      </c>
      <c r="E55" s="9">
        <v>1066070.32</v>
      </c>
      <c r="F55" s="9">
        <v>1074735.94</v>
      </c>
      <c r="G55" s="9">
        <v>1083401.56</v>
      </c>
      <c r="H55" s="9">
        <v>1092067.1800000002</v>
      </c>
      <c r="I55" s="9">
        <v>1100732.8</v>
      </c>
      <c r="J55" s="9">
        <v>1109398.4200000002</v>
      </c>
      <c r="K55" s="9">
        <v>1120269.6600000001</v>
      </c>
      <c r="L55" s="9">
        <v>1128951.08</v>
      </c>
      <c r="M55" s="9">
        <v>1137632.5</v>
      </c>
      <c r="N55" s="9">
        <v>1146424.48</v>
      </c>
      <c r="O55" s="9"/>
    </row>
    <row r="56" spans="1:20">
      <c r="A56" s="181" t="s">
        <v>233</v>
      </c>
      <c r="B56" s="9">
        <v>86491.32</v>
      </c>
      <c r="C56" s="9">
        <v>87122.5</v>
      </c>
      <c r="D56" s="9">
        <v>87753.680000000008</v>
      </c>
      <c r="E56" s="9">
        <v>88432.99</v>
      </c>
      <c r="F56" s="9">
        <v>89160.430000000008</v>
      </c>
      <c r="G56" s="9">
        <v>89887.87</v>
      </c>
      <c r="H56" s="9">
        <v>90615.31</v>
      </c>
      <c r="I56" s="9">
        <v>91342.75</v>
      </c>
      <c r="J56" s="9">
        <v>92070.19</v>
      </c>
      <c r="K56" s="9">
        <v>92797.63</v>
      </c>
      <c r="L56" s="9">
        <v>93525.07</v>
      </c>
      <c r="M56" s="9">
        <v>94252.51</v>
      </c>
      <c r="N56" s="9">
        <v>95075.34</v>
      </c>
      <c r="O56" s="9"/>
    </row>
    <row r="57" spans="1:20">
      <c r="A57" s="183" t="s">
        <v>531</v>
      </c>
      <c r="B57" s="60">
        <f t="shared" ref="B57:N57" si="1">SUM(B24:B56)</f>
        <v>19447696.400000002</v>
      </c>
      <c r="C57" s="60">
        <f t="shared" si="1"/>
        <v>19776451.93</v>
      </c>
      <c r="D57" s="60">
        <f t="shared" si="1"/>
        <v>19976985.440000001</v>
      </c>
      <c r="E57" s="60">
        <f t="shared" si="1"/>
        <v>19818267.640000004</v>
      </c>
      <c r="F57" s="60">
        <f t="shared" si="1"/>
        <v>20128463.209999997</v>
      </c>
      <c r="G57" s="60">
        <f t="shared" si="1"/>
        <v>20287009.730000004</v>
      </c>
      <c r="H57" s="60">
        <f t="shared" si="1"/>
        <v>20433202.829999998</v>
      </c>
      <c r="I57" s="60">
        <f t="shared" si="1"/>
        <v>20449906.399999999</v>
      </c>
      <c r="J57" s="60">
        <f t="shared" si="1"/>
        <v>20696404.350000001</v>
      </c>
      <c r="K57" s="60">
        <f t="shared" si="1"/>
        <v>20941278.32</v>
      </c>
      <c r="L57" s="60">
        <f t="shared" si="1"/>
        <v>21195544.049999997</v>
      </c>
      <c r="M57" s="60">
        <f t="shared" si="1"/>
        <v>21319330.880000003</v>
      </c>
      <c r="N57" s="60">
        <f t="shared" si="1"/>
        <v>21578015.300000004</v>
      </c>
      <c r="O57" s="184">
        <f>AVERAGE(B57:N57)</f>
        <v>20465273.575384617</v>
      </c>
    </row>
    <row r="58" spans="1:20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20">
      <c r="A59" s="178" t="s">
        <v>536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20">
      <c r="A60" s="181" t="s">
        <v>159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/>
    </row>
    <row r="61" spans="1:20">
      <c r="A61" s="181" t="s">
        <v>160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/>
    </row>
    <row r="62" spans="1:20">
      <c r="A62" s="181" t="s">
        <v>161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/>
    </row>
    <row r="63" spans="1:20">
      <c r="A63" s="181" t="s">
        <v>162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/>
    </row>
    <row r="64" spans="1:20">
      <c r="A64" s="181" t="s">
        <v>163</v>
      </c>
      <c r="B64" s="9">
        <v>-1.0000000009313226E-2</v>
      </c>
      <c r="C64" s="9">
        <v>-1.0000000009313226E-2</v>
      </c>
      <c r="D64" s="9">
        <v>-1.0000000009313226E-2</v>
      </c>
      <c r="E64" s="9">
        <v>-1.0000000009313226E-2</v>
      </c>
      <c r="F64" s="9">
        <v>-1.0000000009313226E-2</v>
      </c>
      <c r="G64" s="9">
        <v>-1.0000000009313226E-2</v>
      </c>
      <c r="H64" s="9">
        <v>-1.0000000009313226E-2</v>
      </c>
      <c r="I64" s="9">
        <v>-1.0000000009313226E-2</v>
      </c>
      <c r="J64" s="9">
        <v>-1.0000000009313226E-2</v>
      </c>
      <c r="K64" s="9">
        <v>-1.0000000009313226E-2</v>
      </c>
      <c r="L64" s="9">
        <v>-1.0000000009313226E-2</v>
      </c>
      <c r="M64" s="9">
        <v>-1.0000000009313226E-2</v>
      </c>
      <c r="N64" s="9">
        <v>-1.0000000009313226E-2</v>
      </c>
      <c r="O64" s="9"/>
    </row>
    <row r="65" spans="1:15">
      <c r="A65" s="181" t="s">
        <v>164</v>
      </c>
      <c r="B65" s="9">
        <v>40269.410000000033</v>
      </c>
      <c r="C65" s="9">
        <v>40269.410000000033</v>
      </c>
      <c r="D65" s="9">
        <v>40269.410000000033</v>
      </c>
      <c r="E65" s="9">
        <v>40269.410000000033</v>
      </c>
      <c r="F65" s="9">
        <v>40269.410000000033</v>
      </c>
      <c r="G65" s="9">
        <v>40269.410000000033</v>
      </c>
      <c r="H65" s="9">
        <v>40269.410000000033</v>
      </c>
      <c r="I65" s="9">
        <v>40269.410000000033</v>
      </c>
      <c r="J65" s="9">
        <v>40269.410000000033</v>
      </c>
      <c r="K65" s="9">
        <v>40269.410000000033</v>
      </c>
      <c r="L65" s="9">
        <v>40269.410000000033</v>
      </c>
      <c r="M65" s="9">
        <v>40269.410000000033</v>
      </c>
      <c r="N65" s="9">
        <v>40269.410000000033</v>
      </c>
      <c r="O65" s="9"/>
    </row>
    <row r="66" spans="1:15">
      <c r="A66" s="181" t="s">
        <v>165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/>
    </row>
    <row r="67" spans="1:15">
      <c r="A67" s="181" t="s">
        <v>166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/>
    </row>
    <row r="68" spans="1:15">
      <c r="A68" s="181" t="s">
        <v>167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/>
    </row>
    <row r="69" spans="1:15">
      <c r="A69" s="181" t="s">
        <v>168</v>
      </c>
      <c r="B69" s="9">
        <v>2416866.06</v>
      </c>
      <c r="C69" s="9">
        <v>2434914.73</v>
      </c>
      <c r="D69" s="9">
        <v>2452963.4000000004</v>
      </c>
      <c r="E69" s="9">
        <v>2471012.0700000003</v>
      </c>
      <c r="F69" s="9">
        <v>2489060.7400000002</v>
      </c>
      <c r="G69" s="9">
        <v>2507109.41</v>
      </c>
      <c r="H69" s="9">
        <v>2525158.08</v>
      </c>
      <c r="I69" s="9">
        <v>2543206.75</v>
      </c>
      <c r="J69" s="9">
        <v>2561255.42</v>
      </c>
      <c r="K69" s="9">
        <v>2579304.09</v>
      </c>
      <c r="L69" s="9">
        <v>2597352.7599999998</v>
      </c>
      <c r="M69" s="9">
        <v>2615401.4299999997</v>
      </c>
      <c r="N69" s="9">
        <v>2633450.0999999996</v>
      </c>
      <c r="O69" s="9"/>
    </row>
    <row r="70" spans="1:15">
      <c r="A70" s="181" t="s">
        <v>169</v>
      </c>
      <c r="B70" s="9">
        <v>4690603.99</v>
      </c>
      <c r="C70" s="9">
        <v>4733780.54</v>
      </c>
      <c r="D70" s="9">
        <v>4776957.09</v>
      </c>
      <c r="E70" s="9">
        <v>4820109.33</v>
      </c>
      <c r="F70" s="9">
        <v>4863237.2799999993</v>
      </c>
      <c r="G70" s="9">
        <v>4906365.2300000004</v>
      </c>
      <c r="H70" s="9">
        <v>4949191.84</v>
      </c>
      <c r="I70" s="9">
        <v>4991717.120000001</v>
      </c>
      <c r="J70" s="9">
        <v>5034242.4000000004</v>
      </c>
      <c r="K70" s="9">
        <v>5076767.6800000006</v>
      </c>
      <c r="L70" s="9">
        <v>5119321.8</v>
      </c>
      <c r="M70" s="9">
        <v>5161904.76</v>
      </c>
      <c r="N70" s="9">
        <v>5204487.7200000007</v>
      </c>
      <c r="O70" s="9"/>
    </row>
    <row r="71" spans="1:15">
      <c r="A71" s="181" t="s">
        <v>170</v>
      </c>
      <c r="B71" s="9">
        <v>3083632.66</v>
      </c>
      <c r="C71" s="9">
        <v>3109887.46</v>
      </c>
      <c r="D71" s="9">
        <v>3136142.2600000007</v>
      </c>
      <c r="E71" s="9">
        <v>3162397.06</v>
      </c>
      <c r="F71" s="9">
        <v>3188651.8599999994</v>
      </c>
      <c r="G71" s="9">
        <v>3214906.6599999997</v>
      </c>
      <c r="H71" s="9">
        <v>3241161.4599999995</v>
      </c>
      <c r="I71" s="9">
        <v>3267416.26</v>
      </c>
      <c r="J71" s="9">
        <v>3293671.0599999996</v>
      </c>
      <c r="K71" s="9">
        <v>3319925.8600000008</v>
      </c>
      <c r="L71" s="9">
        <v>3346180.6600000006</v>
      </c>
      <c r="M71" s="9">
        <v>3372435.46</v>
      </c>
      <c r="N71" s="9">
        <v>3398690.26</v>
      </c>
      <c r="O71" s="9"/>
    </row>
    <row r="72" spans="1:15">
      <c r="A72" s="181" t="s">
        <v>171</v>
      </c>
      <c r="B72" s="9">
        <v>1380063.55</v>
      </c>
      <c r="C72" s="9">
        <v>1389307.1</v>
      </c>
      <c r="D72" s="9">
        <v>1398550.6500000001</v>
      </c>
      <c r="E72" s="9">
        <v>1407794.2</v>
      </c>
      <c r="F72" s="9">
        <v>1417037.75</v>
      </c>
      <c r="G72" s="9">
        <v>1426281.3</v>
      </c>
      <c r="H72" s="9">
        <v>1435524.8499999999</v>
      </c>
      <c r="I72" s="9">
        <v>1444768.4000000001</v>
      </c>
      <c r="J72" s="9">
        <v>1454011.95</v>
      </c>
      <c r="K72" s="9">
        <v>1463255.5</v>
      </c>
      <c r="L72" s="9">
        <v>1472499.05</v>
      </c>
      <c r="M72" s="9">
        <v>1481742.6</v>
      </c>
      <c r="N72" s="9">
        <v>1490986.15</v>
      </c>
      <c r="O72" s="9"/>
    </row>
    <row r="73" spans="1:15">
      <c r="A73" s="181" t="s">
        <v>172</v>
      </c>
      <c r="B73" s="71">
        <f>101109668.81+'Pending Retirements'!B2</f>
        <v>95337981.969999999</v>
      </c>
      <c r="C73" s="9">
        <v>101855227.33</v>
      </c>
      <c r="D73" s="9">
        <v>102968487.06</v>
      </c>
      <c r="E73" s="185">
        <f>104061509.83+'Pending Retirements'!C2</f>
        <v>98636346.950000003</v>
      </c>
      <c r="F73" s="9">
        <v>99518866.680000007</v>
      </c>
      <c r="G73" s="9">
        <v>100615707.45999998</v>
      </c>
      <c r="H73" s="71">
        <f>101472493.69+'Pending Retirements'!D2</f>
        <v>101458993.69</v>
      </c>
      <c r="I73" s="9">
        <v>102571043.48999999</v>
      </c>
      <c r="J73" s="9">
        <v>103669593.28999999</v>
      </c>
      <c r="K73" s="71">
        <f>104736328.61+'Pending Retirements'!E2</f>
        <v>104731328.61</v>
      </c>
      <c r="L73" s="9">
        <v>105816659.97</v>
      </c>
      <c r="M73" s="9">
        <v>106915151.83</v>
      </c>
      <c r="N73" s="71">
        <f>108009629.38+'Pending Retirements'!F2</f>
        <v>107859573.64999999</v>
      </c>
      <c r="O73" s="9"/>
    </row>
    <row r="74" spans="1:15">
      <c r="A74" s="181" t="s">
        <v>173</v>
      </c>
      <c r="B74" s="9">
        <v>6212655.7599999988</v>
      </c>
      <c r="C74" s="9">
        <v>6266328.7299999995</v>
      </c>
      <c r="D74" s="9">
        <v>6319750.2800000021</v>
      </c>
      <c r="E74" s="9">
        <v>6373171.8299999991</v>
      </c>
      <c r="F74" s="9">
        <v>6426593.3799999999</v>
      </c>
      <c r="G74" s="9">
        <v>6480014.9300000006</v>
      </c>
      <c r="H74" s="9">
        <v>6533436.4800000004</v>
      </c>
      <c r="I74" s="9">
        <v>6587032.6900000013</v>
      </c>
      <c r="J74" s="9">
        <v>6640803.5</v>
      </c>
      <c r="K74" s="9">
        <v>6663645.3499999996</v>
      </c>
      <c r="L74" s="9">
        <v>6717358.2200000007</v>
      </c>
      <c r="M74" s="9">
        <v>6771071.0899999999</v>
      </c>
      <c r="N74" s="9">
        <v>6824783.9600000009</v>
      </c>
      <c r="O74" s="9"/>
    </row>
    <row r="75" spans="1:15">
      <c r="A75" s="181" t="s">
        <v>174</v>
      </c>
      <c r="B75" s="63">
        <v>451609.05</v>
      </c>
      <c r="C75" s="63">
        <v>459056.63999999996</v>
      </c>
      <c r="D75" s="63">
        <v>466504.23000000004</v>
      </c>
      <c r="E75" s="63">
        <v>473951.82000000007</v>
      </c>
      <c r="F75" s="63">
        <v>481399.41000000003</v>
      </c>
      <c r="G75" s="63">
        <v>488847.00000000006</v>
      </c>
      <c r="H75" s="63">
        <v>496294.59</v>
      </c>
      <c r="I75" s="63">
        <v>503771.02999999997</v>
      </c>
      <c r="J75" s="63">
        <v>511276.31</v>
      </c>
      <c r="K75" s="63">
        <v>518781.59</v>
      </c>
      <c r="L75" s="63">
        <v>526258.03</v>
      </c>
      <c r="M75" s="63">
        <v>533705.62</v>
      </c>
      <c r="N75" s="63">
        <v>541153.21</v>
      </c>
      <c r="O75" s="63"/>
    </row>
    <row r="76" spans="1:15">
      <c r="A76" s="183" t="s">
        <v>537</v>
      </c>
      <c r="B76" s="60">
        <f>SUM(B60:B75)</f>
        <v>113613682.44</v>
      </c>
      <c r="C76" s="60">
        <f t="shared" ref="C76:N76" si="2">SUM(C60:C75)</f>
        <v>120288771.93000001</v>
      </c>
      <c r="D76" s="60">
        <f t="shared" si="2"/>
        <v>121559624.37</v>
      </c>
      <c r="E76" s="60">
        <f t="shared" si="2"/>
        <v>117385052.66</v>
      </c>
      <c r="F76" s="60">
        <f t="shared" si="2"/>
        <v>118425116.5</v>
      </c>
      <c r="G76" s="60">
        <f t="shared" si="2"/>
        <v>119679501.38999999</v>
      </c>
      <c r="H76" s="60">
        <f t="shared" si="2"/>
        <v>120680030.39</v>
      </c>
      <c r="I76" s="60">
        <f t="shared" si="2"/>
        <v>121949225.14</v>
      </c>
      <c r="J76" s="60">
        <f t="shared" si="2"/>
        <v>123205123.33</v>
      </c>
      <c r="K76" s="60">
        <f t="shared" si="2"/>
        <v>124393278.08</v>
      </c>
      <c r="L76" s="60">
        <f t="shared" si="2"/>
        <v>125635899.89</v>
      </c>
      <c r="M76" s="60">
        <f t="shared" si="2"/>
        <v>126891682.19000001</v>
      </c>
      <c r="N76" s="60">
        <f t="shared" si="2"/>
        <v>127993394.44999997</v>
      </c>
      <c r="O76" s="184">
        <f>AVERAGE(B76:N76)</f>
        <v>121669260.21230769</v>
      </c>
    </row>
    <row r="77" spans="1:15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5">
      <c r="A78" s="178" t="s">
        <v>528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5">
      <c r="A79" s="181" t="s">
        <v>175</v>
      </c>
      <c r="B79" s="9">
        <v>-10341.969999999999</v>
      </c>
      <c r="C79" s="9">
        <v>-10341.969999999999</v>
      </c>
      <c r="D79" s="9">
        <v>-10341.969999999999</v>
      </c>
      <c r="E79" s="9">
        <v>-10341.969999999999</v>
      </c>
      <c r="F79" s="9">
        <v>-10341.969999999999</v>
      </c>
      <c r="G79" s="9">
        <v>-10341.969999999999</v>
      </c>
      <c r="H79" s="9">
        <v>-10341.969999999999</v>
      </c>
      <c r="I79" s="9">
        <v>-10341.969999999999</v>
      </c>
      <c r="J79" s="9">
        <v>-10341.969999999999</v>
      </c>
      <c r="K79" s="9">
        <v>-10341.969999999999</v>
      </c>
      <c r="L79" s="9">
        <v>-10341.969999999999</v>
      </c>
      <c r="M79" s="9">
        <v>-10341.969999999999</v>
      </c>
      <c r="N79" s="9">
        <v>-10314.83</v>
      </c>
      <c r="O79" s="9"/>
    </row>
    <row r="80" spans="1:15">
      <c r="A80" s="181" t="s">
        <v>176</v>
      </c>
      <c r="B80" s="9">
        <v>-17462.240000000002</v>
      </c>
      <c r="C80" s="9">
        <v>-17462.240000000002</v>
      </c>
      <c r="D80" s="9">
        <v>-17462.240000000002</v>
      </c>
      <c r="E80" s="9">
        <v>-17462.240000000002</v>
      </c>
      <c r="F80" s="9">
        <v>-17462.240000000002</v>
      </c>
      <c r="G80" s="9">
        <v>-17462.240000000002</v>
      </c>
      <c r="H80" s="9">
        <v>-17462.240000000002</v>
      </c>
      <c r="I80" s="9">
        <v>-17462.240000000002</v>
      </c>
      <c r="J80" s="9">
        <v>-17462.240000000002</v>
      </c>
      <c r="K80" s="9">
        <v>-17462.240000000002</v>
      </c>
      <c r="L80" s="9">
        <v>-17462.240000000002</v>
      </c>
      <c r="M80" s="9">
        <v>-17462.240000000002</v>
      </c>
      <c r="N80" s="9">
        <v>-17462.240000000002</v>
      </c>
      <c r="O80" s="9"/>
    </row>
    <row r="81" spans="1:15">
      <c r="A81" s="181" t="s">
        <v>178</v>
      </c>
      <c r="B81" s="9">
        <v>2013981.82</v>
      </c>
      <c r="C81" s="9">
        <v>2026777.5499999998</v>
      </c>
      <c r="D81" s="9">
        <v>2039573.28</v>
      </c>
      <c r="E81" s="9">
        <v>2052369.01</v>
      </c>
      <c r="F81" s="9">
        <v>2065164.74</v>
      </c>
      <c r="G81" s="9">
        <v>2077960.4700000002</v>
      </c>
      <c r="H81" s="9">
        <v>2090756.2</v>
      </c>
      <c r="I81" s="9">
        <v>2103551.9300000002</v>
      </c>
      <c r="J81" s="9">
        <v>2116347.66</v>
      </c>
      <c r="K81" s="9">
        <v>2129143.39</v>
      </c>
      <c r="L81" s="9">
        <v>2141939.12</v>
      </c>
      <c r="M81" s="9">
        <v>2154748.38</v>
      </c>
      <c r="N81" s="9">
        <v>2167783.5599999996</v>
      </c>
      <c r="O81" s="9"/>
    </row>
    <row r="82" spans="1:15">
      <c r="A82" s="181" t="s">
        <v>180</v>
      </c>
      <c r="B82" s="9">
        <v>-866030.83000000007</v>
      </c>
      <c r="C82" s="9">
        <v>-863621.42</v>
      </c>
      <c r="D82" s="9">
        <v>-861212.01</v>
      </c>
      <c r="E82" s="9">
        <v>-858802.6</v>
      </c>
      <c r="F82" s="9">
        <v>-856393.19000000006</v>
      </c>
      <c r="G82" s="9">
        <v>-853983.78</v>
      </c>
      <c r="H82" s="9">
        <v>-851574.37</v>
      </c>
      <c r="I82" s="9">
        <v>-849164.96</v>
      </c>
      <c r="J82" s="9">
        <v>-846755.55</v>
      </c>
      <c r="K82" s="9">
        <v>-844346.14</v>
      </c>
      <c r="L82" s="9">
        <v>-841936.73</v>
      </c>
      <c r="M82" s="9">
        <v>-839527.32000000007</v>
      </c>
      <c r="N82" s="9">
        <v>-837117.91</v>
      </c>
      <c r="O82" s="9"/>
    </row>
    <row r="83" spans="1:15">
      <c r="A83" s="181" t="s">
        <v>181</v>
      </c>
      <c r="B83" s="71">
        <f>31069640.72+'Pending Retirements'!B3</f>
        <v>31004662.309999999</v>
      </c>
      <c r="C83" s="9">
        <v>30785147.82</v>
      </c>
      <c r="D83" s="9">
        <v>30917905.68</v>
      </c>
      <c r="E83" s="9">
        <v>31050672.210000001</v>
      </c>
      <c r="F83" s="9">
        <v>31185222.32</v>
      </c>
      <c r="G83" s="9">
        <v>31325840.530000001</v>
      </c>
      <c r="H83" s="71">
        <f>31462584.32+'Pending Retirements'!D3</f>
        <v>31382341.48</v>
      </c>
      <c r="I83" s="9">
        <v>31599417.259999998</v>
      </c>
      <c r="J83" s="9">
        <v>31736269.91</v>
      </c>
      <c r="K83" s="71">
        <f>31873085.72+'Pending Retirements'!E3</f>
        <v>31792842.879999999</v>
      </c>
      <c r="L83" s="9">
        <v>32009905.810000002</v>
      </c>
      <c r="M83" s="9">
        <v>32052104.030000001</v>
      </c>
      <c r="N83" s="71">
        <f>32192050.96+'Pending Retirements'!F3+'Pending Retirements'!F4</f>
        <v>32068245.23</v>
      </c>
      <c r="O83" s="9"/>
    </row>
    <row r="84" spans="1:15">
      <c r="A84" s="181" t="s">
        <v>183</v>
      </c>
      <c r="B84" s="63">
        <v>2171779.9</v>
      </c>
      <c r="C84" s="63">
        <v>2175533.38</v>
      </c>
      <c r="D84" s="63">
        <v>2179286.86</v>
      </c>
      <c r="E84" s="63">
        <v>2183040.34</v>
      </c>
      <c r="F84" s="63">
        <v>2186793.8199999998</v>
      </c>
      <c r="G84" s="63">
        <v>2190547.2999999998</v>
      </c>
      <c r="H84" s="63">
        <v>2194300.7799999998</v>
      </c>
      <c r="I84" s="63">
        <v>2198054.2599999998</v>
      </c>
      <c r="J84" s="63">
        <v>2201807.7400000002</v>
      </c>
      <c r="K84" s="63">
        <v>2205561.2200000002</v>
      </c>
      <c r="L84" s="63">
        <v>2209314.7000000002</v>
      </c>
      <c r="M84" s="63">
        <v>2213068.1800000002</v>
      </c>
      <c r="N84" s="63">
        <v>2216821.66</v>
      </c>
      <c r="O84" s="9"/>
    </row>
    <row r="85" spans="1:15">
      <c r="A85" s="181" t="s">
        <v>184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/>
    </row>
    <row r="86" spans="1:15">
      <c r="A86" s="181" t="s">
        <v>185</v>
      </c>
      <c r="B86" s="71">
        <f>5504314.83+'Pending Retirements'!B5</f>
        <v>5025600.47</v>
      </c>
      <c r="C86" s="9">
        <v>4472577.3000000007</v>
      </c>
      <c r="D86" s="9">
        <v>4542932.3800000008</v>
      </c>
      <c r="E86" s="63">
        <v>4639854.9400000004</v>
      </c>
      <c r="F86" s="9">
        <v>4744614.71</v>
      </c>
      <c r="G86" s="9">
        <v>4857383.6400000006</v>
      </c>
      <c r="H86" s="71">
        <f>4971174.14+'Pending Retirements'!D5</f>
        <v>4683640.8599999994</v>
      </c>
      <c r="I86" s="9">
        <v>5085800.88</v>
      </c>
      <c r="J86" s="9">
        <v>5200502.49</v>
      </c>
      <c r="K86" s="71">
        <f>5315191.17+'Pending Retirements'!E5</f>
        <v>5027657.8899999997</v>
      </c>
      <c r="L86" s="9">
        <v>5429858.6699999999</v>
      </c>
      <c r="M86" s="9">
        <v>5544191.2100000009</v>
      </c>
      <c r="N86" s="71">
        <f>5303252.3+'Pending Retirements'!F5</f>
        <v>5303180.75</v>
      </c>
      <c r="O86" s="9"/>
    </row>
    <row r="87" spans="1:15">
      <c r="A87" s="181" t="s">
        <v>186</v>
      </c>
      <c r="B87" s="71">
        <f>7062997.78+'Pending Retirements'!B6</f>
        <v>7046885.3700000001</v>
      </c>
      <c r="C87" s="9">
        <v>6979914.5099999998</v>
      </c>
      <c r="D87" s="9">
        <v>7072351.0899999999</v>
      </c>
      <c r="E87" s="9">
        <v>7164696.6200000001</v>
      </c>
      <c r="F87" s="9">
        <v>7260924.1000000006</v>
      </c>
      <c r="G87" s="9">
        <v>7360977.4500000002</v>
      </c>
      <c r="H87" s="71">
        <f>7461445.87+'Pending Retirements'!D6</f>
        <v>7314778.5700000003</v>
      </c>
      <c r="I87" s="9">
        <v>7562322.9000000004</v>
      </c>
      <c r="J87" s="9">
        <v>7663291.3399999999</v>
      </c>
      <c r="K87" s="71">
        <f>7764308.21+'Pending Retirements'!E6</f>
        <v>7617640.9100000001</v>
      </c>
      <c r="L87" s="9">
        <v>7865315.3400000008</v>
      </c>
      <c r="M87" s="9">
        <v>7966159.6199999992</v>
      </c>
      <c r="N87" s="71">
        <f>7886075.03+'Pending Retirements'!F6</f>
        <v>7862671.0899999999</v>
      </c>
      <c r="O87" s="9"/>
    </row>
    <row r="88" spans="1:15">
      <c r="A88" s="181" t="s">
        <v>187</v>
      </c>
      <c r="B88" s="9">
        <v>1174.44</v>
      </c>
      <c r="C88" s="9">
        <v>1174.44</v>
      </c>
      <c r="D88" s="9">
        <v>1174.44</v>
      </c>
      <c r="E88" s="9">
        <v>1178.6600000000001</v>
      </c>
      <c r="F88" s="9">
        <v>1187.1000000000001</v>
      </c>
      <c r="G88" s="9">
        <v>1195.54</v>
      </c>
      <c r="H88" s="9">
        <v>1203.98</v>
      </c>
      <c r="I88" s="9">
        <v>1212.42</v>
      </c>
      <c r="J88" s="9">
        <v>1212.42</v>
      </c>
      <c r="K88" s="9">
        <v>1212.42</v>
      </c>
      <c r="L88" s="9">
        <v>1212.42</v>
      </c>
      <c r="M88" s="9">
        <v>1212.42</v>
      </c>
      <c r="N88" s="9">
        <v>1212.42</v>
      </c>
      <c r="O88" s="9"/>
    </row>
    <row r="89" spans="1:15">
      <c r="A89" s="181" t="s">
        <v>188</v>
      </c>
      <c r="B89" s="9">
        <v>260.28000000000003</v>
      </c>
      <c r="C89" s="9">
        <v>260.28000000000003</v>
      </c>
      <c r="D89" s="9">
        <v>260.28000000000003</v>
      </c>
      <c r="E89" s="9">
        <v>260.28000000000003</v>
      </c>
      <c r="F89" s="9">
        <v>260.28000000000003</v>
      </c>
      <c r="G89" s="9">
        <v>260.28000000000003</v>
      </c>
      <c r="H89" s="9">
        <v>260.28000000000003</v>
      </c>
      <c r="I89" s="9">
        <v>260.28000000000003</v>
      </c>
      <c r="J89" s="9">
        <v>260.28000000000003</v>
      </c>
      <c r="K89" s="9">
        <v>260.28000000000003</v>
      </c>
      <c r="L89" s="9">
        <v>260.28000000000003</v>
      </c>
      <c r="M89" s="9">
        <v>260.28000000000003</v>
      </c>
      <c r="N89" s="9">
        <v>260.28000000000003</v>
      </c>
      <c r="O89" s="9"/>
    </row>
    <row r="90" spans="1:15">
      <c r="A90" s="183" t="s">
        <v>530</v>
      </c>
      <c r="B90" s="60">
        <f>SUM(B79:B89)</f>
        <v>46370509.549999997</v>
      </c>
      <c r="C90" s="60">
        <f t="shared" ref="C90:N90" si="3">SUM(C79:C89)</f>
        <v>45549959.649999999</v>
      </c>
      <c r="D90" s="60">
        <f t="shared" si="3"/>
        <v>45864467.790000007</v>
      </c>
      <c r="E90" s="60">
        <f t="shared" si="3"/>
        <v>46205465.249999993</v>
      </c>
      <c r="F90" s="60">
        <f t="shared" si="3"/>
        <v>46559969.670000002</v>
      </c>
      <c r="G90" s="60">
        <f t="shared" si="3"/>
        <v>46932377.220000006</v>
      </c>
      <c r="H90" s="60">
        <f t="shared" si="3"/>
        <v>46787903.57</v>
      </c>
      <c r="I90" s="60">
        <f t="shared" si="3"/>
        <v>47673650.760000005</v>
      </c>
      <c r="J90" s="60">
        <f t="shared" si="3"/>
        <v>48045132.079999998</v>
      </c>
      <c r="K90" s="60">
        <f t="shared" si="3"/>
        <v>47902168.640000001</v>
      </c>
      <c r="L90" s="60">
        <f t="shared" si="3"/>
        <v>48788065.400000013</v>
      </c>
      <c r="M90" s="60">
        <f t="shared" si="3"/>
        <v>49064412.590000004</v>
      </c>
      <c r="N90" s="60">
        <f t="shared" si="3"/>
        <v>48755280.010000005</v>
      </c>
      <c r="O90" s="184">
        <f>AVERAGE(B90:N90)</f>
        <v>47269181.706153855</v>
      </c>
    </row>
    <row r="91" spans="1:15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>
      <c r="A92" s="186" t="s">
        <v>533</v>
      </c>
      <c r="B92" s="184">
        <f t="shared" ref="B92:N92" si="4">SUM(B21,B57,B76,B90)</f>
        <v>332189003.88000005</v>
      </c>
      <c r="C92" s="184">
        <f t="shared" si="4"/>
        <v>339079866.51999998</v>
      </c>
      <c r="D92" s="184">
        <f t="shared" si="4"/>
        <v>341424843.95999998</v>
      </c>
      <c r="E92" s="184">
        <f t="shared" si="4"/>
        <v>337731184.58000004</v>
      </c>
      <c r="F92" s="184">
        <f t="shared" si="4"/>
        <v>340456669.69999999</v>
      </c>
      <c r="G92" s="184">
        <f t="shared" si="4"/>
        <v>342638738.41000003</v>
      </c>
      <c r="H92" s="184">
        <f t="shared" si="4"/>
        <v>342650873.09000003</v>
      </c>
      <c r="I92" s="184">
        <f t="shared" si="4"/>
        <v>346328184.83999997</v>
      </c>
      <c r="J92" s="184">
        <f t="shared" si="4"/>
        <v>348914347.35000002</v>
      </c>
      <c r="K92" s="184">
        <f t="shared" si="4"/>
        <v>349487821.81</v>
      </c>
      <c r="L92" s="184">
        <f t="shared" si="4"/>
        <v>354035860.02000004</v>
      </c>
      <c r="M92" s="184">
        <f t="shared" si="4"/>
        <v>356020139.03999996</v>
      </c>
      <c r="N92" s="184">
        <f t="shared" si="4"/>
        <v>355256825.19999999</v>
      </c>
      <c r="O92" s="184">
        <f>AVERAGE(B92:N92)</f>
        <v>345093412.18461543</v>
      </c>
    </row>
    <row r="93" spans="1:15">
      <c r="A93" s="186"/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7"/>
    </row>
    <row r="94" spans="1:15">
      <c r="A94" s="186" t="s">
        <v>638</v>
      </c>
      <c r="B94" s="208"/>
      <c r="C94" s="208"/>
      <c r="D94" s="208"/>
      <c r="E94" s="208"/>
      <c r="F94" s="208"/>
      <c r="G94" s="208"/>
      <c r="H94" s="208"/>
      <c r="I94" s="208"/>
      <c r="J94" s="208"/>
      <c r="K94" s="208"/>
      <c r="L94" s="208"/>
      <c r="M94" s="208"/>
      <c r="N94" s="208"/>
    </row>
    <row r="95" spans="1:15">
      <c r="A95" s="188" t="s">
        <v>265</v>
      </c>
      <c r="B95" s="189">
        <f>+'Balance Sheet - Jan - Dec 2021'!M23</f>
        <v>-313142690</v>
      </c>
      <c r="C95" s="189">
        <f>+'Balance Sheet - Jan - Dec 2022'!B23</f>
        <v>-320870048</v>
      </c>
      <c r="D95" s="189">
        <f>+'Balance Sheet - Jan - Dec 2022'!C23</f>
        <v>-322930896</v>
      </c>
      <c r="E95" s="189">
        <f>+'Balance Sheet - Jan - Dec 2022'!D23</f>
        <v>-318927008</v>
      </c>
      <c r="F95" s="189">
        <f>+'Balance Sheet - Jan - Dec 2022'!E23</f>
        <v>-321581670</v>
      </c>
      <c r="G95" s="189">
        <f>+'Balance Sheet - Jan - Dec 2022'!F23</f>
        <v>-323657814</v>
      </c>
      <c r="H95" s="189">
        <f>+'Balance Sheet - Jan - Dec 2022'!G23</f>
        <v>-323545288</v>
      </c>
      <c r="I95" s="189">
        <f>+'Balance Sheet - Jan - Dec 2022'!H23</f>
        <v>-327129946</v>
      </c>
      <c r="J95" s="189">
        <f>+'Balance Sheet - Jan - Dec 2022'!I23</f>
        <v>-329344330</v>
      </c>
      <c r="K95" s="189">
        <f>+'Balance Sheet - Jan - Dec 2022'!J23</f>
        <v>-329588730</v>
      </c>
      <c r="L95" s="189">
        <f>+'Balance Sheet - Jan - Dec 2022'!K23</f>
        <v>-333756565</v>
      </c>
      <c r="M95" s="189">
        <f>+'Balance Sheet - Jan - Dec 2022'!L23</f>
        <v>-335386693</v>
      </c>
      <c r="N95" s="189">
        <f>+'Balance Sheet - Jan - Dec 2022'!M23</f>
        <v>-335117369</v>
      </c>
    </row>
    <row r="96" spans="1:15">
      <c r="A96" s="181" t="s">
        <v>267</v>
      </c>
      <c r="B96" s="189">
        <f>+'Balance Sheet - Jan - Dec 2021'!M25</f>
        <v>-17544513</v>
      </c>
      <c r="C96" s="189">
        <f>+'Balance Sheet - Jan - Dec 2022'!B25</f>
        <v>-16701165</v>
      </c>
      <c r="D96" s="189">
        <f>+'Balance Sheet - Jan - Dec 2022'!C25</f>
        <v>-16978442</v>
      </c>
      <c r="E96" s="189">
        <f>+'Balance Sheet - Jan - Dec 2022'!D25</f>
        <v>-17281818</v>
      </c>
      <c r="F96" s="189">
        <f>+'Balance Sheet - Jan - Dec 2022'!E25</f>
        <v>-17345789</v>
      </c>
      <c r="G96" s="189">
        <f>+'Balance Sheet - Jan - Dec 2022'!F25</f>
        <v>-17444862</v>
      </c>
      <c r="H96" s="189">
        <f>+'Balance Sheet - Jan - Dec 2022'!G25</f>
        <v>-17562670</v>
      </c>
      <c r="I96" s="189">
        <f>+'Balance Sheet - Jan - Dec 2022'!H25</f>
        <v>-17647867</v>
      </c>
      <c r="J96" s="189">
        <f>+'Balance Sheet - Jan - Dec 2022'!I25</f>
        <v>-18018638</v>
      </c>
      <c r="K96" s="189">
        <f>+'Balance Sheet - Jan - Dec 2022'!J25</f>
        <v>-18340860</v>
      </c>
      <c r="L96" s="189">
        <f>+'Balance Sheet - Jan - Dec 2022'!K25</f>
        <v>-18714211</v>
      </c>
      <c r="M96" s="189">
        <f>+'Balance Sheet - Jan - Dec 2022'!L25</f>
        <v>-19061510</v>
      </c>
      <c r="N96" s="189">
        <f>+'Balance Sheet - Jan - Dec 2022'!M25</f>
        <v>-18560644</v>
      </c>
    </row>
    <row r="97" spans="1:15">
      <c r="A97" s="181" t="s">
        <v>268</v>
      </c>
      <c r="B97" s="189">
        <f>+'Balance Sheet - Jan - Dec 2021'!M26</f>
        <v>-225773</v>
      </c>
      <c r="C97" s="189">
        <f>+'Balance Sheet - Jan - Dec 2022'!B26</f>
        <v>-226463</v>
      </c>
      <c r="D97" s="189">
        <f>+'Balance Sheet - Jan - Dec 2022'!C26</f>
        <v>-227152</v>
      </c>
      <c r="E97" s="189">
        <f>+'Balance Sheet - Jan - Dec 2022'!D26</f>
        <v>-227842</v>
      </c>
      <c r="F97" s="189">
        <f>+'Balance Sheet - Jan - Dec 2022'!E26</f>
        <v>-228531</v>
      </c>
      <c r="G97" s="189">
        <f>+'Balance Sheet - Jan - Dec 2022'!F26</f>
        <v>-229221</v>
      </c>
      <c r="H97" s="189">
        <f>+'Balance Sheet - Jan - Dec 2022'!G26</f>
        <v>-229910</v>
      </c>
      <c r="I97" s="189">
        <f>+'Balance Sheet - Jan - Dec 2022'!H26</f>
        <v>-230600</v>
      </c>
      <c r="J97" s="189">
        <f>+'Balance Sheet - Jan - Dec 2022'!I26</f>
        <v>-231289</v>
      </c>
      <c r="K97" s="189">
        <f>+'Balance Sheet - Jan - Dec 2022'!J26</f>
        <v>-231979</v>
      </c>
      <c r="L97" s="189">
        <f>+'Balance Sheet - Jan - Dec 2022'!K26</f>
        <v>-232668</v>
      </c>
      <c r="M97" s="189">
        <f>+'Balance Sheet - Jan - Dec 2022'!L26</f>
        <v>-233358</v>
      </c>
      <c r="N97" s="189">
        <f>+'Balance Sheet - Jan - Dec 2022'!M26</f>
        <v>-234047</v>
      </c>
    </row>
    <row r="98" spans="1:15">
      <c r="A98" s="181" t="s">
        <v>271</v>
      </c>
      <c r="B98" s="189">
        <f>+'Balance Sheet - Jan - Dec 2021'!M29</f>
        <v>-1276028</v>
      </c>
      <c r="C98" s="189">
        <f>+'Balance Sheet - Jan - Dec 2022'!B29</f>
        <v>-1282191</v>
      </c>
      <c r="D98" s="189">
        <f>+'Balance Sheet - Jan - Dec 2022'!C29</f>
        <v>-1288354</v>
      </c>
      <c r="E98" s="189">
        <f>+'Balance Sheet - Jan - Dec 2022'!D29</f>
        <v>-1294517</v>
      </c>
      <c r="F98" s="189">
        <f>+'Balance Sheet - Jan - Dec 2022'!E29</f>
        <v>-1300679</v>
      </c>
      <c r="G98" s="189">
        <f>+'Balance Sheet - Jan - Dec 2022'!F29</f>
        <v>-1306842</v>
      </c>
      <c r="H98" s="189">
        <f>+'Balance Sheet - Jan - Dec 2022'!G29</f>
        <v>-1313005</v>
      </c>
      <c r="I98" s="189">
        <f>+'Balance Sheet - Jan - Dec 2022'!H29</f>
        <v>-1319773</v>
      </c>
      <c r="J98" s="189">
        <f>+'Balance Sheet - Jan - Dec 2022'!I29</f>
        <v>-1320090</v>
      </c>
      <c r="K98" s="189">
        <f>+'Balance Sheet - Jan - Dec 2022'!J29</f>
        <v>-1326253</v>
      </c>
      <c r="L98" s="189">
        <f>+'Balance Sheet - Jan - Dec 2022'!K29</f>
        <v>-1332416</v>
      </c>
      <c r="M98" s="189">
        <f>+'Balance Sheet - Jan - Dec 2022'!L29</f>
        <v>-1338579</v>
      </c>
      <c r="N98" s="189">
        <f>+'Balance Sheet - Jan - Dec 2022'!M29</f>
        <v>-1344766</v>
      </c>
    </row>
    <row r="99" spans="1:15">
      <c r="A99" s="183" t="s">
        <v>533</v>
      </c>
      <c r="B99" s="60">
        <f>SUM(B95:B98)</f>
        <v>-332189004</v>
      </c>
      <c r="C99" s="60">
        <f t="shared" ref="C99:N99" si="5">SUM(C95:C98)</f>
        <v>-339079867</v>
      </c>
      <c r="D99" s="60">
        <f t="shared" si="5"/>
        <v>-341424844</v>
      </c>
      <c r="E99" s="60">
        <f t="shared" si="5"/>
        <v>-337731185</v>
      </c>
      <c r="F99" s="60">
        <f t="shared" si="5"/>
        <v>-340456669</v>
      </c>
      <c r="G99" s="60">
        <f t="shared" si="5"/>
        <v>-342638739</v>
      </c>
      <c r="H99" s="60">
        <f t="shared" si="5"/>
        <v>-342650873</v>
      </c>
      <c r="I99" s="60">
        <f t="shared" si="5"/>
        <v>-346328186</v>
      </c>
      <c r="J99" s="60">
        <f t="shared" si="5"/>
        <v>-348914347</v>
      </c>
      <c r="K99" s="60">
        <f t="shared" si="5"/>
        <v>-349487822</v>
      </c>
      <c r="L99" s="60">
        <f t="shared" si="5"/>
        <v>-354035860</v>
      </c>
      <c r="M99" s="60">
        <f t="shared" si="5"/>
        <v>-356020140</v>
      </c>
      <c r="N99" s="60">
        <f t="shared" si="5"/>
        <v>-355256826</v>
      </c>
      <c r="O99" s="60"/>
    </row>
    <row r="100" spans="1:15">
      <c r="B100" s="8"/>
    </row>
    <row r="102" spans="1:15">
      <c r="A102" s="186" t="s">
        <v>535</v>
      </c>
      <c r="B102" s="70">
        <f>+B92+B99</f>
        <v>-0.11999994516372681</v>
      </c>
      <c r="C102" s="70">
        <f t="shared" ref="C102:N102" si="6">+C92+C99</f>
        <v>-0.48000001907348633</v>
      </c>
      <c r="D102" s="70">
        <f t="shared" si="6"/>
        <v>-4.0000021457672119E-2</v>
      </c>
      <c r="E102" s="70">
        <f t="shared" si="6"/>
        <v>-0.41999995708465576</v>
      </c>
      <c r="F102" s="70">
        <f t="shared" si="6"/>
        <v>0.69999998807907104</v>
      </c>
      <c r="G102" s="70">
        <f t="shared" si="6"/>
        <v>-0.5899999737739563</v>
      </c>
      <c r="H102" s="70">
        <f t="shared" si="6"/>
        <v>9.0000033378601074E-2</v>
      </c>
      <c r="I102" s="70">
        <f t="shared" si="6"/>
        <v>-1.1600000262260437</v>
      </c>
      <c r="J102" s="70">
        <f t="shared" si="6"/>
        <v>0.35000002384185791</v>
      </c>
      <c r="K102" s="70">
        <f t="shared" si="6"/>
        <v>-0.18999999761581421</v>
      </c>
      <c r="L102" s="70">
        <f t="shared" si="6"/>
        <v>2.0000040531158447E-2</v>
      </c>
      <c r="M102" s="70">
        <f t="shared" si="6"/>
        <v>-0.96000003814697266</v>
      </c>
      <c r="N102" s="70">
        <f t="shared" si="6"/>
        <v>-0.80000001192092896</v>
      </c>
    </row>
    <row r="103" spans="1:15">
      <c r="A103" s="186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</row>
    <row r="104" spans="1:15">
      <c r="A104" s="181" t="s">
        <v>272</v>
      </c>
      <c r="B104" s="198">
        <v>0</v>
      </c>
      <c r="C104" s="198">
        <f>-'Balance Sheet - Jan - Dec 2022'!B30</f>
        <v>0</v>
      </c>
      <c r="D104" s="198">
        <f>-'Balance Sheet - Jan - Dec 2022'!C30</f>
        <v>0</v>
      </c>
      <c r="E104" s="198">
        <f>-'Balance Sheet - Jan - Dec 2022'!D30</f>
        <v>105822</v>
      </c>
      <c r="F104" s="198">
        <f>-'Balance Sheet - Jan - Dec 2022'!E30</f>
        <v>76821</v>
      </c>
      <c r="G104" s="198">
        <f>-'Balance Sheet - Jan - Dec 2022'!F30</f>
        <v>81825</v>
      </c>
      <c r="H104" s="198">
        <f>-'Balance Sheet - Jan - Dec 2022'!G30</f>
        <v>86823</v>
      </c>
      <c r="I104" s="198">
        <f>-'Balance Sheet - Jan - Dec 2022'!H30</f>
        <v>91815</v>
      </c>
      <c r="J104" s="198">
        <f>-'Balance Sheet - Jan - Dec 2022'!I30</f>
        <v>97021</v>
      </c>
      <c r="K104" s="198">
        <f>-'Balance Sheet - Jan - Dec 2022'!J30</f>
        <v>103034</v>
      </c>
      <c r="L104" s="198">
        <f>-'Balance Sheet - Jan - Dec 2022'!K30</f>
        <v>108828</v>
      </c>
      <c r="M104" s="198">
        <f>-'Balance Sheet - Jan - Dec 2022'!L30</f>
        <v>118777</v>
      </c>
      <c r="N104" s="198">
        <f>-'Balance Sheet - Jan - Dec 2022'!M30</f>
        <v>126584</v>
      </c>
    </row>
    <row r="105" spans="1:15">
      <c r="A105" s="181" t="s">
        <v>273</v>
      </c>
      <c r="B105" s="189">
        <f>-'Balance Sheet - Jan - Dec 2021'!M30</f>
        <v>2236110</v>
      </c>
      <c r="C105" s="189">
        <f>-'Balance Sheet - Jan - Dec 2022'!B31</f>
        <v>2195122</v>
      </c>
      <c r="D105" s="189">
        <f>-'Balance Sheet - Jan - Dec 2022'!C31</f>
        <v>2194948</v>
      </c>
      <c r="E105" s="189">
        <f>-'Balance Sheet - Jan - Dec 2022'!D31</f>
        <v>2194992</v>
      </c>
      <c r="F105" s="189">
        <f>-'Balance Sheet - Jan - Dec 2022'!E31</f>
        <v>2194975</v>
      </c>
      <c r="G105" s="189">
        <f>-'Balance Sheet - Jan - Dec 2022'!F31</f>
        <v>2195032</v>
      </c>
      <c r="H105" s="189">
        <f>-'Balance Sheet - Jan - Dec 2022'!G31</f>
        <v>2195132</v>
      </c>
      <c r="I105" s="189">
        <f>-'Balance Sheet - Jan - Dec 2022'!H31</f>
        <v>2195215</v>
      </c>
      <c r="J105" s="189">
        <f>-'Balance Sheet - Jan - Dec 2022'!I31</f>
        <v>2195313</v>
      </c>
      <c r="K105" s="189">
        <f>-'Balance Sheet - Jan - Dec 2022'!J31</f>
        <v>2195426</v>
      </c>
      <c r="L105" s="189">
        <f>-'Balance Sheet - Jan - Dec 2022'!K31</f>
        <v>1921672</v>
      </c>
      <c r="M105" s="189">
        <f>-'Balance Sheet - Jan - Dec 2022'!L31</f>
        <v>1921773</v>
      </c>
      <c r="N105" s="189">
        <f>-'Balance Sheet - Jan - Dec 2022'!M31</f>
        <v>1921877</v>
      </c>
    </row>
    <row r="106" spans="1:15">
      <c r="A106" s="192" t="s">
        <v>274</v>
      </c>
      <c r="B106" s="195">
        <f>-'Balance Sheet - Jan - Dec 2021'!M31</f>
        <v>1252846</v>
      </c>
      <c r="C106" s="195">
        <f>-'Balance Sheet - Jan - Dec 2022'!B32</f>
        <v>1539634</v>
      </c>
      <c r="D106" s="195">
        <f>-'Balance Sheet - Jan - Dec 2022'!C32</f>
        <v>1859924</v>
      </c>
      <c r="E106" s="195">
        <f>-'Balance Sheet - Jan - Dec 2022'!D32</f>
        <v>2002691</v>
      </c>
      <c r="F106" s="195">
        <f>-'Balance Sheet - Jan - Dec 2022'!E32</f>
        <v>2250478</v>
      </c>
      <c r="G106" s="195">
        <f>-'Balance Sheet - Jan - Dec 2022'!F32</f>
        <v>2402594</v>
      </c>
      <c r="H106" s="195">
        <f>-'Balance Sheet - Jan - Dec 2022'!G32</f>
        <v>2648018</v>
      </c>
      <c r="I106" s="195">
        <f>-'Balance Sheet - Jan - Dec 2022'!H32</f>
        <v>2748662</v>
      </c>
      <c r="J106" s="195">
        <f>-'Balance Sheet - Jan - Dec 2022'!I32</f>
        <v>3006998</v>
      </c>
      <c r="K106" s="195">
        <f>-'Balance Sheet - Jan - Dec 2022'!J32</f>
        <v>3262107</v>
      </c>
      <c r="L106" s="195">
        <f>-'Balance Sheet - Jan - Dec 2022'!K32</f>
        <v>4581214</v>
      </c>
      <c r="M106" s="195">
        <f>-'Balance Sheet - Jan - Dec 2022'!L32</f>
        <v>4838993</v>
      </c>
      <c r="N106" s="195">
        <f>-'Balance Sheet - Jan - Dec 2022'!M32</f>
        <v>4220768</v>
      </c>
    </row>
    <row r="107" spans="1:15">
      <c r="B107" s="196">
        <f>SUM(B104:B106)</f>
        <v>3488956</v>
      </c>
      <c r="C107" s="196">
        <f t="shared" ref="C107:N107" si="7">SUM(C104:C106)</f>
        <v>3734756</v>
      </c>
      <c r="D107" s="196">
        <f t="shared" si="7"/>
        <v>4054872</v>
      </c>
      <c r="E107" s="196">
        <f t="shared" si="7"/>
        <v>4303505</v>
      </c>
      <c r="F107" s="196">
        <f t="shared" si="7"/>
        <v>4522274</v>
      </c>
      <c r="G107" s="196">
        <f t="shared" si="7"/>
        <v>4679451</v>
      </c>
      <c r="H107" s="196">
        <f t="shared" si="7"/>
        <v>4929973</v>
      </c>
      <c r="I107" s="196">
        <f t="shared" si="7"/>
        <v>5035692</v>
      </c>
      <c r="J107" s="196">
        <f t="shared" si="7"/>
        <v>5299332</v>
      </c>
      <c r="K107" s="196">
        <f t="shared" si="7"/>
        <v>5560567</v>
      </c>
      <c r="L107" s="196">
        <f t="shared" si="7"/>
        <v>6611714</v>
      </c>
      <c r="M107" s="196">
        <f t="shared" si="7"/>
        <v>6879543</v>
      </c>
      <c r="N107" s="196">
        <f t="shared" si="7"/>
        <v>6269229</v>
      </c>
      <c r="O107" s="196">
        <f>AVERAGE(B107:N107)</f>
        <v>5028451.076923077</v>
      </c>
    </row>
    <row r="108" spans="1:15">
      <c r="B108" s="196"/>
      <c r="C108" s="196"/>
      <c r="D108" s="196"/>
      <c r="E108" s="196"/>
      <c r="F108" s="196"/>
      <c r="G108" s="196"/>
      <c r="H108" s="196"/>
      <c r="I108" s="196"/>
      <c r="J108" s="196"/>
      <c r="K108" s="196"/>
      <c r="L108" s="196"/>
      <c r="M108" s="196"/>
      <c r="N108" s="196"/>
      <c r="O108" s="196"/>
    </row>
    <row r="109" spans="1:15">
      <c r="A109"/>
      <c r="B109" s="7"/>
      <c r="C109" s="221"/>
      <c r="D109" s="221"/>
      <c r="E109" s="221"/>
      <c r="F109" s="221"/>
      <c r="G109" s="221"/>
      <c r="H109" s="221"/>
      <c r="I109" s="221"/>
      <c r="J109" s="7"/>
      <c r="K109" s="7"/>
      <c r="L109" s="7"/>
      <c r="M109" s="7"/>
      <c r="N109" s="7"/>
    </row>
    <row r="110" spans="1:15">
      <c r="A110" s="107"/>
      <c r="B110" s="102"/>
      <c r="C110" s="124"/>
      <c r="D110" s="125"/>
      <c r="E110" s="326" t="s">
        <v>580</v>
      </c>
      <c r="F110" s="327"/>
      <c r="G110" s="327"/>
      <c r="H110" s="327"/>
      <c r="I110" s="328"/>
    </row>
    <row r="111" spans="1:15">
      <c r="A111" s="107"/>
      <c r="B111" s="102"/>
      <c r="C111" s="105"/>
      <c r="D111" s="105"/>
      <c r="E111" s="105"/>
      <c r="F111" s="105"/>
      <c r="G111" s="105"/>
      <c r="H111" s="105"/>
      <c r="I111" s="105"/>
    </row>
    <row r="112" spans="1:15" ht="25.5">
      <c r="A112" s="113" t="s">
        <v>579</v>
      </c>
      <c r="B112" s="78" t="s">
        <v>538</v>
      </c>
      <c r="C112" s="78" t="s">
        <v>581</v>
      </c>
      <c r="D112" s="78" t="s">
        <v>581</v>
      </c>
      <c r="E112" s="78" t="s">
        <v>536</v>
      </c>
      <c r="F112" s="78" t="s">
        <v>528</v>
      </c>
      <c r="G112" s="78" t="s">
        <v>525</v>
      </c>
      <c r="H112" s="78" t="s">
        <v>539</v>
      </c>
      <c r="I112" s="78" t="s">
        <v>540</v>
      </c>
      <c r="J112" s="186" t="s">
        <v>533</v>
      </c>
    </row>
    <row r="113" spans="1:12">
      <c r="A113" s="107"/>
      <c r="B113" s="77" t="s">
        <v>543</v>
      </c>
      <c r="C113" s="77" t="s">
        <v>544</v>
      </c>
      <c r="D113" s="77" t="s">
        <v>545</v>
      </c>
      <c r="E113" s="78" t="s">
        <v>546</v>
      </c>
      <c r="F113" s="78" t="s">
        <v>547</v>
      </c>
      <c r="G113" s="78" t="s">
        <v>548</v>
      </c>
      <c r="H113" s="78" t="s">
        <v>549</v>
      </c>
      <c r="I113" s="116" t="s">
        <v>550</v>
      </c>
    </row>
    <row r="114" spans="1:12" ht="25.5">
      <c r="A114" s="107"/>
      <c r="B114" s="118" t="s">
        <v>551</v>
      </c>
      <c r="C114" s="78"/>
      <c r="D114" s="77"/>
      <c r="E114" s="126" t="s">
        <v>582</v>
      </c>
      <c r="F114" s="126" t="s">
        <v>583</v>
      </c>
      <c r="G114" s="126" t="s">
        <v>584</v>
      </c>
      <c r="H114" s="126" t="s">
        <v>585</v>
      </c>
      <c r="I114" s="126" t="s">
        <v>586</v>
      </c>
    </row>
    <row r="115" spans="1:12">
      <c r="A115" s="107">
        <v>15</v>
      </c>
      <c r="B115" s="119" t="s">
        <v>559</v>
      </c>
      <c r="C115" s="78"/>
      <c r="D115" s="78"/>
      <c r="E115" s="83">
        <f>+B76-'Accum Pivot'!B138</f>
        <v>113164497.34124731</v>
      </c>
      <c r="F115" s="83">
        <f>+B90-'Accum Pivot'!B139</f>
        <v>46193935.165855415</v>
      </c>
      <c r="G115" s="83">
        <f>+B21-'Accum Pivot'!B136</f>
        <v>152179529.63425758</v>
      </c>
      <c r="H115" s="83">
        <f>+B57-'Accum Pivot'!B120-'Accum Pivot'!B137-'Accum Pivot'!B116</f>
        <v>19353545.738639716</v>
      </c>
      <c r="I115" s="83">
        <f>+B107</f>
        <v>3488956</v>
      </c>
      <c r="K115" s="211"/>
      <c r="L115" s="209"/>
    </row>
    <row r="116" spans="1:12">
      <c r="A116" s="107">
        <v>16</v>
      </c>
      <c r="B116" s="119" t="s">
        <v>560</v>
      </c>
      <c r="C116" s="78"/>
      <c r="D116" s="78"/>
      <c r="E116" s="83">
        <f>+C76-'Accum Pivot'!C138</f>
        <v>119833609.9660757</v>
      </c>
      <c r="F116" s="83">
        <f>+C90-'Accum Pivot'!C139</f>
        <v>45377602.673049301</v>
      </c>
      <c r="G116" s="83">
        <f>+C21-'Accum Pivot'!C136</f>
        <v>152883986.36312547</v>
      </c>
      <c r="H116" s="83">
        <f>+C57-'Accum Pivot'!C120-'Accum Pivot'!C137-'Accum Pivot'!C116</f>
        <v>20491694.517749518</v>
      </c>
      <c r="I116" s="83">
        <f>+C107</f>
        <v>3734756</v>
      </c>
      <c r="K116" s="208"/>
    </row>
    <row r="117" spans="1:12">
      <c r="A117" s="107">
        <v>17</v>
      </c>
      <c r="B117" s="102" t="s">
        <v>561</v>
      </c>
      <c r="C117" s="78"/>
      <c r="D117" s="78"/>
      <c r="E117" s="83">
        <f>+D76-'Accum Pivot'!D138</f>
        <v>121100618.25107239</v>
      </c>
      <c r="F117" s="83">
        <f>+D90-'Accum Pivot'!D139</f>
        <v>45691284.700087763</v>
      </c>
      <c r="G117" s="83">
        <f>+D21-'Accum Pivot'!D136</f>
        <v>153442176.44813156</v>
      </c>
      <c r="H117" s="83">
        <f>+D57-'Accum Pivot'!D120-'Accum Pivot'!D137-'Accum Pivot'!D116</f>
        <v>20772309.560708277</v>
      </c>
      <c r="I117" s="83">
        <f>+D107</f>
        <v>4054872</v>
      </c>
    </row>
    <row r="118" spans="1:12">
      <c r="A118" s="107">
        <v>18</v>
      </c>
      <c r="B118" s="102" t="s">
        <v>562</v>
      </c>
      <c r="C118" s="78"/>
      <c r="D118" s="78"/>
      <c r="E118" s="83">
        <f>+E76-'Accum Pivot'!E138</f>
        <v>116922031.47691913</v>
      </c>
      <c r="F118" s="83">
        <f>+E90-'Accum Pivot'!E139</f>
        <v>46031260.611641638</v>
      </c>
      <c r="G118" s="83">
        <f>+E21-'Accum Pivot'!E136</f>
        <v>153739329.30726722</v>
      </c>
      <c r="H118" s="83">
        <f>+E57-'Accum Pivot'!E120-'Accum Pivot'!E137-'Accum Pivot'!E116</f>
        <v>20600057.184172019</v>
      </c>
      <c r="I118" s="83">
        <f>+E107</f>
        <v>4303505</v>
      </c>
    </row>
    <row r="119" spans="1:12">
      <c r="A119" s="107">
        <v>19</v>
      </c>
      <c r="B119" s="102" t="s">
        <v>563</v>
      </c>
      <c r="C119" s="78"/>
      <c r="D119" s="78"/>
      <c r="E119" s="83">
        <f>+F76-'Accum Pivot'!F138</f>
        <v>117972381.86504272</v>
      </c>
      <c r="F119" s="83">
        <f>+F90-'Accum Pivot'!F139</f>
        <v>46381972.708754286</v>
      </c>
      <c r="G119" s="83">
        <f>+F21-'Accum Pivot'!F136</f>
        <v>154749249.58586621</v>
      </c>
      <c r="H119" s="83">
        <f>+F57-'Accum Pivot'!F120-'Accum Pivot'!F137-'Accum Pivot'!F116</f>
        <v>20698474.540336732</v>
      </c>
      <c r="I119" s="83">
        <f>+F107</f>
        <v>4522274</v>
      </c>
    </row>
    <row r="120" spans="1:12">
      <c r="A120" s="107">
        <v>20</v>
      </c>
      <c r="B120" s="102" t="s">
        <v>142</v>
      </c>
      <c r="C120" s="78"/>
      <c r="D120" s="78"/>
      <c r="E120" s="83">
        <f>+G76-'Accum Pivot'!G138</f>
        <v>119222731.96376497</v>
      </c>
      <c r="F120" s="83">
        <f>+G90-'Accum Pivot'!G139</f>
        <v>46753254.857643507</v>
      </c>
      <c r="G120" s="83">
        <f>+G21-'Accum Pivot'!G136</f>
        <v>155145452.52374724</v>
      </c>
      <c r="H120" s="83">
        <f>+G57-'Accum Pivot'!G120-'Accum Pivot'!G137-'Accum Pivot'!G116</f>
        <v>21104175.064844288</v>
      </c>
      <c r="I120" s="83">
        <f>+G107</f>
        <v>4679451</v>
      </c>
    </row>
    <row r="121" spans="1:12">
      <c r="A121" s="107">
        <v>21</v>
      </c>
      <c r="B121" s="102" t="s">
        <v>564</v>
      </c>
      <c r="C121" s="78"/>
      <c r="D121" s="78"/>
      <c r="E121" s="83">
        <f>+H76-'Accum Pivot'!H138</f>
        <v>120219997.4386083</v>
      </c>
      <c r="F121" s="83">
        <f>+H90-'Accum Pivot'!H139</f>
        <v>46607606.92755986</v>
      </c>
      <c r="G121" s="83">
        <f>+H21-'Accum Pivot'!H136</f>
        <v>154154432.60342833</v>
      </c>
      <c r="H121" s="83">
        <f>+H57-'Accum Pivot'!H120-'Accum Pivot'!H137-'Accum Pivot'!H116</f>
        <v>20187466.120403558</v>
      </c>
      <c r="I121" s="83">
        <f>+H107</f>
        <v>4929973</v>
      </c>
    </row>
    <row r="122" spans="1:12">
      <c r="A122" s="107">
        <v>22</v>
      </c>
      <c r="B122" s="102" t="s">
        <v>565</v>
      </c>
      <c r="C122" s="78"/>
      <c r="D122" s="78"/>
      <c r="E122" s="83">
        <f>+I76-'Accum Pivot'!I138</f>
        <v>121484196.48449238</v>
      </c>
      <c r="F122" s="83">
        <f>+I90-'Accum Pivot'!I139</f>
        <v>47491856.954499297</v>
      </c>
      <c r="G122" s="83">
        <f>+I21-'Accum Pivot'!I136</f>
        <v>155659554.22952315</v>
      </c>
      <c r="H122" s="83">
        <f>+I57-'Accum Pivot'!I120-'Accum Pivot'!I137-'Accum Pivot'!I116</f>
        <v>20142081.171485189</v>
      </c>
      <c r="I122" s="83">
        <f>+I107</f>
        <v>5035692</v>
      </c>
    </row>
    <row r="123" spans="1:12">
      <c r="A123" s="107">
        <v>23</v>
      </c>
      <c r="B123" s="102" t="s">
        <v>566</v>
      </c>
      <c r="C123" s="78"/>
      <c r="D123" s="78"/>
      <c r="E123" s="83">
        <f>+J76-'Accum Pivot'!J138</f>
        <v>122738677.23396184</v>
      </c>
      <c r="F123" s="83">
        <f>+J90-'Accum Pivot'!J139</f>
        <v>47863236.524956174</v>
      </c>
      <c r="G123" s="83">
        <f>+J21-'Accum Pivot'!J136</f>
        <v>156373418.75518018</v>
      </c>
      <c r="H123" s="83">
        <f>+J57-'Accum Pivot'!J120-'Accum Pivot'!J137-'Accum Pivot'!J116</f>
        <v>20382612.835901849</v>
      </c>
      <c r="I123" s="83">
        <f>+J107</f>
        <v>5299332</v>
      </c>
    </row>
    <row r="124" spans="1:12">
      <c r="A124" s="107">
        <v>24</v>
      </c>
      <c r="B124" s="102" t="s">
        <v>567</v>
      </c>
      <c r="C124" s="78"/>
      <c r="D124" s="78"/>
      <c r="E124" s="83">
        <f>+K76-'Accum Pivot'!K138</f>
        <v>123923501.02315767</v>
      </c>
      <c r="F124" s="83">
        <f>+K90-'Accum Pivot'!K139</f>
        <v>47719328.379934691</v>
      </c>
      <c r="G124" s="83">
        <f>+K21-'Accum Pivot'!K136</f>
        <v>155655667.58628842</v>
      </c>
      <c r="H124" s="83">
        <f>+K57-'Accum Pivot'!K120-'Accum Pivot'!K137-'Accum Pivot'!K116</f>
        <v>20689496.820619218</v>
      </c>
      <c r="I124" s="83">
        <f>+K107</f>
        <v>5560567</v>
      </c>
    </row>
    <row r="125" spans="1:12">
      <c r="A125" s="107">
        <v>25</v>
      </c>
      <c r="B125" s="102" t="s">
        <v>568</v>
      </c>
      <c r="C125" s="78"/>
      <c r="D125" s="78"/>
      <c r="E125" s="83">
        <f>+L76-'Accum Pivot'!L138</f>
        <v>125162757.51303728</v>
      </c>
      <c r="F125" s="83">
        <f>+L90-'Accum Pivot'!L139</f>
        <v>48604330.486245431</v>
      </c>
      <c r="G125" s="83">
        <f>+L21-'Accum Pivot'!L136</f>
        <v>157819757.75726971</v>
      </c>
      <c r="H125" s="83">
        <f>+L57-'Accum Pivot'!L120-'Accum Pivot'!L137-'Accum Pivot'!L116</f>
        <v>20949372.263447616</v>
      </c>
      <c r="I125" s="83">
        <f>+L107</f>
        <v>6611714</v>
      </c>
      <c r="K125" s="208"/>
    </row>
    <row r="126" spans="1:12">
      <c r="A126" s="107">
        <v>26</v>
      </c>
      <c r="B126" s="102" t="s">
        <v>569</v>
      </c>
      <c r="C126" s="78"/>
      <c r="D126" s="78"/>
      <c r="E126" s="83">
        <f>+M76-'Accum Pivot'!M138</f>
        <v>126414276.76090701</v>
      </c>
      <c r="F126" s="83">
        <f>+M90-'Accum Pivot'!M139</f>
        <v>48879817.220615178</v>
      </c>
      <c r="G126" s="83">
        <f>+M21-'Accum Pivot'!M136</f>
        <v>158147467.07745102</v>
      </c>
      <c r="H126" s="83">
        <f>+M57-'Accum Pivot'!M120-'Accum Pivot'!M137-'Accum Pivot'!M116</f>
        <v>20557755.981026825</v>
      </c>
      <c r="I126" s="83">
        <f>+M107</f>
        <v>6879543</v>
      </c>
      <c r="K126" s="208"/>
      <c r="L126" s="208"/>
    </row>
    <row r="127" spans="1:12">
      <c r="A127" s="107">
        <v>27</v>
      </c>
      <c r="B127" s="102" t="s">
        <v>570</v>
      </c>
      <c r="C127" s="78"/>
      <c r="D127" s="78"/>
      <c r="E127" s="83">
        <f>+N76-'Accum Pivot'!N138</f>
        <v>127508984.69864899</v>
      </c>
      <c r="F127" s="83">
        <f>+N90-'Accum Pivot'!N139</f>
        <v>48570417.830211848</v>
      </c>
      <c r="G127" s="83">
        <f>+N21-'Accum Pivot'!N136</f>
        <v>156335883.34363261</v>
      </c>
      <c r="H127" s="83">
        <f>+N57-'Accum Pivot'!N120-'Accum Pivot'!N137-'Accum Pivot'!N116</f>
        <v>22580427.327506546</v>
      </c>
      <c r="I127" s="83">
        <f>+N107</f>
        <v>6269229</v>
      </c>
      <c r="J127" s="199"/>
      <c r="K127" s="209"/>
      <c r="L127" s="197"/>
    </row>
    <row r="128" spans="1:12" ht="13.5" thickBot="1">
      <c r="A128" s="107">
        <v>28</v>
      </c>
      <c r="B128" s="120" t="s">
        <v>571</v>
      </c>
      <c r="C128" s="121"/>
      <c r="D128" s="121"/>
      <c r="E128" s="121">
        <f t="shared" ref="E128:I128" si="8">SUM(E115:E127)/13</f>
        <v>121205250.92437965</v>
      </c>
      <c r="F128" s="121">
        <f t="shared" si="8"/>
        <v>47089685.003158025</v>
      </c>
      <c r="G128" s="121">
        <f t="shared" si="8"/>
        <v>155098915.78578222</v>
      </c>
      <c r="H128" s="121">
        <f t="shared" si="8"/>
        <v>20654574.548218567</v>
      </c>
      <c r="I128" s="121">
        <f t="shared" si="8"/>
        <v>5028451.076923077</v>
      </c>
      <c r="L128" s="197"/>
    </row>
    <row r="129" spans="1:12" ht="14.25" thickTop="1" thickBot="1">
      <c r="A129" s="107"/>
      <c r="B129" s="102"/>
      <c r="C129" s="105"/>
      <c r="G129" s="105"/>
      <c r="H129" s="105"/>
      <c r="I129" s="105"/>
      <c r="K129" s="223"/>
      <c r="L129" s="197"/>
    </row>
    <row r="130" spans="1:12">
      <c r="A130" s="107"/>
      <c r="B130" s="102"/>
      <c r="C130" s="105"/>
      <c r="D130" s="288" t="s">
        <v>529</v>
      </c>
      <c r="E130" s="275">
        <v>44896</v>
      </c>
      <c r="F130" s="276">
        <v>45261</v>
      </c>
      <c r="G130" s="105"/>
      <c r="H130" s="210"/>
      <c r="I130" s="105"/>
      <c r="K130" s="223"/>
      <c r="L130" s="197"/>
    </row>
    <row r="131" spans="1:12">
      <c r="A131" s="107"/>
      <c r="B131" s="102"/>
      <c r="C131" s="105"/>
      <c r="D131" s="277" t="s">
        <v>858</v>
      </c>
      <c r="E131" s="248">
        <v>508032766</v>
      </c>
      <c r="F131" s="278">
        <v>467691578</v>
      </c>
      <c r="G131" s="105"/>
      <c r="H131" s="210"/>
      <c r="I131" s="105"/>
      <c r="K131" s="223"/>
      <c r="L131" s="197"/>
    </row>
    <row r="132" spans="1:12">
      <c r="A132" s="107"/>
      <c r="B132" s="102"/>
      <c r="C132" s="105"/>
      <c r="D132" s="279" t="s">
        <v>851</v>
      </c>
      <c r="E132" s="246">
        <f>-'A4-Rate Base'!F75</f>
        <v>-143792772</v>
      </c>
      <c r="F132" s="280">
        <f>-'A4-Rate Base'!F63</f>
        <v>-130720701</v>
      </c>
      <c r="G132" s="105"/>
      <c r="H132" s="210"/>
      <c r="I132" s="105"/>
      <c r="K132" s="223"/>
      <c r="L132" s="197"/>
    </row>
    <row r="133" spans="1:12">
      <c r="A133" s="107"/>
      <c r="B133" s="102"/>
      <c r="C133" s="105"/>
      <c r="D133" s="279" t="s">
        <v>852</v>
      </c>
      <c r="E133" s="246">
        <f>-'A4-Rate Base'!H75</f>
        <v>-475160</v>
      </c>
      <c r="F133" s="280">
        <f>-'A4-Rate Base'!H63</f>
        <v>-392627</v>
      </c>
      <c r="G133" s="105"/>
      <c r="H133" s="210"/>
      <c r="I133" s="105"/>
      <c r="K133" s="223"/>
      <c r="L133" s="197"/>
    </row>
    <row r="134" spans="1:12">
      <c r="A134" s="107"/>
      <c r="B134" s="102"/>
      <c r="C134" s="105"/>
      <c r="D134" s="289" t="s">
        <v>853</v>
      </c>
      <c r="E134" s="103">
        <f>-'A4-Rate Base'!D75</f>
        <v>-2499891</v>
      </c>
      <c r="F134" s="281">
        <f>-'A4-Rate Base'!D63</f>
        <v>-2197786</v>
      </c>
      <c r="G134" s="210"/>
      <c r="H134" s="105"/>
      <c r="I134" s="105"/>
      <c r="K134" s="223"/>
      <c r="L134" s="197"/>
    </row>
    <row r="135" spans="1:12">
      <c r="A135" s="107"/>
      <c r="B135" s="102"/>
      <c r="C135" s="105"/>
      <c r="D135" s="282" t="s">
        <v>856</v>
      </c>
      <c r="E135" s="101">
        <f>SUM(E131:E134)</f>
        <v>361264943</v>
      </c>
      <c r="F135" s="283">
        <f>SUM(F131:F134)</f>
        <v>334380464</v>
      </c>
      <c r="G135" s="105"/>
      <c r="H135" s="105"/>
      <c r="I135" s="105"/>
      <c r="K135" s="223"/>
      <c r="L135" s="197"/>
    </row>
    <row r="136" spans="1:12">
      <c r="A136" s="107"/>
      <c r="B136" s="102"/>
      <c r="C136" s="105"/>
      <c r="D136" s="290" t="s">
        <v>857</v>
      </c>
      <c r="E136" s="103">
        <f>SUM('A4-Rate Base'!E47:I47)</f>
        <v>361264942.19999999</v>
      </c>
      <c r="F136" s="281">
        <f>SUM('A4-Rate Base'!E35:I35)</f>
        <v>334380463.88</v>
      </c>
      <c r="G136" s="105"/>
      <c r="H136" s="105"/>
      <c r="I136" s="105"/>
      <c r="K136" s="223"/>
      <c r="L136" s="197"/>
    </row>
    <row r="137" spans="1:12" ht="13.5" thickBot="1">
      <c r="A137" s="107"/>
      <c r="B137" s="102"/>
      <c r="C137" s="105"/>
      <c r="D137" s="284" t="s">
        <v>535</v>
      </c>
      <c r="E137" s="285">
        <f>+E135-E136</f>
        <v>0.80000001192092896</v>
      </c>
      <c r="F137" s="286">
        <f>+F135-F136</f>
        <v>0.12000000476837158</v>
      </c>
      <c r="G137" s="105"/>
      <c r="H137" s="105"/>
      <c r="I137" s="105"/>
      <c r="K137" s="223"/>
      <c r="L137" s="197"/>
    </row>
    <row r="138" spans="1:12">
      <c r="A138" s="107"/>
      <c r="B138" s="102"/>
      <c r="C138" s="105"/>
      <c r="D138" s="105"/>
      <c r="E138" s="105"/>
      <c r="F138" s="105"/>
      <c r="G138" s="105"/>
      <c r="H138" s="105"/>
      <c r="I138" s="105"/>
      <c r="K138" s="223"/>
      <c r="L138" s="197"/>
    </row>
    <row r="139" spans="1:12">
      <c r="A139" s="107"/>
      <c r="B139" s="102"/>
      <c r="C139" s="105"/>
      <c r="D139" s="105"/>
      <c r="E139" s="255"/>
      <c r="F139" s="255"/>
      <c r="G139" s="255"/>
      <c r="H139" s="255"/>
      <c r="I139" s="255"/>
      <c r="J139" s="197"/>
      <c r="K139" s="223"/>
      <c r="L139" s="197"/>
    </row>
    <row r="140" spans="1:12">
      <c r="A140" s="107"/>
      <c r="B140" s="102"/>
      <c r="C140" s="105"/>
      <c r="D140" s="105"/>
      <c r="E140" s="255"/>
      <c r="F140" s="255"/>
      <c r="G140" s="255"/>
      <c r="H140" s="255"/>
      <c r="I140" s="255"/>
      <c r="J140" s="197"/>
      <c r="K140" s="223"/>
      <c r="L140" s="197"/>
    </row>
    <row r="141" spans="1:12">
      <c r="A141" s="107"/>
      <c r="B141" s="102"/>
      <c r="C141" s="105"/>
      <c r="D141" s="105"/>
      <c r="E141" s="210"/>
      <c r="F141" s="197"/>
      <c r="G141" s="210"/>
      <c r="H141" s="210"/>
      <c r="I141" s="210"/>
      <c r="J141" s="197"/>
      <c r="K141" s="223"/>
      <c r="L141" s="197"/>
    </row>
    <row r="142" spans="1:12">
      <c r="A142" s="107"/>
      <c r="B142" s="102"/>
      <c r="C142" s="105"/>
      <c r="D142" s="105"/>
      <c r="E142" s="210"/>
      <c r="F142" s="210"/>
      <c r="G142" s="210"/>
      <c r="H142" s="210"/>
      <c r="I142" s="210"/>
      <c r="J142" s="197"/>
      <c r="K142" s="223"/>
      <c r="L142" s="197"/>
    </row>
    <row r="143" spans="1:12">
      <c r="A143" s="107"/>
      <c r="B143" s="102"/>
      <c r="C143" s="105"/>
      <c r="D143" s="105"/>
      <c r="E143" s="209"/>
      <c r="F143" s="209"/>
      <c r="G143" s="209"/>
      <c r="H143" s="209"/>
      <c r="I143" s="210"/>
      <c r="J143" s="197"/>
      <c r="K143" s="223"/>
      <c r="L143" s="197"/>
    </row>
    <row r="144" spans="1:12">
      <c r="E144" s="223"/>
      <c r="F144" s="223"/>
      <c r="G144" s="223"/>
      <c r="H144" s="223"/>
      <c r="I144" s="209"/>
    </row>
  </sheetData>
  <mergeCells count="1">
    <mergeCell ref="E110:I110"/>
  </mergeCells>
  <pageMargins left="0.5" right="0.25" top="1" bottom="1" header="0.25" footer="0.5"/>
  <pageSetup scale="60" orientation="portrait" verticalDpi="0" r:id="rId1"/>
  <headerFooter alignWithMargins="0">
    <oddHeader>&amp;L&amp;"Times New Roman,Regular"&amp;12ARPA 5-8_Attach A.xlsx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A6B63-2DDF-46BC-8ACA-03CADA5B419D}">
  <sheetPr>
    <tabColor rgb="FFFFFF00"/>
  </sheetPr>
  <dimension ref="A1:P140"/>
  <sheetViews>
    <sheetView topLeftCell="A118" zoomScale="90" zoomScaleNormal="90" workbookViewId="0"/>
  </sheetViews>
  <sheetFormatPr defaultColWidth="8.85546875" defaultRowHeight="12.75"/>
  <cols>
    <col min="1" max="1" width="41.5703125" style="181" customWidth="1"/>
    <col min="2" max="2" width="18.5703125" style="181" bestFit="1" customWidth="1"/>
    <col min="3" max="13" width="13" style="181" bestFit="1" customWidth="1"/>
    <col min="14" max="14" width="13" style="181" customWidth="1"/>
    <col min="15" max="24" width="12" style="181" bestFit="1" customWidth="1"/>
    <col min="25" max="16384" width="8.85546875" style="181"/>
  </cols>
  <sheetData>
    <row r="1" spans="1:14">
      <c r="A1" s="4" t="s">
        <v>639</v>
      </c>
      <c r="B1" t="s">
        <v>517</v>
      </c>
    </row>
    <row r="3" spans="1:14">
      <c r="A3" s="4" t="s">
        <v>149</v>
      </c>
      <c r="B3" s="4" t="s">
        <v>134</v>
      </c>
      <c r="C3"/>
      <c r="D3"/>
      <c r="E3"/>
      <c r="F3"/>
      <c r="G3"/>
      <c r="H3"/>
      <c r="I3"/>
      <c r="J3"/>
      <c r="K3"/>
      <c r="L3"/>
      <c r="M3"/>
      <c r="N3"/>
    </row>
    <row r="4" spans="1:14">
      <c r="A4"/>
      <c r="B4" t="s">
        <v>135</v>
      </c>
      <c r="C4" t="s">
        <v>136</v>
      </c>
      <c r="D4"/>
      <c r="E4"/>
      <c r="F4"/>
      <c r="G4"/>
      <c r="H4"/>
      <c r="I4"/>
      <c r="J4"/>
      <c r="K4"/>
      <c r="L4"/>
      <c r="M4"/>
      <c r="N4"/>
    </row>
    <row r="5" spans="1:14">
      <c r="A5" s="4" t="s">
        <v>151</v>
      </c>
      <c r="B5" s="59" t="s">
        <v>137</v>
      </c>
      <c r="C5" s="59" t="s">
        <v>138</v>
      </c>
      <c r="D5" s="59" t="s">
        <v>139</v>
      </c>
      <c r="E5" s="59" t="s">
        <v>140</v>
      </c>
      <c r="F5" s="59" t="s">
        <v>141</v>
      </c>
      <c r="G5" s="59" t="s">
        <v>142</v>
      </c>
      <c r="H5" s="59" t="s">
        <v>143</v>
      </c>
      <c r="I5" s="59" t="s">
        <v>144</v>
      </c>
      <c r="J5" s="59" t="s">
        <v>145</v>
      </c>
      <c r="K5" s="59" t="s">
        <v>146</v>
      </c>
      <c r="L5" s="59" t="s">
        <v>147</v>
      </c>
      <c r="M5" s="59" t="s">
        <v>148</v>
      </c>
      <c r="N5" s="59" t="s">
        <v>137</v>
      </c>
    </row>
    <row r="6" spans="1:14">
      <c r="A6" s="6" t="s">
        <v>525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s="17" t="s">
        <v>192</v>
      </c>
      <c r="B7" s="7">
        <v>238149.72</v>
      </c>
      <c r="C7" s="7">
        <v>239847.5</v>
      </c>
      <c r="D7" s="7">
        <v>236452.09000000003</v>
      </c>
      <c r="E7" s="7">
        <v>238160.18</v>
      </c>
      <c r="F7" s="7">
        <v>239868.27</v>
      </c>
      <c r="G7" s="7">
        <v>241576.36000000002</v>
      </c>
      <c r="H7" s="7">
        <v>243284.44999999998</v>
      </c>
      <c r="I7" s="7">
        <v>244992.54</v>
      </c>
      <c r="J7" s="7">
        <v>246700.63</v>
      </c>
      <c r="K7" s="7">
        <v>248408.72000000003</v>
      </c>
      <c r="L7" s="7">
        <v>250116.81</v>
      </c>
      <c r="M7" s="7">
        <v>251824.90000000002</v>
      </c>
      <c r="N7" s="7">
        <v>253946.76</v>
      </c>
    </row>
    <row r="8" spans="1:14">
      <c r="A8" s="17" t="s">
        <v>194</v>
      </c>
      <c r="B8" s="7">
        <v>14667701.18</v>
      </c>
      <c r="C8" s="7">
        <v>14652237.370000001</v>
      </c>
      <c r="D8" s="7">
        <v>14716774.370000001</v>
      </c>
      <c r="E8" s="7">
        <v>14781385.119999999</v>
      </c>
      <c r="F8" s="7">
        <v>14848786.469999999</v>
      </c>
      <c r="G8" s="7">
        <v>14914092.139999999</v>
      </c>
      <c r="H8" s="7">
        <v>14983515.719999999</v>
      </c>
      <c r="I8" s="7">
        <v>15053688.92</v>
      </c>
      <c r="J8" s="7">
        <v>15078424.27</v>
      </c>
      <c r="K8" s="7">
        <v>15148575.959999999</v>
      </c>
      <c r="L8" s="7">
        <v>15218769.620000001</v>
      </c>
      <c r="M8" s="7">
        <v>15292298.440000001</v>
      </c>
      <c r="N8" s="7">
        <v>15295828.35</v>
      </c>
    </row>
    <row r="9" spans="1:14">
      <c r="A9" s="17" t="s">
        <v>195</v>
      </c>
      <c r="B9" s="7">
        <v>29028577.009999998</v>
      </c>
      <c r="C9" s="7">
        <v>28992661.800000001</v>
      </c>
      <c r="D9" s="7">
        <v>29121667.379999999</v>
      </c>
      <c r="E9" s="7">
        <v>29318843.189999998</v>
      </c>
      <c r="F9" s="7">
        <v>29494412.939999998</v>
      </c>
      <c r="G9" s="7">
        <v>29420083.969999999</v>
      </c>
      <c r="H9" s="7">
        <v>29403881.359999999</v>
      </c>
      <c r="I9" s="7">
        <v>29475825.600000001</v>
      </c>
      <c r="J9" s="7">
        <v>29700290.719999999</v>
      </c>
      <c r="K9" s="7">
        <v>29876073.720000003</v>
      </c>
      <c r="L9" s="7">
        <v>30093041.099999998</v>
      </c>
      <c r="M9" s="7">
        <v>30251385.75</v>
      </c>
      <c r="N9" s="7">
        <v>29410033.91</v>
      </c>
    </row>
    <row r="10" spans="1:14">
      <c r="A10" s="17" t="s">
        <v>196</v>
      </c>
      <c r="B10" s="7">
        <v>27723427.760000002</v>
      </c>
      <c r="C10" s="7">
        <v>27788517.129999999</v>
      </c>
      <c r="D10" s="7">
        <v>27874575.059999999</v>
      </c>
      <c r="E10" s="7">
        <v>27932955</v>
      </c>
      <c r="F10" s="7">
        <v>28022532.370000001</v>
      </c>
      <c r="G10" s="7">
        <v>28109314.770000003</v>
      </c>
      <c r="H10" s="7">
        <v>28193030.690000001</v>
      </c>
      <c r="I10" s="7">
        <v>28205167.030000001</v>
      </c>
      <c r="J10" s="7">
        <v>28304882.98</v>
      </c>
      <c r="K10" s="7">
        <v>28402973.82</v>
      </c>
      <c r="L10" s="7">
        <v>28495482.129999999</v>
      </c>
      <c r="M10" s="7">
        <v>28595997.950000003</v>
      </c>
      <c r="N10" s="7">
        <v>27874172.160000004</v>
      </c>
    </row>
    <row r="11" spans="1:14">
      <c r="A11" s="17" t="s">
        <v>197</v>
      </c>
      <c r="B11" s="7">
        <v>5740183.25</v>
      </c>
      <c r="C11" s="7">
        <v>5770534.2100000009</v>
      </c>
      <c r="D11" s="7">
        <v>5802755.8999999994</v>
      </c>
      <c r="E11" s="7">
        <v>5832989.7599999998</v>
      </c>
      <c r="F11" s="7">
        <v>5865218.1600000001</v>
      </c>
      <c r="G11" s="7">
        <v>5898272.0099999998</v>
      </c>
      <c r="H11" s="7">
        <v>5930063.6399999997</v>
      </c>
      <c r="I11" s="7">
        <v>5889937.1200000001</v>
      </c>
      <c r="J11" s="7">
        <v>5924109.8399999999</v>
      </c>
      <c r="K11" s="7">
        <v>5958084.0800000001</v>
      </c>
      <c r="L11" s="7">
        <v>5992202.1199999992</v>
      </c>
      <c r="M11" s="7">
        <v>6026972.3300000001</v>
      </c>
      <c r="N11" s="7">
        <v>5951991.4800000004</v>
      </c>
    </row>
    <row r="12" spans="1:14">
      <c r="A12" s="17" t="s">
        <v>198</v>
      </c>
      <c r="B12" s="7">
        <v>14123051.109999999</v>
      </c>
      <c r="C12" s="7">
        <v>14139951.619999999</v>
      </c>
      <c r="D12" s="7">
        <v>14181400.93</v>
      </c>
      <c r="E12" s="7">
        <v>14186955.66</v>
      </c>
      <c r="F12" s="7">
        <v>14221079.789999999</v>
      </c>
      <c r="G12" s="7">
        <v>14248173.469999999</v>
      </c>
      <c r="H12" s="7">
        <v>14276766.300000001</v>
      </c>
      <c r="I12" s="7">
        <v>14270747.880000001</v>
      </c>
      <c r="J12" s="7">
        <v>14313694.189999999</v>
      </c>
      <c r="K12" s="7">
        <v>14351060.48</v>
      </c>
      <c r="L12" s="7">
        <v>14388318.98</v>
      </c>
      <c r="M12" s="7">
        <v>14431474.77</v>
      </c>
      <c r="N12" s="7">
        <v>14401330.68</v>
      </c>
    </row>
    <row r="13" spans="1:14">
      <c r="A13" s="17" t="s">
        <v>199</v>
      </c>
      <c r="B13" s="7">
        <v>3163736.5300000003</v>
      </c>
      <c r="C13" s="7">
        <v>3176326.05</v>
      </c>
      <c r="D13" s="7">
        <v>3187871.7600000002</v>
      </c>
      <c r="E13" s="7">
        <v>3200045.22</v>
      </c>
      <c r="F13" s="7">
        <v>3206941</v>
      </c>
      <c r="G13" s="7">
        <v>3203790.98</v>
      </c>
      <c r="H13" s="7">
        <v>3202377.54</v>
      </c>
      <c r="I13" s="7">
        <v>3164465.46</v>
      </c>
      <c r="J13" s="7">
        <v>3179142.25</v>
      </c>
      <c r="K13" s="7">
        <v>3188482.36</v>
      </c>
      <c r="L13" s="7">
        <v>3202006.08</v>
      </c>
      <c r="M13" s="7">
        <v>3109234.53</v>
      </c>
      <c r="N13" s="7">
        <v>3038707.9</v>
      </c>
    </row>
    <row r="14" spans="1:14">
      <c r="A14" s="17" t="s">
        <v>200</v>
      </c>
      <c r="B14" s="7">
        <v>13720625.98</v>
      </c>
      <c r="C14" s="7">
        <v>13728747.810000001</v>
      </c>
      <c r="D14" s="7">
        <v>13742354.309999999</v>
      </c>
      <c r="E14" s="7">
        <v>13756687.860000001</v>
      </c>
      <c r="F14" s="7">
        <v>13794412.15</v>
      </c>
      <c r="G14" s="7">
        <v>13808382.33</v>
      </c>
      <c r="H14" s="7">
        <v>13827505.279999999</v>
      </c>
      <c r="I14" s="7">
        <v>13830646.899999999</v>
      </c>
      <c r="J14" s="7">
        <v>13846807.049999999</v>
      </c>
      <c r="K14" s="7">
        <v>13868829.59</v>
      </c>
      <c r="L14" s="7">
        <v>13890999.810000001</v>
      </c>
      <c r="M14" s="7">
        <v>13907378.66</v>
      </c>
      <c r="N14" s="7">
        <v>13925619.280000001</v>
      </c>
    </row>
    <row r="15" spans="1:14">
      <c r="A15" s="17" t="s">
        <v>201</v>
      </c>
      <c r="B15" s="7">
        <v>10774079.52</v>
      </c>
      <c r="C15" s="7">
        <v>10802020.029999999</v>
      </c>
      <c r="D15" s="7">
        <v>10829178.200000001</v>
      </c>
      <c r="E15" s="7">
        <v>10855086.300000001</v>
      </c>
      <c r="F15" s="7">
        <v>10883422.85</v>
      </c>
      <c r="G15" s="7">
        <v>10913083.829999998</v>
      </c>
      <c r="H15" s="7">
        <v>10941015.57</v>
      </c>
      <c r="I15" s="7">
        <v>10971016.600000001</v>
      </c>
      <c r="J15" s="7">
        <v>11001031.73</v>
      </c>
      <c r="K15" s="7">
        <v>11031313.010000002</v>
      </c>
      <c r="L15" s="7">
        <v>11061786.07</v>
      </c>
      <c r="M15" s="7">
        <v>11092368.430000002</v>
      </c>
      <c r="N15" s="7">
        <v>11123342</v>
      </c>
    </row>
    <row r="16" spans="1:14">
      <c r="A16" s="17" t="s">
        <v>202</v>
      </c>
      <c r="B16" s="7">
        <v>8755735.8300000001</v>
      </c>
      <c r="C16" s="7">
        <v>8786731.5500000007</v>
      </c>
      <c r="D16" s="7">
        <v>8817896.629999999</v>
      </c>
      <c r="E16" s="7">
        <v>8846132.9699999988</v>
      </c>
      <c r="F16" s="7">
        <v>8876906.2100000009</v>
      </c>
      <c r="G16" s="7">
        <v>8907181.620000001</v>
      </c>
      <c r="H16" s="7">
        <v>8932530.9500000011</v>
      </c>
      <c r="I16" s="7">
        <v>8964561.7199999988</v>
      </c>
      <c r="J16" s="7">
        <v>8997484.5899999999</v>
      </c>
      <c r="K16" s="7">
        <v>9030468.25</v>
      </c>
      <c r="L16" s="7">
        <v>9063476.1699999999</v>
      </c>
      <c r="M16" s="7">
        <v>9009505.0999999996</v>
      </c>
      <c r="N16" s="7">
        <v>9019284.8800000008</v>
      </c>
    </row>
    <row r="17" spans="1:14">
      <c r="A17" s="17" t="s">
        <v>203</v>
      </c>
      <c r="B17" s="7">
        <v>10164109.780000001</v>
      </c>
      <c r="C17" s="7">
        <v>10219810.68</v>
      </c>
      <c r="D17" s="7">
        <v>10275574.41</v>
      </c>
      <c r="E17" s="7">
        <v>10331021.09</v>
      </c>
      <c r="F17" s="7">
        <v>10386906.92</v>
      </c>
      <c r="G17" s="7">
        <v>10443671.870000001</v>
      </c>
      <c r="H17" s="7">
        <v>10484622.91</v>
      </c>
      <c r="I17" s="7">
        <v>10541960.390000001</v>
      </c>
      <c r="J17" s="7">
        <v>10599398.210000001</v>
      </c>
      <c r="K17" s="7">
        <v>10657196.460000001</v>
      </c>
      <c r="L17" s="7">
        <v>10715147.91</v>
      </c>
      <c r="M17" s="7">
        <v>10772080.620000001</v>
      </c>
      <c r="N17" s="7">
        <v>10825842</v>
      </c>
    </row>
    <row r="18" spans="1:14">
      <c r="A18" s="17" t="s">
        <v>204</v>
      </c>
      <c r="B18" s="7">
        <v>1305200.2100000002</v>
      </c>
      <c r="C18" s="7">
        <v>1321816.03</v>
      </c>
      <c r="D18" s="7">
        <v>1338649.51</v>
      </c>
      <c r="E18" s="7">
        <v>1355358.02</v>
      </c>
      <c r="F18" s="7">
        <v>1372141.34</v>
      </c>
      <c r="G18" s="7">
        <v>1388999.25</v>
      </c>
      <c r="H18" s="7">
        <v>1406005.96</v>
      </c>
      <c r="I18" s="7">
        <v>1423000.6600000001</v>
      </c>
      <c r="J18" s="7">
        <v>1440017.56</v>
      </c>
      <c r="K18" s="7">
        <v>1457037.5</v>
      </c>
      <c r="L18" s="7">
        <v>1474047.35</v>
      </c>
      <c r="M18" s="7">
        <v>1491120.57</v>
      </c>
      <c r="N18" s="7">
        <v>1508185.84</v>
      </c>
    </row>
    <row r="19" spans="1:14">
      <c r="A19" s="17" t="s">
        <v>205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>
      <c r="A20" s="17" t="s">
        <v>206</v>
      </c>
      <c r="B20" s="7">
        <v>6699008.71</v>
      </c>
      <c r="C20" s="7">
        <v>6418503.8200000003</v>
      </c>
      <c r="D20" s="7">
        <v>6452752.7199999997</v>
      </c>
      <c r="E20" s="7">
        <v>6552124.8999999994</v>
      </c>
      <c r="F20" s="7">
        <v>6651734.4199999999</v>
      </c>
      <c r="G20" s="7">
        <v>6751539.5600000005</v>
      </c>
      <c r="H20" s="7">
        <v>6851322.7400000002</v>
      </c>
      <c r="I20" s="7">
        <v>6695456.9900000002</v>
      </c>
      <c r="J20" s="7">
        <v>6792658.3300000001</v>
      </c>
      <c r="K20" s="7">
        <v>6890675.6200000001</v>
      </c>
      <c r="L20" s="7">
        <v>6990802.1699999999</v>
      </c>
      <c r="M20" s="7">
        <v>6916248.8100000005</v>
      </c>
      <c r="N20" s="7">
        <v>7025012.3900000006</v>
      </c>
    </row>
    <row r="21" spans="1:14">
      <c r="A21" s="17" t="s">
        <v>207</v>
      </c>
      <c r="B21" s="7">
        <v>1331735.97</v>
      </c>
      <c r="C21" s="7">
        <v>1333257.4800000002</v>
      </c>
      <c r="D21" s="7">
        <v>1334780.6599999999</v>
      </c>
      <c r="E21" s="7">
        <v>1336179.4600000002</v>
      </c>
      <c r="F21" s="7">
        <v>1334536.06</v>
      </c>
      <c r="G21" s="7">
        <v>1334038.1700000002</v>
      </c>
      <c r="H21" s="7">
        <v>1335948.76</v>
      </c>
      <c r="I21" s="7">
        <v>1335243.81</v>
      </c>
      <c r="J21" s="7">
        <v>1336782.4000000001</v>
      </c>
      <c r="K21" s="7">
        <v>1338339.2300000002</v>
      </c>
      <c r="L21" s="7">
        <v>1339906.1300000001</v>
      </c>
      <c r="M21" s="7">
        <v>1341479.27</v>
      </c>
      <c r="N21" s="7">
        <v>1322982.54</v>
      </c>
    </row>
    <row r="22" spans="1:14">
      <c r="A22" s="17" t="s">
        <v>208</v>
      </c>
      <c r="B22" s="7">
        <v>6076672.54</v>
      </c>
      <c r="C22" s="7">
        <v>6093719.9400000004</v>
      </c>
      <c r="D22" s="7">
        <v>6111082.4399999995</v>
      </c>
      <c r="E22" s="7">
        <v>6127570.5800000001</v>
      </c>
      <c r="F22" s="7">
        <v>6144221.3799999999</v>
      </c>
      <c r="G22" s="7">
        <v>6157649.75</v>
      </c>
      <c r="H22" s="7">
        <v>6171081.0599999996</v>
      </c>
      <c r="I22" s="7">
        <v>6188690.9299999997</v>
      </c>
      <c r="J22" s="7">
        <v>6206262.8499999996</v>
      </c>
      <c r="K22" s="7">
        <v>6223793.7800000003</v>
      </c>
      <c r="L22" s="7">
        <v>6240248.2399999993</v>
      </c>
      <c r="M22" s="7">
        <v>6255343.2599999998</v>
      </c>
      <c r="N22" s="7">
        <v>6224341.1900000004</v>
      </c>
    </row>
    <row r="23" spans="1:14">
      <c r="A23" s="6" t="s">
        <v>526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s="17" t="s">
        <v>152</v>
      </c>
      <c r="B24" s="7">
        <v>185731.42</v>
      </c>
      <c r="C24" s="7">
        <v>186420.93</v>
      </c>
      <c r="D24" s="7">
        <v>187110.41</v>
      </c>
      <c r="E24" s="7">
        <v>187799.92</v>
      </c>
      <c r="F24" s="7">
        <v>188489.4</v>
      </c>
      <c r="G24" s="7">
        <v>189178.91</v>
      </c>
      <c r="H24" s="7">
        <v>189868.39</v>
      </c>
      <c r="I24" s="7">
        <v>190557.9</v>
      </c>
      <c r="J24" s="7">
        <v>191247.38</v>
      </c>
      <c r="K24" s="7">
        <v>191936.86000000002</v>
      </c>
      <c r="L24" s="7">
        <v>192626.37</v>
      </c>
      <c r="M24" s="7">
        <v>193315.85</v>
      </c>
      <c r="N24" s="7">
        <v>194005.36000000002</v>
      </c>
    </row>
    <row r="25" spans="1:14">
      <c r="A25" s="17" t="s">
        <v>153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>
      <c r="A26" s="17" t="s">
        <v>154</v>
      </c>
      <c r="B26" s="7">
        <v>40041.770000000004</v>
      </c>
      <c r="C26" s="7">
        <v>40041.770000000004</v>
      </c>
      <c r="D26" s="7">
        <v>40041.770000000004</v>
      </c>
      <c r="E26" s="7">
        <v>40041.770000000004</v>
      </c>
      <c r="F26" s="7">
        <v>40041.770000000004</v>
      </c>
      <c r="G26" s="7">
        <v>40041.770000000004</v>
      </c>
      <c r="H26" s="7">
        <v>40041.770000000004</v>
      </c>
      <c r="I26" s="7">
        <v>40041.770000000004</v>
      </c>
      <c r="J26" s="7">
        <v>40041.770000000004</v>
      </c>
      <c r="K26" s="7">
        <v>40041.770000000004</v>
      </c>
      <c r="L26" s="7">
        <v>40041.770000000004</v>
      </c>
      <c r="M26" s="7">
        <v>40041.770000000004</v>
      </c>
      <c r="N26" s="7">
        <v>40041.770000000004</v>
      </c>
    </row>
    <row r="27" spans="1:14">
      <c r="A27" s="17" t="s">
        <v>155</v>
      </c>
      <c r="B27" s="7">
        <v>-0.01</v>
      </c>
      <c r="C27" s="7">
        <v>-0.01</v>
      </c>
      <c r="D27" s="7">
        <v>-0.01</v>
      </c>
      <c r="E27" s="7">
        <v>-0.01</v>
      </c>
      <c r="F27" s="7">
        <v>-0.01</v>
      </c>
      <c r="G27" s="7">
        <v>-0.01</v>
      </c>
      <c r="H27" s="7">
        <v>-0.01</v>
      </c>
      <c r="I27" s="7">
        <v>-0.01</v>
      </c>
      <c r="J27" s="7">
        <v>-0.01</v>
      </c>
      <c r="K27" s="7">
        <v>-0.01</v>
      </c>
      <c r="L27" s="7">
        <v>-0.01</v>
      </c>
      <c r="M27" s="7">
        <v>-0.01</v>
      </c>
      <c r="N27" s="7">
        <v>-23.990000000000002</v>
      </c>
    </row>
    <row r="28" spans="1:14">
      <c r="A28" s="17" t="s">
        <v>156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>
      <c r="A29" s="17" t="s">
        <v>157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>
      <c r="A30" s="17" t="s">
        <v>158</v>
      </c>
      <c r="B30">
        <v>-1526.96</v>
      </c>
      <c r="C30">
        <v>-1526.96</v>
      </c>
      <c r="D30">
        <v>-1526.96</v>
      </c>
      <c r="E30">
        <v>-1526.96</v>
      </c>
      <c r="F30">
        <v>-1526.96</v>
      </c>
      <c r="G30">
        <v>-1526.96</v>
      </c>
      <c r="H30">
        <v>-1526.96</v>
      </c>
      <c r="I30">
        <v>-1526.96</v>
      </c>
      <c r="J30">
        <v>-1526.96</v>
      </c>
      <c r="K30">
        <v>-1526.96</v>
      </c>
      <c r="L30">
        <v>-1526.96</v>
      </c>
      <c r="M30">
        <v>-1526.96</v>
      </c>
      <c r="N30">
        <v>-1526.96</v>
      </c>
    </row>
    <row r="31" spans="1:14">
      <c r="A31" s="17" t="s">
        <v>189</v>
      </c>
      <c r="B31">
        <v>-385.8</v>
      </c>
      <c r="C31">
        <v>-385.8</v>
      </c>
      <c r="D31">
        <v>-385.8</v>
      </c>
      <c r="E31">
        <v>-385.8</v>
      </c>
      <c r="F31">
        <v>-385.8</v>
      </c>
      <c r="G31">
        <v>-385.8</v>
      </c>
      <c r="H31">
        <v>-385.8</v>
      </c>
      <c r="I31">
        <v>-385.8</v>
      </c>
      <c r="J31">
        <v>-385.8</v>
      </c>
      <c r="K31">
        <v>-385.8</v>
      </c>
      <c r="L31">
        <v>-385.8</v>
      </c>
      <c r="M31">
        <v>-385.8</v>
      </c>
      <c r="N31">
        <v>-388.95</v>
      </c>
    </row>
    <row r="32" spans="1:14">
      <c r="A32" s="17" t="s">
        <v>190</v>
      </c>
      <c r="B32">
        <v>-4.18</v>
      </c>
      <c r="C32">
        <v>-4.18</v>
      </c>
      <c r="D32">
        <v>-4.18</v>
      </c>
      <c r="E32">
        <v>-4.18</v>
      </c>
      <c r="F32">
        <v>-4.18</v>
      </c>
      <c r="G32">
        <v>-4.18</v>
      </c>
      <c r="H32">
        <v>-4.18</v>
      </c>
      <c r="I32">
        <v>-4.18</v>
      </c>
      <c r="J32">
        <v>-4.18</v>
      </c>
      <c r="K32">
        <v>-4.18</v>
      </c>
      <c r="L32">
        <v>-4.18</v>
      </c>
      <c r="M32">
        <v>-4.18</v>
      </c>
      <c r="N32">
        <v>-4.18</v>
      </c>
    </row>
    <row r="33" spans="1:14">
      <c r="A33" s="17" t="s">
        <v>209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604.41999999999996</v>
      </c>
      <c r="J33" s="7">
        <v>-5241.08</v>
      </c>
      <c r="K33" s="7">
        <v>-5241.08</v>
      </c>
      <c r="L33" s="7">
        <v>-5241.08</v>
      </c>
      <c r="M33" s="7">
        <v>-5241.08</v>
      </c>
      <c r="N33" s="7">
        <v>-5241.08</v>
      </c>
    </row>
    <row r="34" spans="1:14">
      <c r="A34" s="17" t="s">
        <v>210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</row>
    <row r="35" spans="1:14">
      <c r="A35" s="17" t="s">
        <v>211</v>
      </c>
      <c r="B35" s="7">
        <v>5048243.26</v>
      </c>
      <c r="C35" s="7">
        <v>5068188.54</v>
      </c>
      <c r="D35" s="7">
        <v>5088133.82</v>
      </c>
      <c r="E35" s="7">
        <v>5108045.3299999991</v>
      </c>
      <c r="F35" s="7">
        <v>5127923.08</v>
      </c>
      <c r="G35" s="7">
        <v>5147800.8400000008</v>
      </c>
      <c r="H35" s="7">
        <v>5167807.4800000014</v>
      </c>
      <c r="I35" s="7">
        <v>4984612.3100000005</v>
      </c>
      <c r="J35" s="7">
        <v>5004994.99</v>
      </c>
      <c r="K35" s="7">
        <v>5025377.67</v>
      </c>
      <c r="L35" s="7">
        <v>5045794.9500000011</v>
      </c>
      <c r="M35" s="7">
        <v>5066246.8500000006</v>
      </c>
      <c r="N35" s="7">
        <v>5086569.29</v>
      </c>
    </row>
    <row r="36" spans="1:14">
      <c r="A36" s="17" t="s">
        <v>212</v>
      </c>
      <c r="B36" s="7">
        <v>397368.72000000003</v>
      </c>
      <c r="C36" s="7">
        <v>402124.92</v>
      </c>
      <c r="D36" s="7">
        <v>406881.12</v>
      </c>
      <c r="E36" s="7">
        <v>411637.32</v>
      </c>
      <c r="F36" s="7">
        <v>416393.52</v>
      </c>
      <c r="G36" s="7">
        <v>421149.72000000003</v>
      </c>
      <c r="H36" s="7">
        <v>425905.91999999998</v>
      </c>
      <c r="I36" s="7">
        <v>430662.12</v>
      </c>
      <c r="J36" s="7">
        <v>435418.32</v>
      </c>
      <c r="K36" s="7">
        <v>440174.52</v>
      </c>
      <c r="L36" s="7">
        <v>444930.72000000003</v>
      </c>
      <c r="M36" s="7">
        <v>449686.92</v>
      </c>
      <c r="N36" s="7">
        <v>454443.12</v>
      </c>
    </row>
    <row r="37" spans="1:14">
      <c r="A37" s="17" t="s">
        <v>213</v>
      </c>
      <c r="B37" s="7">
        <v>1090647.8800000001</v>
      </c>
      <c r="C37" s="7">
        <v>1100888.54</v>
      </c>
      <c r="D37" s="7">
        <v>1111129.2</v>
      </c>
      <c r="E37" s="7">
        <v>1121445.44</v>
      </c>
      <c r="F37" s="7">
        <v>1131837.27</v>
      </c>
      <c r="G37" s="7">
        <v>1141051.1200000001</v>
      </c>
      <c r="H37" s="7">
        <v>1151436.1300000001</v>
      </c>
      <c r="I37" s="7">
        <v>1160519.76</v>
      </c>
      <c r="J37" s="7">
        <v>1168302.03</v>
      </c>
      <c r="K37" s="7">
        <v>1176084.3</v>
      </c>
      <c r="L37" s="7">
        <v>1183866.57</v>
      </c>
      <c r="M37" s="7">
        <v>1191648.8400000001</v>
      </c>
      <c r="N37" s="7">
        <v>1199313.4500000002</v>
      </c>
    </row>
    <row r="38" spans="1:14">
      <c r="A38" s="17" t="s">
        <v>214</v>
      </c>
      <c r="B38" s="7">
        <v>110516.14</v>
      </c>
      <c r="C38" s="7">
        <v>139459.66999999998</v>
      </c>
      <c r="D38" s="7">
        <v>168916.19999999998</v>
      </c>
      <c r="E38" s="7">
        <v>198372.73</v>
      </c>
      <c r="F38" s="7">
        <v>199538.62</v>
      </c>
      <c r="G38" s="7">
        <v>226940.61000000002</v>
      </c>
      <c r="H38" s="7">
        <v>252821.52000000002</v>
      </c>
      <c r="I38" s="7">
        <v>278702.43</v>
      </c>
      <c r="J38" s="7">
        <v>304583.33999999997</v>
      </c>
      <c r="K38" s="7">
        <v>330464.25</v>
      </c>
      <c r="L38" s="7">
        <v>357022.66000000003</v>
      </c>
      <c r="M38" s="7">
        <v>384258.57</v>
      </c>
      <c r="N38" s="7">
        <v>416488.81</v>
      </c>
    </row>
    <row r="39" spans="1:14">
      <c r="A39" s="17" t="s">
        <v>215</v>
      </c>
      <c r="B39" s="7">
        <v>12735.400000000001</v>
      </c>
      <c r="C39" s="7">
        <v>12961.35</v>
      </c>
      <c r="D39" s="7">
        <v>13187.300000000001</v>
      </c>
      <c r="E39" s="7">
        <v>13413.25</v>
      </c>
      <c r="F39" s="7">
        <v>13639.2</v>
      </c>
      <c r="G39" s="7">
        <v>13865.150000000001</v>
      </c>
      <c r="H39" s="7">
        <v>14091.100000000002</v>
      </c>
      <c r="I39" s="7">
        <v>14317.050000000001</v>
      </c>
      <c r="J39" s="7">
        <v>14543</v>
      </c>
      <c r="K39" s="7">
        <v>12034</v>
      </c>
      <c r="L39" s="7">
        <v>12034</v>
      </c>
      <c r="M39" s="7">
        <v>12034</v>
      </c>
      <c r="N39" s="7">
        <v>12034</v>
      </c>
    </row>
    <row r="40" spans="1:14">
      <c r="A40" s="17" t="s">
        <v>216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>
      <c r="A41" s="17" t="s">
        <v>217</v>
      </c>
      <c r="B41" s="7">
        <v>-10275.93</v>
      </c>
      <c r="C41" s="7">
        <v>-10275.93</v>
      </c>
      <c r="D41" s="7">
        <v>-10275.93</v>
      </c>
      <c r="E41" s="7">
        <v>-10275.93</v>
      </c>
      <c r="F41" s="7">
        <v>-10275.93</v>
      </c>
      <c r="G41" s="7">
        <v>-10275.93</v>
      </c>
      <c r="H41" s="7">
        <v>-10275.93</v>
      </c>
      <c r="I41" s="7">
        <v>-10275.93</v>
      </c>
      <c r="J41" s="7">
        <v>-10275.93</v>
      </c>
      <c r="K41" s="7">
        <v>-10275.93</v>
      </c>
      <c r="L41" s="7">
        <v>-10275.93</v>
      </c>
      <c r="M41" s="7">
        <v>-10275.93</v>
      </c>
      <c r="N41" s="7">
        <v>-10275.93</v>
      </c>
    </row>
    <row r="42" spans="1:14">
      <c r="A42" s="17" t="s">
        <v>218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>
      <c r="A43" s="17" t="s">
        <v>219</v>
      </c>
      <c r="B43" s="7">
        <v>41602.21</v>
      </c>
      <c r="C43" s="7">
        <v>42813.38</v>
      </c>
      <c r="D43" s="7">
        <v>44024.55</v>
      </c>
      <c r="E43" s="7">
        <v>45235.72</v>
      </c>
      <c r="F43" s="7">
        <v>46446.89</v>
      </c>
      <c r="G43" s="7">
        <v>47658.06</v>
      </c>
      <c r="H43" s="7">
        <v>48869.229999999996</v>
      </c>
      <c r="I43" s="7">
        <v>51290.74</v>
      </c>
      <c r="J43" s="7">
        <v>53712.25</v>
      </c>
      <c r="K43" s="7">
        <v>52502.74</v>
      </c>
      <c r="L43" s="7">
        <v>53713.909999999996</v>
      </c>
      <c r="M43" s="7">
        <v>54925.08</v>
      </c>
      <c r="N43" s="7">
        <v>56136.25</v>
      </c>
    </row>
    <row r="44" spans="1:14">
      <c r="A44" s="17" t="s">
        <v>220</v>
      </c>
      <c r="B44" s="7">
        <v>55399.39</v>
      </c>
      <c r="C44" s="7">
        <v>55399.39</v>
      </c>
      <c r="D44" s="7">
        <v>55399.39</v>
      </c>
      <c r="E44" s="7">
        <v>55399.39</v>
      </c>
      <c r="F44" s="7">
        <v>55399.39</v>
      </c>
      <c r="G44" s="7">
        <v>55399.39</v>
      </c>
      <c r="H44" s="7">
        <v>55399.39</v>
      </c>
      <c r="I44" s="7">
        <v>55399.39</v>
      </c>
      <c r="J44" s="7">
        <v>55399.39</v>
      </c>
      <c r="K44" s="7">
        <v>55399.39</v>
      </c>
      <c r="L44" s="7">
        <v>55399.39</v>
      </c>
      <c r="M44" s="7">
        <v>55399.39</v>
      </c>
      <c r="N44" s="7">
        <v>55399.39</v>
      </c>
    </row>
    <row r="45" spans="1:14">
      <c r="A45" s="17" t="s">
        <v>221</v>
      </c>
      <c r="B45" s="7">
        <v>2421384.63</v>
      </c>
      <c r="C45" s="7">
        <v>2454853.9300000002</v>
      </c>
      <c r="D45" s="7">
        <v>2488346.17</v>
      </c>
      <c r="E45" s="7">
        <v>2520701.88</v>
      </c>
      <c r="F45" s="7">
        <v>2561806.6800000002</v>
      </c>
      <c r="G45" s="7">
        <v>2589647.64</v>
      </c>
      <c r="H45" s="7">
        <v>2622701.84</v>
      </c>
      <c r="I45" s="7">
        <v>2636811.91</v>
      </c>
      <c r="J45" s="7">
        <v>2669584.48</v>
      </c>
      <c r="K45" s="7">
        <v>2703380.42</v>
      </c>
      <c r="L45" s="7">
        <v>2737864.94</v>
      </c>
      <c r="M45" s="7">
        <v>2772856.94</v>
      </c>
      <c r="N45" s="7">
        <v>2807716.16</v>
      </c>
    </row>
    <row r="46" spans="1:14">
      <c r="A46" s="17" t="s">
        <v>222</v>
      </c>
      <c r="B46" s="7">
        <v>984431.5</v>
      </c>
      <c r="C46" s="7">
        <v>1002686.27</v>
      </c>
      <c r="D46" s="7">
        <v>1020965.87</v>
      </c>
      <c r="E46" s="7">
        <v>1039338.47</v>
      </c>
      <c r="F46" s="7">
        <v>1057825.8999999999</v>
      </c>
      <c r="G46" s="7">
        <v>1020841.0599999999</v>
      </c>
      <c r="H46" s="7">
        <v>1038632.7999999999</v>
      </c>
      <c r="I46" s="7">
        <v>1039315.4299999999</v>
      </c>
      <c r="J46" s="7">
        <v>1056961.33</v>
      </c>
      <c r="K46" s="7">
        <v>1074607.23</v>
      </c>
      <c r="L46" s="7">
        <v>1092253.19</v>
      </c>
      <c r="M46" s="7">
        <v>1109899.22</v>
      </c>
      <c r="N46" s="7">
        <v>1128140.97</v>
      </c>
    </row>
    <row r="47" spans="1:14">
      <c r="A47" s="17" t="s">
        <v>223</v>
      </c>
      <c r="B47" s="7">
        <v>5377038.3499999996</v>
      </c>
      <c r="C47" s="7">
        <v>5458005.1899999995</v>
      </c>
      <c r="D47" s="7">
        <v>5548598.3300000001</v>
      </c>
      <c r="E47" s="7">
        <v>5641436.9100000001</v>
      </c>
      <c r="F47" s="7">
        <v>5735428.6200000001</v>
      </c>
      <c r="G47" s="7">
        <v>5807360.79</v>
      </c>
      <c r="H47" s="7">
        <v>5902893.4299999997</v>
      </c>
      <c r="I47" s="7">
        <v>6004329.0099999998</v>
      </c>
      <c r="J47" s="7">
        <v>6111576.0699999994</v>
      </c>
      <c r="K47" s="7">
        <v>6219426.96</v>
      </c>
      <c r="L47" s="7">
        <v>6327536.7399999993</v>
      </c>
      <c r="M47" s="7">
        <v>6435708.2999999998</v>
      </c>
      <c r="N47" s="7">
        <v>6544256.2199999997</v>
      </c>
    </row>
    <row r="48" spans="1:14">
      <c r="A48" s="17" t="s">
        <v>224</v>
      </c>
      <c r="B48" s="7">
        <v>151079.56</v>
      </c>
      <c r="C48" s="7">
        <v>151704.57999999999</v>
      </c>
      <c r="D48" s="7">
        <v>152329.59999999998</v>
      </c>
      <c r="E48" s="7">
        <v>145779.99</v>
      </c>
      <c r="F48" s="7">
        <v>146403.16999999998</v>
      </c>
      <c r="G48" s="7">
        <v>147026.40999999997</v>
      </c>
      <c r="H48" s="7">
        <v>147649.97999999998</v>
      </c>
      <c r="I48" s="7">
        <v>148273.87</v>
      </c>
      <c r="J48" s="7">
        <v>148897.76</v>
      </c>
      <c r="K48" s="7">
        <v>149521.65</v>
      </c>
      <c r="L48" s="7">
        <v>150171.94999999998</v>
      </c>
      <c r="M48" s="7">
        <v>150852.19999999998</v>
      </c>
      <c r="N48" s="7">
        <v>151538.34</v>
      </c>
    </row>
    <row r="49" spans="1:14">
      <c r="A49" s="17" t="s">
        <v>225</v>
      </c>
      <c r="B49" s="7">
        <v>23195.93</v>
      </c>
      <c r="C49" s="7">
        <v>23322.32</v>
      </c>
      <c r="D49" s="7">
        <v>23448.71</v>
      </c>
      <c r="E49" s="7">
        <v>23575.100000000002</v>
      </c>
      <c r="F49" s="7">
        <v>23701.49</v>
      </c>
      <c r="G49" s="7">
        <v>23827.88</v>
      </c>
      <c r="H49" s="7">
        <v>23954.27</v>
      </c>
      <c r="I49" s="7">
        <v>24080.66</v>
      </c>
      <c r="J49" s="7">
        <v>24207.05</v>
      </c>
      <c r="K49" s="7">
        <v>24333.439999999999</v>
      </c>
      <c r="L49" s="7">
        <v>24459.83</v>
      </c>
      <c r="M49" s="7">
        <v>24586.22</v>
      </c>
      <c r="N49" s="7">
        <v>24712.61</v>
      </c>
    </row>
    <row r="50" spans="1:14">
      <c r="A50" s="17" t="s">
        <v>226</v>
      </c>
      <c r="B50" s="7">
        <v>375177.27</v>
      </c>
      <c r="C50" s="7">
        <v>380520.23000000004</v>
      </c>
      <c r="D50" s="7">
        <v>343282.15</v>
      </c>
      <c r="E50" s="7">
        <v>348580.7</v>
      </c>
      <c r="F50" s="7">
        <v>351400.47000000003</v>
      </c>
      <c r="G50" s="7">
        <v>356724.62</v>
      </c>
      <c r="H50" s="7">
        <v>362161.11</v>
      </c>
      <c r="I50" s="7">
        <v>311879.28000000003</v>
      </c>
      <c r="J50" s="7">
        <v>317396.24000000005</v>
      </c>
      <c r="K50" s="7">
        <v>322923.28000000003</v>
      </c>
      <c r="L50" s="7">
        <v>328464.16000000003</v>
      </c>
      <c r="M50" s="7">
        <v>334075.02</v>
      </c>
      <c r="N50" s="7">
        <v>337770.64</v>
      </c>
    </row>
    <row r="51" spans="1:14">
      <c r="A51" s="17" t="s">
        <v>227</v>
      </c>
      <c r="B51" s="7">
        <v>-9292.49</v>
      </c>
      <c r="C51" s="7">
        <v>-9267.68</v>
      </c>
      <c r="D51" s="7">
        <v>-9242.8700000000008</v>
      </c>
      <c r="E51" s="7">
        <v>-9218.06</v>
      </c>
      <c r="F51" s="7">
        <v>-9193.25</v>
      </c>
      <c r="G51" s="7">
        <v>-9168.44</v>
      </c>
      <c r="H51" s="7">
        <v>-9143.6299999999992</v>
      </c>
      <c r="I51" s="7">
        <v>-9118.82</v>
      </c>
      <c r="J51" s="7">
        <v>-9094.01</v>
      </c>
      <c r="K51" s="7">
        <v>-9069.2000000000007</v>
      </c>
      <c r="L51" s="7">
        <v>-9044.39</v>
      </c>
      <c r="M51" s="7">
        <v>-9019.58</v>
      </c>
      <c r="N51" s="7">
        <v>-8994.77</v>
      </c>
    </row>
    <row r="52" spans="1:14">
      <c r="A52" s="17" t="s">
        <v>228</v>
      </c>
      <c r="B52" s="7">
        <v>172270.66</v>
      </c>
      <c r="C52" s="7">
        <v>172703.27</v>
      </c>
      <c r="D52" s="7">
        <v>173136.71</v>
      </c>
      <c r="E52" s="7">
        <v>173569.87</v>
      </c>
      <c r="F52" s="7">
        <v>166582.39999999999</v>
      </c>
      <c r="G52" s="7">
        <v>167007.78</v>
      </c>
      <c r="H52" s="7">
        <v>167426.70000000001</v>
      </c>
      <c r="I52" s="7">
        <v>135255.09</v>
      </c>
      <c r="J52" s="7">
        <v>135633.36000000002</v>
      </c>
      <c r="K52" s="7">
        <v>131054.43</v>
      </c>
      <c r="L52" s="7">
        <v>131427.49</v>
      </c>
      <c r="M52" s="7">
        <v>131800.55000000002</v>
      </c>
      <c r="N52" s="7">
        <v>132173.61000000002</v>
      </c>
    </row>
    <row r="53" spans="1:14">
      <c r="A53" s="17" t="s">
        <v>229</v>
      </c>
      <c r="B53" s="7">
        <v>310960.57</v>
      </c>
      <c r="C53" s="7">
        <v>310960.57</v>
      </c>
      <c r="D53" s="7">
        <v>310960.57</v>
      </c>
      <c r="E53" s="7">
        <v>310960.57</v>
      </c>
      <c r="F53" s="7">
        <v>310960.57</v>
      </c>
      <c r="G53" s="7">
        <v>310960.57</v>
      </c>
      <c r="H53" s="7">
        <v>310960.57</v>
      </c>
      <c r="I53" s="7">
        <v>310960.57</v>
      </c>
      <c r="J53" s="7">
        <v>310960.57</v>
      </c>
      <c r="K53" s="7">
        <v>310960.57</v>
      </c>
      <c r="L53" s="7">
        <v>310960.57</v>
      </c>
      <c r="M53" s="7">
        <v>310960.57</v>
      </c>
      <c r="N53" s="7">
        <v>310960.57</v>
      </c>
    </row>
    <row r="54" spans="1:14">
      <c r="A54" s="17" t="s">
        <v>230</v>
      </c>
      <c r="B54" s="7">
        <v>903237.37000000011</v>
      </c>
      <c r="C54" s="7">
        <v>912434.2</v>
      </c>
      <c r="D54" s="7">
        <v>921631.03</v>
      </c>
      <c r="E54" s="7">
        <v>930948.39000000013</v>
      </c>
      <c r="F54" s="7">
        <v>940386.29000000015</v>
      </c>
      <c r="G54" s="7">
        <v>949824.19000000006</v>
      </c>
      <c r="H54" s="7">
        <v>959262.09000000008</v>
      </c>
      <c r="I54" s="7">
        <v>968699.99</v>
      </c>
      <c r="J54" s="7">
        <v>978148.66</v>
      </c>
      <c r="K54" s="7">
        <v>987608.12</v>
      </c>
      <c r="L54" s="7">
        <v>997067.58000000007</v>
      </c>
      <c r="M54" s="7">
        <v>1006527.04</v>
      </c>
      <c r="N54" s="7">
        <v>1163248.43</v>
      </c>
    </row>
    <row r="55" spans="1:14">
      <c r="A55" s="17" t="s">
        <v>231</v>
      </c>
      <c r="B55" s="7">
        <v>737383.79999999993</v>
      </c>
      <c r="C55" s="7">
        <v>746561.85</v>
      </c>
      <c r="D55" s="7">
        <v>755739.9</v>
      </c>
      <c r="E55" s="7">
        <v>464721.36</v>
      </c>
      <c r="F55" s="7">
        <v>471748.23</v>
      </c>
      <c r="G55" s="7">
        <v>478775.1</v>
      </c>
      <c r="H55" s="7">
        <v>485801.97</v>
      </c>
      <c r="I55" s="7">
        <v>492828.83999999997</v>
      </c>
      <c r="J55" s="7">
        <v>499855.70999999996</v>
      </c>
      <c r="K55" s="7">
        <v>506882.57999999996</v>
      </c>
      <c r="L55" s="7">
        <v>513909.44999999995</v>
      </c>
      <c r="M55" s="7">
        <v>389076.07000000007</v>
      </c>
      <c r="N55" s="7">
        <v>395394.94000000006</v>
      </c>
    </row>
    <row r="56" spans="1:14">
      <c r="A56" s="17" t="s">
        <v>232</v>
      </c>
      <c r="B56" s="7">
        <v>1040073.4600000001</v>
      </c>
      <c r="C56" s="7">
        <v>1048739.08</v>
      </c>
      <c r="D56" s="7">
        <v>1057404.7</v>
      </c>
      <c r="E56" s="7">
        <v>1066070.32</v>
      </c>
      <c r="F56" s="7">
        <v>1074735.94</v>
      </c>
      <c r="G56" s="7">
        <v>1083401.56</v>
      </c>
      <c r="H56" s="7">
        <v>1092067.1800000002</v>
      </c>
      <c r="I56" s="7">
        <v>1100732.8</v>
      </c>
      <c r="J56" s="7">
        <v>1109398.4200000002</v>
      </c>
      <c r="K56" s="7">
        <v>1120269.6600000001</v>
      </c>
      <c r="L56" s="7">
        <v>1128951.08</v>
      </c>
      <c r="M56" s="7">
        <v>1137632.5</v>
      </c>
      <c r="N56" s="7">
        <v>1146424.48</v>
      </c>
    </row>
    <row r="57" spans="1:14">
      <c r="A57" s="17" t="s">
        <v>233</v>
      </c>
      <c r="B57" s="7">
        <v>86491.32</v>
      </c>
      <c r="C57" s="7">
        <v>87122.5</v>
      </c>
      <c r="D57" s="7">
        <v>87753.680000000008</v>
      </c>
      <c r="E57" s="7">
        <v>88432.99</v>
      </c>
      <c r="F57" s="7">
        <v>89160.430000000008</v>
      </c>
      <c r="G57" s="7">
        <v>89887.87</v>
      </c>
      <c r="H57" s="7">
        <v>90615.31</v>
      </c>
      <c r="I57" s="7">
        <v>91342.75</v>
      </c>
      <c r="J57" s="7">
        <v>92070.19</v>
      </c>
      <c r="K57" s="7">
        <v>92797.63</v>
      </c>
      <c r="L57" s="7">
        <v>93525.07</v>
      </c>
      <c r="M57" s="7">
        <v>94252.51</v>
      </c>
      <c r="N57" s="7">
        <v>95075.34</v>
      </c>
    </row>
    <row r="58" spans="1:14">
      <c r="A58" s="6" t="s">
        <v>527</v>
      </c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1:14">
      <c r="A59" s="17" t="s">
        <v>159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>
      <c r="A60" s="17" t="s">
        <v>160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</row>
    <row r="61" spans="1:14">
      <c r="A61" s="17" t="s">
        <v>161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>
      <c r="A62" s="17" t="s">
        <v>162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>
      <c r="A63" s="17" t="s">
        <v>163</v>
      </c>
      <c r="B63" s="7">
        <v>-1.0000000009313226E-2</v>
      </c>
      <c r="C63" s="7">
        <v>-1.0000000009313226E-2</v>
      </c>
      <c r="D63" s="7">
        <v>-1.0000000009313226E-2</v>
      </c>
      <c r="E63" s="7">
        <v>-1.0000000009313226E-2</v>
      </c>
      <c r="F63" s="7">
        <v>-1.0000000009313226E-2</v>
      </c>
      <c r="G63" s="7">
        <v>-1.0000000009313226E-2</v>
      </c>
      <c r="H63" s="7">
        <v>-1.0000000009313226E-2</v>
      </c>
      <c r="I63" s="7">
        <v>-1.0000000009313226E-2</v>
      </c>
      <c r="J63" s="7">
        <v>-1.0000000009313226E-2</v>
      </c>
      <c r="K63" s="7">
        <v>-1.0000000009313226E-2</v>
      </c>
      <c r="L63" s="7">
        <v>-1.0000000009313226E-2</v>
      </c>
      <c r="M63" s="7">
        <v>-1.0000000009313226E-2</v>
      </c>
      <c r="N63" s="7">
        <v>-1.0000000009313226E-2</v>
      </c>
    </row>
    <row r="64" spans="1:14">
      <c r="A64" s="17" t="s">
        <v>164</v>
      </c>
      <c r="B64" s="7">
        <v>40269.410000000033</v>
      </c>
      <c r="C64" s="7">
        <v>40269.410000000033</v>
      </c>
      <c r="D64" s="7">
        <v>40269.410000000033</v>
      </c>
      <c r="E64" s="7">
        <v>40269.410000000033</v>
      </c>
      <c r="F64" s="7">
        <v>40269.410000000033</v>
      </c>
      <c r="G64" s="7">
        <v>40269.410000000033</v>
      </c>
      <c r="H64" s="7">
        <v>40269.410000000033</v>
      </c>
      <c r="I64" s="7">
        <v>40269.410000000033</v>
      </c>
      <c r="J64" s="7">
        <v>40269.410000000033</v>
      </c>
      <c r="K64" s="7">
        <v>40269.410000000033</v>
      </c>
      <c r="L64" s="7">
        <v>40269.410000000033</v>
      </c>
      <c r="M64" s="7">
        <v>40269.410000000033</v>
      </c>
      <c r="N64" s="7">
        <v>40269.410000000033</v>
      </c>
    </row>
    <row r="65" spans="1:14">
      <c r="A65" s="17" t="s">
        <v>165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</row>
    <row r="66" spans="1:14">
      <c r="A66" s="17" t="s">
        <v>166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</row>
    <row r="67" spans="1:14">
      <c r="A67" s="17" t="s">
        <v>167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>
      <c r="A68" s="17" t="s">
        <v>168</v>
      </c>
      <c r="B68" s="7">
        <v>2416866.06</v>
      </c>
      <c r="C68" s="7">
        <v>2434914.73</v>
      </c>
      <c r="D68" s="7">
        <v>2452963.4000000004</v>
      </c>
      <c r="E68" s="7">
        <v>2471012.0700000003</v>
      </c>
      <c r="F68" s="7">
        <v>2489060.7400000002</v>
      </c>
      <c r="G68" s="7">
        <v>2507109.41</v>
      </c>
      <c r="H68" s="7">
        <v>2525158.08</v>
      </c>
      <c r="I68" s="7">
        <v>2543206.75</v>
      </c>
      <c r="J68" s="7">
        <v>2561255.42</v>
      </c>
      <c r="K68" s="7">
        <v>2579304.09</v>
      </c>
      <c r="L68" s="7">
        <v>2597352.7599999998</v>
      </c>
      <c r="M68" s="7">
        <v>2615401.4299999997</v>
      </c>
      <c r="N68" s="7">
        <v>2633450.0999999996</v>
      </c>
    </row>
    <row r="69" spans="1:14">
      <c r="A69" s="17" t="s">
        <v>169</v>
      </c>
      <c r="B69" s="7">
        <v>4690603.99</v>
      </c>
      <c r="C69" s="7">
        <v>4733780.54</v>
      </c>
      <c r="D69" s="7">
        <v>4776957.09</v>
      </c>
      <c r="E69" s="7">
        <v>4820109.33</v>
      </c>
      <c r="F69" s="7">
        <v>4863237.2799999993</v>
      </c>
      <c r="G69" s="7">
        <v>4906365.2300000004</v>
      </c>
      <c r="H69" s="7">
        <v>4949191.84</v>
      </c>
      <c r="I69" s="7">
        <v>4991717.120000001</v>
      </c>
      <c r="J69" s="7">
        <v>5034242.4000000004</v>
      </c>
      <c r="K69" s="7">
        <v>5076767.6800000006</v>
      </c>
      <c r="L69" s="7">
        <v>5119321.8</v>
      </c>
      <c r="M69" s="7">
        <v>5161904.76</v>
      </c>
      <c r="N69" s="7">
        <v>5204487.7200000007</v>
      </c>
    </row>
    <row r="70" spans="1:14">
      <c r="A70" s="17" t="s">
        <v>170</v>
      </c>
      <c r="B70" s="7">
        <v>3083632.66</v>
      </c>
      <c r="C70" s="7">
        <v>3109887.46</v>
      </c>
      <c r="D70" s="7">
        <v>3136142.2600000007</v>
      </c>
      <c r="E70" s="7">
        <v>3162397.06</v>
      </c>
      <c r="F70" s="7">
        <v>3188651.8599999994</v>
      </c>
      <c r="G70" s="7">
        <v>3214906.6599999997</v>
      </c>
      <c r="H70" s="7">
        <v>3241161.4599999995</v>
      </c>
      <c r="I70" s="7">
        <v>3267416.26</v>
      </c>
      <c r="J70" s="7">
        <v>3293671.0599999996</v>
      </c>
      <c r="K70" s="7">
        <v>3319925.8600000008</v>
      </c>
      <c r="L70" s="7">
        <v>3346180.6600000006</v>
      </c>
      <c r="M70" s="7">
        <v>3372435.4599999995</v>
      </c>
      <c r="N70" s="7">
        <v>3398690.2599999993</v>
      </c>
    </row>
    <row r="71" spans="1:14">
      <c r="A71" s="17" t="s">
        <v>171</v>
      </c>
      <c r="B71" s="7">
        <v>1380063.55</v>
      </c>
      <c r="C71" s="7">
        <v>1389307.1</v>
      </c>
      <c r="D71" s="7">
        <v>1398550.6500000001</v>
      </c>
      <c r="E71" s="7">
        <v>1407794.2</v>
      </c>
      <c r="F71" s="7">
        <v>1417037.75</v>
      </c>
      <c r="G71" s="7">
        <v>1426281.3</v>
      </c>
      <c r="H71" s="7">
        <v>1435524.8499999999</v>
      </c>
      <c r="I71" s="7">
        <v>1444768.4000000001</v>
      </c>
      <c r="J71" s="7">
        <v>1454011.95</v>
      </c>
      <c r="K71" s="7">
        <v>1463255.5</v>
      </c>
      <c r="L71" s="7">
        <v>1472499.05</v>
      </c>
      <c r="M71" s="7">
        <v>1481742.6</v>
      </c>
      <c r="N71" s="7">
        <v>1490986.15</v>
      </c>
    </row>
    <row r="72" spans="1:14">
      <c r="A72" s="17" t="s">
        <v>172</v>
      </c>
      <c r="B72" s="7">
        <v>101109668.80999999</v>
      </c>
      <c r="C72" s="7">
        <v>101855227.33</v>
      </c>
      <c r="D72" s="7">
        <v>102968487.06</v>
      </c>
      <c r="E72" s="7">
        <v>104061509.83</v>
      </c>
      <c r="F72" s="7">
        <v>99518866.680000007</v>
      </c>
      <c r="G72" s="7">
        <v>100615707.45999998</v>
      </c>
      <c r="H72" s="7">
        <v>101472493.68999998</v>
      </c>
      <c r="I72" s="7">
        <v>102571043.48999999</v>
      </c>
      <c r="J72" s="7">
        <v>103669593.28999999</v>
      </c>
      <c r="K72" s="7">
        <v>104736328.61000001</v>
      </c>
      <c r="L72" s="7">
        <v>105816659.97</v>
      </c>
      <c r="M72" s="7">
        <v>106915151.82999998</v>
      </c>
      <c r="N72" s="7">
        <v>108009629.38</v>
      </c>
    </row>
    <row r="73" spans="1:14">
      <c r="A73" s="17" t="s">
        <v>173</v>
      </c>
      <c r="B73" s="7">
        <v>6212655.7599999988</v>
      </c>
      <c r="C73" s="7">
        <v>6266328.7299999995</v>
      </c>
      <c r="D73" s="7">
        <v>6319750.2800000021</v>
      </c>
      <c r="E73" s="7">
        <v>6373171.8299999991</v>
      </c>
      <c r="F73" s="7">
        <v>6426593.3799999999</v>
      </c>
      <c r="G73" s="7">
        <v>6480014.9300000006</v>
      </c>
      <c r="H73" s="7">
        <v>6533436.4800000004</v>
      </c>
      <c r="I73" s="7">
        <v>6587032.6900000013</v>
      </c>
      <c r="J73" s="7">
        <v>6640803.5</v>
      </c>
      <c r="K73" s="7">
        <v>6663645.3499999996</v>
      </c>
      <c r="L73" s="7">
        <v>6717358.2200000007</v>
      </c>
      <c r="M73" s="7">
        <v>6771071.0900000008</v>
      </c>
      <c r="N73" s="7">
        <v>6824783.9600000009</v>
      </c>
    </row>
    <row r="74" spans="1:14">
      <c r="A74" s="17" t="s">
        <v>174</v>
      </c>
      <c r="B74" s="7">
        <v>451609.05</v>
      </c>
      <c r="C74" s="7">
        <v>459056.63999999996</v>
      </c>
      <c r="D74" s="7">
        <v>466504.23000000004</v>
      </c>
      <c r="E74" s="7">
        <v>473951.82000000007</v>
      </c>
      <c r="F74" s="7">
        <v>481399.41000000003</v>
      </c>
      <c r="G74" s="7">
        <v>488847.00000000006</v>
      </c>
      <c r="H74" s="7">
        <v>496294.59</v>
      </c>
      <c r="I74" s="7">
        <v>503771.02999999997</v>
      </c>
      <c r="J74" s="7">
        <v>511276.31</v>
      </c>
      <c r="K74" s="7">
        <v>518781.59</v>
      </c>
      <c r="L74" s="7">
        <v>526258.03</v>
      </c>
      <c r="M74" s="7">
        <v>533705.62</v>
      </c>
      <c r="N74" s="7">
        <v>541153.21</v>
      </c>
    </row>
    <row r="75" spans="1:14">
      <c r="A75" s="6" t="s">
        <v>528</v>
      </c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1:14">
      <c r="A76" s="17" t="s">
        <v>175</v>
      </c>
      <c r="B76" s="7">
        <v>-10341.969999999999</v>
      </c>
      <c r="C76" s="7">
        <v>-10341.969999999999</v>
      </c>
      <c r="D76" s="7">
        <v>-10341.969999999999</v>
      </c>
      <c r="E76" s="7">
        <v>-10341.969999999999</v>
      </c>
      <c r="F76" s="7">
        <v>-10341.969999999999</v>
      </c>
      <c r="G76" s="7">
        <v>-10341.969999999999</v>
      </c>
      <c r="H76" s="7">
        <v>-10341.969999999999</v>
      </c>
      <c r="I76" s="7">
        <v>-10341.969999999999</v>
      </c>
      <c r="J76" s="7">
        <v>-10341.969999999999</v>
      </c>
      <c r="K76" s="7">
        <v>-10341.969999999999</v>
      </c>
      <c r="L76" s="7">
        <v>-10341.969999999999</v>
      </c>
      <c r="M76" s="7">
        <v>-10341.969999999999</v>
      </c>
      <c r="N76" s="7">
        <v>-10314.83</v>
      </c>
    </row>
    <row r="77" spans="1:14">
      <c r="A77" s="17" t="s">
        <v>176</v>
      </c>
      <c r="B77" s="7">
        <v>-17462.240000000002</v>
      </c>
      <c r="C77" s="7">
        <v>-17462.240000000002</v>
      </c>
      <c r="D77" s="7">
        <v>-17462.240000000002</v>
      </c>
      <c r="E77" s="7">
        <v>-17462.240000000002</v>
      </c>
      <c r="F77" s="7">
        <v>-17462.240000000002</v>
      </c>
      <c r="G77" s="7">
        <v>-17462.240000000002</v>
      </c>
      <c r="H77" s="7">
        <v>-17462.240000000002</v>
      </c>
      <c r="I77" s="7">
        <v>-17462.240000000002</v>
      </c>
      <c r="J77" s="7">
        <v>-17462.240000000002</v>
      </c>
      <c r="K77" s="7">
        <v>-17462.240000000002</v>
      </c>
      <c r="L77" s="7">
        <v>-17462.240000000002</v>
      </c>
      <c r="M77" s="7">
        <v>-17462.240000000002</v>
      </c>
      <c r="N77" s="7">
        <v>-17462.240000000002</v>
      </c>
    </row>
    <row r="78" spans="1:14">
      <c r="A78" s="17" t="s">
        <v>178</v>
      </c>
      <c r="B78" s="7">
        <v>2013981.82</v>
      </c>
      <c r="C78" s="7">
        <v>2026777.5499999998</v>
      </c>
      <c r="D78" s="7">
        <v>2039573.28</v>
      </c>
      <c r="E78" s="7">
        <v>2052369.01</v>
      </c>
      <c r="F78" s="7">
        <v>2065164.74</v>
      </c>
      <c r="G78" s="7">
        <v>2077960.4700000002</v>
      </c>
      <c r="H78" s="7">
        <v>2090756.2</v>
      </c>
      <c r="I78" s="7">
        <v>2103551.9300000002</v>
      </c>
      <c r="J78" s="7">
        <v>2116347.66</v>
      </c>
      <c r="K78" s="7">
        <v>2129143.39</v>
      </c>
      <c r="L78" s="7">
        <v>2141939.12</v>
      </c>
      <c r="M78" s="7">
        <v>2154748.38</v>
      </c>
      <c r="N78" s="7">
        <v>2167783.5599999996</v>
      </c>
    </row>
    <row r="79" spans="1:14">
      <c r="A79" s="17" t="s">
        <v>180</v>
      </c>
      <c r="B79" s="7">
        <v>-866030.83000000007</v>
      </c>
      <c r="C79" s="7">
        <v>-863621.42</v>
      </c>
      <c r="D79" s="7">
        <v>-861212.01</v>
      </c>
      <c r="E79" s="7">
        <v>-858802.6</v>
      </c>
      <c r="F79" s="7">
        <v>-856393.19000000006</v>
      </c>
      <c r="G79" s="7">
        <v>-853983.78</v>
      </c>
      <c r="H79" s="7">
        <v>-851574.37</v>
      </c>
      <c r="I79" s="7">
        <v>-849164.96</v>
      </c>
      <c r="J79" s="7">
        <v>-846755.55</v>
      </c>
      <c r="K79" s="7">
        <v>-844346.14</v>
      </c>
      <c r="L79" s="7">
        <v>-841936.73</v>
      </c>
      <c r="M79" s="7">
        <v>-839527.32000000007</v>
      </c>
      <c r="N79" s="7">
        <v>-837117.91</v>
      </c>
    </row>
    <row r="80" spans="1:14">
      <c r="A80" s="17" t="s">
        <v>181</v>
      </c>
      <c r="B80" s="7">
        <v>31069640.719999999</v>
      </c>
      <c r="C80" s="7">
        <v>30785147.82</v>
      </c>
      <c r="D80" s="7">
        <v>30917905.68</v>
      </c>
      <c r="E80" s="7">
        <v>31050672.210000001</v>
      </c>
      <c r="F80" s="7">
        <v>31185222.32</v>
      </c>
      <c r="G80" s="7">
        <v>31325840.530000001</v>
      </c>
      <c r="H80" s="7">
        <v>31462584.32</v>
      </c>
      <c r="I80" s="7">
        <v>31599417.259999998</v>
      </c>
      <c r="J80" s="7">
        <v>31736269.91</v>
      </c>
      <c r="K80" s="7">
        <v>31873085.719999999</v>
      </c>
      <c r="L80" s="7">
        <v>32009905.810000002</v>
      </c>
      <c r="M80" s="7">
        <v>32052104.030000001</v>
      </c>
      <c r="N80" s="7">
        <v>32192050.959999997</v>
      </c>
    </row>
    <row r="81" spans="1:14">
      <c r="A81" s="17" t="s">
        <v>183</v>
      </c>
      <c r="B81" s="7">
        <v>2171779.9</v>
      </c>
      <c r="C81" s="7">
        <v>2175533.38</v>
      </c>
      <c r="D81" s="7">
        <v>2179286.86</v>
      </c>
      <c r="E81" s="7">
        <v>2183040.34</v>
      </c>
      <c r="F81" s="7">
        <v>2186793.8199999998</v>
      </c>
      <c r="G81" s="7">
        <v>2190547.2999999998</v>
      </c>
      <c r="H81" s="7">
        <v>2194300.7799999998</v>
      </c>
      <c r="I81" s="7">
        <v>2198054.2599999998</v>
      </c>
      <c r="J81" s="7">
        <v>2201807.7400000002</v>
      </c>
      <c r="K81" s="7">
        <v>2205561.2200000002</v>
      </c>
      <c r="L81" s="7">
        <v>2209314.7000000002</v>
      </c>
      <c r="M81" s="7">
        <v>2213068.1800000002</v>
      </c>
      <c r="N81" s="7">
        <v>2216821.66</v>
      </c>
    </row>
    <row r="82" spans="1:14">
      <c r="A82" s="17" t="s">
        <v>184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>
      <c r="A83" s="17" t="s">
        <v>185</v>
      </c>
      <c r="B83" s="7">
        <v>5504314.8300000001</v>
      </c>
      <c r="C83" s="7">
        <v>4472577.3000000007</v>
      </c>
      <c r="D83" s="7">
        <v>4542932.3800000008</v>
      </c>
      <c r="E83" s="7">
        <v>4639854.9400000004</v>
      </c>
      <c r="F83" s="7">
        <v>4744614.71</v>
      </c>
      <c r="G83" s="7">
        <v>4857383.6400000006</v>
      </c>
      <c r="H83" s="7">
        <v>4971174.1400000006</v>
      </c>
      <c r="I83" s="7">
        <v>5085800.88</v>
      </c>
      <c r="J83" s="7">
        <v>5200502.49</v>
      </c>
      <c r="K83" s="7">
        <v>5315191.17</v>
      </c>
      <c r="L83" s="7">
        <v>5429858.6699999999</v>
      </c>
      <c r="M83" s="7">
        <v>5544191.2100000009</v>
      </c>
      <c r="N83" s="7">
        <v>5303252.3</v>
      </c>
    </row>
    <row r="84" spans="1:14">
      <c r="A84" s="17" t="s">
        <v>186</v>
      </c>
      <c r="B84" s="7">
        <v>7062997.7800000003</v>
      </c>
      <c r="C84" s="7">
        <v>6979914.5099999998</v>
      </c>
      <c r="D84" s="7">
        <v>7072351.0899999999</v>
      </c>
      <c r="E84" s="7">
        <v>7164696.6200000001</v>
      </c>
      <c r="F84" s="7">
        <v>7260924.1000000006</v>
      </c>
      <c r="G84" s="7">
        <v>7360977.4500000002</v>
      </c>
      <c r="H84" s="7">
        <v>7461445.8700000001</v>
      </c>
      <c r="I84" s="7">
        <v>7562322.9000000004</v>
      </c>
      <c r="J84" s="7">
        <v>7663291.3399999999</v>
      </c>
      <c r="K84" s="7">
        <v>7764308.21</v>
      </c>
      <c r="L84" s="7">
        <v>7865315.3400000008</v>
      </c>
      <c r="M84" s="7">
        <v>7966159.6199999992</v>
      </c>
      <c r="N84" s="7">
        <v>7886075.0300000003</v>
      </c>
    </row>
    <row r="85" spans="1:14">
      <c r="A85" s="17" t="s">
        <v>187</v>
      </c>
      <c r="B85" s="7">
        <v>1174.44</v>
      </c>
      <c r="C85" s="7">
        <v>1174.44</v>
      </c>
      <c r="D85" s="7">
        <v>1174.44</v>
      </c>
      <c r="E85" s="7">
        <v>1178.6600000000001</v>
      </c>
      <c r="F85" s="7">
        <v>1187.1000000000001</v>
      </c>
      <c r="G85" s="7">
        <v>1195.54</v>
      </c>
      <c r="H85" s="7">
        <v>1203.98</v>
      </c>
      <c r="I85" s="7">
        <v>1212.42</v>
      </c>
      <c r="J85" s="7">
        <v>1212.42</v>
      </c>
      <c r="K85" s="7">
        <v>1212.42</v>
      </c>
      <c r="L85" s="7">
        <v>1212.42</v>
      </c>
      <c r="M85" s="7">
        <v>1212.42</v>
      </c>
      <c r="N85" s="7">
        <v>1212.42</v>
      </c>
    </row>
    <row r="86" spans="1:14">
      <c r="A86" s="17" t="s">
        <v>188</v>
      </c>
      <c r="B86" s="7">
        <v>260.28000000000003</v>
      </c>
      <c r="C86" s="7">
        <v>260.28000000000003</v>
      </c>
      <c r="D86" s="7">
        <v>260.28000000000003</v>
      </c>
      <c r="E86" s="7">
        <v>260.28000000000003</v>
      </c>
      <c r="F86" s="7">
        <v>260.28000000000003</v>
      </c>
      <c r="G86" s="7">
        <v>260.28000000000003</v>
      </c>
      <c r="H86" s="7">
        <v>260.28000000000003</v>
      </c>
      <c r="I86" s="7">
        <v>260.28000000000003</v>
      </c>
      <c r="J86" s="7">
        <v>260.28000000000003</v>
      </c>
      <c r="K86" s="7">
        <v>260.28000000000003</v>
      </c>
      <c r="L86" s="7">
        <v>260.28000000000003</v>
      </c>
      <c r="M86" s="7">
        <v>260.28000000000003</v>
      </c>
      <c r="N86" s="7">
        <v>260.28000000000003</v>
      </c>
    </row>
    <row r="87" spans="1:14">
      <c r="A87" s="6" t="s">
        <v>835</v>
      </c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>
      <c r="A88" s="17" t="s">
        <v>830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>
      <c r="A89" s="17" t="s">
        <v>829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>
      <c r="A90" s="17" t="s">
        <v>833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>
      <c r="A91" s="17" t="s">
        <v>832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>
      <c r="A92" s="17" t="s">
        <v>834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>
      <c r="A93" s="17" t="s">
        <v>831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>
      <c r="A94" s="17" t="s">
        <v>828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>
      <c r="B95" s="208">
        <f>SUM(B7:B94)</f>
        <v>339371204.3499999</v>
      </c>
      <c r="C95" s="208">
        <f t="shared" ref="C95:N95" si="0">SUM(C7:C94)</f>
        <v>339079866.5199998</v>
      </c>
      <c r="D95" s="208">
        <f t="shared" si="0"/>
        <v>341424843.95999992</v>
      </c>
      <c r="E95" s="208">
        <f t="shared" si="0"/>
        <v>343581272.5799998</v>
      </c>
      <c r="F95" s="208">
        <f t="shared" si="0"/>
        <v>340456669.69999999</v>
      </c>
      <c r="G95" s="208">
        <f t="shared" si="0"/>
        <v>342638738.41000003</v>
      </c>
      <c r="H95" s="208">
        <f t="shared" si="0"/>
        <v>344707861.9799999</v>
      </c>
      <c r="I95" s="208">
        <f t="shared" si="0"/>
        <v>346328184.83999991</v>
      </c>
      <c r="J95" s="208">
        <f t="shared" si="0"/>
        <v>348914347.34999996</v>
      </c>
      <c r="K95" s="208">
        <f t="shared" si="0"/>
        <v>351427481.03000003</v>
      </c>
      <c r="L95" s="208">
        <f t="shared" si="0"/>
        <v>354035860.01999992</v>
      </c>
      <c r="M95" s="208">
        <f t="shared" si="0"/>
        <v>356020139.03999978</v>
      </c>
      <c r="N95" s="208">
        <f t="shared" si="0"/>
        <v>355972020.65999985</v>
      </c>
    </row>
    <row r="99" spans="1:14">
      <c r="B99" s="196"/>
      <c r="C99" s="196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</row>
    <row r="100" spans="1:14">
      <c r="A100" s="181" t="s">
        <v>839</v>
      </c>
      <c r="B100" s="196"/>
      <c r="C100" s="196"/>
      <c r="D100" s="196"/>
      <c r="E100" s="196"/>
      <c r="F100" s="196"/>
      <c r="G100" s="196"/>
      <c r="H100" s="196"/>
      <c r="I100" s="196"/>
      <c r="J100" s="196"/>
      <c r="K100" s="196"/>
      <c r="L100" s="196"/>
      <c r="M100" s="196"/>
      <c r="N100" s="196"/>
    </row>
    <row r="101" spans="1:14">
      <c r="A101" s="181" t="s">
        <v>73</v>
      </c>
      <c r="B101" s="189">
        <f>SUM(B7:B22)</f>
        <v>153511995.10000002</v>
      </c>
      <c r="C101" s="189">
        <f t="shared" ref="C101:N101" si="1">SUM(C7:C22)</f>
        <v>153464683.01999998</v>
      </c>
      <c r="D101" s="189">
        <f t="shared" si="1"/>
        <v>154023766.37</v>
      </c>
      <c r="E101" s="189">
        <f t="shared" si="1"/>
        <v>154651495.31000003</v>
      </c>
      <c r="F101" s="189">
        <f t="shared" si="1"/>
        <v>155343120.32999998</v>
      </c>
      <c r="G101" s="189">
        <f t="shared" si="1"/>
        <v>155739850.08000001</v>
      </c>
      <c r="H101" s="189">
        <f t="shared" si="1"/>
        <v>156182952.93000004</v>
      </c>
      <c r="I101" s="189">
        <f t="shared" si="1"/>
        <v>156255402.54999998</v>
      </c>
      <c r="J101" s="189">
        <f t="shared" si="1"/>
        <v>156967687.60000002</v>
      </c>
      <c r="K101" s="189">
        <f t="shared" si="1"/>
        <v>157671312.58000001</v>
      </c>
      <c r="L101" s="189">
        <f t="shared" si="1"/>
        <v>158416350.69</v>
      </c>
      <c r="M101" s="189">
        <f t="shared" si="1"/>
        <v>158744713.38999999</v>
      </c>
      <c r="N101" s="189">
        <f t="shared" si="1"/>
        <v>157200621.35999998</v>
      </c>
    </row>
    <row r="102" spans="1:14">
      <c r="A102" s="181" t="s">
        <v>18</v>
      </c>
      <c r="B102" s="189">
        <f>SUM(B30:B57)</f>
        <v>19317752.059999999</v>
      </c>
      <c r="C102" s="189">
        <f t="shared" ref="C102:N102" si="2">SUM(C30:C57)</f>
        <v>19549989.230000004</v>
      </c>
      <c r="D102" s="189">
        <f t="shared" si="2"/>
        <v>19749833.259999998</v>
      </c>
      <c r="E102" s="189">
        <f t="shared" si="2"/>
        <v>19686254.799999997</v>
      </c>
      <c r="F102" s="189">
        <f t="shared" si="2"/>
        <v>19899932.039999999</v>
      </c>
      <c r="G102" s="189">
        <f t="shared" si="2"/>
        <v>20057789.050000004</v>
      </c>
      <c r="H102" s="189">
        <f t="shared" si="2"/>
        <v>20299121.52</v>
      </c>
      <c r="I102" s="189">
        <f t="shared" si="2"/>
        <v>20219306.73</v>
      </c>
      <c r="J102" s="189">
        <f t="shared" si="2"/>
        <v>20465115.200000003</v>
      </c>
      <c r="K102" s="189">
        <f t="shared" si="2"/>
        <v>20709299.690000001</v>
      </c>
      <c r="L102" s="189">
        <f t="shared" si="2"/>
        <v>20962875.909999996</v>
      </c>
      <c r="M102" s="189">
        <f t="shared" si="2"/>
        <v>21085973.260000002</v>
      </c>
      <c r="N102" s="189">
        <f t="shared" si="2"/>
        <v>21491364.750000004</v>
      </c>
    </row>
    <row r="103" spans="1:14">
      <c r="A103" s="181" t="s">
        <v>840</v>
      </c>
      <c r="B103" s="189">
        <f>SUM(B59:B74)</f>
        <v>119385369.27999999</v>
      </c>
      <c r="C103" s="189">
        <f t="shared" ref="C103:N103" si="3">SUM(C59:C74)</f>
        <v>120288771.93000001</v>
      </c>
      <c r="D103" s="189">
        <f t="shared" si="3"/>
        <v>121559624.37</v>
      </c>
      <c r="E103" s="189">
        <f t="shared" si="3"/>
        <v>122810215.53999999</v>
      </c>
      <c r="F103" s="189">
        <f t="shared" si="3"/>
        <v>118425116.5</v>
      </c>
      <c r="G103" s="189">
        <f t="shared" si="3"/>
        <v>119679501.38999999</v>
      </c>
      <c r="H103" s="189">
        <f t="shared" si="3"/>
        <v>120693530.38999999</v>
      </c>
      <c r="I103" s="189">
        <f t="shared" si="3"/>
        <v>121949225.14</v>
      </c>
      <c r="J103" s="189">
        <f t="shared" si="3"/>
        <v>123205123.33</v>
      </c>
      <c r="K103" s="189">
        <f t="shared" si="3"/>
        <v>124398278.08000001</v>
      </c>
      <c r="L103" s="189">
        <f t="shared" si="3"/>
        <v>125635899.89</v>
      </c>
      <c r="M103" s="189">
        <f t="shared" si="3"/>
        <v>126891682.19</v>
      </c>
      <c r="N103" s="189">
        <f t="shared" si="3"/>
        <v>128143450.17999999</v>
      </c>
    </row>
    <row r="104" spans="1:14">
      <c r="A104" s="192" t="s">
        <v>59</v>
      </c>
      <c r="B104" s="195">
        <f>SUM(B76:B86)</f>
        <v>46930314.729999997</v>
      </c>
      <c r="C104" s="195">
        <f t="shared" ref="C104:N104" si="4">SUM(C76:C86)</f>
        <v>45549959.649999999</v>
      </c>
      <c r="D104" s="195">
        <f t="shared" si="4"/>
        <v>45864467.790000007</v>
      </c>
      <c r="E104" s="195">
        <f t="shared" si="4"/>
        <v>46205465.249999993</v>
      </c>
      <c r="F104" s="195">
        <f t="shared" si="4"/>
        <v>46559969.670000002</v>
      </c>
      <c r="G104" s="195">
        <f t="shared" si="4"/>
        <v>46932377.220000006</v>
      </c>
      <c r="H104" s="195">
        <f t="shared" si="4"/>
        <v>47302346.989999995</v>
      </c>
      <c r="I104" s="195">
        <f t="shared" si="4"/>
        <v>47673650.760000005</v>
      </c>
      <c r="J104" s="195">
        <f t="shared" si="4"/>
        <v>48045132.079999998</v>
      </c>
      <c r="K104" s="195">
        <f t="shared" si="4"/>
        <v>48416612.060000002</v>
      </c>
      <c r="L104" s="195">
        <f t="shared" si="4"/>
        <v>48788065.400000013</v>
      </c>
      <c r="M104" s="195">
        <f t="shared" si="4"/>
        <v>49064412.590000004</v>
      </c>
      <c r="N104" s="195">
        <f t="shared" si="4"/>
        <v>48902561.229999997</v>
      </c>
    </row>
    <row r="105" spans="1:14">
      <c r="B105" s="196">
        <f>SUM(B101:B104)</f>
        <v>339145431.17000002</v>
      </c>
      <c r="C105" s="196">
        <f t="shared" ref="C105:N105" si="5">SUM(C101:C104)</f>
        <v>338853403.82999998</v>
      </c>
      <c r="D105" s="196">
        <f t="shared" si="5"/>
        <v>341197691.79000002</v>
      </c>
      <c r="E105" s="196">
        <f t="shared" si="5"/>
        <v>343353430.89999998</v>
      </c>
      <c r="F105" s="196">
        <f t="shared" si="5"/>
        <v>340228138.54000002</v>
      </c>
      <c r="G105" s="196">
        <f t="shared" si="5"/>
        <v>342409517.74000001</v>
      </c>
      <c r="H105" s="196">
        <f t="shared" si="5"/>
        <v>344477951.83000004</v>
      </c>
      <c r="I105" s="196">
        <f t="shared" si="5"/>
        <v>346097585.17999995</v>
      </c>
      <c r="J105" s="196">
        <f t="shared" si="5"/>
        <v>348683058.20999998</v>
      </c>
      <c r="K105" s="196">
        <f t="shared" si="5"/>
        <v>351195502.41000003</v>
      </c>
      <c r="L105" s="196">
        <f t="shared" si="5"/>
        <v>353803191.89000005</v>
      </c>
      <c r="M105" s="196">
        <f t="shared" si="5"/>
        <v>355786781.42999995</v>
      </c>
      <c r="N105" s="196">
        <f t="shared" si="5"/>
        <v>355737997.51999998</v>
      </c>
    </row>
    <row r="106" spans="1:14">
      <c r="B106" s="196"/>
      <c r="C106" s="196"/>
      <c r="D106" s="196"/>
      <c r="E106" s="196"/>
      <c r="F106" s="196"/>
      <c r="G106" s="196"/>
      <c r="H106" s="196"/>
      <c r="I106" s="196"/>
      <c r="J106" s="196"/>
      <c r="K106" s="196"/>
      <c r="L106" s="196"/>
      <c r="M106" s="196"/>
      <c r="N106" s="196"/>
    </row>
    <row r="107" spans="1:14">
      <c r="A107" s="181" t="s">
        <v>839</v>
      </c>
      <c r="C107" s="196"/>
      <c r="D107" s="196"/>
      <c r="E107" s="196"/>
      <c r="F107" s="196"/>
      <c r="G107" s="196"/>
      <c r="H107" s="196"/>
      <c r="I107" s="196"/>
      <c r="J107" s="196"/>
      <c r="K107" s="196"/>
      <c r="L107" s="196"/>
      <c r="M107" s="196"/>
      <c r="N107" s="196"/>
    </row>
    <row r="108" spans="1:14">
      <c r="A108" s="181" t="s">
        <v>73</v>
      </c>
      <c r="B108" s="212">
        <f>+B101/B105</f>
        <v>0.45264355934386924</v>
      </c>
      <c r="C108" s="212">
        <f t="shared" ref="C108:N108" si="6">+C101/C105</f>
        <v>0.45289402817093133</v>
      </c>
      <c r="D108" s="212">
        <f t="shared" si="6"/>
        <v>0.4514208919818789</v>
      </c>
      <c r="E108" s="212">
        <f t="shared" si="6"/>
        <v>0.45041488271902991</v>
      </c>
      <c r="F108" s="212">
        <f t="shared" si="6"/>
        <v>0.45658516369814184</v>
      </c>
      <c r="G108" s="212">
        <f t="shared" si="6"/>
        <v>0.45483504987807355</v>
      </c>
      <c r="H108" s="212">
        <f t="shared" si="6"/>
        <v>0.45339027389211939</v>
      </c>
      <c r="I108" s="212">
        <f t="shared" si="6"/>
        <v>0.45147787572321252</v>
      </c>
      <c r="J108" s="212">
        <f t="shared" si="6"/>
        <v>0.45017296913079075</v>
      </c>
      <c r="K108" s="212">
        <f t="shared" si="6"/>
        <v>0.44895595614982581</v>
      </c>
      <c r="L108" s="212">
        <f t="shared" si="6"/>
        <v>0.44775274593693543</v>
      </c>
      <c r="M108" s="212">
        <f t="shared" si="6"/>
        <v>0.44617934582044771</v>
      </c>
      <c r="N108" s="212">
        <f t="shared" si="6"/>
        <v>0.44190000071938335</v>
      </c>
    </row>
    <row r="109" spans="1:14">
      <c r="A109" s="181" t="s">
        <v>18</v>
      </c>
      <c r="B109" s="212">
        <f>+B102/B105</f>
        <v>5.6960083446669765E-2</v>
      </c>
      <c r="C109" s="212">
        <f t="shared" ref="C109:N109" si="7">+C102/C105</f>
        <v>5.7694534005059236E-2</v>
      </c>
      <c r="D109" s="212">
        <f t="shared" si="7"/>
        <v>5.788384193453338E-2</v>
      </c>
      <c r="E109" s="212">
        <f t="shared" si="7"/>
        <v>5.7335250002885578E-2</v>
      </c>
      <c r="F109" s="212">
        <f t="shared" si="7"/>
        <v>5.8489965366754632E-2</v>
      </c>
      <c r="G109" s="212">
        <f t="shared" si="7"/>
        <v>5.8578363073512399E-2</v>
      </c>
      <c r="H109" s="212">
        <f t="shared" si="7"/>
        <v>5.8927201036127912E-2</v>
      </c>
      <c r="I109" s="212">
        <f t="shared" si="7"/>
        <v>5.8420825789594157E-2</v>
      </c>
      <c r="J109" s="212">
        <f t="shared" si="7"/>
        <v>5.8692599821338488E-2</v>
      </c>
      <c r="K109" s="212">
        <f t="shared" si="7"/>
        <v>5.8968009407543938E-2</v>
      </c>
      <c r="L109" s="212">
        <f t="shared" si="7"/>
        <v>5.9250103985826974E-2</v>
      </c>
      <c r="M109" s="212">
        <f t="shared" si="7"/>
        <v>5.926575792178105E-2</v>
      </c>
      <c r="N109" s="212">
        <f t="shared" si="7"/>
        <v>6.0413464121981335E-2</v>
      </c>
    </row>
    <row r="110" spans="1:14">
      <c r="A110" s="181" t="s">
        <v>840</v>
      </c>
      <c r="B110" s="212">
        <f>+B103/B105</f>
        <v>0.35201821492372365</v>
      </c>
      <c r="C110" s="212">
        <f t="shared" ref="C110:N110" si="8">+C103/C105</f>
        <v>0.35498764530737281</v>
      </c>
      <c r="D110" s="212">
        <f t="shared" si="8"/>
        <v>0.35627329051457179</v>
      </c>
      <c r="E110" s="212">
        <f t="shared" si="8"/>
        <v>0.35767871961578818</v>
      </c>
      <c r="F110" s="212">
        <f t="shared" si="8"/>
        <v>0.34807560893755107</v>
      </c>
      <c r="G110" s="212">
        <f t="shared" si="8"/>
        <v>0.34952153836119587</v>
      </c>
      <c r="H110" s="212">
        <f t="shared" si="8"/>
        <v>0.35036648862090969</v>
      </c>
      <c r="I110" s="212">
        <f t="shared" si="8"/>
        <v>0.35235503037842958</v>
      </c>
      <c r="J110" s="212">
        <f t="shared" si="8"/>
        <v>0.35334416292688853</v>
      </c>
      <c r="K110" s="212">
        <f t="shared" si="8"/>
        <v>0.35421375623077417</v>
      </c>
      <c r="L110" s="212">
        <f t="shared" si="8"/>
        <v>0.35510109227352904</v>
      </c>
      <c r="M110" s="212">
        <f t="shared" si="8"/>
        <v>0.35665091794582476</v>
      </c>
      <c r="N110" s="212">
        <f t="shared" si="8"/>
        <v>0.36021861896491847</v>
      </c>
    </row>
    <row r="111" spans="1:14">
      <c r="A111" s="181" t="s">
        <v>59</v>
      </c>
      <c r="B111" s="212">
        <f>+B104/B105</f>
        <v>0.13837814228573733</v>
      </c>
      <c r="C111" s="212">
        <f t="shared" ref="C111:N111" si="9">+C104/C105</f>
        <v>0.13442379251663661</v>
      </c>
      <c r="D111" s="212">
        <f t="shared" si="9"/>
        <v>0.13442197556901592</v>
      </c>
      <c r="E111" s="212">
        <f t="shared" si="9"/>
        <v>0.13457114766229644</v>
      </c>
      <c r="F111" s="212">
        <f t="shared" si="9"/>
        <v>0.13684926199755235</v>
      </c>
      <c r="G111" s="212">
        <f t="shared" si="9"/>
        <v>0.13706504868721819</v>
      </c>
      <c r="H111" s="212">
        <f t="shared" si="9"/>
        <v>0.13731603645084292</v>
      </c>
      <c r="I111" s="212">
        <f t="shared" si="9"/>
        <v>0.13774626810876384</v>
      </c>
      <c r="J111" s="212">
        <f t="shared" si="9"/>
        <v>0.13779026812098236</v>
      </c>
      <c r="K111" s="212">
        <f t="shared" si="9"/>
        <v>0.13786227821185609</v>
      </c>
      <c r="L111" s="212">
        <f t="shared" si="9"/>
        <v>0.13789605780370848</v>
      </c>
      <c r="M111" s="212">
        <f t="shared" si="9"/>
        <v>0.13790397831194662</v>
      </c>
      <c r="N111" s="212">
        <f t="shared" si="9"/>
        <v>0.13746791619371682</v>
      </c>
    </row>
    <row r="112" spans="1:14">
      <c r="B112" s="212"/>
      <c r="C112" s="212"/>
      <c r="D112" s="212"/>
      <c r="E112" s="212"/>
      <c r="F112" s="212"/>
      <c r="G112" s="212"/>
      <c r="H112" s="212"/>
      <c r="I112" s="212"/>
      <c r="J112" s="212"/>
      <c r="K112" s="212"/>
      <c r="L112" s="212"/>
      <c r="M112" s="212"/>
      <c r="N112" s="212"/>
    </row>
    <row r="113" spans="1:16">
      <c r="A113" s="222" t="s">
        <v>845</v>
      </c>
      <c r="B113" s="212"/>
      <c r="C113" s="212"/>
      <c r="D113" s="212"/>
      <c r="E113" s="212"/>
      <c r="F113" s="212"/>
      <c r="G113" s="212"/>
      <c r="H113" s="212"/>
      <c r="I113" s="212"/>
      <c r="J113" s="212"/>
      <c r="K113" s="212"/>
      <c r="L113" s="212"/>
      <c r="M113" s="212"/>
      <c r="N113" s="212"/>
    </row>
    <row r="114" spans="1:16">
      <c r="A114" t="s">
        <v>266</v>
      </c>
      <c r="B114" s="184">
        <f>+'Balance Sheet - Jan - Dec 2021'!M24</f>
        <v>1297496</v>
      </c>
      <c r="C114" s="184">
        <f>+'Balance Sheet - Jan - Dec 2022'!B24</f>
        <v>492973</v>
      </c>
      <c r="D114" s="184">
        <f>+'Balance Sheet - Jan - Dec 2022'!C24</f>
        <v>418455</v>
      </c>
      <c r="E114" s="184">
        <f>+'Balance Sheet - Jan - Dec 2022'!D24</f>
        <v>438506</v>
      </c>
      <c r="F114" s="184">
        <f>+'Balance Sheet - Jan - Dec 2022'!E24</f>
        <v>654591</v>
      </c>
      <c r="G114" s="184">
        <f>+'Balance Sheet - Jan - Dec 2022'!F24</f>
        <v>413124</v>
      </c>
      <c r="H114" s="184">
        <f>+'Balance Sheet - Jan - Dec 2022'!G24</f>
        <v>1481370</v>
      </c>
      <c r="I114" s="184">
        <f>+'Balance Sheet - Jan - Dec 2022'!H24</f>
        <v>1550496</v>
      </c>
      <c r="J114" s="184">
        <f>+'Balance Sheet - Jan - Dec 2022'!I24</f>
        <v>1556402</v>
      </c>
      <c r="K114" s="184">
        <f>+'Balance Sheet - Jan - Dec 2022'!J24</f>
        <v>1499828</v>
      </c>
      <c r="L114" s="184">
        <f>+'Balance Sheet - Jan - Dec 2022'!K24</f>
        <v>1499642</v>
      </c>
      <c r="M114" s="184">
        <f>+'Balance Sheet - Jan - Dec 2022'!L24</f>
        <v>2020822</v>
      </c>
      <c r="N114" s="184">
        <f>+'Balance Sheet - Jan - Dec 2022'!M24</f>
        <v>261112</v>
      </c>
    </row>
    <row r="115" spans="1:16">
      <c r="A115" t="s">
        <v>270</v>
      </c>
      <c r="B115" s="196">
        <f>+'Balance Sheet - Jan - Dec 2021'!M28</f>
        <v>-2197786</v>
      </c>
      <c r="C115" s="184">
        <f>+'Balance Sheet - Jan - Dec 2022'!B28</f>
        <v>-2222961</v>
      </c>
      <c r="D115" s="184">
        <f>+'Balance Sheet - Jan - Dec 2022'!C28</f>
        <v>-2248137</v>
      </c>
      <c r="E115" s="184">
        <f>+'Balance Sheet - Jan - Dec 2022'!D28</f>
        <v>-2273312</v>
      </c>
      <c r="F115" s="184">
        <f>+'Balance Sheet - Jan - Dec 2022'!E28</f>
        <v>-2298487</v>
      </c>
      <c r="G115" s="184">
        <f>+'Balance Sheet - Jan - Dec 2022'!F28</f>
        <v>-2323663</v>
      </c>
      <c r="H115" s="184">
        <f>+'Balance Sheet - Jan - Dec 2022'!G28</f>
        <v>-2348838</v>
      </c>
      <c r="I115" s="184">
        <f>+'Balance Sheet - Jan - Dec 2022'!H28</f>
        <v>-2374014</v>
      </c>
      <c r="J115" s="184">
        <f>+'Balance Sheet - Jan - Dec 2022'!I28</f>
        <v>-2374014</v>
      </c>
      <c r="K115" s="184">
        <f>+'Balance Sheet - Jan - Dec 2022'!J28</f>
        <v>-2424365</v>
      </c>
      <c r="L115" s="184">
        <f>+'Balance Sheet - Jan - Dec 2022'!K28</f>
        <v>-2449540</v>
      </c>
      <c r="M115" s="184">
        <f>+'Balance Sheet - Jan - Dec 2022'!L28</f>
        <v>-2474716</v>
      </c>
      <c r="N115" s="184">
        <f>+'Balance Sheet - Jan - Dec 2022'!M28</f>
        <v>-2499891</v>
      </c>
    </row>
    <row r="116" spans="1:16">
      <c r="A116" s="268" t="s">
        <v>271</v>
      </c>
      <c r="B116" s="269">
        <f>+'Balance Sheet - Jan - Dec 2021'!M29</f>
        <v>-1276028</v>
      </c>
      <c r="C116" s="270">
        <f>+'Balance Sheet - Jan - Dec 2022'!B29</f>
        <v>-1282191</v>
      </c>
      <c r="D116" s="270">
        <f>+'Balance Sheet - Jan - Dec 2022'!C29</f>
        <v>-1288354</v>
      </c>
      <c r="E116" s="270">
        <f>+'Balance Sheet - Jan - Dec 2022'!D29</f>
        <v>-1294517</v>
      </c>
      <c r="F116" s="270">
        <f>+'Balance Sheet - Jan - Dec 2022'!E29</f>
        <v>-1300679</v>
      </c>
      <c r="G116" s="270">
        <f>+'Balance Sheet - Jan - Dec 2022'!F29</f>
        <v>-1306842</v>
      </c>
      <c r="H116" s="270">
        <f>+'Balance Sheet - Jan - Dec 2022'!G29</f>
        <v>-1313005</v>
      </c>
      <c r="I116" s="270">
        <f>+'Balance Sheet - Jan - Dec 2022'!H29</f>
        <v>-1319773</v>
      </c>
      <c r="J116" s="270">
        <f>+'Balance Sheet - Jan - Dec 2022'!I29</f>
        <v>-1320090</v>
      </c>
      <c r="K116" s="270">
        <f>+'Balance Sheet - Jan - Dec 2022'!J29</f>
        <v>-1326253</v>
      </c>
      <c r="L116" s="270">
        <f>+'Balance Sheet - Jan - Dec 2022'!K29</f>
        <v>-1332416</v>
      </c>
      <c r="M116" s="270">
        <f>+'Balance Sheet - Jan - Dec 2022'!L29</f>
        <v>-1338579</v>
      </c>
      <c r="N116" s="270">
        <f>+'Balance Sheet - Jan - Dec 2022'!M29</f>
        <v>-1344766</v>
      </c>
      <c r="O116" s="209"/>
    </row>
    <row r="117" spans="1:16">
      <c r="B117" s="196"/>
      <c r="C117" s="196"/>
      <c r="D117" s="196"/>
      <c r="E117" s="196"/>
      <c r="F117" s="196"/>
      <c r="G117" s="196"/>
      <c r="H117" s="196"/>
      <c r="I117" s="196"/>
      <c r="J117" s="196"/>
      <c r="K117" s="196"/>
      <c r="L117" s="196"/>
      <c r="M117" s="196"/>
      <c r="N117" s="196"/>
    </row>
    <row r="118" spans="1:16">
      <c r="A118" s="213" t="s">
        <v>841</v>
      </c>
      <c r="B118" s="214"/>
      <c r="C118" s="214"/>
      <c r="D118" s="214"/>
      <c r="E118" s="214"/>
      <c r="F118" s="214"/>
      <c r="G118" s="214"/>
      <c r="H118" s="214"/>
      <c r="I118" s="214"/>
      <c r="J118" s="214"/>
      <c r="K118" s="214"/>
      <c r="L118" s="214"/>
      <c r="M118" s="214"/>
      <c r="N118" s="215"/>
    </row>
    <row r="119" spans="1:16">
      <c r="A119" s="181" t="s">
        <v>73</v>
      </c>
      <c r="B119" s="63">
        <v>0</v>
      </c>
      <c r="C119" s="63">
        <v>0</v>
      </c>
      <c r="D119" s="63">
        <v>0</v>
      </c>
      <c r="E119" s="63">
        <v>0</v>
      </c>
      <c r="F119" s="63">
        <v>0</v>
      </c>
      <c r="G119" s="63">
        <v>0</v>
      </c>
      <c r="H119" s="63">
        <v>0</v>
      </c>
      <c r="I119" s="63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223"/>
    </row>
    <row r="120" spans="1:16">
      <c r="A120" s="181" t="s">
        <v>18</v>
      </c>
      <c r="B120" s="9">
        <f>+B114</f>
        <v>1297496</v>
      </c>
      <c r="C120" s="9">
        <f t="shared" ref="C120:N120" si="10">+C114</f>
        <v>492973</v>
      </c>
      <c r="D120" s="9">
        <f t="shared" si="10"/>
        <v>418455</v>
      </c>
      <c r="E120" s="9">
        <f t="shared" si="10"/>
        <v>438506</v>
      </c>
      <c r="F120" s="9">
        <f t="shared" si="10"/>
        <v>654591</v>
      </c>
      <c r="G120" s="9">
        <f t="shared" si="10"/>
        <v>413124</v>
      </c>
      <c r="H120" s="9">
        <f t="shared" si="10"/>
        <v>1481370</v>
      </c>
      <c r="I120" s="9">
        <f t="shared" si="10"/>
        <v>1550496</v>
      </c>
      <c r="J120" s="9">
        <f t="shared" si="10"/>
        <v>1556402</v>
      </c>
      <c r="K120" s="9">
        <f t="shared" si="10"/>
        <v>1499828</v>
      </c>
      <c r="L120" s="9">
        <f t="shared" si="10"/>
        <v>1499642</v>
      </c>
      <c r="M120" s="9">
        <f t="shared" si="10"/>
        <v>2020822</v>
      </c>
      <c r="N120" s="9">
        <f t="shared" si="10"/>
        <v>261112</v>
      </c>
      <c r="P120" s="189"/>
    </row>
    <row r="121" spans="1:16">
      <c r="A121" s="181" t="s">
        <v>840</v>
      </c>
      <c r="B121" s="63">
        <v>0</v>
      </c>
      <c r="C121" s="63">
        <v>0</v>
      </c>
      <c r="D121" s="63">
        <v>0</v>
      </c>
      <c r="E121" s="63">
        <v>0</v>
      </c>
      <c r="F121" s="63">
        <v>0</v>
      </c>
      <c r="G121" s="63">
        <v>0</v>
      </c>
      <c r="H121" s="63">
        <v>0</v>
      </c>
      <c r="I121" s="63">
        <v>0</v>
      </c>
      <c r="J121" s="63">
        <v>0</v>
      </c>
      <c r="K121" s="63">
        <v>0</v>
      </c>
      <c r="L121" s="63">
        <v>0</v>
      </c>
      <c r="M121" s="63">
        <v>0</v>
      </c>
      <c r="N121" s="63">
        <v>0</v>
      </c>
    </row>
    <row r="122" spans="1:16">
      <c r="A122" s="181" t="s">
        <v>59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</row>
    <row r="123" spans="1:16">
      <c r="A123" s="216"/>
      <c r="B123" s="217">
        <f>SUM(B119:B122)-B114</f>
        <v>0</v>
      </c>
      <c r="C123" s="217">
        <f t="shared" ref="C123:N123" si="11">SUM(C119:C122)-C114</f>
        <v>0</v>
      </c>
      <c r="D123" s="217">
        <f t="shared" si="11"/>
        <v>0</v>
      </c>
      <c r="E123" s="217">
        <f t="shared" si="11"/>
        <v>0</v>
      </c>
      <c r="F123" s="217">
        <f t="shared" si="11"/>
        <v>0</v>
      </c>
      <c r="G123" s="217">
        <f t="shared" si="11"/>
        <v>0</v>
      </c>
      <c r="H123" s="217">
        <f t="shared" si="11"/>
        <v>0</v>
      </c>
      <c r="I123" s="217">
        <f t="shared" si="11"/>
        <v>0</v>
      </c>
      <c r="J123" s="217">
        <f t="shared" si="11"/>
        <v>0</v>
      </c>
      <c r="K123" s="217">
        <f t="shared" si="11"/>
        <v>0</v>
      </c>
      <c r="L123" s="217">
        <f t="shared" si="11"/>
        <v>0</v>
      </c>
      <c r="M123" s="217">
        <f t="shared" si="11"/>
        <v>0</v>
      </c>
      <c r="N123" s="217">
        <f t="shared" si="11"/>
        <v>0</v>
      </c>
    </row>
    <row r="124" spans="1:16">
      <c r="A124"/>
      <c r="B124" s="271"/>
      <c r="C124" s="271"/>
      <c r="D124" s="271"/>
      <c r="E124" s="271"/>
      <c r="F124" s="271"/>
      <c r="G124" s="271"/>
      <c r="H124" s="271"/>
      <c r="I124" s="271"/>
      <c r="J124" s="271"/>
      <c r="K124" s="271"/>
      <c r="L124" s="271"/>
      <c r="M124" s="271"/>
      <c r="N124" s="271"/>
    </row>
    <row r="125" spans="1:16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</row>
    <row r="126" spans="1:16">
      <c r="A126" s="249" t="s">
        <v>868</v>
      </c>
      <c r="B126" s="272">
        <v>4.1761462303169057E-3</v>
      </c>
      <c r="C126" s="272">
        <v>4.1761462303169057E-3</v>
      </c>
      <c r="D126" s="272">
        <v>4.1761462303169057E-3</v>
      </c>
      <c r="E126" s="272">
        <v>4.1761462303169057E-3</v>
      </c>
      <c r="F126" s="272">
        <v>4.1761462303169057E-3</v>
      </c>
      <c r="G126" s="272">
        <v>4.1761462303169057E-3</v>
      </c>
      <c r="H126" s="272">
        <v>4.1761462303169057E-3</v>
      </c>
      <c r="I126" s="272">
        <v>4.1761462303169057E-3</v>
      </c>
      <c r="J126" s="272">
        <v>4.1761462303169057E-3</v>
      </c>
      <c r="K126" s="272">
        <v>4.1761462303169057E-3</v>
      </c>
      <c r="L126" s="272">
        <v>4.1761462303169057E-3</v>
      </c>
      <c r="M126" s="272">
        <v>4.1761462303169057E-3</v>
      </c>
      <c r="N126" s="272">
        <v>4.1761462303169057E-3</v>
      </c>
    </row>
    <row r="127" spans="1:16">
      <c r="A127" s="249" t="s">
        <v>867</v>
      </c>
      <c r="B127" s="273">
        <v>0.99582385376968308</v>
      </c>
      <c r="C127" s="273">
        <v>0.99582385376968308</v>
      </c>
      <c r="D127" s="273">
        <v>0.99582385376968308</v>
      </c>
      <c r="E127" s="273">
        <v>0.99582385376968308</v>
      </c>
      <c r="F127" s="273">
        <v>0.99582385376968308</v>
      </c>
      <c r="G127" s="273">
        <v>0.99582385376968308</v>
      </c>
      <c r="H127" s="273">
        <v>0.99582385376968308</v>
      </c>
      <c r="I127" s="273">
        <v>0.99582385376968308</v>
      </c>
      <c r="J127" s="273">
        <v>0.99582385376968308</v>
      </c>
      <c r="K127" s="273">
        <v>0.99582385376968308</v>
      </c>
      <c r="L127" s="273">
        <v>0.99582385376968308</v>
      </c>
      <c r="M127" s="273">
        <v>0.99582385376968308</v>
      </c>
      <c r="N127" s="273">
        <v>0.99582385376968308</v>
      </c>
    </row>
    <row r="128" spans="1:16">
      <c r="A128" s="219" t="s">
        <v>842</v>
      </c>
      <c r="B128" s="220" t="s">
        <v>843</v>
      </c>
      <c r="C128" s="214"/>
      <c r="D128" s="214"/>
      <c r="E128" s="214"/>
      <c r="F128" s="214"/>
      <c r="G128" s="214"/>
      <c r="H128" s="214"/>
      <c r="I128" s="214"/>
      <c r="J128" s="214"/>
      <c r="K128" s="214"/>
      <c r="L128" s="214"/>
      <c r="M128" s="214"/>
      <c r="N128" s="215"/>
    </row>
    <row r="129" spans="1:15">
      <c r="A129" s="181" t="s">
        <v>73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</row>
    <row r="130" spans="1:15">
      <c r="A130" s="181" t="s">
        <v>18</v>
      </c>
      <c r="B130" s="67">
        <f t="shared" ref="B130:M130" si="12">+B126*B115</f>
        <v>-9178.2757189432705</v>
      </c>
      <c r="C130" s="67">
        <f t="shared" si="12"/>
        <v>-9283.4102002914988</v>
      </c>
      <c r="D130" s="67">
        <f t="shared" si="12"/>
        <v>-9388.5488577859578</v>
      </c>
      <c r="E130" s="67">
        <f t="shared" si="12"/>
        <v>-9493.6833391341861</v>
      </c>
      <c r="F130" s="67">
        <f t="shared" si="12"/>
        <v>-9598.8178204824144</v>
      </c>
      <c r="G130" s="67">
        <f t="shared" si="12"/>
        <v>-9703.9564779768716</v>
      </c>
      <c r="H130" s="67">
        <f t="shared" si="12"/>
        <v>-9809.0909593250999</v>
      </c>
      <c r="I130" s="67">
        <f t="shared" si="12"/>
        <v>-9914.2296168195589</v>
      </c>
      <c r="J130" s="67">
        <f t="shared" si="12"/>
        <v>-9914.2296168195589</v>
      </c>
      <c r="K130" s="67">
        <f t="shared" si="12"/>
        <v>-10124.502755662244</v>
      </c>
      <c r="L130" s="67">
        <f t="shared" si="12"/>
        <v>-10229.637237010473</v>
      </c>
      <c r="M130" s="67">
        <f t="shared" si="12"/>
        <v>-10334.775894504932</v>
      </c>
      <c r="N130" s="67">
        <f>+N126*N115</f>
        <v>-10439.91037585316</v>
      </c>
    </row>
    <row r="131" spans="1:15">
      <c r="A131" s="181" t="s">
        <v>840</v>
      </c>
      <c r="B131" s="67">
        <f t="shared" ref="B131:M131" si="13">+B115*B127</f>
        <v>-2188607.7242810568</v>
      </c>
      <c r="C131" s="67">
        <f t="shared" si="13"/>
        <v>-2213677.5897997087</v>
      </c>
      <c r="D131" s="67">
        <f t="shared" si="13"/>
        <v>-2238748.4511422138</v>
      </c>
      <c r="E131" s="67">
        <f t="shared" si="13"/>
        <v>-2263818.3166608657</v>
      </c>
      <c r="F131" s="67">
        <f t="shared" si="13"/>
        <v>-2288888.1821795176</v>
      </c>
      <c r="G131" s="67">
        <f t="shared" si="13"/>
        <v>-2313959.0435220231</v>
      </c>
      <c r="H131" s="67">
        <f t="shared" si="13"/>
        <v>-2339028.909040675</v>
      </c>
      <c r="I131" s="67">
        <f t="shared" si="13"/>
        <v>-2364099.7703831806</v>
      </c>
      <c r="J131" s="67">
        <f t="shared" si="13"/>
        <v>-2364099.7703831806</v>
      </c>
      <c r="K131" s="67">
        <f t="shared" si="13"/>
        <v>-2414240.4972443376</v>
      </c>
      <c r="L131" s="67">
        <f t="shared" si="13"/>
        <v>-2439310.3627629895</v>
      </c>
      <c r="M131" s="67">
        <f t="shared" si="13"/>
        <v>-2464381.224105495</v>
      </c>
      <c r="N131" s="67">
        <f>+N115*N127</f>
        <v>-2489451.0896241469</v>
      </c>
    </row>
    <row r="132" spans="1:15">
      <c r="A132" s="181" t="s">
        <v>59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</row>
    <row r="133" spans="1:15">
      <c r="A133" s="216"/>
      <c r="B133" s="217">
        <f t="shared" ref="B133:N133" si="14">SUM(B129:B132)-B115</f>
        <v>0</v>
      </c>
      <c r="C133" s="217">
        <f t="shared" si="14"/>
        <v>0</v>
      </c>
      <c r="D133" s="217">
        <f t="shared" si="14"/>
        <v>0</v>
      </c>
      <c r="E133" s="217">
        <f t="shared" si="14"/>
        <v>0</v>
      </c>
      <c r="F133" s="217">
        <f t="shared" si="14"/>
        <v>0</v>
      </c>
      <c r="G133" s="217">
        <f t="shared" si="14"/>
        <v>0</v>
      </c>
      <c r="H133" s="217">
        <f t="shared" si="14"/>
        <v>0</v>
      </c>
      <c r="I133" s="217">
        <f t="shared" si="14"/>
        <v>0</v>
      </c>
      <c r="J133" s="217">
        <f t="shared" si="14"/>
        <v>0</v>
      </c>
      <c r="K133" s="217">
        <f t="shared" si="14"/>
        <v>0</v>
      </c>
      <c r="L133" s="217">
        <f t="shared" si="14"/>
        <v>0</v>
      </c>
      <c r="M133" s="217">
        <f t="shared" si="14"/>
        <v>0</v>
      </c>
      <c r="N133" s="218">
        <f t="shared" si="14"/>
        <v>0</v>
      </c>
    </row>
    <row r="134" spans="1: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</row>
    <row r="135" spans="1:15">
      <c r="A135" s="213" t="s">
        <v>844</v>
      </c>
      <c r="B135" s="214"/>
      <c r="C135" s="214"/>
      <c r="D135" s="214"/>
      <c r="E135" s="214"/>
      <c r="F135" s="214"/>
      <c r="G135" s="214"/>
      <c r="H135" s="214"/>
      <c r="I135" s="214"/>
      <c r="J135" s="214"/>
      <c r="K135" s="214"/>
      <c r="L135" s="214"/>
      <c r="M135" s="214"/>
      <c r="N135" s="215"/>
    </row>
    <row r="136" spans="1:15">
      <c r="A136" s="181" t="s">
        <v>73</v>
      </c>
      <c r="B136" s="63">
        <f>-B116*B108</f>
        <v>577585.85574243881</v>
      </c>
      <c r="C136" s="63">
        <f t="shared" ref="C136:N136" si="15">-C116*C108</f>
        <v>580696.64687451464</v>
      </c>
      <c r="D136" s="63">
        <f t="shared" si="15"/>
        <v>581589.91186842159</v>
      </c>
      <c r="E136" s="63">
        <f t="shared" si="15"/>
        <v>583069.7227327904</v>
      </c>
      <c r="F136" s="63">
        <f t="shared" si="15"/>
        <v>593870.73413373542</v>
      </c>
      <c r="G136" s="63">
        <f t="shared" si="15"/>
        <v>594397.54625276139</v>
      </c>
      <c r="H136" s="63">
        <f t="shared" si="15"/>
        <v>595303.69657172216</v>
      </c>
      <c r="I136" s="63">
        <f t="shared" si="15"/>
        <v>595848.3104768513</v>
      </c>
      <c r="J136" s="63">
        <f t="shared" si="15"/>
        <v>594268.83481986553</v>
      </c>
      <c r="K136" s="63">
        <f t="shared" si="15"/>
        <v>595429.18371157488</v>
      </c>
      <c r="L136" s="63">
        <f t="shared" si="15"/>
        <v>596592.92273030779</v>
      </c>
      <c r="M136" s="63">
        <f t="shared" si="15"/>
        <v>597246.30254898907</v>
      </c>
      <c r="N136" s="63">
        <f t="shared" si="15"/>
        <v>594252.09636740224</v>
      </c>
    </row>
    <row r="137" spans="1:15">
      <c r="A137" s="181" t="s">
        <v>18</v>
      </c>
      <c r="B137" s="63">
        <f>-B116*B109</f>
        <v>72682.661360287122</v>
      </c>
      <c r="C137" s="63">
        <f t="shared" ref="C137:N137" si="16">-C116*C109</f>
        <v>73975.412250480906</v>
      </c>
      <c r="D137" s="63">
        <f t="shared" si="16"/>
        <v>74574.879291723817</v>
      </c>
      <c r="E137" s="63">
        <f t="shared" si="16"/>
        <v>74221.455827985425</v>
      </c>
      <c r="F137" s="63">
        <f t="shared" si="16"/>
        <v>76076.669663265042</v>
      </c>
      <c r="G137" s="63">
        <f t="shared" si="16"/>
        <v>76552.665155715091</v>
      </c>
      <c r="H137" s="63">
        <f t="shared" si="16"/>
        <v>77371.709596441127</v>
      </c>
      <c r="I137" s="63">
        <f t="shared" si="16"/>
        <v>77102.228514810049</v>
      </c>
      <c r="J137" s="63">
        <f t="shared" si="16"/>
        <v>77479.514098150728</v>
      </c>
      <c r="K137" s="63">
        <f t="shared" si="16"/>
        <v>78206.499380783367</v>
      </c>
      <c r="L137" s="63">
        <f t="shared" si="16"/>
        <v>78945.786552379635</v>
      </c>
      <c r="M137" s="63">
        <f t="shared" si="16"/>
        <v>79331.898973179748</v>
      </c>
      <c r="N137" s="63">
        <f t="shared" si="16"/>
        <v>81241.972493460358</v>
      </c>
      <c r="O137" s="208"/>
    </row>
    <row r="138" spans="1:15">
      <c r="A138" s="181" t="s">
        <v>840</v>
      </c>
      <c r="B138" s="63">
        <f>-B116*B110</f>
        <v>449185.09875268926</v>
      </c>
      <c r="C138" s="63">
        <f t="shared" ref="C138:N138" si="17">-C116*C110</f>
        <v>455161.96392430563</v>
      </c>
      <c r="D138" s="63">
        <f t="shared" si="17"/>
        <v>459006.11892761063</v>
      </c>
      <c r="E138" s="63">
        <f t="shared" si="17"/>
        <v>463021.18308087124</v>
      </c>
      <c r="F138" s="63">
        <f t="shared" si="17"/>
        <v>452734.63495728502</v>
      </c>
      <c r="G138" s="63">
        <f t="shared" si="17"/>
        <v>456769.42623502191</v>
      </c>
      <c r="H138" s="63">
        <f t="shared" si="17"/>
        <v>460032.95139169751</v>
      </c>
      <c r="I138" s="63">
        <f t="shared" si="17"/>
        <v>465028.65550763113</v>
      </c>
      <c r="J138" s="63">
        <f t="shared" si="17"/>
        <v>466446.09603815631</v>
      </c>
      <c r="K138" s="63">
        <f t="shared" si="17"/>
        <v>469777.05684233294</v>
      </c>
      <c r="L138" s="63">
        <f t="shared" si="17"/>
        <v>473142.37696272647</v>
      </c>
      <c r="M138" s="63">
        <f t="shared" si="17"/>
        <v>477405.42909300415</v>
      </c>
      <c r="N138" s="63">
        <f t="shared" si="17"/>
        <v>484409.75135097757</v>
      </c>
    </row>
    <row r="139" spans="1:15">
      <c r="A139" s="181" t="s">
        <v>59</v>
      </c>
      <c r="B139" s="63">
        <f>-B116*B111</f>
        <v>176574.38414458482</v>
      </c>
      <c r="C139" s="63">
        <f t="shared" ref="C139:N139" si="18">-C116*C111</f>
        <v>172356.97695069882</v>
      </c>
      <c r="D139" s="63">
        <f t="shared" si="18"/>
        <v>173183.08991224394</v>
      </c>
      <c r="E139" s="63">
        <f t="shared" si="18"/>
        <v>174204.638358353</v>
      </c>
      <c r="F139" s="63">
        <f t="shared" si="18"/>
        <v>177996.9612457144</v>
      </c>
      <c r="G139" s="63">
        <f t="shared" si="18"/>
        <v>179122.3623565016</v>
      </c>
      <c r="H139" s="63">
        <f t="shared" si="18"/>
        <v>180296.642440139</v>
      </c>
      <c r="I139" s="63">
        <f t="shared" si="18"/>
        <v>181793.80550070759</v>
      </c>
      <c r="J139" s="63">
        <f t="shared" si="18"/>
        <v>181895.5550438276</v>
      </c>
      <c r="K139" s="63">
        <f t="shared" si="18"/>
        <v>182840.26006530877</v>
      </c>
      <c r="L139" s="63">
        <f t="shared" si="18"/>
        <v>183734.91375458604</v>
      </c>
      <c r="M139" s="63">
        <f t="shared" si="18"/>
        <v>184595.36938482718</v>
      </c>
      <c r="N139" s="63">
        <f t="shared" si="18"/>
        <v>184862.17978815979</v>
      </c>
    </row>
    <row r="140" spans="1:15">
      <c r="A140" s="216"/>
      <c r="B140" s="217">
        <f t="shared" ref="B140:M140" si="19">SUM(B136:B139)</f>
        <v>1276028</v>
      </c>
      <c r="C140" s="217">
        <f t="shared" si="19"/>
        <v>1282190.9999999998</v>
      </c>
      <c r="D140" s="217">
        <f t="shared" si="19"/>
        <v>1288354</v>
      </c>
      <c r="E140" s="217">
        <f t="shared" si="19"/>
        <v>1294517</v>
      </c>
      <c r="F140" s="217">
        <f t="shared" si="19"/>
        <v>1300678.9999999998</v>
      </c>
      <c r="G140" s="217">
        <f t="shared" si="19"/>
        <v>1306842</v>
      </c>
      <c r="H140" s="217">
        <f t="shared" si="19"/>
        <v>1313004.9999999998</v>
      </c>
      <c r="I140" s="217">
        <f t="shared" si="19"/>
        <v>1319773</v>
      </c>
      <c r="J140" s="217">
        <f t="shared" si="19"/>
        <v>1320090.0000000002</v>
      </c>
      <c r="K140" s="217">
        <f t="shared" si="19"/>
        <v>1326253</v>
      </c>
      <c r="L140" s="217">
        <f t="shared" si="19"/>
        <v>1332416</v>
      </c>
      <c r="M140" s="217">
        <f t="shared" si="19"/>
        <v>1338579</v>
      </c>
      <c r="N140" s="217">
        <f>SUM(N136:N139)</f>
        <v>1344766</v>
      </c>
    </row>
  </sheetData>
  <pageMargins left="0.5" right="0.25" top="1" bottom="1" header="0.25" footer="0.5"/>
  <pageSetup scale="60" orientation="portrait" verticalDpi="0" r:id="rId2"/>
  <headerFooter alignWithMargins="0">
    <oddHeader>&amp;L&amp;"Times New Roman,Regular"&amp;12ARPA 5-8_Attach A.xlsx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4339-06BB-4066-904A-2066673D8561}">
  <sheetPr>
    <tabColor rgb="FFFFFF00"/>
  </sheetPr>
  <dimension ref="A1:O3253"/>
  <sheetViews>
    <sheetView workbookViewId="0"/>
  </sheetViews>
  <sheetFormatPr defaultColWidth="8.85546875" defaultRowHeight="12.75"/>
  <cols>
    <col min="1" max="1" width="10.85546875" style="181" bestFit="1" customWidth="1"/>
    <col min="2" max="2" width="10.140625" style="181" bestFit="1" customWidth="1"/>
    <col min="3" max="3" width="36.140625" style="181" bestFit="1" customWidth="1"/>
    <col min="4" max="4" width="8.28515625" style="181" bestFit="1" customWidth="1"/>
    <col min="5" max="5" width="26.28515625" style="181" bestFit="1" customWidth="1"/>
    <col min="6" max="6" width="12" style="181" bestFit="1" customWidth="1"/>
    <col min="7" max="7" width="20.42578125" style="181" bestFit="1" customWidth="1"/>
    <col min="8" max="8" width="14.140625" style="181" bestFit="1" customWidth="1"/>
    <col min="9" max="9" width="11.42578125" style="181" bestFit="1" customWidth="1"/>
    <col min="10" max="10" width="13.7109375" style="181" bestFit="1" customWidth="1"/>
    <col min="11" max="11" width="14.5703125" style="181" bestFit="1" customWidth="1"/>
    <col min="12" max="12" width="13.140625" style="181" bestFit="1" customWidth="1"/>
    <col min="13" max="13" width="11.42578125" style="181" bestFit="1" customWidth="1"/>
    <col min="14" max="14" width="13.7109375" style="181" bestFit="1" customWidth="1"/>
    <col min="15" max="15" width="14.140625" style="181" bestFit="1" customWidth="1"/>
    <col min="16" max="16384" width="8.85546875" style="181"/>
  </cols>
  <sheetData>
    <row r="1" spans="1:15">
      <c r="A1" s="178" t="s">
        <v>0</v>
      </c>
      <c r="B1" s="178" t="s">
        <v>1</v>
      </c>
      <c r="C1" s="178" t="s">
        <v>640</v>
      </c>
      <c r="D1" s="190" t="s">
        <v>150</v>
      </c>
      <c r="E1" s="178" t="s">
        <v>3</v>
      </c>
      <c r="F1" s="178" t="s">
        <v>2</v>
      </c>
      <c r="G1" s="178" t="s">
        <v>639</v>
      </c>
      <c r="H1" s="178" t="s">
        <v>8</v>
      </c>
      <c r="I1" s="178" t="s">
        <v>641</v>
      </c>
      <c r="J1" s="178" t="s">
        <v>10</v>
      </c>
      <c r="K1" s="178" t="s">
        <v>642</v>
      </c>
      <c r="L1" s="178" t="s">
        <v>643</v>
      </c>
      <c r="M1" s="178" t="s">
        <v>644</v>
      </c>
      <c r="N1" s="178" t="s">
        <v>645</v>
      </c>
      <c r="O1" s="178" t="s">
        <v>12</v>
      </c>
    </row>
    <row r="2" spans="1:15">
      <c r="A2" s="191">
        <v>44531</v>
      </c>
      <c r="B2" s="181" t="s">
        <v>13</v>
      </c>
      <c r="C2" s="181" t="s">
        <v>794</v>
      </c>
      <c r="D2" s="181" t="str">
        <f t="shared" ref="D2:D33" si="0">MID(C2,10,5)</f>
        <v>30100</v>
      </c>
      <c r="E2" s="181" t="s">
        <v>15</v>
      </c>
      <c r="F2" s="181" t="s">
        <v>14</v>
      </c>
      <c r="G2" s="181" t="s">
        <v>795</v>
      </c>
      <c r="H2" s="8">
        <v>185041.94</v>
      </c>
      <c r="I2" s="8">
        <v>689.48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185731.42</v>
      </c>
    </row>
    <row r="3" spans="1:15">
      <c r="A3" s="191">
        <v>44562</v>
      </c>
      <c r="B3" s="181" t="s">
        <v>133</v>
      </c>
      <c r="C3" s="181" t="s">
        <v>794</v>
      </c>
      <c r="D3" s="181" t="str">
        <f t="shared" si="0"/>
        <v>30100</v>
      </c>
      <c r="E3" s="181" t="s">
        <v>15</v>
      </c>
      <c r="F3" s="181" t="s">
        <v>14</v>
      </c>
      <c r="G3" s="181" t="s">
        <v>795</v>
      </c>
      <c r="H3" s="8">
        <v>185731.42</v>
      </c>
      <c r="I3" s="8">
        <v>689.51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186420.93</v>
      </c>
    </row>
    <row r="4" spans="1:15">
      <c r="A4" s="191">
        <v>44593</v>
      </c>
      <c r="B4" s="181" t="s">
        <v>132</v>
      </c>
      <c r="C4" s="181" t="s">
        <v>794</v>
      </c>
      <c r="D4" s="181" t="str">
        <f t="shared" si="0"/>
        <v>30100</v>
      </c>
      <c r="E4" s="181" t="s">
        <v>15</v>
      </c>
      <c r="F4" s="181" t="s">
        <v>14</v>
      </c>
      <c r="G4" s="181" t="s">
        <v>795</v>
      </c>
      <c r="H4" s="8">
        <v>186420.93</v>
      </c>
      <c r="I4" s="8">
        <v>689.48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187110.41</v>
      </c>
    </row>
    <row r="5" spans="1:15">
      <c r="A5" s="191">
        <v>44621</v>
      </c>
      <c r="B5" s="181" t="s">
        <v>131</v>
      </c>
      <c r="C5" s="181" t="s">
        <v>794</v>
      </c>
      <c r="D5" s="181" t="str">
        <f t="shared" si="0"/>
        <v>30100</v>
      </c>
      <c r="E5" s="181" t="s">
        <v>15</v>
      </c>
      <c r="F5" s="181" t="s">
        <v>14</v>
      </c>
      <c r="G5" s="181" t="s">
        <v>795</v>
      </c>
      <c r="H5" s="8">
        <v>187110.41</v>
      </c>
      <c r="I5" s="8">
        <v>689.51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187799.92</v>
      </c>
    </row>
    <row r="6" spans="1:15">
      <c r="A6" s="191">
        <v>44652</v>
      </c>
      <c r="B6" s="181" t="s">
        <v>130</v>
      </c>
      <c r="C6" s="181" t="s">
        <v>794</v>
      </c>
      <c r="D6" s="181" t="str">
        <f t="shared" si="0"/>
        <v>30100</v>
      </c>
      <c r="E6" s="181" t="s">
        <v>15</v>
      </c>
      <c r="F6" s="181" t="s">
        <v>14</v>
      </c>
      <c r="G6" s="181" t="s">
        <v>795</v>
      </c>
      <c r="H6" s="8">
        <v>187799.92</v>
      </c>
      <c r="I6" s="8">
        <v>689.48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188489.4</v>
      </c>
    </row>
    <row r="7" spans="1:15">
      <c r="A7" s="191">
        <v>44682</v>
      </c>
      <c r="B7" s="181" t="s">
        <v>129</v>
      </c>
      <c r="C7" s="181" t="s">
        <v>794</v>
      </c>
      <c r="D7" s="181" t="str">
        <f t="shared" si="0"/>
        <v>30100</v>
      </c>
      <c r="E7" s="181" t="s">
        <v>15</v>
      </c>
      <c r="F7" s="181" t="s">
        <v>14</v>
      </c>
      <c r="G7" s="181" t="s">
        <v>795</v>
      </c>
      <c r="H7" s="8">
        <v>188489.4</v>
      </c>
      <c r="I7" s="8">
        <v>689.51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189178.91</v>
      </c>
    </row>
    <row r="8" spans="1:15">
      <c r="A8" s="191">
        <v>44713</v>
      </c>
      <c r="B8" s="181" t="s">
        <v>128</v>
      </c>
      <c r="C8" s="181" t="s">
        <v>794</v>
      </c>
      <c r="D8" s="181" t="str">
        <f t="shared" si="0"/>
        <v>30100</v>
      </c>
      <c r="E8" s="181" t="s">
        <v>15</v>
      </c>
      <c r="F8" s="181" t="s">
        <v>14</v>
      </c>
      <c r="G8" s="181" t="s">
        <v>795</v>
      </c>
      <c r="H8" s="8">
        <v>189178.91</v>
      </c>
      <c r="I8" s="8">
        <v>689.48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189868.39</v>
      </c>
    </row>
    <row r="9" spans="1:15">
      <c r="A9" s="191">
        <v>44743</v>
      </c>
      <c r="B9" s="181" t="s">
        <v>127</v>
      </c>
      <c r="C9" s="181" t="s">
        <v>794</v>
      </c>
      <c r="D9" s="181" t="str">
        <f t="shared" si="0"/>
        <v>30100</v>
      </c>
      <c r="E9" s="181" t="s">
        <v>15</v>
      </c>
      <c r="F9" s="181" t="s">
        <v>14</v>
      </c>
      <c r="G9" s="181" t="s">
        <v>795</v>
      </c>
      <c r="H9" s="8">
        <v>189868.39</v>
      </c>
      <c r="I9" s="8">
        <v>689.51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190557.9</v>
      </c>
    </row>
    <row r="10" spans="1:15">
      <c r="A10" s="191">
        <v>44774</v>
      </c>
      <c r="B10" s="181" t="s">
        <v>126</v>
      </c>
      <c r="C10" s="181" t="s">
        <v>794</v>
      </c>
      <c r="D10" s="181" t="str">
        <f t="shared" si="0"/>
        <v>30100</v>
      </c>
      <c r="E10" s="181" t="s">
        <v>15</v>
      </c>
      <c r="F10" s="181" t="s">
        <v>14</v>
      </c>
      <c r="G10" s="181" t="s">
        <v>795</v>
      </c>
      <c r="H10" s="8">
        <v>190557.9</v>
      </c>
      <c r="I10" s="8">
        <v>689.48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191247.38</v>
      </c>
    </row>
    <row r="11" spans="1:15">
      <c r="A11" s="191">
        <v>44805</v>
      </c>
      <c r="B11" s="181" t="s">
        <v>125</v>
      </c>
      <c r="C11" s="181" t="s">
        <v>794</v>
      </c>
      <c r="D11" s="181" t="str">
        <f t="shared" si="0"/>
        <v>30100</v>
      </c>
      <c r="E11" s="181" t="s">
        <v>15</v>
      </c>
      <c r="F11" s="181" t="s">
        <v>14</v>
      </c>
      <c r="G11" s="181" t="s">
        <v>795</v>
      </c>
      <c r="H11" s="8">
        <v>191247.38</v>
      </c>
      <c r="I11" s="8">
        <v>689.48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191936.86000000002</v>
      </c>
    </row>
    <row r="12" spans="1:15">
      <c r="A12" s="191">
        <v>44835</v>
      </c>
      <c r="B12" s="181" t="s">
        <v>124</v>
      </c>
      <c r="C12" s="181" t="s">
        <v>794</v>
      </c>
      <c r="D12" s="181" t="str">
        <f t="shared" si="0"/>
        <v>30100</v>
      </c>
      <c r="E12" s="181" t="s">
        <v>15</v>
      </c>
      <c r="F12" s="181" t="s">
        <v>14</v>
      </c>
      <c r="G12" s="181" t="s">
        <v>795</v>
      </c>
      <c r="H12" s="8">
        <v>191936.86000000002</v>
      </c>
      <c r="I12" s="8">
        <v>689.51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192626.37</v>
      </c>
    </row>
    <row r="13" spans="1:15">
      <c r="A13" s="191">
        <v>44866</v>
      </c>
      <c r="B13" s="181" t="s">
        <v>123</v>
      </c>
      <c r="C13" s="181" t="s">
        <v>794</v>
      </c>
      <c r="D13" s="181" t="str">
        <f t="shared" si="0"/>
        <v>30100</v>
      </c>
      <c r="E13" s="181" t="s">
        <v>15</v>
      </c>
      <c r="F13" s="181" t="s">
        <v>14</v>
      </c>
      <c r="G13" s="181" t="s">
        <v>795</v>
      </c>
      <c r="H13" s="8">
        <v>192626.37</v>
      </c>
      <c r="I13" s="8">
        <v>689.48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193315.85</v>
      </c>
    </row>
    <row r="14" spans="1:15">
      <c r="A14" s="191">
        <v>44896</v>
      </c>
      <c r="B14" s="181" t="s">
        <v>122</v>
      </c>
      <c r="C14" s="181" t="s">
        <v>794</v>
      </c>
      <c r="D14" s="181" t="str">
        <f t="shared" si="0"/>
        <v>30100</v>
      </c>
      <c r="E14" s="181" t="s">
        <v>15</v>
      </c>
      <c r="F14" s="181" t="s">
        <v>14</v>
      </c>
      <c r="G14" s="181" t="s">
        <v>795</v>
      </c>
      <c r="H14" s="8">
        <v>193315.85</v>
      </c>
      <c r="I14" s="8">
        <v>689.51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194005.36000000002</v>
      </c>
    </row>
    <row r="15" spans="1:15">
      <c r="A15" s="191">
        <v>44531</v>
      </c>
      <c r="B15" s="181" t="s">
        <v>13</v>
      </c>
      <c r="C15" s="181" t="s">
        <v>796</v>
      </c>
      <c r="D15" s="181" t="str">
        <f t="shared" si="0"/>
        <v>30201</v>
      </c>
      <c r="E15" s="181" t="s">
        <v>15</v>
      </c>
      <c r="F15" s="181" t="s">
        <v>14</v>
      </c>
      <c r="G15" s="181" t="s">
        <v>795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>
      <c r="A16" s="191">
        <v>44562</v>
      </c>
      <c r="B16" s="181" t="s">
        <v>133</v>
      </c>
      <c r="C16" s="181" t="s">
        <v>796</v>
      </c>
      <c r="D16" s="181" t="str">
        <f t="shared" si="0"/>
        <v>30201</v>
      </c>
      <c r="E16" s="181" t="s">
        <v>15</v>
      </c>
      <c r="F16" s="181" t="s">
        <v>14</v>
      </c>
      <c r="G16" s="181" t="s">
        <v>795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>
      <c r="A17" s="191">
        <v>44593</v>
      </c>
      <c r="B17" s="181" t="s">
        <v>132</v>
      </c>
      <c r="C17" s="181" t="s">
        <v>796</v>
      </c>
      <c r="D17" s="181" t="str">
        <f t="shared" si="0"/>
        <v>30201</v>
      </c>
      <c r="E17" s="181" t="s">
        <v>15</v>
      </c>
      <c r="F17" s="181" t="s">
        <v>14</v>
      </c>
      <c r="G17" s="181" t="s">
        <v>795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>
      <c r="A18" s="191">
        <v>44621</v>
      </c>
      <c r="B18" s="181" t="s">
        <v>131</v>
      </c>
      <c r="C18" s="181" t="s">
        <v>796</v>
      </c>
      <c r="D18" s="181" t="str">
        <f t="shared" si="0"/>
        <v>30201</v>
      </c>
      <c r="E18" s="181" t="s">
        <v>15</v>
      </c>
      <c r="F18" s="181" t="s">
        <v>14</v>
      </c>
      <c r="G18" s="181" t="s">
        <v>795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</row>
    <row r="19" spans="1:15">
      <c r="A19" s="191">
        <v>44652</v>
      </c>
      <c r="B19" s="181" t="s">
        <v>130</v>
      </c>
      <c r="C19" s="181" t="s">
        <v>796</v>
      </c>
      <c r="D19" s="181" t="str">
        <f t="shared" si="0"/>
        <v>30201</v>
      </c>
      <c r="E19" s="181" t="s">
        <v>15</v>
      </c>
      <c r="F19" s="181" t="s">
        <v>14</v>
      </c>
      <c r="G19" s="181" t="s">
        <v>795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>
      <c r="A20" s="191">
        <v>44682</v>
      </c>
      <c r="B20" s="181" t="s">
        <v>129</v>
      </c>
      <c r="C20" s="181" t="s">
        <v>796</v>
      </c>
      <c r="D20" s="181" t="str">
        <f t="shared" si="0"/>
        <v>30201</v>
      </c>
      <c r="E20" s="181" t="s">
        <v>15</v>
      </c>
      <c r="F20" s="181" t="s">
        <v>14</v>
      </c>
      <c r="G20" s="181" t="s">
        <v>795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>
      <c r="A21" s="191">
        <v>44713</v>
      </c>
      <c r="B21" s="181" t="s">
        <v>128</v>
      </c>
      <c r="C21" s="181" t="s">
        <v>796</v>
      </c>
      <c r="D21" s="181" t="str">
        <f t="shared" si="0"/>
        <v>30201</v>
      </c>
      <c r="E21" s="181" t="s">
        <v>15</v>
      </c>
      <c r="F21" s="181" t="s">
        <v>14</v>
      </c>
      <c r="G21" s="181" t="s">
        <v>795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>
      <c r="A22" s="191">
        <v>44743</v>
      </c>
      <c r="B22" s="181" t="s">
        <v>127</v>
      </c>
      <c r="C22" s="181" t="s">
        <v>796</v>
      </c>
      <c r="D22" s="181" t="str">
        <f t="shared" si="0"/>
        <v>30201</v>
      </c>
      <c r="E22" s="181" t="s">
        <v>15</v>
      </c>
      <c r="F22" s="181" t="s">
        <v>14</v>
      </c>
      <c r="G22" s="181" t="s">
        <v>795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>
      <c r="A23" s="191">
        <v>44774</v>
      </c>
      <c r="B23" s="181" t="s">
        <v>126</v>
      </c>
      <c r="C23" s="181" t="s">
        <v>796</v>
      </c>
      <c r="D23" s="181" t="str">
        <f t="shared" si="0"/>
        <v>30201</v>
      </c>
      <c r="E23" s="181" t="s">
        <v>15</v>
      </c>
      <c r="F23" s="181" t="s">
        <v>14</v>
      </c>
      <c r="G23" s="181" t="s">
        <v>795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>
      <c r="A24" s="191">
        <v>44805</v>
      </c>
      <c r="B24" s="181" t="s">
        <v>125</v>
      </c>
      <c r="C24" s="181" t="s">
        <v>796</v>
      </c>
      <c r="D24" s="181" t="str">
        <f t="shared" si="0"/>
        <v>30201</v>
      </c>
      <c r="E24" s="181" t="s">
        <v>15</v>
      </c>
      <c r="F24" s="181" t="s">
        <v>14</v>
      </c>
      <c r="G24" s="181" t="s">
        <v>795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>
      <c r="A25" s="191">
        <v>44835</v>
      </c>
      <c r="B25" s="181" t="s">
        <v>124</v>
      </c>
      <c r="C25" s="181" t="s">
        <v>796</v>
      </c>
      <c r="D25" s="181" t="str">
        <f t="shared" si="0"/>
        <v>30201</v>
      </c>
      <c r="E25" s="181" t="s">
        <v>15</v>
      </c>
      <c r="F25" s="181" t="s">
        <v>14</v>
      </c>
      <c r="G25" s="181" t="s">
        <v>795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>
      <c r="A26" s="191">
        <v>44866</v>
      </c>
      <c r="B26" s="181" t="s">
        <v>123</v>
      </c>
      <c r="C26" s="181" t="s">
        <v>796</v>
      </c>
      <c r="D26" s="181" t="str">
        <f t="shared" si="0"/>
        <v>30201</v>
      </c>
      <c r="E26" s="181" t="s">
        <v>15</v>
      </c>
      <c r="F26" s="181" t="s">
        <v>14</v>
      </c>
      <c r="G26" s="181" t="s">
        <v>795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>
      <c r="A27" s="191">
        <v>44896</v>
      </c>
      <c r="B27" s="181" t="s">
        <v>122</v>
      </c>
      <c r="C27" s="181" t="s">
        <v>796</v>
      </c>
      <c r="D27" s="181" t="str">
        <f t="shared" si="0"/>
        <v>30201</v>
      </c>
      <c r="E27" s="181" t="s">
        <v>15</v>
      </c>
      <c r="F27" s="181" t="s">
        <v>14</v>
      </c>
      <c r="G27" s="181" t="s">
        <v>795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>
      <c r="A28" s="191">
        <v>44531</v>
      </c>
      <c r="B28" s="181" t="s">
        <v>13</v>
      </c>
      <c r="C28" s="181" t="s">
        <v>797</v>
      </c>
      <c r="D28" s="181" t="str">
        <f t="shared" si="0"/>
        <v>30301</v>
      </c>
      <c r="E28" s="181" t="s">
        <v>15</v>
      </c>
      <c r="F28" s="181" t="s">
        <v>14</v>
      </c>
      <c r="G28" s="181" t="s">
        <v>795</v>
      </c>
      <c r="H28" s="8">
        <v>40041.770000000004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40041.770000000004</v>
      </c>
    </row>
    <row r="29" spans="1:15">
      <c r="A29" s="191">
        <v>44562</v>
      </c>
      <c r="B29" s="181" t="s">
        <v>133</v>
      </c>
      <c r="C29" s="181" t="s">
        <v>797</v>
      </c>
      <c r="D29" s="181" t="str">
        <f t="shared" si="0"/>
        <v>30301</v>
      </c>
      <c r="E29" s="181" t="s">
        <v>15</v>
      </c>
      <c r="F29" s="181" t="s">
        <v>14</v>
      </c>
      <c r="G29" s="181" t="s">
        <v>795</v>
      </c>
      <c r="H29" s="8">
        <v>40041.770000000004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40041.770000000004</v>
      </c>
    </row>
    <row r="30" spans="1:15">
      <c r="A30" s="191">
        <v>44593</v>
      </c>
      <c r="B30" s="181" t="s">
        <v>132</v>
      </c>
      <c r="C30" s="181" t="s">
        <v>797</v>
      </c>
      <c r="D30" s="181" t="str">
        <f t="shared" si="0"/>
        <v>30301</v>
      </c>
      <c r="E30" s="181" t="s">
        <v>15</v>
      </c>
      <c r="F30" s="181" t="s">
        <v>14</v>
      </c>
      <c r="G30" s="181" t="s">
        <v>795</v>
      </c>
      <c r="H30" s="8">
        <v>40041.770000000004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40041.770000000004</v>
      </c>
    </row>
    <row r="31" spans="1:15">
      <c r="A31" s="191">
        <v>44621</v>
      </c>
      <c r="B31" s="181" t="s">
        <v>131</v>
      </c>
      <c r="C31" s="181" t="s">
        <v>797</v>
      </c>
      <c r="D31" s="181" t="str">
        <f t="shared" si="0"/>
        <v>30301</v>
      </c>
      <c r="E31" s="181" t="s">
        <v>15</v>
      </c>
      <c r="F31" s="181" t="s">
        <v>14</v>
      </c>
      <c r="G31" s="181" t="s">
        <v>795</v>
      </c>
      <c r="H31" s="8">
        <v>40041.770000000004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40041.770000000004</v>
      </c>
    </row>
    <row r="32" spans="1:15">
      <c r="A32" s="191">
        <v>44652</v>
      </c>
      <c r="B32" s="181" t="s">
        <v>130</v>
      </c>
      <c r="C32" s="181" t="s">
        <v>797</v>
      </c>
      <c r="D32" s="181" t="str">
        <f t="shared" si="0"/>
        <v>30301</v>
      </c>
      <c r="E32" s="181" t="s">
        <v>15</v>
      </c>
      <c r="F32" s="181" t="s">
        <v>14</v>
      </c>
      <c r="G32" s="181" t="s">
        <v>795</v>
      </c>
      <c r="H32" s="8">
        <v>40041.770000000004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40041.770000000004</v>
      </c>
    </row>
    <row r="33" spans="1:15">
      <c r="A33" s="191">
        <v>44682</v>
      </c>
      <c r="B33" s="181" t="s">
        <v>129</v>
      </c>
      <c r="C33" s="181" t="s">
        <v>797</v>
      </c>
      <c r="D33" s="181" t="str">
        <f t="shared" si="0"/>
        <v>30301</v>
      </c>
      <c r="E33" s="181" t="s">
        <v>15</v>
      </c>
      <c r="F33" s="181" t="s">
        <v>14</v>
      </c>
      <c r="G33" s="181" t="s">
        <v>795</v>
      </c>
      <c r="H33" s="8">
        <v>40041.770000000004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40041.770000000004</v>
      </c>
    </row>
    <row r="34" spans="1:15">
      <c r="A34" s="191">
        <v>44713</v>
      </c>
      <c r="B34" s="181" t="s">
        <v>128</v>
      </c>
      <c r="C34" s="181" t="s">
        <v>797</v>
      </c>
      <c r="D34" s="181" t="str">
        <f t="shared" ref="D34:D51" si="1">MID(C34,10,5)</f>
        <v>30301</v>
      </c>
      <c r="E34" s="181" t="s">
        <v>15</v>
      </c>
      <c r="F34" s="181" t="s">
        <v>14</v>
      </c>
      <c r="G34" s="181" t="s">
        <v>795</v>
      </c>
      <c r="H34" s="8">
        <v>40041.770000000004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40041.770000000004</v>
      </c>
    </row>
    <row r="35" spans="1:15">
      <c r="A35" s="191">
        <v>44743</v>
      </c>
      <c r="B35" s="181" t="s">
        <v>127</v>
      </c>
      <c r="C35" s="181" t="s">
        <v>797</v>
      </c>
      <c r="D35" s="181" t="str">
        <f t="shared" si="1"/>
        <v>30301</v>
      </c>
      <c r="E35" s="181" t="s">
        <v>15</v>
      </c>
      <c r="F35" s="181" t="s">
        <v>14</v>
      </c>
      <c r="G35" s="181" t="s">
        <v>795</v>
      </c>
      <c r="H35" s="8">
        <v>40041.770000000004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40041.770000000004</v>
      </c>
    </row>
    <row r="36" spans="1:15">
      <c r="A36" s="191">
        <v>44774</v>
      </c>
      <c r="B36" s="181" t="s">
        <v>126</v>
      </c>
      <c r="C36" s="181" t="s">
        <v>797</v>
      </c>
      <c r="D36" s="181" t="str">
        <f t="shared" si="1"/>
        <v>30301</v>
      </c>
      <c r="E36" s="181" t="s">
        <v>15</v>
      </c>
      <c r="F36" s="181" t="s">
        <v>14</v>
      </c>
      <c r="G36" s="181" t="s">
        <v>795</v>
      </c>
      <c r="H36" s="8">
        <v>40041.770000000004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40041.770000000004</v>
      </c>
    </row>
    <row r="37" spans="1:15">
      <c r="A37" s="191">
        <v>44805</v>
      </c>
      <c r="B37" s="181" t="s">
        <v>125</v>
      </c>
      <c r="C37" s="181" t="s">
        <v>797</v>
      </c>
      <c r="D37" s="181" t="str">
        <f t="shared" si="1"/>
        <v>30301</v>
      </c>
      <c r="E37" s="181" t="s">
        <v>15</v>
      </c>
      <c r="F37" s="181" t="s">
        <v>14</v>
      </c>
      <c r="G37" s="181" t="s">
        <v>795</v>
      </c>
      <c r="H37" s="8">
        <v>40041.770000000004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40041.770000000004</v>
      </c>
    </row>
    <row r="38" spans="1:15">
      <c r="A38" s="191">
        <v>44835</v>
      </c>
      <c r="B38" s="181" t="s">
        <v>124</v>
      </c>
      <c r="C38" s="181" t="s">
        <v>797</v>
      </c>
      <c r="D38" s="181" t="str">
        <f t="shared" si="1"/>
        <v>30301</v>
      </c>
      <c r="E38" s="181" t="s">
        <v>15</v>
      </c>
      <c r="F38" s="181" t="s">
        <v>14</v>
      </c>
      <c r="G38" s="181" t="s">
        <v>795</v>
      </c>
      <c r="H38" s="8">
        <v>40041.770000000004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40041.770000000004</v>
      </c>
    </row>
    <row r="39" spans="1:15">
      <c r="A39" s="191">
        <v>44866</v>
      </c>
      <c r="B39" s="181" t="s">
        <v>123</v>
      </c>
      <c r="C39" s="181" t="s">
        <v>797</v>
      </c>
      <c r="D39" s="181" t="str">
        <f t="shared" si="1"/>
        <v>30301</v>
      </c>
      <c r="E39" s="181" t="s">
        <v>15</v>
      </c>
      <c r="F39" s="181" t="s">
        <v>14</v>
      </c>
      <c r="G39" s="181" t="s">
        <v>795</v>
      </c>
      <c r="H39" s="8">
        <v>40041.770000000004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40041.770000000004</v>
      </c>
    </row>
    <row r="40" spans="1:15">
      <c r="A40" s="191">
        <v>44896</v>
      </c>
      <c r="B40" s="181" t="s">
        <v>122</v>
      </c>
      <c r="C40" s="181" t="s">
        <v>797</v>
      </c>
      <c r="D40" s="181" t="str">
        <f t="shared" si="1"/>
        <v>30301</v>
      </c>
      <c r="E40" s="181" t="s">
        <v>15</v>
      </c>
      <c r="F40" s="181" t="s">
        <v>14</v>
      </c>
      <c r="G40" s="181" t="s">
        <v>795</v>
      </c>
      <c r="H40" s="8">
        <v>40041.770000000004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40041.770000000004</v>
      </c>
    </row>
    <row r="41" spans="1:15">
      <c r="A41" s="191">
        <v>44531</v>
      </c>
      <c r="B41" s="181" t="s">
        <v>13</v>
      </c>
      <c r="C41" s="181" t="s">
        <v>798</v>
      </c>
      <c r="D41" s="181" t="str">
        <f t="shared" si="1"/>
        <v>30302</v>
      </c>
      <c r="E41" s="181" t="s">
        <v>15</v>
      </c>
      <c r="F41" s="181" t="s">
        <v>14</v>
      </c>
      <c r="G41" s="181" t="s">
        <v>795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>
      <c r="A42" s="191">
        <v>44562</v>
      </c>
      <c r="B42" s="181" t="s">
        <v>133</v>
      </c>
      <c r="C42" s="181" t="s">
        <v>798</v>
      </c>
      <c r="D42" s="181" t="str">
        <f t="shared" si="1"/>
        <v>30302</v>
      </c>
      <c r="E42" s="181" t="s">
        <v>15</v>
      </c>
      <c r="F42" s="181" t="s">
        <v>14</v>
      </c>
      <c r="G42" s="181" t="s">
        <v>795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>
      <c r="A43" s="191">
        <v>44593</v>
      </c>
      <c r="B43" s="181" t="s">
        <v>132</v>
      </c>
      <c r="C43" s="181" t="s">
        <v>798</v>
      </c>
      <c r="D43" s="181" t="str">
        <f t="shared" si="1"/>
        <v>30302</v>
      </c>
      <c r="E43" s="181" t="s">
        <v>15</v>
      </c>
      <c r="F43" s="181" t="s">
        <v>14</v>
      </c>
      <c r="G43" s="181" t="s">
        <v>795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</row>
    <row r="44" spans="1:15">
      <c r="A44" s="191">
        <v>44621</v>
      </c>
      <c r="B44" s="181" t="s">
        <v>131</v>
      </c>
      <c r="C44" s="181" t="s">
        <v>798</v>
      </c>
      <c r="D44" s="181" t="str">
        <f t="shared" si="1"/>
        <v>30302</v>
      </c>
      <c r="E44" s="181" t="s">
        <v>15</v>
      </c>
      <c r="F44" s="181" t="s">
        <v>14</v>
      </c>
      <c r="G44" s="181" t="s">
        <v>795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>
      <c r="A45" s="191">
        <v>44652</v>
      </c>
      <c r="B45" s="181" t="s">
        <v>130</v>
      </c>
      <c r="C45" s="181" t="s">
        <v>798</v>
      </c>
      <c r="D45" s="181" t="str">
        <f t="shared" si="1"/>
        <v>30302</v>
      </c>
      <c r="E45" s="181" t="s">
        <v>15</v>
      </c>
      <c r="F45" s="181" t="s">
        <v>14</v>
      </c>
      <c r="G45" s="181" t="s">
        <v>795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</row>
    <row r="46" spans="1:15">
      <c r="A46" s="191">
        <v>44682</v>
      </c>
      <c r="B46" s="181" t="s">
        <v>129</v>
      </c>
      <c r="C46" s="181" t="s">
        <v>798</v>
      </c>
      <c r="D46" s="181" t="str">
        <f t="shared" si="1"/>
        <v>30302</v>
      </c>
      <c r="E46" s="181" t="s">
        <v>15</v>
      </c>
      <c r="F46" s="181" t="s">
        <v>14</v>
      </c>
      <c r="G46" s="181" t="s">
        <v>795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</row>
    <row r="47" spans="1:15">
      <c r="A47" s="191">
        <v>44713</v>
      </c>
      <c r="B47" s="181" t="s">
        <v>128</v>
      </c>
      <c r="C47" s="181" t="s">
        <v>798</v>
      </c>
      <c r="D47" s="181" t="str">
        <f t="shared" si="1"/>
        <v>30302</v>
      </c>
      <c r="E47" s="181" t="s">
        <v>15</v>
      </c>
      <c r="F47" s="181" t="s">
        <v>14</v>
      </c>
      <c r="G47" s="181" t="s">
        <v>795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>
      <c r="A48" s="191">
        <v>44743</v>
      </c>
      <c r="B48" s="181" t="s">
        <v>127</v>
      </c>
      <c r="C48" s="181" t="s">
        <v>798</v>
      </c>
      <c r="D48" s="181" t="str">
        <f t="shared" si="1"/>
        <v>30302</v>
      </c>
      <c r="E48" s="181" t="s">
        <v>15</v>
      </c>
      <c r="F48" s="181" t="s">
        <v>14</v>
      </c>
      <c r="G48" s="181" t="s">
        <v>795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>
      <c r="A49" s="191">
        <v>44774</v>
      </c>
      <c r="B49" s="181" t="s">
        <v>126</v>
      </c>
      <c r="C49" s="181" t="s">
        <v>798</v>
      </c>
      <c r="D49" s="181" t="str">
        <f t="shared" si="1"/>
        <v>30302</v>
      </c>
      <c r="E49" s="181" t="s">
        <v>15</v>
      </c>
      <c r="F49" s="181" t="s">
        <v>14</v>
      </c>
      <c r="G49" s="181" t="s">
        <v>795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>
      <c r="A50" s="191">
        <v>44805</v>
      </c>
      <c r="B50" s="181" t="s">
        <v>125</v>
      </c>
      <c r="C50" s="181" t="s">
        <v>798</v>
      </c>
      <c r="D50" s="181" t="str">
        <f t="shared" si="1"/>
        <v>30302</v>
      </c>
      <c r="E50" s="181" t="s">
        <v>15</v>
      </c>
      <c r="F50" s="181" t="s">
        <v>14</v>
      </c>
      <c r="G50" s="181" t="s">
        <v>795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>
      <c r="A51" s="191">
        <v>44835</v>
      </c>
      <c r="B51" s="181" t="s">
        <v>124</v>
      </c>
      <c r="C51" s="181" t="s">
        <v>798</v>
      </c>
      <c r="D51" s="181" t="str">
        <f t="shared" si="1"/>
        <v>30302</v>
      </c>
      <c r="E51" s="181" t="s">
        <v>15</v>
      </c>
      <c r="F51" s="181" t="s">
        <v>14</v>
      </c>
      <c r="G51" s="181" t="s">
        <v>795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</row>
    <row r="52" spans="1:15">
      <c r="A52" s="191">
        <v>44531</v>
      </c>
      <c r="B52" s="181" t="s">
        <v>13</v>
      </c>
      <c r="C52" s="181" t="s">
        <v>825</v>
      </c>
      <c r="D52" s="181" t="str">
        <f t="shared" ref="D52:D57" si="2">MID(C52,8,5)</f>
        <v>30302</v>
      </c>
      <c r="E52" s="181" t="s">
        <v>15</v>
      </c>
      <c r="F52" s="181" t="s">
        <v>14</v>
      </c>
      <c r="G52" s="181" t="s">
        <v>647</v>
      </c>
      <c r="H52" s="8">
        <v>-0.01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-0.01</v>
      </c>
    </row>
    <row r="53" spans="1:15">
      <c r="A53" s="191">
        <v>44562</v>
      </c>
      <c r="B53" s="181" t="s">
        <v>133</v>
      </c>
      <c r="C53" s="181" t="s">
        <v>825</v>
      </c>
      <c r="D53" s="181" t="str">
        <f t="shared" si="2"/>
        <v>30302</v>
      </c>
      <c r="E53" s="181" t="s">
        <v>15</v>
      </c>
      <c r="F53" s="181" t="s">
        <v>14</v>
      </c>
      <c r="G53" s="181" t="s">
        <v>647</v>
      </c>
      <c r="H53" s="8">
        <v>-0.01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-0.01</v>
      </c>
    </row>
    <row r="54" spans="1:15">
      <c r="A54" s="191">
        <v>44593</v>
      </c>
      <c r="B54" s="181" t="s">
        <v>132</v>
      </c>
      <c r="C54" s="181" t="s">
        <v>825</v>
      </c>
      <c r="D54" s="181" t="str">
        <f t="shared" si="2"/>
        <v>30302</v>
      </c>
      <c r="E54" s="181" t="s">
        <v>15</v>
      </c>
      <c r="F54" s="181" t="s">
        <v>14</v>
      </c>
      <c r="G54" s="181" t="s">
        <v>647</v>
      </c>
      <c r="H54" s="8">
        <v>-0.01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-0.01</v>
      </c>
    </row>
    <row r="55" spans="1:15">
      <c r="A55" s="191">
        <v>44621</v>
      </c>
      <c r="B55" s="181" t="s">
        <v>131</v>
      </c>
      <c r="C55" s="181" t="s">
        <v>825</v>
      </c>
      <c r="D55" s="181" t="str">
        <f t="shared" si="2"/>
        <v>30302</v>
      </c>
      <c r="E55" s="181" t="s">
        <v>15</v>
      </c>
      <c r="F55" s="181" t="s">
        <v>14</v>
      </c>
      <c r="G55" s="181" t="s">
        <v>647</v>
      </c>
      <c r="H55" s="8">
        <v>-0.01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-0.01</v>
      </c>
    </row>
    <row r="56" spans="1:15">
      <c r="A56" s="191">
        <v>44652</v>
      </c>
      <c r="B56" s="181" t="s">
        <v>130</v>
      </c>
      <c r="C56" s="181" t="s">
        <v>825</v>
      </c>
      <c r="D56" s="181" t="str">
        <f t="shared" si="2"/>
        <v>30302</v>
      </c>
      <c r="E56" s="181" t="s">
        <v>15</v>
      </c>
      <c r="F56" s="181" t="s">
        <v>14</v>
      </c>
      <c r="G56" s="181" t="s">
        <v>647</v>
      </c>
      <c r="H56" s="8">
        <v>-0.01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-0.01</v>
      </c>
    </row>
    <row r="57" spans="1:15">
      <c r="A57" s="191">
        <v>44682</v>
      </c>
      <c r="B57" s="181" t="s">
        <v>129</v>
      </c>
      <c r="C57" s="181" t="s">
        <v>825</v>
      </c>
      <c r="D57" s="181" t="str">
        <f t="shared" si="2"/>
        <v>30302</v>
      </c>
      <c r="E57" s="181" t="s">
        <v>15</v>
      </c>
      <c r="F57" s="181" t="s">
        <v>14</v>
      </c>
      <c r="G57" s="181" t="s">
        <v>647</v>
      </c>
      <c r="H57" s="8">
        <v>-0.01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-0.01</v>
      </c>
    </row>
    <row r="58" spans="1:15">
      <c r="A58" s="191">
        <v>44866</v>
      </c>
      <c r="B58" s="181" t="s">
        <v>123</v>
      </c>
      <c r="C58" s="181" t="s">
        <v>798</v>
      </c>
      <c r="D58" s="181" t="str">
        <f>MID(C58,10,5)</f>
        <v>30302</v>
      </c>
      <c r="E58" s="181" t="s">
        <v>15</v>
      </c>
      <c r="F58" s="181" t="s">
        <v>14</v>
      </c>
      <c r="G58" s="181" t="s">
        <v>795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</row>
    <row r="59" spans="1:15">
      <c r="A59" s="191">
        <v>44713</v>
      </c>
      <c r="B59" s="181" t="s">
        <v>128</v>
      </c>
      <c r="C59" s="181" t="s">
        <v>825</v>
      </c>
      <c r="D59" s="181" t="str">
        <f t="shared" ref="D59:D65" si="3">MID(C59,8,5)</f>
        <v>30302</v>
      </c>
      <c r="E59" s="181" t="s">
        <v>15</v>
      </c>
      <c r="F59" s="181" t="s">
        <v>14</v>
      </c>
      <c r="G59" s="181" t="s">
        <v>647</v>
      </c>
      <c r="H59" s="8">
        <v>-0.01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-0.01</v>
      </c>
    </row>
    <row r="60" spans="1:15">
      <c r="A60" s="191">
        <v>44743</v>
      </c>
      <c r="B60" s="181" t="s">
        <v>127</v>
      </c>
      <c r="C60" s="181" t="s">
        <v>825</v>
      </c>
      <c r="D60" s="181" t="str">
        <f t="shared" si="3"/>
        <v>30302</v>
      </c>
      <c r="E60" s="181" t="s">
        <v>15</v>
      </c>
      <c r="F60" s="181" t="s">
        <v>14</v>
      </c>
      <c r="G60" s="181" t="s">
        <v>647</v>
      </c>
      <c r="H60" s="8">
        <v>-0.01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-0.01</v>
      </c>
    </row>
    <row r="61" spans="1:15">
      <c r="A61" s="191">
        <v>44774</v>
      </c>
      <c r="B61" s="181" t="s">
        <v>126</v>
      </c>
      <c r="C61" s="181" t="s">
        <v>825</v>
      </c>
      <c r="D61" s="181" t="str">
        <f t="shared" si="3"/>
        <v>30302</v>
      </c>
      <c r="E61" s="181" t="s">
        <v>15</v>
      </c>
      <c r="F61" s="181" t="s">
        <v>14</v>
      </c>
      <c r="G61" s="181" t="s">
        <v>647</v>
      </c>
      <c r="H61" s="8">
        <v>-0.01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-0.01</v>
      </c>
    </row>
    <row r="62" spans="1:15">
      <c r="A62" s="191">
        <v>44805</v>
      </c>
      <c r="B62" s="181" t="s">
        <v>125</v>
      </c>
      <c r="C62" s="181" t="s">
        <v>825</v>
      </c>
      <c r="D62" s="181" t="str">
        <f t="shared" si="3"/>
        <v>30302</v>
      </c>
      <c r="E62" s="181" t="s">
        <v>15</v>
      </c>
      <c r="F62" s="181" t="s">
        <v>14</v>
      </c>
      <c r="G62" s="181" t="s">
        <v>647</v>
      </c>
      <c r="H62" s="8">
        <v>-0.01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-0.01</v>
      </c>
    </row>
    <row r="63" spans="1:15">
      <c r="A63" s="191">
        <v>44835</v>
      </c>
      <c r="B63" s="181" t="s">
        <v>124</v>
      </c>
      <c r="C63" s="181" t="s">
        <v>825</v>
      </c>
      <c r="D63" s="181" t="str">
        <f t="shared" si="3"/>
        <v>30302</v>
      </c>
      <c r="E63" s="181" t="s">
        <v>15</v>
      </c>
      <c r="F63" s="181" t="s">
        <v>14</v>
      </c>
      <c r="G63" s="181" t="s">
        <v>647</v>
      </c>
      <c r="H63" s="8">
        <v>-0.01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-0.01</v>
      </c>
    </row>
    <row r="64" spans="1:15">
      <c r="A64" s="191">
        <v>44866</v>
      </c>
      <c r="B64" s="181" t="s">
        <v>123</v>
      </c>
      <c r="C64" s="181" t="s">
        <v>825</v>
      </c>
      <c r="D64" s="181" t="str">
        <f t="shared" si="3"/>
        <v>30302</v>
      </c>
      <c r="E64" s="181" t="s">
        <v>15</v>
      </c>
      <c r="F64" s="181" t="s">
        <v>14</v>
      </c>
      <c r="G64" s="181" t="s">
        <v>647</v>
      </c>
      <c r="H64" s="8">
        <v>-0.01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-0.01</v>
      </c>
    </row>
    <row r="65" spans="1:15">
      <c r="A65" s="191">
        <v>44896</v>
      </c>
      <c r="B65" s="181" t="s">
        <v>122</v>
      </c>
      <c r="C65" s="181" t="s">
        <v>825</v>
      </c>
      <c r="D65" s="181" t="str">
        <f t="shared" si="3"/>
        <v>30302</v>
      </c>
      <c r="E65" s="181" t="s">
        <v>15</v>
      </c>
      <c r="F65" s="181" t="s">
        <v>14</v>
      </c>
      <c r="G65" s="181" t="s">
        <v>647</v>
      </c>
      <c r="H65" s="8">
        <v>-0.01</v>
      </c>
      <c r="I65" s="8">
        <v>0</v>
      </c>
      <c r="J65" s="8">
        <v>0</v>
      </c>
      <c r="K65" s="8">
        <v>0</v>
      </c>
      <c r="L65" s="8">
        <v>0</v>
      </c>
      <c r="M65" s="8">
        <v>-23.98</v>
      </c>
      <c r="N65" s="8">
        <v>0</v>
      </c>
      <c r="O65" s="8">
        <v>-23.990000000000002</v>
      </c>
    </row>
    <row r="66" spans="1:15">
      <c r="A66" s="191">
        <v>44896</v>
      </c>
      <c r="B66" s="181" t="s">
        <v>122</v>
      </c>
      <c r="C66" s="181" t="s">
        <v>798</v>
      </c>
      <c r="D66" s="181" t="str">
        <f t="shared" ref="D66:D129" si="4">MID(C66,10,5)</f>
        <v>30302</v>
      </c>
      <c r="E66" s="181" t="s">
        <v>15</v>
      </c>
      <c r="F66" s="181" t="s">
        <v>14</v>
      </c>
      <c r="G66" s="181" t="s">
        <v>795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</row>
    <row r="67" spans="1:15">
      <c r="A67" s="191">
        <v>44531</v>
      </c>
      <c r="B67" s="181" t="s">
        <v>13</v>
      </c>
      <c r="C67" s="181" t="s">
        <v>799</v>
      </c>
      <c r="D67" s="181" t="str">
        <f t="shared" si="4"/>
        <v>30303</v>
      </c>
      <c r="E67" s="181" t="s">
        <v>15</v>
      </c>
      <c r="F67" s="181" t="s">
        <v>14</v>
      </c>
      <c r="G67" s="181" t="s">
        <v>795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</row>
    <row r="68" spans="1:15">
      <c r="A68" s="191">
        <v>44562</v>
      </c>
      <c r="B68" s="181" t="s">
        <v>133</v>
      </c>
      <c r="C68" s="181" t="s">
        <v>799</v>
      </c>
      <c r="D68" s="181" t="str">
        <f t="shared" si="4"/>
        <v>30303</v>
      </c>
      <c r="E68" s="181" t="s">
        <v>15</v>
      </c>
      <c r="F68" s="181" t="s">
        <v>14</v>
      </c>
      <c r="G68" s="181" t="s">
        <v>795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</row>
    <row r="69" spans="1:15">
      <c r="A69" s="191">
        <v>44593</v>
      </c>
      <c r="B69" s="181" t="s">
        <v>132</v>
      </c>
      <c r="C69" s="181" t="s">
        <v>799</v>
      </c>
      <c r="D69" s="181" t="str">
        <f t="shared" si="4"/>
        <v>30303</v>
      </c>
      <c r="E69" s="181" t="s">
        <v>15</v>
      </c>
      <c r="F69" s="181" t="s">
        <v>14</v>
      </c>
      <c r="G69" s="181" t="s">
        <v>795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</row>
    <row r="70" spans="1:15">
      <c r="A70" s="191">
        <v>44621</v>
      </c>
      <c r="B70" s="181" t="s">
        <v>131</v>
      </c>
      <c r="C70" s="181" t="s">
        <v>799</v>
      </c>
      <c r="D70" s="181" t="str">
        <f t="shared" si="4"/>
        <v>30303</v>
      </c>
      <c r="E70" s="181" t="s">
        <v>15</v>
      </c>
      <c r="F70" s="181" t="s">
        <v>14</v>
      </c>
      <c r="G70" s="181" t="s">
        <v>795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</row>
    <row r="71" spans="1:15">
      <c r="A71" s="191">
        <v>44652</v>
      </c>
      <c r="B71" s="181" t="s">
        <v>130</v>
      </c>
      <c r="C71" s="181" t="s">
        <v>799</v>
      </c>
      <c r="D71" s="181" t="str">
        <f t="shared" si="4"/>
        <v>30303</v>
      </c>
      <c r="E71" s="181" t="s">
        <v>15</v>
      </c>
      <c r="F71" s="181" t="s">
        <v>14</v>
      </c>
      <c r="G71" s="181" t="s">
        <v>795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</row>
    <row r="72" spans="1:15">
      <c r="A72" s="191">
        <v>44682</v>
      </c>
      <c r="B72" s="181" t="s">
        <v>129</v>
      </c>
      <c r="C72" s="181" t="s">
        <v>799</v>
      </c>
      <c r="D72" s="181" t="str">
        <f t="shared" si="4"/>
        <v>30303</v>
      </c>
      <c r="E72" s="181" t="s">
        <v>15</v>
      </c>
      <c r="F72" s="181" t="s">
        <v>14</v>
      </c>
      <c r="G72" s="181" t="s">
        <v>795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</row>
    <row r="73" spans="1:15">
      <c r="A73" s="191">
        <v>44713</v>
      </c>
      <c r="B73" s="181" t="s">
        <v>128</v>
      </c>
      <c r="C73" s="181" t="s">
        <v>799</v>
      </c>
      <c r="D73" s="181" t="str">
        <f t="shared" si="4"/>
        <v>30303</v>
      </c>
      <c r="E73" s="181" t="s">
        <v>15</v>
      </c>
      <c r="F73" s="181" t="s">
        <v>14</v>
      </c>
      <c r="G73" s="181" t="s">
        <v>795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</row>
    <row r="74" spans="1:15">
      <c r="A74" s="191">
        <v>44743</v>
      </c>
      <c r="B74" s="181" t="s">
        <v>127</v>
      </c>
      <c r="C74" s="181" t="s">
        <v>799</v>
      </c>
      <c r="D74" s="181" t="str">
        <f t="shared" si="4"/>
        <v>30303</v>
      </c>
      <c r="E74" s="181" t="s">
        <v>15</v>
      </c>
      <c r="F74" s="181" t="s">
        <v>14</v>
      </c>
      <c r="G74" s="181" t="s">
        <v>795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</row>
    <row r="75" spans="1:15">
      <c r="A75" s="191">
        <v>44774</v>
      </c>
      <c r="B75" s="181" t="s">
        <v>126</v>
      </c>
      <c r="C75" s="181" t="s">
        <v>799</v>
      </c>
      <c r="D75" s="181" t="str">
        <f t="shared" si="4"/>
        <v>30303</v>
      </c>
      <c r="E75" s="181" t="s">
        <v>15</v>
      </c>
      <c r="F75" s="181" t="s">
        <v>14</v>
      </c>
      <c r="G75" s="181" t="s">
        <v>795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</row>
    <row r="76" spans="1:15">
      <c r="A76" s="191">
        <v>44805</v>
      </c>
      <c r="B76" s="181" t="s">
        <v>125</v>
      </c>
      <c r="C76" s="181" t="s">
        <v>799</v>
      </c>
      <c r="D76" s="181" t="str">
        <f t="shared" si="4"/>
        <v>30303</v>
      </c>
      <c r="E76" s="181" t="s">
        <v>15</v>
      </c>
      <c r="F76" s="181" t="s">
        <v>14</v>
      </c>
      <c r="G76" s="181" t="s">
        <v>795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</row>
    <row r="77" spans="1:15">
      <c r="A77" s="191">
        <v>44835</v>
      </c>
      <c r="B77" s="181" t="s">
        <v>124</v>
      </c>
      <c r="C77" s="181" t="s">
        <v>799</v>
      </c>
      <c r="D77" s="181" t="str">
        <f t="shared" si="4"/>
        <v>30303</v>
      </c>
      <c r="E77" s="181" t="s">
        <v>15</v>
      </c>
      <c r="F77" s="181" t="s">
        <v>14</v>
      </c>
      <c r="G77" s="181" t="s">
        <v>795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</row>
    <row r="78" spans="1:15">
      <c r="A78" s="191">
        <v>44866</v>
      </c>
      <c r="B78" s="181" t="s">
        <v>123</v>
      </c>
      <c r="C78" s="181" t="s">
        <v>799</v>
      </c>
      <c r="D78" s="181" t="str">
        <f t="shared" si="4"/>
        <v>30303</v>
      </c>
      <c r="E78" s="181" t="s">
        <v>15</v>
      </c>
      <c r="F78" s="181" t="s">
        <v>14</v>
      </c>
      <c r="G78" s="181" t="s">
        <v>795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</row>
    <row r="79" spans="1:15">
      <c r="A79" s="191">
        <v>44896</v>
      </c>
      <c r="B79" s="181" t="s">
        <v>122</v>
      </c>
      <c r="C79" s="181" t="s">
        <v>799</v>
      </c>
      <c r="D79" s="181" t="str">
        <f t="shared" si="4"/>
        <v>30303</v>
      </c>
      <c r="E79" s="181" t="s">
        <v>15</v>
      </c>
      <c r="F79" s="181" t="s">
        <v>14</v>
      </c>
      <c r="G79" s="181" t="s">
        <v>795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</row>
    <row r="80" spans="1:15">
      <c r="A80" s="191">
        <v>44531</v>
      </c>
      <c r="B80" s="181" t="s">
        <v>13</v>
      </c>
      <c r="C80" s="181" t="s">
        <v>800</v>
      </c>
      <c r="D80" s="181" t="str">
        <f t="shared" si="4"/>
        <v>31001</v>
      </c>
      <c r="E80" s="181" t="s">
        <v>15</v>
      </c>
      <c r="F80" s="181" t="s">
        <v>14</v>
      </c>
      <c r="G80" s="181" t="s">
        <v>801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</row>
    <row r="81" spans="1:15">
      <c r="A81" s="191">
        <v>44562</v>
      </c>
      <c r="B81" s="181" t="s">
        <v>133</v>
      </c>
      <c r="C81" s="181" t="s">
        <v>800</v>
      </c>
      <c r="D81" s="181" t="str">
        <f t="shared" si="4"/>
        <v>31001</v>
      </c>
      <c r="E81" s="181" t="s">
        <v>15</v>
      </c>
      <c r="F81" s="181" t="s">
        <v>14</v>
      </c>
      <c r="G81" s="181" t="s">
        <v>801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</row>
    <row r="82" spans="1:15">
      <c r="A82" s="191">
        <v>44593</v>
      </c>
      <c r="B82" s="181" t="s">
        <v>132</v>
      </c>
      <c r="C82" s="181" t="s">
        <v>800</v>
      </c>
      <c r="D82" s="181" t="str">
        <f t="shared" si="4"/>
        <v>31001</v>
      </c>
      <c r="E82" s="181" t="s">
        <v>15</v>
      </c>
      <c r="F82" s="181" t="s">
        <v>14</v>
      </c>
      <c r="G82" s="181" t="s">
        <v>801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</row>
    <row r="83" spans="1:15">
      <c r="A83" s="191">
        <v>44621</v>
      </c>
      <c r="B83" s="181" t="s">
        <v>131</v>
      </c>
      <c r="C83" s="181" t="s">
        <v>800</v>
      </c>
      <c r="D83" s="181" t="str">
        <f t="shared" si="4"/>
        <v>31001</v>
      </c>
      <c r="E83" s="181" t="s">
        <v>15</v>
      </c>
      <c r="F83" s="181" t="s">
        <v>14</v>
      </c>
      <c r="G83" s="181" t="s">
        <v>801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</row>
    <row r="84" spans="1:15">
      <c r="A84" s="191">
        <v>44652</v>
      </c>
      <c r="B84" s="181" t="s">
        <v>130</v>
      </c>
      <c r="C84" s="181" t="s">
        <v>800</v>
      </c>
      <c r="D84" s="181" t="str">
        <f t="shared" si="4"/>
        <v>31001</v>
      </c>
      <c r="E84" s="181" t="s">
        <v>15</v>
      </c>
      <c r="F84" s="181" t="s">
        <v>14</v>
      </c>
      <c r="G84" s="181" t="s">
        <v>801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</row>
    <row r="85" spans="1:15">
      <c r="A85" s="191">
        <v>44682</v>
      </c>
      <c r="B85" s="181" t="s">
        <v>129</v>
      </c>
      <c r="C85" s="181" t="s">
        <v>800</v>
      </c>
      <c r="D85" s="181" t="str">
        <f t="shared" si="4"/>
        <v>31001</v>
      </c>
      <c r="E85" s="181" t="s">
        <v>15</v>
      </c>
      <c r="F85" s="181" t="s">
        <v>14</v>
      </c>
      <c r="G85" s="181" t="s">
        <v>801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</row>
    <row r="86" spans="1:15">
      <c r="A86" s="191">
        <v>44713</v>
      </c>
      <c r="B86" s="181" t="s">
        <v>128</v>
      </c>
      <c r="C86" s="181" t="s">
        <v>800</v>
      </c>
      <c r="D86" s="181" t="str">
        <f t="shared" si="4"/>
        <v>31001</v>
      </c>
      <c r="E86" s="181" t="s">
        <v>15</v>
      </c>
      <c r="F86" s="181" t="s">
        <v>14</v>
      </c>
      <c r="G86" s="181" t="s">
        <v>801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</row>
    <row r="87" spans="1:15">
      <c r="A87" s="191">
        <v>44743</v>
      </c>
      <c r="B87" s="181" t="s">
        <v>127</v>
      </c>
      <c r="C87" s="181" t="s">
        <v>800</v>
      </c>
      <c r="D87" s="181" t="str">
        <f t="shared" si="4"/>
        <v>31001</v>
      </c>
      <c r="E87" s="181" t="s">
        <v>15</v>
      </c>
      <c r="F87" s="181" t="s">
        <v>14</v>
      </c>
      <c r="G87" s="181" t="s">
        <v>801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</row>
    <row r="88" spans="1:15">
      <c r="A88" s="191">
        <v>44774</v>
      </c>
      <c r="B88" s="181" t="s">
        <v>126</v>
      </c>
      <c r="C88" s="181" t="s">
        <v>800</v>
      </c>
      <c r="D88" s="181" t="str">
        <f t="shared" si="4"/>
        <v>31001</v>
      </c>
      <c r="E88" s="181" t="s">
        <v>15</v>
      </c>
      <c r="F88" s="181" t="s">
        <v>14</v>
      </c>
      <c r="G88" s="181" t="s">
        <v>801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</row>
    <row r="89" spans="1:15">
      <c r="A89" s="191">
        <v>44805</v>
      </c>
      <c r="B89" s="181" t="s">
        <v>125</v>
      </c>
      <c r="C89" s="181" t="s">
        <v>800</v>
      </c>
      <c r="D89" s="181" t="str">
        <f t="shared" si="4"/>
        <v>31001</v>
      </c>
      <c r="E89" s="181" t="s">
        <v>15</v>
      </c>
      <c r="F89" s="181" t="s">
        <v>14</v>
      </c>
      <c r="G89" s="181" t="s">
        <v>801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</row>
    <row r="90" spans="1:15">
      <c r="A90" s="191">
        <v>44835</v>
      </c>
      <c r="B90" s="181" t="s">
        <v>124</v>
      </c>
      <c r="C90" s="181" t="s">
        <v>800</v>
      </c>
      <c r="D90" s="181" t="str">
        <f t="shared" si="4"/>
        <v>31001</v>
      </c>
      <c r="E90" s="181" t="s">
        <v>15</v>
      </c>
      <c r="F90" s="181" t="s">
        <v>14</v>
      </c>
      <c r="G90" s="181" t="s">
        <v>801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</row>
    <row r="91" spans="1:15">
      <c r="A91" s="191">
        <v>44866</v>
      </c>
      <c r="B91" s="181" t="s">
        <v>123</v>
      </c>
      <c r="C91" s="181" t="s">
        <v>800</v>
      </c>
      <c r="D91" s="181" t="str">
        <f t="shared" si="4"/>
        <v>31001</v>
      </c>
      <c r="E91" s="181" t="s">
        <v>15</v>
      </c>
      <c r="F91" s="181" t="s">
        <v>14</v>
      </c>
      <c r="G91" s="181" t="s">
        <v>801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</row>
    <row r="92" spans="1:15">
      <c r="A92" s="191">
        <v>44896</v>
      </c>
      <c r="B92" s="181" t="s">
        <v>122</v>
      </c>
      <c r="C92" s="181" t="s">
        <v>800</v>
      </c>
      <c r="D92" s="181" t="str">
        <f t="shared" si="4"/>
        <v>31001</v>
      </c>
      <c r="E92" s="181" t="s">
        <v>15</v>
      </c>
      <c r="F92" s="181" t="s">
        <v>14</v>
      </c>
      <c r="G92" s="181" t="s">
        <v>801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</row>
    <row r="93" spans="1:15">
      <c r="A93" s="191">
        <v>44531</v>
      </c>
      <c r="B93" s="181" t="s">
        <v>13</v>
      </c>
      <c r="C93" s="181" t="s">
        <v>802</v>
      </c>
      <c r="D93" s="181" t="str">
        <f t="shared" si="4"/>
        <v>31002</v>
      </c>
      <c r="E93" s="181" t="s">
        <v>15</v>
      </c>
      <c r="F93" s="181" t="s">
        <v>14</v>
      </c>
      <c r="G93" s="181" t="s">
        <v>801</v>
      </c>
      <c r="H93" s="8">
        <v>-1526.96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-1526.96</v>
      </c>
    </row>
    <row r="94" spans="1:15">
      <c r="A94" s="191">
        <v>44562</v>
      </c>
      <c r="B94" s="181" t="s">
        <v>133</v>
      </c>
      <c r="C94" s="181" t="s">
        <v>802</v>
      </c>
      <c r="D94" s="181" t="str">
        <f t="shared" si="4"/>
        <v>31002</v>
      </c>
      <c r="E94" s="181" t="s">
        <v>15</v>
      </c>
      <c r="F94" s="181" t="s">
        <v>14</v>
      </c>
      <c r="G94" s="181" t="s">
        <v>801</v>
      </c>
      <c r="H94" s="8">
        <v>-1526.96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-1526.96</v>
      </c>
    </row>
    <row r="95" spans="1:15">
      <c r="A95" s="191">
        <v>44593</v>
      </c>
      <c r="B95" s="181" t="s">
        <v>132</v>
      </c>
      <c r="C95" s="181" t="s">
        <v>802</v>
      </c>
      <c r="D95" s="181" t="str">
        <f t="shared" si="4"/>
        <v>31002</v>
      </c>
      <c r="E95" s="181" t="s">
        <v>15</v>
      </c>
      <c r="F95" s="181" t="s">
        <v>14</v>
      </c>
      <c r="G95" s="181" t="s">
        <v>801</v>
      </c>
      <c r="H95" s="8">
        <v>-1526.96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-1526.96</v>
      </c>
    </row>
    <row r="96" spans="1:15">
      <c r="A96" s="191">
        <v>44621</v>
      </c>
      <c r="B96" s="181" t="s">
        <v>131</v>
      </c>
      <c r="C96" s="181" t="s">
        <v>802</v>
      </c>
      <c r="D96" s="181" t="str">
        <f t="shared" si="4"/>
        <v>31002</v>
      </c>
      <c r="E96" s="181" t="s">
        <v>15</v>
      </c>
      <c r="F96" s="181" t="s">
        <v>14</v>
      </c>
      <c r="G96" s="181" t="s">
        <v>801</v>
      </c>
      <c r="H96" s="8">
        <v>-1526.96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-1526.96</v>
      </c>
    </row>
    <row r="97" spans="1:15">
      <c r="A97" s="191">
        <v>44652</v>
      </c>
      <c r="B97" s="181" t="s">
        <v>130</v>
      </c>
      <c r="C97" s="181" t="s">
        <v>802</v>
      </c>
      <c r="D97" s="181" t="str">
        <f t="shared" si="4"/>
        <v>31002</v>
      </c>
      <c r="E97" s="181" t="s">
        <v>15</v>
      </c>
      <c r="F97" s="181" t="s">
        <v>14</v>
      </c>
      <c r="G97" s="181" t="s">
        <v>801</v>
      </c>
      <c r="H97" s="8">
        <v>-1526.96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-1526.96</v>
      </c>
    </row>
    <row r="98" spans="1:15">
      <c r="A98" s="191">
        <v>44682</v>
      </c>
      <c r="B98" s="181" t="s">
        <v>129</v>
      </c>
      <c r="C98" s="181" t="s">
        <v>802</v>
      </c>
      <c r="D98" s="181" t="str">
        <f t="shared" si="4"/>
        <v>31002</v>
      </c>
      <c r="E98" s="181" t="s">
        <v>15</v>
      </c>
      <c r="F98" s="181" t="s">
        <v>14</v>
      </c>
      <c r="G98" s="181" t="s">
        <v>801</v>
      </c>
      <c r="H98" s="8">
        <v>-1526.96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-1526.96</v>
      </c>
    </row>
    <row r="99" spans="1:15">
      <c r="A99" s="191">
        <v>44713</v>
      </c>
      <c r="B99" s="181" t="s">
        <v>128</v>
      </c>
      <c r="C99" s="181" t="s">
        <v>802</v>
      </c>
      <c r="D99" s="181" t="str">
        <f t="shared" si="4"/>
        <v>31002</v>
      </c>
      <c r="E99" s="181" t="s">
        <v>15</v>
      </c>
      <c r="F99" s="181" t="s">
        <v>14</v>
      </c>
      <c r="G99" s="181" t="s">
        <v>801</v>
      </c>
      <c r="H99" s="8">
        <v>-1526.96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-1526.96</v>
      </c>
    </row>
    <row r="100" spans="1:15">
      <c r="A100" s="191">
        <v>44743</v>
      </c>
      <c r="B100" s="181" t="s">
        <v>127</v>
      </c>
      <c r="C100" s="181" t="s">
        <v>802</v>
      </c>
      <c r="D100" s="181" t="str">
        <f t="shared" si="4"/>
        <v>31002</v>
      </c>
      <c r="E100" s="181" t="s">
        <v>15</v>
      </c>
      <c r="F100" s="181" t="s">
        <v>14</v>
      </c>
      <c r="G100" s="181" t="s">
        <v>801</v>
      </c>
      <c r="H100" s="8">
        <v>-1526.96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-1526.96</v>
      </c>
    </row>
    <row r="101" spans="1:15">
      <c r="A101" s="191">
        <v>44774</v>
      </c>
      <c r="B101" s="181" t="s">
        <v>126</v>
      </c>
      <c r="C101" s="181" t="s">
        <v>802</v>
      </c>
      <c r="D101" s="181" t="str">
        <f t="shared" si="4"/>
        <v>31002</v>
      </c>
      <c r="E101" s="181" t="s">
        <v>15</v>
      </c>
      <c r="F101" s="181" t="s">
        <v>14</v>
      </c>
      <c r="G101" s="181" t="s">
        <v>801</v>
      </c>
      <c r="H101" s="8">
        <v>-1526.96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-1526.96</v>
      </c>
    </row>
    <row r="102" spans="1:15">
      <c r="A102" s="191">
        <v>44805</v>
      </c>
      <c r="B102" s="181" t="s">
        <v>125</v>
      </c>
      <c r="C102" s="181" t="s">
        <v>802</v>
      </c>
      <c r="D102" s="181" t="str">
        <f t="shared" si="4"/>
        <v>31002</v>
      </c>
      <c r="E102" s="181" t="s">
        <v>15</v>
      </c>
      <c r="F102" s="181" t="s">
        <v>14</v>
      </c>
      <c r="G102" s="181" t="s">
        <v>801</v>
      </c>
      <c r="H102" s="8">
        <v>-1526.96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-1526.96</v>
      </c>
    </row>
    <row r="103" spans="1:15">
      <c r="A103" s="191">
        <v>44835</v>
      </c>
      <c r="B103" s="181" t="s">
        <v>124</v>
      </c>
      <c r="C103" s="181" t="s">
        <v>802</v>
      </c>
      <c r="D103" s="181" t="str">
        <f t="shared" si="4"/>
        <v>31002</v>
      </c>
      <c r="E103" s="181" t="s">
        <v>15</v>
      </c>
      <c r="F103" s="181" t="s">
        <v>14</v>
      </c>
      <c r="G103" s="181" t="s">
        <v>801</v>
      </c>
      <c r="H103" s="8">
        <v>-1526.96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-1526.96</v>
      </c>
    </row>
    <row r="104" spans="1:15">
      <c r="A104" s="191">
        <v>44866</v>
      </c>
      <c r="B104" s="181" t="s">
        <v>123</v>
      </c>
      <c r="C104" s="181" t="s">
        <v>802</v>
      </c>
      <c r="D104" s="181" t="str">
        <f t="shared" si="4"/>
        <v>31002</v>
      </c>
      <c r="E104" s="181" t="s">
        <v>15</v>
      </c>
      <c r="F104" s="181" t="s">
        <v>14</v>
      </c>
      <c r="G104" s="181" t="s">
        <v>801</v>
      </c>
      <c r="H104" s="8">
        <v>-1526.96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-1526.96</v>
      </c>
    </row>
    <row r="105" spans="1:15">
      <c r="A105" s="191">
        <v>44896</v>
      </c>
      <c r="B105" s="181" t="s">
        <v>122</v>
      </c>
      <c r="C105" s="181" t="s">
        <v>802</v>
      </c>
      <c r="D105" s="181" t="str">
        <f t="shared" si="4"/>
        <v>31002</v>
      </c>
      <c r="E105" s="181" t="s">
        <v>15</v>
      </c>
      <c r="F105" s="181" t="s">
        <v>14</v>
      </c>
      <c r="G105" s="181" t="s">
        <v>801</v>
      </c>
      <c r="H105" s="8">
        <v>-1526.96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-1526.96</v>
      </c>
    </row>
    <row r="106" spans="1:15">
      <c r="A106" s="191">
        <v>44531</v>
      </c>
      <c r="B106" s="181" t="s">
        <v>13</v>
      </c>
      <c r="C106" s="181" t="s">
        <v>646</v>
      </c>
      <c r="D106" s="181" t="str">
        <f t="shared" si="4"/>
        <v>31100</v>
      </c>
      <c r="E106" s="181" t="s">
        <v>15</v>
      </c>
      <c r="F106" s="181" t="s">
        <v>14</v>
      </c>
      <c r="G106" s="181" t="s">
        <v>647</v>
      </c>
      <c r="H106" s="8">
        <v>472563.59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472563.59</v>
      </c>
    </row>
    <row r="107" spans="1:15">
      <c r="A107" s="191">
        <v>44531</v>
      </c>
      <c r="B107" s="181" t="s">
        <v>13</v>
      </c>
      <c r="C107" s="181" t="s">
        <v>646</v>
      </c>
      <c r="D107" s="181" t="str">
        <f t="shared" si="4"/>
        <v>31100</v>
      </c>
      <c r="E107" s="181" t="s">
        <v>15</v>
      </c>
      <c r="F107" s="181" t="s">
        <v>14</v>
      </c>
      <c r="G107" s="181" t="s">
        <v>793</v>
      </c>
      <c r="H107" s="8">
        <v>-472563.59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-472563.59</v>
      </c>
    </row>
    <row r="108" spans="1:15">
      <c r="A108" s="191">
        <v>44562</v>
      </c>
      <c r="B108" s="181" t="s">
        <v>133</v>
      </c>
      <c r="C108" s="181" t="s">
        <v>646</v>
      </c>
      <c r="D108" s="181" t="str">
        <f t="shared" si="4"/>
        <v>31100</v>
      </c>
      <c r="E108" s="181" t="s">
        <v>15</v>
      </c>
      <c r="F108" s="181" t="s">
        <v>14</v>
      </c>
      <c r="G108" s="181" t="s">
        <v>647</v>
      </c>
      <c r="H108" s="8">
        <v>472563.59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472563.59</v>
      </c>
    </row>
    <row r="109" spans="1:15">
      <c r="A109" s="191">
        <v>44562</v>
      </c>
      <c r="B109" s="181" t="s">
        <v>133</v>
      </c>
      <c r="C109" s="181" t="s">
        <v>646</v>
      </c>
      <c r="D109" s="181" t="str">
        <f t="shared" si="4"/>
        <v>31100</v>
      </c>
      <c r="E109" s="181" t="s">
        <v>15</v>
      </c>
      <c r="F109" s="181" t="s">
        <v>14</v>
      </c>
      <c r="G109" s="181" t="s">
        <v>793</v>
      </c>
      <c r="H109" s="8">
        <v>-472563.59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-472563.59</v>
      </c>
    </row>
    <row r="110" spans="1:15">
      <c r="A110" s="191">
        <v>44593</v>
      </c>
      <c r="B110" s="181" t="s">
        <v>132</v>
      </c>
      <c r="C110" s="181" t="s">
        <v>646</v>
      </c>
      <c r="D110" s="181" t="str">
        <f t="shared" si="4"/>
        <v>31100</v>
      </c>
      <c r="E110" s="181" t="s">
        <v>15</v>
      </c>
      <c r="F110" s="181" t="s">
        <v>14</v>
      </c>
      <c r="G110" s="181" t="s">
        <v>647</v>
      </c>
      <c r="H110" s="8">
        <v>472563.59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472563.59</v>
      </c>
    </row>
    <row r="111" spans="1:15">
      <c r="A111" s="191">
        <v>44593</v>
      </c>
      <c r="B111" s="181" t="s">
        <v>132</v>
      </c>
      <c r="C111" s="181" t="s">
        <v>646</v>
      </c>
      <c r="D111" s="181" t="str">
        <f t="shared" si="4"/>
        <v>31100</v>
      </c>
      <c r="E111" s="181" t="s">
        <v>15</v>
      </c>
      <c r="F111" s="181" t="s">
        <v>14</v>
      </c>
      <c r="G111" s="181" t="s">
        <v>793</v>
      </c>
      <c r="H111" s="8">
        <v>-472563.59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-472563.59</v>
      </c>
    </row>
    <row r="112" spans="1:15">
      <c r="A112" s="191">
        <v>44621</v>
      </c>
      <c r="B112" s="181" t="s">
        <v>131</v>
      </c>
      <c r="C112" s="181" t="s">
        <v>646</v>
      </c>
      <c r="D112" s="181" t="str">
        <f t="shared" si="4"/>
        <v>31100</v>
      </c>
      <c r="E112" s="181" t="s">
        <v>15</v>
      </c>
      <c r="F112" s="181" t="s">
        <v>14</v>
      </c>
      <c r="G112" s="181" t="s">
        <v>647</v>
      </c>
      <c r="H112" s="8">
        <v>472563.59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472563.59</v>
      </c>
    </row>
    <row r="113" spans="1:15">
      <c r="A113" s="191">
        <v>44621</v>
      </c>
      <c r="B113" s="181" t="s">
        <v>131</v>
      </c>
      <c r="C113" s="181" t="s">
        <v>646</v>
      </c>
      <c r="D113" s="181" t="str">
        <f t="shared" si="4"/>
        <v>31100</v>
      </c>
      <c r="E113" s="181" t="s">
        <v>15</v>
      </c>
      <c r="F113" s="181" t="s">
        <v>14</v>
      </c>
      <c r="G113" s="181" t="s">
        <v>793</v>
      </c>
      <c r="H113" s="8">
        <v>-472563.59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-472563.59</v>
      </c>
    </row>
    <row r="114" spans="1:15">
      <c r="A114" s="191">
        <v>44652</v>
      </c>
      <c r="B114" s="181" t="s">
        <v>130</v>
      </c>
      <c r="C114" s="181" t="s">
        <v>646</v>
      </c>
      <c r="D114" s="181" t="str">
        <f t="shared" si="4"/>
        <v>31100</v>
      </c>
      <c r="E114" s="181" t="s">
        <v>15</v>
      </c>
      <c r="F114" s="181" t="s">
        <v>14</v>
      </c>
      <c r="G114" s="181" t="s">
        <v>647</v>
      </c>
      <c r="H114" s="8">
        <v>472563.59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472563.59</v>
      </c>
    </row>
    <row r="115" spans="1:15">
      <c r="A115" s="191">
        <v>44652</v>
      </c>
      <c r="B115" s="181" t="s">
        <v>130</v>
      </c>
      <c r="C115" s="181" t="s">
        <v>646</v>
      </c>
      <c r="D115" s="181" t="str">
        <f t="shared" si="4"/>
        <v>31100</v>
      </c>
      <c r="E115" s="181" t="s">
        <v>15</v>
      </c>
      <c r="F115" s="181" t="s">
        <v>14</v>
      </c>
      <c r="G115" s="181" t="s">
        <v>793</v>
      </c>
      <c r="H115" s="8">
        <v>-472563.59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-472563.59</v>
      </c>
    </row>
    <row r="116" spans="1:15">
      <c r="A116" s="191">
        <v>44682</v>
      </c>
      <c r="B116" s="181" t="s">
        <v>129</v>
      </c>
      <c r="C116" s="181" t="s">
        <v>646</v>
      </c>
      <c r="D116" s="181" t="str">
        <f t="shared" si="4"/>
        <v>31100</v>
      </c>
      <c r="E116" s="181" t="s">
        <v>15</v>
      </c>
      <c r="F116" s="181" t="s">
        <v>14</v>
      </c>
      <c r="G116" s="181" t="s">
        <v>647</v>
      </c>
      <c r="H116" s="8">
        <v>472563.59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472563.59</v>
      </c>
    </row>
    <row r="117" spans="1:15">
      <c r="A117" s="191">
        <v>44682</v>
      </c>
      <c r="B117" s="181" t="s">
        <v>129</v>
      </c>
      <c r="C117" s="181" t="s">
        <v>646</v>
      </c>
      <c r="D117" s="181" t="str">
        <f t="shared" si="4"/>
        <v>31100</v>
      </c>
      <c r="E117" s="181" t="s">
        <v>15</v>
      </c>
      <c r="F117" s="181" t="s">
        <v>14</v>
      </c>
      <c r="G117" s="181" t="s">
        <v>793</v>
      </c>
      <c r="H117" s="8">
        <v>-472563.59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-472563.59</v>
      </c>
    </row>
    <row r="118" spans="1:15">
      <c r="A118" s="191">
        <v>44713</v>
      </c>
      <c r="B118" s="181" t="s">
        <v>128</v>
      </c>
      <c r="C118" s="181" t="s">
        <v>646</v>
      </c>
      <c r="D118" s="181" t="str">
        <f t="shared" si="4"/>
        <v>31100</v>
      </c>
      <c r="E118" s="181" t="s">
        <v>15</v>
      </c>
      <c r="F118" s="181" t="s">
        <v>14</v>
      </c>
      <c r="G118" s="181" t="s">
        <v>647</v>
      </c>
      <c r="H118" s="8">
        <v>472563.59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472563.59</v>
      </c>
    </row>
    <row r="119" spans="1:15">
      <c r="A119" s="191">
        <v>44713</v>
      </c>
      <c r="B119" s="181" t="s">
        <v>128</v>
      </c>
      <c r="C119" s="181" t="s">
        <v>646</v>
      </c>
      <c r="D119" s="181" t="str">
        <f t="shared" si="4"/>
        <v>31100</v>
      </c>
      <c r="E119" s="181" t="s">
        <v>15</v>
      </c>
      <c r="F119" s="181" t="s">
        <v>14</v>
      </c>
      <c r="G119" s="181" t="s">
        <v>793</v>
      </c>
      <c r="H119" s="8">
        <v>-472563.59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-472563.59</v>
      </c>
    </row>
    <row r="120" spans="1:15">
      <c r="A120" s="191">
        <v>44743</v>
      </c>
      <c r="B120" s="181" t="s">
        <v>127</v>
      </c>
      <c r="C120" s="181" t="s">
        <v>646</v>
      </c>
      <c r="D120" s="181" t="str">
        <f t="shared" si="4"/>
        <v>31100</v>
      </c>
      <c r="E120" s="181" t="s">
        <v>15</v>
      </c>
      <c r="F120" s="181" t="s">
        <v>14</v>
      </c>
      <c r="G120" s="181" t="s">
        <v>647</v>
      </c>
      <c r="H120" s="8">
        <v>472563.59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472563.59</v>
      </c>
    </row>
    <row r="121" spans="1:15">
      <c r="A121" s="191">
        <v>44743</v>
      </c>
      <c r="B121" s="181" t="s">
        <v>127</v>
      </c>
      <c r="C121" s="181" t="s">
        <v>646</v>
      </c>
      <c r="D121" s="181" t="str">
        <f t="shared" si="4"/>
        <v>31100</v>
      </c>
      <c r="E121" s="181" t="s">
        <v>15</v>
      </c>
      <c r="F121" s="181" t="s">
        <v>14</v>
      </c>
      <c r="G121" s="181" t="s">
        <v>793</v>
      </c>
      <c r="H121" s="8">
        <v>-472563.59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-472563.59</v>
      </c>
    </row>
    <row r="122" spans="1:15">
      <c r="A122" s="191">
        <v>44774</v>
      </c>
      <c r="B122" s="181" t="s">
        <v>126</v>
      </c>
      <c r="C122" s="181" t="s">
        <v>646</v>
      </c>
      <c r="D122" s="181" t="str">
        <f t="shared" si="4"/>
        <v>31100</v>
      </c>
      <c r="E122" s="181" t="s">
        <v>15</v>
      </c>
      <c r="F122" s="181" t="s">
        <v>14</v>
      </c>
      <c r="G122" s="181" t="s">
        <v>647</v>
      </c>
      <c r="H122" s="8">
        <v>472563.59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472563.59</v>
      </c>
    </row>
    <row r="123" spans="1:15">
      <c r="A123" s="191">
        <v>44774</v>
      </c>
      <c r="B123" s="181" t="s">
        <v>126</v>
      </c>
      <c r="C123" s="181" t="s">
        <v>646</v>
      </c>
      <c r="D123" s="181" t="str">
        <f t="shared" si="4"/>
        <v>31100</v>
      </c>
      <c r="E123" s="181" t="s">
        <v>15</v>
      </c>
      <c r="F123" s="181" t="s">
        <v>14</v>
      </c>
      <c r="G123" s="181" t="s">
        <v>793</v>
      </c>
      <c r="H123" s="8">
        <v>-472563.59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-472563.59</v>
      </c>
    </row>
    <row r="124" spans="1:15">
      <c r="A124" s="191">
        <v>44805</v>
      </c>
      <c r="B124" s="181" t="s">
        <v>125</v>
      </c>
      <c r="C124" s="181" t="s">
        <v>646</v>
      </c>
      <c r="D124" s="181" t="str">
        <f t="shared" si="4"/>
        <v>31100</v>
      </c>
      <c r="E124" s="181" t="s">
        <v>15</v>
      </c>
      <c r="F124" s="181" t="s">
        <v>14</v>
      </c>
      <c r="G124" s="181" t="s">
        <v>647</v>
      </c>
      <c r="H124" s="8">
        <v>472563.59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472563.59</v>
      </c>
    </row>
    <row r="125" spans="1:15">
      <c r="A125" s="191">
        <v>44805</v>
      </c>
      <c r="B125" s="181" t="s">
        <v>125</v>
      </c>
      <c r="C125" s="181" t="s">
        <v>646</v>
      </c>
      <c r="D125" s="181" t="str">
        <f t="shared" si="4"/>
        <v>31100</v>
      </c>
      <c r="E125" s="181" t="s">
        <v>15</v>
      </c>
      <c r="F125" s="181" t="s">
        <v>14</v>
      </c>
      <c r="G125" s="181" t="s">
        <v>793</v>
      </c>
      <c r="H125" s="8">
        <v>-472563.59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-472563.59</v>
      </c>
    </row>
    <row r="126" spans="1:15">
      <c r="A126" s="191">
        <v>44835</v>
      </c>
      <c r="B126" s="181" t="s">
        <v>124</v>
      </c>
      <c r="C126" s="181" t="s">
        <v>646</v>
      </c>
      <c r="D126" s="181" t="str">
        <f t="shared" si="4"/>
        <v>31100</v>
      </c>
      <c r="E126" s="181" t="s">
        <v>15</v>
      </c>
      <c r="F126" s="181" t="s">
        <v>14</v>
      </c>
      <c r="G126" s="181" t="s">
        <v>647</v>
      </c>
      <c r="H126" s="8">
        <v>472563.59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472563.59</v>
      </c>
    </row>
    <row r="127" spans="1:15">
      <c r="A127" s="191">
        <v>44835</v>
      </c>
      <c r="B127" s="181" t="s">
        <v>124</v>
      </c>
      <c r="C127" s="181" t="s">
        <v>646</v>
      </c>
      <c r="D127" s="181" t="str">
        <f t="shared" si="4"/>
        <v>31100</v>
      </c>
      <c r="E127" s="181" t="s">
        <v>15</v>
      </c>
      <c r="F127" s="181" t="s">
        <v>14</v>
      </c>
      <c r="G127" s="181" t="s">
        <v>793</v>
      </c>
      <c r="H127" s="8">
        <v>-472563.59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-472563.59</v>
      </c>
    </row>
    <row r="128" spans="1:15">
      <c r="A128" s="191">
        <v>44866</v>
      </c>
      <c r="B128" s="181" t="s">
        <v>123</v>
      </c>
      <c r="C128" s="181" t="s">
        <v>646</v>
      </c>
      <c r="D128" s="181" t="str">
        <f t="shared" si="4"/>
        <v>31100</v>
      </c>
      <c r="E128" s="181" t="s">
        <v>15</v>
      </c>
      <c r="F128" s="181" t="s">
        <v>14</v>
      </c>
      <c r="G128" s="181" t="s">
        <v>647</v>
      </c>
      <c r="H128" s="8">
        <v>472563.59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472563.59</v>
      </c>
    </row>
    <row r="129" spans="1:15">
      <c r="A129" s="191">
        <v>44866</v>
      </c>
      <c r="B129" s="181" t="s">
        <v>123</v>
      </c>
      <c r="C129" s="181" t="s">
        <v>646</v>
      </c>
      <c r="D129" s="181" t="str">
        <f t="shared" si="4"/>
        <v>31100</v>
      </c>
      <c r="E129" s="181" t="s">
        <v>15</v>
      </c>
      <c r="F129" s="181" t="s">
        <v>14</v>
      </c>
      <c r="G129" s="181" t="s">
        <v>793</v>
      </c>
      <c r="H129" s="8">
        <v>-472563.59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-472563.59</v>
      </c>
    </row>
    <row r="130" spans="1:15">
      <c r="A130" s="191">
        <v>44896</v>
      </c>
      <c r="B130" s="181" t="s">
        <v>122</v>
      </c>
      <c r="C130" s="181" t="s">
        <v>646</v>
      </c>
      <c r="D130" s="181" t="str">
        <f t="shared" ref="D130:D193" si="5">MID(C130,10,5)</f>
        <v>31100</v>
      </c>
      <c r="E130" s="181" t="s">
        <v>15</v>
      </c>
      <c r="F130" s="181" t="s">
        <v>14</v>
      </c>
      <c r="G130" s="181" t="s">
        <v>647</v>
      </c>
      <c r="H130" s="8">
        <v>472563.59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472563.59</v>
      </c>
    </row>
    <row r="131" spans="1:15">
      <c r="A131" s="191">
        <v>44896</v>
      </c>
      <c r="B131" s="181" t="s">
        <v>122</v>
      </c>
      <c r="C131" s="181" t="s">
        <v>646</v>
      </c>
      <c r="D131" s="181" t="str">
        <f t="shared" si="5"/>
        <v>31100</v>
      </c>
      <c r="E131" s="181" t="s">
        <v>15</v>
      </c>
      <c r="F131" s="181" t="s">
        <v>14</v>
      </c>
      <c r="G131" s="181" t="s">
        <v>793</v>
      </c>
      <c r="H131" s="8">
        <v>-472563.59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-472563.59</v>
      </c>
    </row>
    <row r="132" spans="1:15">
      <c r="A132" s="191">
        <v>44531</v>
      </c>
      <c r="B132" s="181" t="s">
        <v>13</v>
      </c>
      <c r="C132" s="181" t="s">
        <v>648</v>
      </c>
      <c r="D132" s="181" t="str">
        <f t="shared" si="5"/>
        <v>31201</v>
      </c>
      <c r="E132" s="181" t="s">
        <v>15</v>
      </c>
      <c r="F132" s="181" t="s">
        <v>14</v>
      </c>
      <c r="G132" s="181" t="s">
        <v>647</v>
      </c>
      <c r="H132" s="8">
        <v>-268697.81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-268697.81</v>
      </c>
    </row>
    <row r="133" spans="1:15">
      <c r="A133" s="191">
        <v>44531</v>
      </c>
      <c r="B133" s="181" t="s">
        <v>13</v>
      </c>
      <c r="C133" s="181" t="s">
        <v>648</v>
      </c>
      <c r="D133" s="181" t="str">
        <f t="shared" si="5"/>
        <v>31201</v>
      </c>
      <c r="E133" s="181" t="s">
        <v>15</v>
      </c>
      <c r="F133" s="181" t="s">
        <v>14</v>
      </c>
      <c r="G133" s="181" t="s">
        <v>793</v>
      </c>
      <c r="H133" s="8">
        <v>268697.81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268697.81</v>
      </c>
    </row>
    <row r="134" spans="1:15">
      <c r="A134" s="191">
        <v>44562</v>
      </c>
      <c r="B134" s="181" t="s">
        <v>133</v>
      </c>
      <c r="C134" s="181" t="s">
        <v>648</v>
      </c>
      <c r="D134" s="181" t="str">
        <f t="shared" si="5"/>
        <v>31201</v>
      </c>
      <c r="E134" s="181" t="s">
        <v>15</v>
      </c>
      <c r="F134" s="181" t="s">
        <v>14</v>
      </c>
      <c r="G134" s="181" t="s">
        <v>647</v>
      </c>
      <c r="H134" s="8">
        <v>-268697.81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-268697.81</v>
      </c>
    </row>
    <row r="135" spans="1:15">
      <c r="A135" s="191">
        <v>44562</v>
      </c>
      <c r="B135" s="181" t="s">
        <v>133</v>
      </c>
      <c r="C135" s="181" t="s">
        <v>648</v>
      </c>
      <c r="D135" s="181" t="str">
        <f t="shared" si="5"/>
        <v>31201</v>
      </c>
      <c r="E135" s="181" t="s">
        <v>15</v>
      </c>
      <c r="F135" s="181" t="s">
        <v>14</v>
      </c>
      <c r="G135" s="181" t="s">
        <v>793</v>
      </c>
      <c r="H135" s="8">
        <v>268697.81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268697.81</v>
      </c>
    </row>
    <row r="136" spans="1:15">
      <c r="A136" s="191">
        <v>44593</v>
      </c>
      <c r="B136" s="181" t="s">
        <v>132</v>
      </c>
      <c r="C136" s="181" t="s">
        <v>648</v>
      </c>
      <c r="D136" s="181" t="str">
        <f t="shared" si="5"/>
        <v>31201</v>
      </c>
      <c r="E136" s="181" t="s">
        <v>15</v>
      </c>
      <c r="F136" s="181" t="s">
        <v>14</v>
      </c>
      <c r="G136" s="181" t="s">
        <v>647</v>
      </c>
      <c r="H136" s="8">
        <v>-268697.81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-268697.81</v>
      </c>
    </row>
    <row r="137" spans="1:15">
      <c r="A137" s="191">
        <v>44593</v>
      </c>
      <c r="B137" s="181" t="s">
        <v>132</v>
      </c>
      <c r="C137" s="181" t="s">
        <v>648</v>
      </c>
      <c r="D137" s="181" t="str">
        <f t="shared" si="5"/>
        <v>31201</v>
      </c>
      <c r="E137" s="181" t="s">
        <v>15</v>
      </c>
      <c r="F137" s="181" t="s">
        <v>14</v>
      </c>
      <c r="G137" s="181" t="s">
        <v>793</v>
      </c>
      <c r="H137" s="8">
        <v>268697.81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268697.81</v>
      </c>
    </row>
    <row r="138" spans="1:15">
      <c r="A138" s="191">
        <v>44621</v>
      </c>
      <c r="B138" s="181" t="s">
        <v>131</v>
      </c>
      <c r="C138" s="181" t="s">
        <v>648</v>
      </c>
      <c r="D138" s="181" t="str">
        <f t="shared" si="5"/>
        <v>31201</v>
      </c>
      <c r="E138" s="181" t="s">
        <v>15</v>
      </c>
      <c r="F138" s="181" t="s">
        <v>14</v>
      </c>
      <c r="G138" s="181" t="s">
        <v>647</v>
      </c>
      <c r="H138" s="8">
        <v>-268697.81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-268697.81</v>
      </c>
    </row>
    <row r="139" spans="1:15">
      <c r="A139" s="191">
        <v>44621</v>
      </c>
      <c r="B139" s="181" t="s">
        <v>131</v>
      </c>
      <c r="C139" s="181" t="s">
        <v>648</v>
      </c>
      <c r="D139" s="181" t="str">
        <f t="shared" si="5"/>
        <v>31201</v>
      </c>
      <c r="E139" s="181" t="s">
        <v>15</v>
      </c>
      <c r="F139" s="181" t="s">
        <v>14</v>
      </c>
      <c r="G139" s="181" t="s">
        <v>793</v>
      </c>
      <c r="H139" s="8">
        <v>268697.81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268697.81</v>
      </c>
    </row>
    <row r="140" spans="1:15">
      <c r="A140" s="191">
        <v>44652</v>
      </c>
      <c r="B140" s="181" t="s">
        <v>130</v>
      </c>
      <c r="C140" s="181" t="s">
        <v>648</v>
      </c>
      <c r="D140" s="181" t="str">
        <f t="shared" si="5"/>
        <v>31201</v>
      </c>
      <c r="E140" s="181" t="s">
        <v>15</v>
      </c>
      <c r="F140" s="181" t="s">
        <v>14</v>
      </c>
      <c r="G140" s="181" t="s">
        <v>647</v>
      </c>
      <c r="H140" s="8">
        <v>-268697.81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-268697.81</v>
      </c>
    </row>
    <row r="141" spans="1:15">
      <c r="A141" s="191">
        <v>44652</v>
      </c>
      <c r="B141" s="181" t="s">
        <v>130</v>
      </c>
      <c r="C141" s="181" t="s">
        <v>648</v>
      </c>
      <c r="D141" s="181" t="str">
        <f t="shared" si="5"/>
        <v>31201</v>
      </c>
      <c r="E141" s="181" t="s">
        <v>15</v>
      </c>
      <c r="F141" s="181" t="s">
        <v>14</v>
      </c>
      <c r="G141" s="181" t="s">
        <v>793</v>
      </c>
      <c r="H141" s="8">
        <v>268697.81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268697.81</v>
      </c>
    </row>
    <row r="142" spans="1:15">
      <c r="A142" s="191">
        <v>44682</v>
      </c>
      <c r="B142" s="181" t="s">
        <v>129</v>
      </c>
      <c r="C142" s="181" t="s">
        <v>648</v>
      </c>
      <c r="D142" s="181" t="str">
        <f t="shared" si="5"/>
        <v>31201</v>
      </c>
      <c r="E142" s="181" t="s">
        <v>15</v>
      </c>
      <c r="F142" s="181" t="s">
        <v>14</v>
      </c>
      <c r="G142" s="181" t="s">
        <v>647</v>
      </c>
      <c r="H142" s="8">
        <v>-268697.81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-268697.81</v>
      </c>
    </row>
    <row r="143" spans="1:15">
      <c r="A143" s="191">
        <v>44682</v>
      </c>
      <c r="B143" s="181" t="s">
        <v>129</v>
      </c>
      <c r="C143" s="181" t="s">
        <v>648</v>
      </c>
      <c r="D143" s="181" t="str">
        <f t="shared" si="5"/>
        <v>31201</v>
      </c>
      <c r="E143" s="181" t="s">
        <v>15</v>
      </c>
      <c r="F143" s="181" t="s">
        <v>14</v>
      </c>
      <c r="G143" s="181" t="s">
        <v>793</v>
      </c>
      <c r="H143" s="8">
        <v>268697.81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268697.81</v>
      </c>
    </row>
    <row r="144" spans="1:15">
      <c r="A144" s="191">
        <v>44713</v>
      </c>
      <c r="B144" s="181" t="s">
        <v>128</v>
      </c>
      <c r="C144" s="181" t="s">
        <v>648</v>
      </c>
      <c r="D144" s="181" t="str">
        <f t="shared" si="5"/>
        <v>31201</v>
      </c>
      <c r="E144" s="181" t="s">
        <v>15</v>
      </c>
      <c r="F144" s="181" t="s">
        <v>14</v>
      </c>
      <c r="G144" s="181" t="s">
        <v>647</v>
      </c>
      <c r="H144" s="8">
        <v>-268697.81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-268697.81</v>
      </c>
    </row>
    <row r="145" spans="1:15">
      <c r="A145" s="191">
        <v>44713</v>
      </c>
      <c r="B145" s="181" t="s">
        <v>128</v>
      </c>
      <c r="C145" s="181" t="s">
        <v>648</v>
      </c>
      <c r="D145" s="181" t="str">
        <f t="shared" si="5"/>
        <v>31201</v>
      </c>
      <c r="E145" s="181" t="s">
        <v>15</v>
      </c>
      <c r="F145" s="181" t="s">
        <v>14</v>
      </c>
      <c r="G145" s="181" t="s">
        <v>793</v>
      </c>
      <c r="H145" s="8">
        <v>268697.81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268697.81</v>
      </c>
    </row>
    <row r="146" spans="1:15">
      <c r="A146" s="191">
        <v>44743</v>
      </c>
      <c r="B146" s="181" t="s">
        <v>127</v>
      </c>
      <c r="C146" s="181" t="s">
        <v>648</v>
      </c>
      <c r="D146" s="181" t="str">
        <f t="shared" si="5"/>
        <v>31201</v>
      </c>
      <c r="E146" s="181" t="s">
        <v>15</v>
      </c>
      <c r="F146" s="181" t="s">
        <v>14</v>
      </c>
      <c r="G146" s="181" t="s">
        <v>647</v>
      </c>
      <c r="H146" s="8">
        <v>-268697.81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-268697.81</v>
      </c>
    </row>
    <row r="147" spans="1:15">
      <c r="A147" s="191">
        <v>44743</v>
      </c>
      <c r="B147" s="181" t="s">
        <v>127</v>
      </c>
      <c r="C147" s="181" t="s">
        <v>648</v>
      </c>
      <c r="D147" s="181" t="str">
        <f t="shared" si="5"/>
        <v>31201</v>
      </c>
      <c r="E147" s="181" t="s">
        <v>15</v>
      </c>
      <c r="F147" s="181" t="s">
        <v>14</v>
      </c>
      <c r="G147" s="181" t="s">
        <v>793</v>
      </c>
      <c r="H147" s="8">
        <v>268697.81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268697.81</v>
      </c>
    </row>
    <row r="148" spans="1:15">
      <c r="A148" s="191">
        <v>44774</v>
      </c>
      <c r="B148" s="181" t="s">
        <v>126</v>
      </c>
      <c r="C148" s="181" t="s">
        <v>648</v>
      </c>
      <c r="D148" s="181" t="str">
        <f t="shared" si="5"/>
        <v>31201</v>
      </c>
      <c r="E148" s="181" t="s">
        <v>15</v>
      </c>
      <c r="F148" s="181" t="s">
        <v>14</v>
      </c>
      <c r="G148" s="181" t="s">
        <v>647</v>
      </c>
      <c r="H148" s="8">
        <v>-268697.81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-268697.81</v>
      </c>
    </row>
    <row r="149" spans="1:15">
      <c r="A149" s="191">
        <v>44774</v>
      </c>
      <c r="B149" s="181" t="s">
        <v>126</v>
      </c>
      <c r="C149" s="181" t="s">
        <v>648</v>
      </c>
      <c r="D149" s="181" t="str">
        <f t="shared" si="5"/>
        <v>31201</v>
      </c>
      <c r="E149" s="181" t="s">
        <v>15</v>
      </c>
      <c r="F149" s="181" t="s">
        <v>14</v>
      </c>
      <c r="G149" s="181" t="s">
        <v>793</v>
      </c>
      <c r="H149" s="8">
        <v>268697.81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268697.81</v>
      </c>
    </row>
    <row r="150" spans="1:15">
      <c r="A150" s="191">
        <v>44805</v>
      </c>
      <c r="B150" s="181" t="s">
        <v>125</v>
      </c>
      <c r="C150" s="181" t="s">
        <v>648</v>
      </c>
      <c r="D150" s="181" t="str">
        <f t="shared" si="5"/>
        <v>31201</v>
      </c>
      <c r="E150" s="181" t="s">
        <v>15</v>
      </c>
      <c r="F150" s="181" t="s">
        <v>14</v>
      </c>
      <c r="G150" s="181" t="s">
        <v>647</v>
      </c>
      <c r="H150" s="8">
        <v>-268697.81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-268697.81</v>
      </c>
    </row>
    <row r="151" spans="1:15">
      <c r="A151" s="191">
        <v>44805</v>
      </c>
      <c r="B151" s="181" t="s">
        <v>125</v>
      </c>
      <c r="C151" s="181" t="s">
        <v>648</v>
      </c>
      <c r="D151" s="181" t="str">
        <f t="shared" si="5"/>
        <v>31201</v>
      </c>
      <c r="E151" s="181" t="s">
        <v>15</v>
      </c>
      <c r="F151" s="181" t="s">
        <v>14</v>
      </c>
      <c r="G151" s="181" t="s">
        <v>793</v>
      </c>
      <c r="H151" s="8">
        <v>268697.81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268697.81</v>
      </c>
    </row>
    <row r="152" spans="1:15">
      <c r="A152" s="191">
        <v>44835</v>
      </c>
      <c r="B152" s="181" t="s">
        <v>124</v>
      </c>
      <c r="C152" s="181" t="s">
        <v>648</v>
      </c>
      <c r="D152" s="181" t="str">
        <f t="shared" si="5"/>
        <v>31201</v>
      </c>
      <c r="E152" s="181" t="s">
        <v>15</v>
      </c>
      <c r="F152" s="181" t="s">
        <v>14</v>
      </c>
      <c r="G152" s="181" t="s">
        <v>647</v>
      </c>
      <c r="H152" s="8">
        <v>-268697.81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-268697.81</v>
      </c>
    </row>
    <row r="153" spans="1:15">
      <c r="A153" s="191">
        <v>44835</v>
      </c>
      <c r="B153" s="181" t="s">
        <v>124</v>
      </c>
      <c r="C153" s="181" t="s">
        <v>648</v>
      </c>
      <c r="D153" s="181" t="str">
        <f t="shared" si="5"/>
        <v>31201</v>
      </c>
      <c r="E153" s="181" t="s">
        <v>15</v>
      </c>
      <c r="F153" s="181" t="s">
        <v>14</v>
      </c>
      <c r="G153" s="181" t="s">
        <v>793</v>
      </c>
      <c r="H153" s="8">
        <v>268697.81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268697.81</v>
      </c>
    </row>
    <row r="154" spans="1:15">
      <c r="A154" s="191">
        <v>44866</v>
      </c>
      <c r="B154" s="181" t="s">
        <v>123</v>
      </c>
      <c r="C154" s="181" t="s">
        <v>648</v>
      </c>
      <c r="D154" s="181" t="str">
        <f t="shared" si="5"/>
        <v>31201</v>
      </c>
      <c r="E154" s="181" t="s">
        <v>15</v>
      </c>
      <c r="F154" s="181" t="s">
        <v>14</v>
      </c>
      <c r="G154" s="181" t="s">
        <v>647</v>
      </c>
      <c r="H154" s="8">
        <v>-268697.81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-268697.81</v>
      </c>
    </row>
    <row r="155" spans="1:15">
      <c r="A155" s="191">
        <v>44866</v>
      </c>
      <c r="B155" s="181" t="s">
        <v>123</v>
      </c>
      <c r="C155" s="181" t="s">
        <v>648</v>
      </c>
      <c r="D155" s="181" t="str">
        <f t="shared" si="5"/>
        <v>31201</v>
      </c>
      <c r="E155" s="181" t="s">
        <v>15</v>
      </c>
      <c r="F155" s="181" t="s">
        <v>14</v>
      </c>
      <c r="G155" s="181" t="s">
        <v>793</v>
      </c>
      <c r="H155" s="8">
        <v>268697.81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268697.81</v>
      </c>
    </row>
    <row r="156" spans="1:15">
      <c r="A156" s="191">
        <v>44896</v>
      </c>
      <c r="B156" s="181" t="s">
        <v>122</v>
      </c>
      <c r="C156" s="181" t="s">
        <v>648</v>
      </c>
      <c r="D156" s="181" t="str">
        <f t="shared" si="5"/>
        <v>31201</v>
      </c>
      <c r="E156" s="181" t="s">
        <v>15</v>
      </c>
      <c r="F156" s="181" t="s">
        <v>14</v>
      </c>
      <c r="G156" s="181" t="s">
        <v>647</v>
      </c>
      <c r="H156" s="8">
        <v>-268697.81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-268697.81</v>
      </c>
    </row>
    <row r="157" spans="1:15">
      <c r="A157" s="191">
        <v>44896</v>
      </c>
      <c r="B157" s="181" t="s">
        <v>122</v>
      </c>
      <c r="C157" s="181" t="s">
        <v>648</v>
      </c>
      <c r="D157" s="181" t="str">
        <f t="shared" si="5"/>
        <v>31201</v>
      </c>
      <c r="E157" s="181" t="s">
        <v>15</v>
      </c>
      <c r="F157" s="181" t="s">
        <v>14</v>
      </c>
      <c r="G157" s="181" t="s">
        <v>793</v>
      </c>
      <c r="H157" s="8">
        <v>268697.81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268697.81</v>
      </c>
    </row>
    <row r="158" spans="1:15">
      <c r="A158" s="191">
        <v>44531</v>
      </c>
      <c r="B158" s="181" t="s">
        <v>13</v>
      </c>
      <c r="C158" s="181" t="s">
        <v>649</v>
      </c>
      <c r="D158" s="181" t="str">
        <f t="shared" si="5"/>
        <v>31202</v>
      </c>
      <c r="E158" s="181" t="s">
        <v>15</v>
      </c>
      <c r="F158" s="181" t="s">
        <v>14</v>
      </c>
      <c r="G158" s="181" t="s">
        <v>647</v>
      </c>
      <c r="H158" s="8">
        <v>337169.03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337169.03</v>
      </c>
    </row>
    <row r="159" spans="1:15">
      <c r="A159" s="191">
        <v>44531</v>
      </c>
      <c r="B159" s="181" t="s">
        <v>13</v>
      </c>
      <c r="C159" s="181" t="s">
        <v>649</v>
      </c>
      <c r="D159" s="181" t="str">
        <f t="shared" si="5"/>
        <v>31202</v>
      </c>
      <c r="E159" s="181" t="s">
        <v>15</v>
      </c>
      <c r="F159" s="181" t="s">
        <v>14</v>
      </c>
      <c r="G159" s="181" t="s">
        <v>793</v>
      </c>
      <c r="H159" s="8">
        <v>-337169.03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-337169.03</v>
      </c>
    </row>
    <row r="160" spans="1:15">
      <c r="A160" s="191">
        <v>44562</v>
      </c>
      <c r="B160" s="181" t="s">
        <v>133</v>
      </c>
      <c r="C160" s="181" t="s">
        <v>649</v>
      </c>
      <c r="D160" s="181" t="str">
        <f t="shared" si="5"/>
        <v>31202</v>
      </c>
      <c r="E160" s="181" t="s">
        <v>15</v>
      </c>
      <c r="F160" s="181" t="s">
        <v>14</v>
      </c>
      <c r="G160" s="181" t="s">
        <v>647</v>
      </c>
      <c r="H160" s="8">
        <v>337169.03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337169.03</v>
      </c>
    </row>
    <row r="161" spans="1:15">
      <c r="A161" s="191">
        <v>44562</v>
      </c>
      <c r="B161" s="181" t="s">
        <v>133</v>
      </c>
      <c r="C161" s="181" t="s">
        <v>649</v>
      </c>
      <c r="D161" s="181" t="str">
        <f t="shared" si="5"/>
        <v>31202</v>
      </c>
      <c r="E161" s="181" t="s">
        <v>15</v>
      </c>
      <c r="F161" s="181" t="s">
        <v>14</v>
      </c>
      <c r="G161" s="181" t="s">
        <v>793</v>
      </c>
      <c r="H161" s="8">
        <v>-337169.03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-337169.03</v>
      </c>
    </row>
    <row r="162" spans="1:15">
      <c r="A162" s="191">
        <v>44593</v>
      </c>
      <c r="B162" s="181" t="s">
        <v>132</v>
      </c>
      <c r="C162" s="181" t="s">
        <v>649</v>
      </c>
      <c r="D162" s="181" t="str">
        <f t="shared" si="5"/>
        <v>31202</v>
      </c>
      <c r="E162" s="181" t="s">
        <v>15</v>
      </c>
      <c r="F162" s="181" t="s">
        <v>14</v>
      </c>
      <c r="G162" s="181" t="s">
        <v>647</v>
      </c>
      <c r="H162" s="8">
        <v>337169.03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337169.03</v>
      </c>
    </row>
    <row r="163" spans="1:15">
      <c r="A163" s="191">
        <v>44593</v>
      </c>
      <c r="B163" s="181" t="s">
        <v>132</v>
      </c>
      <c r="C163" s="181" t="s">
        <v>649</v>
      </c>
      <c r="D163" s="181" t="str">
        <f t="shared" si="5"/>
        <v>31202</v>
      </c>
      <c r="E163" s="181" t="s">
        <v>15</v>
      </c>
      <c r="F163" s="181" t="s">
        <v>14</v>
      </c>
      <c r="G163" s="181" t="s">
        <v>793</v>
      </c>
      <c r="H163" s="8">
        <v>-337169.03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-337169.03</v>
      </c>
    </row>
    <row r="164" spans="1:15">
      <c r="A164" s="191">
        <v>44621</v>
      </c>
      <c r="B164" s="181" t="s">
        <v>131</v>
      </c>
      <c r="C164" s="181" t="s">
        <v>649</v>
      </c>
      <c r="D164" s="181" t="str">
        <f t="shared" si="5"/>
        <v>31202</v>
      </c>
      <c r="E164" s="181" t="s">
        <v>15</v>
      </c>
      <c r="F164" s="181" t="s">
        <v>14</v>
      </c>
      <c r="G164" s="181" t="s">
        <v>647</v>
      </c>
      <c r="H164" s="8">
        <v>337169.03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337169.03</v>
      </c>
    </row>
    <row r="165" spans="1:15">
      <c r="A165" s="191">
        <v>44621</v>
      </c>
      <c r="B165" s="181" t="s">
        <v>131</v>
      </c>
      <c r="C165" s="181" t="s">
        <v>649</v>
      </c>
      <c r="D165" s="181" t="str">
        <f t="shared" si="5"/>
        <v>31202</v>
      </c>
      <c r="E165" s="181" t="s">
        <v>15</v>
      </c>
      <c r="F165" s="181" t="s">
        <v>14</v>
      </c>
      <c r="G165" s="181" t="s">
        <v>793</v>
      </c>
      <c r="H165" s="8">
        <v>-337169.03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-337169.03</v>
      </c>
    </row>
    <row r="166" spans="1:15">
      <c r="A166" s="191">
        <v>44652</v>
      </c>
      <c r="B166" s="181" t="s">
        <v>130</v>
      </c>
      <c r="C166" s="181" t="s">
        <v>649</v>
      </c>
      <c r="D166" s="181" t="str">
        <f t="shared" si="5"/>
        <v>31202</v>
      </c>
      <c r="E166" s="181" t="s">
        <v>15</v>
      </c>
      <c r="F166" s="181" t="s">
        <v>14</v>
      </c>
      <c r="G166" s="181" t="s">
        <v>647</v>
      </c>
      <c r="H166" s="8">
        <v>337169.03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337169.03</v>
      </c>
    </row>
    <row r="167" spans="1:15">
      <c r="A167" s="191">
        <v>44652</v>
      </c>
      <c r="B167" s="181" t="s">
        <v>130</v>
      </c>
      <c r="C167" s="181" t="s">
        <v>649</v>
      </c>
      <c r="D167" s="181" t="str">
        <f t="shared" si="5"/>
        <v>31202</v>
      </c>
      <c r="E167" s="181" t="s">
        <v>15</v>
      </c>
      <c r="F167" s="181" t="s">
        <v>14</v>
      </c>
      <c r="G167" s="181" t="s">
        <v>793</v>
      </c>
      <c r="H167" s="8">
        <v>-337169.03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-337169.03</v>
      </c>
    </row>
    <row r="168" spans="1:15">
      <c r="A168" s="191">
        <v>44682</v>
      </c>
      <c r="B168" s="181" t="s">
        <v>129</v>
      </c>
      <c r="C168" s="181" t="s">
        <v>649</v>
      </c>
      <c r="D168" s="181" t="str">
        <f t="shared" si="5"/>
        <v>31202</v>
      </c>
      <c r="E168" s="181" t="s">
        <v>15</v>
      </c>
      <c r="F168" s="181" t="s">
        <v>14</v>
      </c>
      <c r="G168" s="181" t="s">
        <v>647</v>
      </c>
      <c r="H168" s="8">
        <v>337169.03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337169.03</v>
      </c>
    </row>
    <row r="169" spans="1:15">
      <c r="A169" s="191">
        <v>44682</v>
      </c>
      <c r="B169" s="181" t="s">
        <v>129</v>
      </c>
      <c r="C169" s="181" t="s">
        <v>649</v>
      </c>
      <c r="D169" s="181" t="str">
        <f t="shared" si="5"/>
        <v>31202</v>
      </c>
      <c r="E169" s="181" t="s">
        <v>15</v>
      </c>
      <c r="F169" s="181" t="s">
        <v>14</v>
      </c>
      <c r="G169" s="181" t="s">
        <v>793</v>
      </c>
      <c r="H169" s="8">
        <v>-337169.03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-337169.03</v>
      </c>
    </row>
    <row r="170" spans="1:15">
      <c r="A170" s="191">
        <v>44713</v>
      </c>
      <c r="B170" s="181" t="s">
        <v>128</v>
      </c>
      <c r="C170" s="181" t="s">
        <v>649</v>
      </c>
      <c r="D170" s="181" t="str">
        <f t="shared" si="5"/>
        <v>31202</v>
      </c>
      <c r="E170" s="181" t="s">
        <v>15</v>
      </c>
      <c r="F170" s="181" t="s">
        <v>14</v>
      </c>
      <c r="G170" s="181" t="s">
        <v>647</v>
      </c>
      <c r="H170" s="8">
        <v>337169.03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337169.03</v>
      </c>
    </row>
    <row r="171" spans="1:15">
      <c r="A171" s="191">
        <v>44713</v>
      </c>
      <c r="B171" s="181" t="s">
        <v>128</v>
      </c>
      <c r="C171" s="181" t="s">
        <v>649</v>
      </c>
      <c r="D171" s="181" t="str">
        <f t="shared" si="5"/>
        <v>31202</v>
      </c>
      <c r="E171" s="181" t="s">
        <v>15</v>
      </c>
      <c r="F171" s="181" t="s">
        <v>14</v>
      </c>
      <c r="G171" s="181" t="s">
        <v>793</v>
      </c>
      <c r="H171" s="8">
        <v>-337169.03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-337169.03</v>
      </c>
    </row>
    <row r="172" spans="1:15">
      <c r="A172" s="191">
        <v>44743</v>
      </c>
      <c r="B172" s="181" t="s">
        <v>127</v>
      </c>
      <c r="C172" s="181" t="s">
        <v>649</v>
      </c>
      <c r="D172" s="181" t="str">
        <f t="shared" si="5"/>
        <v>31202</v>
      </c>
      <c r="E172" s="181" t="s">
        <v>15</v>
      </c>
      <c r="F172" s="181" t="s">
        <v>14</v>
      </c>
      <c r="G172" s="181" t="s">
        <v>647</v>
      </c>
      <c r="H172" s="8">
        <v>337169.03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337169.03</v>
      </c>
    </row>
    <row r="173" spans="1:15">
      <c r="A173" s="191">
        <v>44743</v>
      </c>
      <c r="B173" s="181" t="s">
        <v>127</v>
      </c>
      <c r="C173" s="181" t="s">
        <v>649</v>
      </c>
      <c r="D173" s="181" t="str">
        <f t="shared" si="5"/>
        <v>31202</v>
      </c>
      <c r="E173" s="181" t="s">
        <v>15</v>
      </c>
      <c r="F173" s="181" t="s">
        <v>14</v>
      </c>
      <c r="G173" s="181" t="s">
        <v>793</v>
      </c>
      <c r="H173" s="8">
        <v>-337169.03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-337169.03</v>
      </c>
    </row>
    <row r="174" spans="1:15">
      <c r="A174" s="191">
        <v>44774</v>
      </c>
      <c r="B174" s="181" t="s">
        <v>126</v>
      </c>
      <c r="C174" s="181" t="s">
        <v>649</v>
      </c>
      <c r="D174" s="181" t="str">
        <f t="shared" si="5"/>
        <v>31202</v>
      </c>
      <c r="E174" s="181" t="s">
        <v>15</v>
      </c>
      <c r="F174" s="181" t="s">
        <v>14</v>
      </c>
      <c r="G174" s="181" t="s">
        <v>647</v>
      </c>
      <c r="H174" s="8">
        <v>337169.03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337169.03</v>
      </c>
    </row>
    <row r="175" spans="1:15">
      <c r="A175" s="191">
        <v>44774</v>
      </c>
      <c r="B175" s="181" t="s">
        <v>126</v>
      </c>
      <c r="C175" s="181" t="s">
        <v>649</v>
      </c>
      <c r="D175" s="181" t="str">
        <f t="shared" si="5"/>
        <v>31202</v>
      </c>
      <c r="E175" s="181" t="s">
        <v>15</v>
      </c>
      <c r="F175" s="181" t="s">
        <v>14</v>
      </c>
      <c r="G175" s="181" t="s">
        <v>793</v>
      </c>
      <c r="H175" s="8">
        <v>-337169.03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-337169.03</v>
      </c>
    </row>
    <row r="176" spans="1:15">
      <c r="A176" s="191">
        <v>44805</v>
      </c>
      <c r="B176" s="181" t="s">
        <v>125</v>
      </c>
      <c r="C176" s="181" t="s">
        <v>649</v>
      </c>
      <c r="D176" s="181" t="str">
        <f t="shared" si="5"/>
        <v>31202</v>
      </c>
      <c r="E176" s="181" t="s">
        <v>15</v>
      </c>
      <c r="F176" s="181" t="s">
        <v>14</v>
      </c>
      <c r="G176" s="181" t="s">
        <v>647</v>
      </c>
      <c r="H176" s="8">
        <v>337169.03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337169.03</v>
      </c>
    </row>
    <row r="177" spans="1:15">
      <c r="A177" s="191">
        <v>44805</v>
      </c>
      <c r="B177" s="181" t="s">
        <v>125</v>
      </c>
      <c r="C177" s="181" t="s">
        <v>649</v>
      </c>
      <c r="D177" s="181" t="str">
        <f t="shared" si="5"/>
        <v>31202</v>
      </c>
      <c r="E177" s="181" t="s">
        <v>15</v>
      </c>
      <c r="F177" s="181" t="s">
        <v>14</v>
      </c>
      <c r="G177" s="181" t="s">
        <v>793</v>
      </c>
      <c r="H177" s="8">
        <v>-337169.03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-337169.03</v>
      </c>
    </row>
    <row r="178" spans="1:15">
      <c r="A178" s="191">
        <v>44835</v>
      </c>
      <c r="B178" s="181" t="s">
        <v>124</v>
      </c>
      <c r="C178" s="181" t="s">
        <v>649</v>
      </c>
      <c r="D178" s="181" t="str">
        <f t="shared" si="5"/>
        <v>31202</v>
      </c>
      <c r="E178" s="181" t="s">
        <v>15</v>
      </c>
      <c r="F178" s="181" t="s">
        <v>14</v>
      </c>
      <c r="G178" s="181" t="s">
        <v>647</v>
      </c>
      <c r="H178" s="8">
        <v>337169.03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337169.03</v>
      </c>
    </row>
    <row r="179" spans="1:15">
      <c r="A179" s="191">
        <v>44835</v>
      </c>
      <c r="B179" s="181" t="s">
        <v>124</v>
      </c>
      <c r="C179" s="181" t="s">
        <v>649</v>
      </c>
      <c r="D179" s="181" t="str">
        <f t="shared" si="5"/>
        <v>31202</v>
      </c>
      <c r="E179" s="181" t="s">
        <v>15</v>
      </c>
      <c r="F179" s="181" t="s">
        <v>14</v>
      </c>
      <c r="G179" s="181" t="s">
        <v>793</v>
      </c>
      <c r="H179" s="8">
        <v>-337169.03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-337169.03</v>
      </c>
    </row>
    <row r="180" spans="1:15">
      <c r="A180" s="191">
        <v>44866</v>
      </c>
      <c r="B180" s="181" t="s">
        <v>123</v>
      </c>
      <c r="C180" s="181" t="s">
        <v>649</v>
      </c>
      <c r="D180" s="181" t="str">
        <f t="shared" si="5"/>
        <v>31202</v>
      </c>
      <c r="E180" s="181" t="s">
        <v>15</v>
      </c>
      <c r="F180" s="181" t="s">
        <v>14</v>
      </c>
      <c r="G180" s="181" t="s">
        <v>647</v>
      </c>
      <c r="H180" s="8">
        <v>337169.03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337169.03</v>
      </c>
    </row>
    <row r="181" spans="1:15">
      <c r="A181" s="191">
        <v>44866</v>
      </c>
      <c r="B181" s="181" t="s">
        <v>123</v>
      </c>
      <c r="C181" s="181" t="s">
        <v>649</v>
      </c>
      <c r="D181" s="181" t="str">
        <f t="shared" si="5"/>
        <v>31202</v>
      </c>
      <c r="E181" s="181" t="s">
        <v>15</v>
      </c>
      <c r="F181" s="181" t="s">
        <v>14</v>
      </c>
      <c r="G181" s="181" t="s">
        <v>793</v>
      </c>
      <c r="H181" s="8">
        <v>-337169.03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-337169.03</v>
      </c>
    </row>
    <row r="182" spans="1:15">
      <c r="A182" s="191">
        <v>44896</v>
      </c>
      <c r="B182" s="181" t="s">
        <v>122</v>
      </c>
      <c r="C182" s="181" t="s">
        <v>649</v>
      </c>
      <c r="D182" s="181" t="str">
        <f t="shared" si="5"/>
        <v>31202</v>
      </c>
      <c r="E182" s="181" t="s">
        <v>15</v>
      </c>
      <c r="F182" s="181" t="s">
        <v>14</v>
      </c>
      <c r="G182" s="181" t="s">
        <v>647</v>
      </c>
      <c r="H182" s="8">
        <v>337169.03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337169.03</v>
      </c>
    </row>
    <row r="183" spans="1:15">
      <c r="A183" s="191">
        <v>44896</v>
      </c>
      <c r="B183" s="181" t="s">
        <v>122</v>
      </c>
      <c r="C183" s="181" t="s">
        <v>649</v>
      </c>
      <c r="D183" s="181" t="str">
        <f t="shared" si="5"/>
        <v>31202</v>
      </c>
      <c r="E183" s="181" t="s">
        <v>15</v>
      </c>
      <c r="F183" s="181" t="s">
        <v>14</v>
      </c>
      <c r="G183" s="181" t="s">
        <v>793</v>
      </c>
      <c r="H183" s="8">
        <v>-337169.03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-337169.03</v>
      </c>
    </row>
    <row r="184" spans="1:15">
      <c r="A184" s="191">
        <v>44531</v>
      </c>
      <c r="B184" s="181" t="s">
        <v>13</v>
      </c>
      <c r="C184" s="181" t="s">
        <v>650</v>
      </c>
      <c r="D184" s="181" t="str">
        <f t="shared" si="5"/>
        <v>31209</v>
      </c>
      <c r="E184" s="181" t="s">
        <v>15</v>
      </c>
      <c r="F184" s="181" t="s">
        <v>14</v>
      </c>
      <c r="G184" s="181" t="s">
        <v>647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</row>
    <row r="185" spans="1:15">
      <c r="A185" s="191">
        <v>44562</v>
      </c>
      <c r="B185" s="181" t="s">
        <v>133</v>
      </c>
      <c r="C185" s="181" t="s">
        <v>650</v>
      </c>
      <c r="D185" s="181" t="str">
        <f t="shared" si="5"/>
        <v>31209</v>
      </c>
      <c r="E185" s="181" t="s">
        <v>15</v>
      </c>
      <c r="F185" s="181" t="s">
        <v>14</v>
      </c>
      <c r="G185" s="181" t="s">
        <v>647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</row>
    <row r="186" spans="1:15">
      <c r="A186" s="191">
        <v>44593</v>
      </c>
      <c r="B186" s="181" t="s">
        <v>132</v>
      </c>
      <c r="C186" s="181" t="s">
        <v>650</v>
      </c>
      <c r="D186" s="181" t="str">
        <f t="shared" si="5"/>
        <v>31209</v>
      </c>
      <c r="E186" s="181" t="s">
        <v>15</v>
      </c>
      <c r="F186" s="181" t="s">
        <v>14</v>
      </c>
      <c r="G186" s="181" t="s">
        <v>647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</row>
    <row r="187" spans="1:15">
      <c r="A187" s="191">
        <v>44621</v>
      </c>
      <c r="B187" s="181" t="s">
        <v>131</v>
      </c>
      <c r="C187" s="181" t="s">
        <v>650</v>
      </c>
      <c r="D187" s="181" t="str">
        <f t="shared" si="5"/>
        <v>31209</v>
      </c>
      <c r="E187" s="181" t="s">
        <v>15</v>
      </c>
      <c r="F187" s="181" t="s">
        <v>14</v>
      </c>
      <c r="G187" s="181" t="s">
        <v>647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</row>
    <row r="188" spans="1:15">
      <c r="A188" s="191">
        <v>44652</v>
      </c>
      <c r="B188" s="181" t="s">
        <v>130</v>
      </c>
      <c r="C188" s="181" t="s">
        <v>650</v>
      </c>
      <c r="D188" s="181" t="str">
        <f t="shared" si="5"/>
        <v>31209</v>
      </c>
      <c r="E188" s="181" t="s">
        <v>15</v>
      </c>
      <c r="F188" s="181" t="s">
        <v>14</v>
      </c>
      <c r="G188" s="181" t="s">
        <v>647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</row>
    <row r="189" spans="1:15">
      <c r="A189" s="191">
        <v>44682</v>
      </c>
      <c r="B189" s="181" t="s">
        <v>129</v>
      </c>
      <c r="C189" s="181" t="s">
        <v>650</v>
      </c>
      <c r="D189" s="181" t="str">
        <f t="shared" si="5"/>
        <v>31209</v>
      </c>
      <c r="E189" s="181" t="s">
        <v>15</v>
      </c>
      <c r="F189" s="181" t="s">
        <v>14</v>
      </c>
      <c r="G189" s="181" t="s">
        <v>647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</row>
    <row r="190" spans="1:15">
      <c r="A190" s="191">
        <v>44713</v>
      </c>
      <c r="B190" s="181" t="s">
        <v>128</v>
      </c>
      <c r="C190" s="181" t="s">
        <v>650</v>
      </c>
      <c r="D190" s="181" t="str">
        <f t="shared" si="5"/>
        <v>31209</v>
      </c>
      <c r="E190" s="181" t="s">
        <v>15</v>
      </c>
      <c r="F190" s="181" t="s">
        <v>14</v>
      </c>
      <c r="G190" s="181" t="s">
        <v>647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</row>
    <row r="191" spans="1:15">
      <c r="A191" s="191">
        <v>44743</v>
      </c>
      <c r="B191" s="181" t="s">
        <v>127</v>
      </c>
      <c r="C191" s="181" t="s">
        <v>650</v>
      </c>
      <c r="D191" s="181" t="str">
        <f t="shared" si="5"/>
        <v>31209</v>
      </c>
      <c r="E191" s="181" t="s">
        <v>15</v>
      </c>
      <c r="F191" s="181" t="s">
        <v>14</v>
      </c>
      <c r="G191" s="181" t="s">
        <v>647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</row>
    <row r="192" spans="1:15">
      <c r="A192" s="191">
        <v>44774</v>
      </c>
      <c r="B192" s="181" t="s">
        <v>126</v>
      </c>
      <c r="C192" s="181" t="s">
        <v>650</v>
      </c>
      <c r="D192" s="181" t="str">
        <f t="shared" si="5"/>
        <v>31209</v>
      </c>
      <c r="E192" s="181" t="s">
        <v>15</v>
      </c>
      <c r="F192" s="181" t="s">
        <v>14</v>
      </c>
      <c r="G192" s="181" t="s">
        <v>647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</row>
    <row r="193" spans="1:15">
      <c r="A193" s="191">
        <v>44805</v>
      </c>
      <c r="B193" s="181" t="s">
        <v>125</v>
      </c>
      <c r="C193" s="181" t="s">
        <v>650</v>
      </c>
      <c r="D193" s="181" t="str">
        <f t="shared" si="5"/>
        <v>31209</v>
      </c>
      <c r="E193" s="181" t="s">
        <v>15</v>
      </c>
      <c r="F193" s="181" t="s">
        <v>14</v>
      </c>
      <c r="G193" s="181" t="s">
        <v>647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</row>
    <row r="194" spans="1:15">
      <c r="A194" s="191">
        <v>44835</v>
      </c>
      <c r="B194" s="181" t="s">
        <v>124</v>
      </c>
      <c r="C194" s="181" t="s">
        <v>650</v>
      </c>
      <c r="D194" s="181" t="str">
        <f t="shared" ref="D194:D257" si="6">MID(C194,10,5)</f>
        <v>31209</v>
      </c>
      <c r="E194" s="181" t="s">
        <v>15</v>
      </c>
      <c r="F194" s="181" t="s">
        <v>14</v>
      </c>
      <c r="G194" s="181" t="s">
        <v>647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</row>
    <row r="195" spans="1:15">
      <c r="A195" s="191">
        <v>44866</v>
      </c>
      <c r="B195" s="181" t="s">
        <v>123</v>
      </c>
      <c r="C195" s="181" t="s">
        <v>650</v>
      </c>
      <c r="D195" s="181" t="str">
        <f t="shared" si="6"/>
        <v>31209</v>
      </c>
      <c r="E195" s="181" t="s">
        <v>15</v>
      </c>
      <c r="F195" s="181" t="s">
        <v>14</v>
      </c>
      <c r="G195" s="181" t="s">
        <v>647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</row>
    <row r="196" spans="1:15">
      <c r="A196" s="191">
        <v>44896</v>
      </c>
      <c r="B196" s="181" t="s">
        <v>122</v>
      </c>
      <c r="C196" s="181" t="s">
        <v>650</v>
      </c>
      <c r="D196" s="181" t="str">
        <f t="shared" si="6"/>
        <v>31209</v>
      </c>
      <c r="E196" s="181" t="s">
        <v>15</v>
      </c>
      <c r="F196" s="181" t="s">
        <v>14</v>
      </c>
      <c r="G196" s="181" t="s">
        <v>647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</row>
    <row r="197" spans="1:15">
      <c r="A197" s="191">
        <v>44531</v>
      </c>
      <c r="B197" s="181" t="s">
        <v>13</v>
      </c>
      <c r="C197" s="181" t="s">
        <v>651</v>
      </c>
      <c r="D197" s="181" t="str">
        <f t="shared" si="6"/>
        <v>31400</v>
      </c>
      <c r="E197" s="181" t="s">
        <v>15</v>
      </c>
      <c r="F197" s="181" t="s">
        <v>14</v>
      </c>
      <c r="G197" s="181" t="s">
        <v>647</v>
      </c>
      <c r="H197" s="8">
        <v>256113.31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256113.31</v>
      </c>
    </row>
    <row r="198" spans="1:15">
      <c r="A198" s="191">
        <v>44531</v>
      </c>
      <c r="B198" s="181" t="s">
        <v>13</v>
      </c>
      <c r="C198" s="181" t="s">
        <v>651</v>
      </c>
      <c r="D198" s="181" t="str">
        <f t="shared" si="6"/>
        <v>31400</v>
      </c>
      <c r="E198" s="181" t="s">
        <v>15</v>
      </c>
      <c r="F198" s="181" t="s">
        <v>14</v>
      </c>
      <c r="G198" s="181" t="s">
        <v>793</v>
      </c>
      <c r="H198" s="8">
        <v>-256113.32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-256113.32</v>
      </c>
    </row>
    <row r="199" spans="1:15">
      <c r="A199" s="191">
        <v>44562</v>
      </c>
      <c r="B199" s="181" t="s">
        <v>133</v>
      </c>
      <c r="C199" s="181" t="s">
        <v>651</v>
      </c>
      <c r="D199" s="181" t="str">
        <f t="shared" si="6"/>
        <v>31400</v>
      </c>
      <c r="E199" s="181" t="s">
        <v>15</v>
      </c>
      <c r="F199" s="181" t="s">
        <v>14</v>
      </c>
      <c r="G199" s="181" t="s">
        <v>647</v>
      </c>
      <c r="H199" s="8">
        <v>256113.31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256113.31</v>
      </c>
    </row>
    <row r="200" spans="1:15">
      <c r="A200" s="191">
        <v>44562</v>
      </c>
      <c r="B200" s="181" t="s">
        <v>133</v>
      </c>
      <c r="C200" s="181" t="s">
        <v>651</v>
      </c>
      <c r="D200" s="181" t="str">
        <f t="shared" si="6"/>
        <v>31400</v>
      </c>
      <c r="E200" s="181" t="s">
        <v>15</v>
      </c>
      <c r="F200" s="181" t="s">
        <v>14</v>
      </c>
      <c r="G200" s="181" t="s">
        <v>793</v>
      </c>
      <c r="H200" s="8">
        <v>-256113.32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-256113.32</v>
      </c>
    </row>
    <row r="201" spans="1:15">
      <c r="A201" s="191">
        <v>44593</v>
      </c>
      <c r="B201" s="181" t="s">
        <v>132</v>
      </c>
      <c r="C201" s="181" t="s">
        <v>651</v>
      </c>
      <c r="D201" s="181" t="str">
        <f t="shared" si="6"/>
        <v>31400</v>
      </c>
      <c r="E201" s="181" t="s">
        <v>15</v>
      </c>
      <c r="F201" s="181" t="s">
        <v>14</v>
      </c>
      <c r="G201" s="181" t="s">
        <v>647</v>
      </c>
      <c r="H201" s="8">
        <v>256113.31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256113.31</v>
      </c>
    </row>
    <row r="202" spans="1:15">
      <c r="A202" s="191">
        <v>44593</v>
      </c>
      <c r="B202" s="181" t="s">
        <v>132</v>
      </c>
      <c r="C202" s="181" t="s">
        <v>651</v>
      </c>
      <c r="D202" s="181" t="str">
        <f t="shared" si="6"/>
        <v>31400</v>
      </c>
      <c r="E202" s="181" t="s">
        <v>15</v>
      </c>
      <c r="F202" s="181" t="s">
        <v>14</v>
      </c>
      <c r="G202" s="181" t="s">
        <v>793</v>
      </c>
      <c r="H202" s="8">
        <v>-256113.32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-256113.32</v>
      </c>
    </row>
    <row r="203" spans="1:15">
      <c r="A203" s="191">
        <v>44621</v>
      </c>
      <c r="B203" s="181" t="s">
        <v>131</v>
      </c>
      <c r="C203" s="181" t="s">
        <v>651</v>
      </c>
      <c r="D203" s="181" t="str">
        <f t="shared" si="6"/>
        <v>31400</v>
      </c>
      <c r="E203" s="181" t="s">
        <v>15</v>
      </c>
      <c r="F203" s="181" t="s">
        <v>14</v>
      </c>
      <c r="G203" s="181" t="s">
        <v>647</v>
      </c>
      <c r="H203" s="8">
        <v>256113.31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256113.31</v>
      </c>
    </row>
    <row r="204" spans="1:15">
      <c r="A204" s="191">
        <v>44621</v>
      </c>
      <c r="B204" s="181" t="s">
        <v>131</v>
      </c>
      <c r="C204" s="181" t="s">
        <v>651</v>
      </c>
      <c r="D204" s="181" t="str">
        <f t="shared" si="6"/>
        <v>31400</v>
      </c>
      <c r="E204" s="181" t="s">
        <v>15</v>
      </c>
      <c r="F204" s="181" t="s">
        <v>14</v>
      </c>
      <c r="G204" s="181" t="s">
        <v>793</v>
      </c>
      <c r="H204" s="8">
        <v>-256113.32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-256113.32</v>
      </c>
    </row>
    <row r="205" spans="1:15">
      <c r="A205" s="191">
        <v>44652</v>
      </c>
      <c r="B205" s="181" t="s">
        <v>130</v>
      </c>
      <c r="C205" s="181" t="s">
        <v>651</v>
      </c>
      <c r="D205" s="181" t="str">
        <f t="shared" si="6"/>
        <v>31400</v>
      </c>
      <c r="E205" s="181" t="s">
        <v>15</v>
      </c>
      <c r="F205" s="181" t="s">
        <v>14</v>
      </c>
      <c r="G205" s="181" t="s">
        <v>647</v>
      </c>
      <c r="H205" s="8">
        <v>256113.31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256113.31</v>
      </c>
    </row>
    <row r="206" spans="1:15">
      <c r="A206" s="191">
        <v>44652</v>
      </c>
      <c r="B206" s="181" t="s">
        <v>130</v>
      </c>
      <c r="C206" s="181" t="s">
        <v>651</v>
      </c>
      <c r="D206" s="181" t="str">
        <f t="shared" si="6"/>
        <v>31400</v>
      </c>
      <c r="E206" s="181" t="s">
        <v>15</v>
      </c>
      <c r="F206" s="181" t="s">
        <v>14</v>
      </c>
      <c r="G206" s="181" t="s">
        <v>793</v>
      </c>
      <c r="H206" s="8">
        <v>-256113.32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-256113.32</v>
      </c>
    </row>
    <row r="207" spans="1:15">
      <c r="A207" s="191">
        <v>44682</v>
      </c>
      <c r="B207" s="181" t="s">
        <v>129</v>
      </c>
      <c r="C207" s="181" t="s">
        <v>651</v>
      </c>
      <c r="D207" s="181" t="str">
        <f t="shared" si="6"/>
        <v>31400</v>
      </c>
      <c r="E207" s="181" t="s">
        <v>15</v>
      </c>
      <c r="F207" s="181" t="s">
        <v>14</v>
      </c>
      <c r="G207" s="181" t="s">
        <v>647</v>
      </c>
      <c r="H207" s="8">
        <v>256113.31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256113.31</v>
      </c>
    </row>
    <row r="208" spans="1:15">
      <c r="A208" s="191">
        <v>44682</v>
      </c>
      <c r="B208" s="181" t="s">
        <v>129</v>
      </c>
      <c r="C208" s="181" t="s">
        <v>651</v>
      </c>
      <c r="D208" s="181" t="str">
        <f t="shared" si="6"/>
        <v>31400</v>
      </c>
      <c r="E208" s="181" t="s">
        <v>15</v>
      </c>
      <c r="F208" s="181" t="s">
        <v>14</v>
      </c>
      <c r="G208" s="181" t="s">
        <v>793</v>
      </c>
      <c r="H208" s="8">
        <v>-256113.32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-256113.32</v>
      </c>
    </row>
    <row r="209" spans="1:15">
      <c r="A209" s="191">
        <v>44713</v>
      </c>
      <c r="B209" s="181" t="s">
        <v>128</v>
      </c>
      <c r="C209" s="181" t="s">
        <v>651</v>
      </c>
      <c r="D209" s="181" t="str">
        <f t="shared" si="6"/>
        <v>31400</v>
      </c>
      <c r="E209" s="181" t="s">
        <v>15</v>
      </c>
      <c r="F209" s="181" t="s">
        <v>14</v>
      </c>
      <c r="G209" s="181" t="s">
        <v>647</v>
      </c>
      <c r="H209" s="8">
        <v>256113.31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256113.31</v>
      </c>
    </row>
    <row r="210" spans="1:15">
      <c r="A210" s="191">
        <v>44713</v>
      </c>
      <c r="B210" s="181" t="s">
        <v>128</v>
      </c>
      <c r="C210" s="181" t="s">
        <v>651</v>
      </c>
      <c r="D210" s="181" t="str">
        <f t="shared" si="6"/>
        <v>31400</v>
      </c>
      <c r="E210" s="181" t="s">
        <v>15</v>
      </c>
      <c r="F210" s="181" t="s">
        <v>14</v>
      </c>
      <c r="G210" s="181" t="s">
        <v>793</v>
      </c>
      <c r="H210" s="8">
        <v>-256113.32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-256113.32</v>
      </c>
    </row>
    <row r="211" spans="1:15">
      <c r="A211" s="191">
        <v>44743</v>
      </c>
      <c r="B211" s="181" t="s">
        <v>127</v>
      </c>
      <c r="C211" s="181" t="s">
        <v>651</v>
      </c>
      <c r="D211" s="181" t="str">
        <f t="shared" si="6"/>
        <v>31400</v>
      </c>
      <c r="E211" s="181" t="s">
        <v>15</v>
      </c>
      <c r="F211" s="181" t="s">
        <v>14</v>
      </c>
      <c r="G211" s="181" t="s">
        <v>647</v>
      </c>
      <c r="H211" s="8">
        <v>256113.31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256113.31</v>
      </c>
    </row>
    <row r="212" spans="1:15">
      <c r="A212" s="191">
        <v>44743</v>
      </c>
      <c r="B212" s="181" t="s">
        <v>127</v>
      </c>
      <c r="C212" s="181" t="s">
        <v>651</v>
      </c>
      <c r="D212" s="181" t="str">
        <f t="shared" si="6"/>
        <v>31400</v>
      </c>
      <c r="E212" s="181" t="s">
        <v>15</v>
      </c>
      <c r="F212" s="181" t="s">
        <v>14</v>
      </c>
      <c r="G212" s="181" t="s">
        <v>793</v>
      </c>
      <c r="H212" s="8">
        <v>-256113.32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-256113.32</v>
      </c>
    </row>
    <row r="213" spans="1:15">
      <c r="A213" s="191">
        <v>44774</v>
      </c>
      <c r="B213" s="181" t="s">
        <v>126</v>
      </c>
      <c r="C213" s="181" t="s">
        <v>651</v>
      </c>
      <c r="D213" s="181" t="str">
        <f t="shared" si="6"/>
        <v>31400</v>
      </c>
      <c r="E213" s="181" t="s">
        <v>15</v>
      </c>
      <c r="F213" s="181" t="s">
        <v>14</v>
      </c>
      <c r="G213" s="181" t="s">
        <v>647</v>
      </c>
      <c r="H213" s="8">
        <v>256113.31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256113.31</v>
      </c>
    </row>
    <row r="214" spans="1:15">
      <c r="A214" s="191">
        <v>44774</v>
      </c>
      <c r="B214" s="181" t="s">
        <v>126</v>
      </c>
      <c r="C214" s="181" t="s">
        <v>651</v>
      </c>
      <c r="D214" s="181" t="str">
        <f t="shared" si="6"/>
        <v>31400</v>
      </c>
      <c r="E214" s="181" t="s">
        <v>15</v>
      </c>
      <c r="F214" s="181" t="s">
        <v>14</v>
      </c>
      <c r="G214" s="181" t="s">
        <v>793</v>
      </c>
      <c r="H214" s="8">
        <v>-256113.32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-256113.32</v>
      </c>
    </row>
    <row r="215" spans="1:15">
      <c r="A215" s="191">
        <v>44805</v>
      </c>
      <c r="B215" s="181" t="s">
        <v>125</v>
      </c>
      <c r="C215" s="181" t="s">
        <v>651</v>
      </c>
      <c r="D215" s="181" t="str">
        <f t="shared" si="6"/>
        <v>31400</v>
      </c>
      <c r="E215" s="181" t="s">
        <v>15</v>
      </c>
      <c r="F215" s="181" t="s">
        <v>14</v>
      </c>
      <c r="G215" s="181" t="s">
        <v>647</v>
      </c>
      <c r="H215" s="8">
        <v>256113.31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256113.31</v>
      </c>
    </row>
    <row r="216" spans="1:15">
      <c r="A216" s="191">
        <v>44805</v>
      </c>
      <c r="B216" s="181" t="s">
        <v>125</v>
      </c>
      <c r="C216" s="181" t="s">
        <v>651</v>
      </c>
      <c r="D216" s="181" t="str">
        <f t="shared" si="6"/>
        <v>31400</v>
      </c>
      <c r="E216" s="181" t="s">
        <v>15</v>
      </c>
      <c r="F216" s="181" t="s">
        <v>14</v>
      </c>
      <c r="G216" s="181" t="s">
        <v>793</v>
      </c>
      <c r="H216" s="8">
        <v>-256113.32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-256113.32</v>
      </c>
    </row>
    <row r="217" spans="1:15">
      <c r="A217" s="191">
        <v>44835</v>
      </c>
      <c r="B217" s="181" t="s">
        <v>124</v>
      </c>
      <c r="C217" s="181" t="s">
        <v>651</v>
      </c>
      <c r="D217" s="181" t="str">
        <f t="shared" si="6"/>
        <v>31400</v>
      </c>
      <c r="E217" s="181" t="s">
        <v>15</v>
      </c>
      <c r="F217" s="181" t="s">
        <v>14</v>
      </c>
      <c r="G217" s="181" t="s">
        <v>647</v>
      </c>
      <c r="H217" s="8">
        <v>256113.31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256113.31</v>
      </c>
    </row>
    <row r="218" spans="1:15">
      <c r="A218" s="191">
        <v>44835</v>
      </c>
      <c r="B218" s="181" t="s">
        <v>124</v>
      </c>
      <c r="C218" s="181" t="s">
        <v>651</v>
      </c>
      <c r="D218" s="181" t="str">
        <f t="shared" si="6"/>
        <v>31400</v>
      </c>
      <c r="E218" s="181" t="s">
        <v>15</v>
      </c>
      <c r="F218" s="181" t="s">
        <v>14</v>
      </c>
      <c r="G218" s="181" t="s">
        <v>793</v>
      </c>
      <c r="H218" s="8">
        <v>-256113.32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-256113.32</v>
      </c>
    </row>
    <row r="219" spans="1:15">
      <c r="A219" s="191">
        <v>44866</v>
      </c>
      <c r="B219" s="181" t="s">
        <v>123</v>
      </c>
      <c r="C219" s="181" t="s">
        <v>651</v>
      </c>
      <c r="D219" s="181" t="str">
        <f t="shared" si="6"/>
        <v>31400</v>
      </c>
      <c r="E219" s="181" t="s">
        <v>15</v>
      </c>
      <c r="F219" s="181" t="s">
        <v>14</v>
      </c>
      <c r="G219" s="181" t="s">
        <v>647</v>
      </c>
      <c r="H219" s="8">
        <v>256113.31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256113.31</v>
      </c>
    </row>
    <row r="220" spans="1:15">
      <c r="A220" s="191">
        <v>44866</v>
      </c>
      <c r="B220" s="181" t="s">
        <v>123</v>
      </c>
      <c r="C220" s="181" t="s">
        <v>651</v>
      </c>
      <c r="D220" s="181" t="str">
        <f t="shared" si="6"/>
        <v>31400</v>
      </c>
      <c r="E220" s="181" t="s">
        <v>15</v>
      </c>
      <c r="F220" s="181" t="s">
        <v>14</v>
      </c>
      <c r="G220" s="181" t="s">
        <v>793</v>
      </c>
      <c r="H220" s="8">
        <v>-256113.32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-256113.32</v>
      </c>
    </row>
    <row r="221" spans="1:15">
      <c r="A221" s="191">
        <v>44896</v>
      </c>
      <c r="B221" s="181" t="s">
        <v>122</v>
      </c>
      <c r="C221" s="181" t="s">
        <v>651</v>
      </c>
      <c r="D221" s="181" t="str">
        <f t="shared" si="6"/>
        <v>31400</v>
      </c>
      <c r="E221" s="181" t="s">
        <v>15</v>
      </c>
      <c r="F221" s="181" t="s">
        <v>14</v>
      </c>
      <c r="G221" s="181" t="s">
        <v>647</v>
      </c>
      <c r="H221" s="8">
        <v>256113.31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256113.31</v>
      </c>
    </row>
    <row r="222" spans="1:15">
      <c r="A222" s="191">
        <v>44896</v>
      </c>
      <c r="B222" s="181" t="s">
        <v>122</v>
      </c>
      <c r="C222" s="181" t="s">
        <v>651</v>
      </c>
      <c r="D222" s="181" t="str">
        <f t="shared" si="6"/>
        <v>31400</v>
      </c>
      <c r="E222" s="181" t="s">
        <v>15</v>
      </c>
      <c r="F222" s="181" t="s">
        <v>14</v>
      </c>
      <c r="G222" s="181" t="s">
        <v>793</v>
      </c>
      <c r="H222" s="8">
        <v>-256113.32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-256113.32</v>
      </c>
    </row>
    <row r="223" spans="1:15">
      <c r="A223" s="191">
        <v>44531</v>
      </c>
      <c r="B223" s="181" t="s">
        <v>13</v>
      </c>
      <c r="C223" s="181" t="s">
        <v>652</v>
      </c>
      <c r="D223" s="181" t="str">
        <f t="shared" si="6"/>
        <v>31500</v>
      </c>
      <c r="E223" s="181" t="s">
        <v>15</v>
      </c>
      <c r="F223" s="181" t="s">
        <v>14</v>
      </c>
      <c r="G223" s="181" t="s">
        <v>647</v>
      </c>
      <c r="H223" s="8">
        <v>-316701.93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-316701.93</v>
      </c>
    </row>
    <row r="224" spans="1:15">
      <c r="A224" s="191">
        <v>44531</v>
      </c>
      <c r="B224" s="181" t="s">
        <v>13</v>
      </c>
      <c r="C224" s="181" t="s">
        <v>652</v>
      </c>
      <c r="D224" s="181" t="str">
        <f t="shared" si="6"/>
        <v>31500</v>
      </c>
      <c r="E224" s="181" t="s">
        <v>15</v>
      </c>
      <c r="F224" s="181" t="s">
        <v>14</v>
      </c>
      <c r="G224" s="181" t="s">
        <v>793</v>
      </c>
      <c r="H224" s="8">
        <v>356971.34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356971.34</v>
      </c>
    </row>
    <row r="225" spans="1:15">
      <c r="A225" s="191">
        <v>44562</v>
      </c>
      <c r="B225" s="181" t="s">
        <v>133</v>
      </c>
      <c r="C225" s="181" t="s">
        <v>652</v>
      </c>
      <c r="D225" s="181" t="str">
        <f t="shared" si="6"/>
        <v>31500</v>
      </c>
      <c r="E225" s="181" t="s">
        <v>15</v>
      </c>
      <c r="F225" s="181" t="s">
        <v>14</v>
      </c>
      <c r="G225" s="181" t="s">
        <v>647</v>
      </c>
      <c r="H225" s="8">
        <v>-316701.93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-316701.93</v>
      </c>
    </row>
    <row r="226" spans="1:15">
      <c r="A226" s="191">
        <v>44562</v>
      </c>
      <c r="B226" s="181" t="s">
        <v>133</v>
      </c>
      <c r="C226" s="181" t="s">
        <v>652</v>
      </c>
      <c r="D226" s="181" t="str">
        <f t="shared" si="6"/>
        <v>31500</v>
      </c>
      <c r="E226" s="181" t="s">
        <v>15</v>
      </c>
      <c r="F226" s="181" t="s">
        <v>14</v>
      </c>
      <c r="G226" s="181" t="s">
        <v>793</v>
      </c>
      <c r="H226" s="8">
        <v>356971.34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356971.34</v>
      </c>
    </row>
    <row r="227" spans="1:15">
      <c r="A227" s="191">
        <v>44593</v>
      </c>
      <c r="B227" s="181" t="s">
        <v>132</v>
      </c>
      <c r="C227" s="181" t="s">
        <v>652</v>
      </c>
      <c r="D227" s="181" t="str">
        <f t="shared" si="6"/>
        <v>31500</v>
      </c>
      <c r="E227" s="181" t="s">
        <v>15</v>
      </c>
      <c r="F227" s="181" t="s">
        <v>14</v>
      </c>
      <c r="G227" s="181" t="s">
        <v>647</v>
      </c>
      <c r="H227" s="8">
        <v>-316701.93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-316701.93</v>
      </c>
    </row>
    <row r="228" spans="1:15">
      <c r="A228" s="191">
        <v>44593</v>
      </c>
      <c r="B228" s="181" t="s">
        <v>132</v>
      </c>
      <c r="C228" s="181" t="s">
        <v>652</v>
      </c>
      <c r="D228" s="181" t="str">
        <f t="shared" si="6"/>
        <v>31500</v>
      </c>
      <c r="E228" s="181" t="s">
        <v>15</v>
      </c>
      <c r="F228" s="181" t="s">
        <v>14</v>
      </c>
      <c r="G228" s="181" t="s">
        <v>793</v>
      </c>
      <c r="H228" s="8">
        <v>356971.34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356971.34</v>
      </c>
    </row>
    <row r="229" spans="1:15">
      <c r="A229" s="191">
        <v>44621</v>
      </c>
      <c r="B229" s="181" t="s">
        <v>131</v>
      </c>
      <c r="C229" s="181" t="s">
        <v>652</v>
      </c>
      <c r="D229" s="181" t="str">
        <f t="shared" si="6"/>
        <v>31500</v>
      </c>
      <c r="E229" s="181" t="s">
        <v>15</v>
      </c>
      <c r="F229" s="181" t="s">
        <v>14</v>
      </c>
      <c r="G229" s="181" t="s">
        <v>647</v>
      </c>
      <c r="H229" s="8">
        <v>-316701.93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-316701.93</v>
      </c>
    </row>
    <row r="230" spans="1:15">
      <c r="A230" s="191">
        <v>44621</v>
      </c>
      <c r="B230" s="181" t="s">
        <v>131</v>
      </c>
      <c r="C230" s="181" t="s">
        <v>652</v>
      </c>
      <c r="D230" s="181" t="str">
        <f t="shared" si="6"/>
        <v>31500</v>
      </c>
      <c r="E230" s="181" t="s">
        <v>15</v>
      </c>
      <c r="F230" s="181" t="s">
        <v>14</v>
      </c>
      <c r="G230" s="181" t="s">
        <v>793</v>
      </c>
      <c r="H230" s="8">
        <v>356971.34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356971.34</v>
      </c>
    </row>
    <row r="231" spans="1:15">
      <c r="A231" s="191">
        <v>44652</v>
      </c>
      <c r="B231" s="181" t="s">
        <v>130</v>
      </c>
      <c r="C231" s="181" t="s">
        <v>652</v>
      </c>
      <c r="D231" s="181" t="str">
        <f t="shared" si="6"/>
        <v>31500</v>
      </c>
      <c r="E231" s="181" t="s">
        <v>15</v>
      </c>
      <c r="F231" s="181" t="s">
        <v>14</v>
      </c>
      <c r="G231" s="181" t="s">
        <v>647</v>
      </c>
      <c r="H231" s="8">
        <v>-316701.93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-316701.93</v>
      </c>
    </row>
    <row r="232" spans="1:15">
      <c r="A232" s="191">
        <v>44652</v>
      </c>
      <c r="B232" s="181" t="s">
        <v>130</v>
      </c>
      <c r="C232" s="181" t="s">
        <v>652</v>
      </c>
      <c r="D232" s="181" t="str">
        <f t="shared" si="6"/>
        <v>31500</v>
      </c>
      <c r="E232" s="181" t="s">
        <v>15</v>
      </c>
      <c r="F232" s="181" t="s">
        <v>14</v>
      </c>
      <c r="G232" s="181" t="s">
        <v>793</v>
      </c>
      <c r="H232" s="8">
        <v>356971.34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356971.34</v>
      </c>
    </row>
    <row r="233" spans="1:15">
      <c r="A233" s="191">
        <v>44682</v>
      </c>
      <c r="B233" s="181" t="s">
        <v>129</v>
      </c>
      <c r="C233" s="181" t="s">
        <v>652</v>
      </c>
      <c r="D233" s="181" t="str">
        <f t="shared" si="6"/>
        <v>31500</v>
      </c>
      <c r="E233" s="181" t="s">
        <v>15</v>
      </c>
      <c r="F233" s="181" t="s">
        <v>14</v>
      </c>
      <c r="G233" s="181" t="s">
        <v>647</v>
      </c>
      <c r="H233" s="8">
        <v>-316701.93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-316701.93</v>
      </c>
    </row>
    <row r="234" spans="1:15">
      <c r="A234" s="191">
        <v>44682</v>
      </c>
      <c r="B234" s="181" t="s">
        <v>129</v>
      </c>
      <c r="C234" s="181" t="s">
        <v>652</v>
      </c>
      <c r="D234" s="181" t="str">
        <f t="shared" si="6"/>
        <v>31500</v>
      </c>
      <c r="E234" s="181" t="s">
        <v>15</v>
      </c>
      <c r="F234" s="181" t="s">
        <v>14</v>
      </c>
      <c r="G234" s="181" t="s">
        <v>793</v>
      </c>
      <c r="H234" s="8">
        <v>356971.34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356971.34</v>
      </c>
    </row>
    <row r="235" spans="1:15">
      <c r="A235" s="191">
        <v>44713</v>
      </c>
      <c r="B235" s="181" t="s">
        <v>128</v>
      </c>
      <c r="C235" s="181" t="s">
        <v>652</v>
      </c>
      <c r="D235" s="181" t="str">
        <f t="shared" si="6"/>
        <v>31500</v>
      </c>
      <c r="E235" s="181" t="s">
        <v>15</v>
      </c>
      <c r="F235" s="181" t="s">
        <v>14</v>
      </c>
      <c r="G235" s="181" t="s">
        <v>647</v>
      </c>
      <c r="H235" s="8">
        <v>-316701.93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-316701.93</v>
      </c>
    </row>
    <row r="236" spans="1:15">
      <c r="A236" s="191">
        <v>44713</v>
      </c>
      <c r="B236" s="181" t="s">
        <v>128</v>
      </c>
      <c r="C236" s="181" t="s">
        <v>652</v>
      </c>
      <c r="D236" s="181" t="str">
        <f t="shared" si="6"/>
        <v>31500</v>
      </c>
      <c r="E236" s="181" t="s">
        <v>15</v>
      </c>
      <c r="F236" s="181" t="s">
        <v>14</v>
      </c>
      <c r="G236" s="181" t="s">
        <v>793</v>
      </c>
      <c r="H236" s="8">
        <v>356971.34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356971.34</v>
      </c>
    </row>
    <row r="237" spans="1:15">
      <c r="A237" s="191">
        <v>44743</v>
      </c>
      <c r="B237" s="181" t="s">
        <v>127</v>
      </c>
      <c r="C237" s="181" t="s">
        <v>652</v>
      </c>
      <c r="D237" s="181" t="str">
        <f t="shared" si="6"/>
        <v>31500</v>
      </c>
      <c r="E237" s="181" t="s">
        <v>15</v>
      </c>
      <c r="F237" s="181" t="s">
        <v>14</v>
      </c>
      <c r="G237" s="181" t="s">
        <v>647</v>
      </c>
      <c r="H237" s="8">
        <v>-316701.93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-316701.93</v>
      </c>
    </row>
    <row r="238" spans="1:15">
      <c r="A238" s="191">
        <v>44743</v>
      </c>
      <c r="B238" s="181" t="s">
        <v>127</v>
      </c>
      <c r="C238" s="181" t="s">
        <v>652</v>
      </c>
      <c r="D238" s="181" t="str">
        <f t="shared" si="6"/>
        <v>31500</v>
      </c>
      <c r="E238" s="181" t="s">
        <v>15</v>
      </c>
      <c r="F238" s="181" t="s">
        <v>14</v>
      </c>
      <c r="G238" s="181" t="s">
        <v>793</v>
      </c>
      <c r="H238" s="8">
        <v>356971.34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356971.34</v>
      </c>
    </row>
    <row r="239" spans="1:15">
      <c r="A239" s="191">
        <v>44774</v>
      </c>
      <c r="B239" s="181" t="s">
        <v>126</v>
      </c>
      <c r="C239" s="181" t="s">
        <v>652</v>
      </c>
      <c r="D239" s="181" t="str">
        <f t="shared" si="6"/>
        <v>31500</v>
      </c>
      <c r="E239" s="181" t="s">
        <v>15</v>
      </c>
      <c r="F239" s="181" t="s">
        <v>14</v>
      </c>
      <c r="G239" s="181" t="s">
        <v>647</v>
      </c>
      <c r="H239" s="8">
        <v>-316701.93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-316701.93</v>
      </c>
    </row>
    <row r="240" spans="1:15">
      <c r="A240" s="191">
        <v>44774</v>
      </c>
      <c r="B240" s="181" t="s">
        <v>126</v>
      </c>
      <c r="C240" s="181" t="s">
        <v>652</v>
      </c>
      <c r="D240" s="181" t="str">
        <f t="shared" si="6"/>
        <v>31500</v>
      </c>
      <c r="E240" s="181" t="s">
        <v>15</v>
      </c>
      <c r="F240" s="181" t="s">
        <v>14</v>
      </c>
      <c r="G240" s="181" t="s">
        <v>793</v>
      </c>
      <c r="H240" s="8">
        <v>356971.34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356971.34</v>
      </c>
    </row>
    <row r="241" spans="1:15">
      <c r="A241" s="191">
        <v>44805</v>
      </c>
      <c r="B241" s="181" t="s">
        <v>125</v>
      </c>
      <c r="C241" s="181" t="s">
        <v>652</v>
      </c>
      <c r="D241" s="181" t="str">
        <f t="shared" si="6"/>
        <v>31500</v>
      </c>
      <c r="E241" s="181" t="s">
        <v>15</v>
      </c>
      <c r="F241" s="181" t="s">
        <v>14</v>
      </c>
      <c r="G241" s="181" t="s">
        <v>647</v>
      </c>
      <c r="H241" s="8">
        <v>-316701.93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-316701.93</v>
      </c>
    </row>
    <row r="242" spans="1:15">
      <c r="A242" s="191">
        <v>44805</v>
      </c>
      <c r="B242" s="181" t="s">
        <v>125</v>
      </c>
      <c r="C242" s="181" t="s">
        <v>652</v>
      </c>
      <c r="D242" s="181" t="str">
        <f t="shared" si="6"/>
        <v>31500</v>
      </c>
      <c r="E242" s="181" t="s">
        <v>15</v>
      </c>
      <c r="F242" s="181" t="s">
        <v>14</v>
      </c>
      <c r="G242" s="181" t="s">
        <v>793</v>
      </c>
      <c r="H242" s="8">
        <v>356971.34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356971.34</v>
      </c>
    </row>
    <row r="243" spans="1:15">
      <c r="A243" s="191">
        <v>44835</v>
      </c>
      <c r="B243" s="181" t="s">
        <v>124</v>
      </c>
      <c r="C243" s="181" t="s">
        <v>652</v>
      </c>
      <c r="D243" s="181" t="str">
        <f t="shared" si="6"/>
        <v>31500</v>
      </c>
      <c r="E243" s="181" t="s">
        <v>15</v>
      </c>
      <c r="F243" s="181" t="s">
        <v>14</v>
      </c>
      <c r="G243" s="181" t="s">
        <v>647</v>
      </c>
      <c r="H243" s="8">
        <v>-316701.93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-316701.93</v>
      </c>
    </row>
    <row r="244" spans="1:15">
      <c r="A244" s="191">
        <v>44835</v>
      </c>
      <c r="B244" s="181" t="s">
        <v>124</v>
      </c>
      <c r="C244" s="181" t="s">
        <v>652</v>
      </c>
      <c r="D244" s="181" t="str">
        <f t="shared" si="6"/>
        <v>31500</v>
      </c>
      <c r="E244" s="181" t="s">
        <v>15</v>
      </c>
      <c r="F244" s="181" t="s">
        <v>14</v>
      </c>
      <c r="G244" s="181" t="s">
        <v>793</v>
      </c>
      <c r="H244" s="8">
        <v>356971.34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356971.34</v>
      </c>
    </row>
    <row r="245" spans="1:15">
      <c r="A245" s="191">
        <v>44866</v>
      </c>
      <c r="B245" s="181" t="s">
        <v>123</v>
      </c>
      <c r="C245" s="181" t="s">
        <v>652</v>
      </c>
      <c r="D245" s="181" t="str">
        <f t="shared" si="6"/>
        <v>31500</v>
      </c>
      <c r="E245" s="181" t="s">
        <v>15</v>
      </c>
      <c r="F245" s="181" t="s">
        <v>14</v>
      </c>
      <c r="G245" s="181" t="s">
        <v>647</v>
      </c>
      <c r="H245" s="8">
        <v>-316701.93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-316701.93</v>
      </c>
    </row>
    <row r="246" spans="1:15">
      <c r="A246" s="191">
        <v>44866</v>
      </c>
      <c r="B246" s="181" t="s">
        <v>123</v>
      </c>
      <c r="C246" s="181" t="s">
        <v>652</v>
      </c>
      <c r="D246" s="181" t="str">
        <f t="shared" si="6"/>
        <v>31500</v>
      </c>
      <c r="E246" s="181" t="s">
        <v>15</v>
      </c>
      <c r="F246" s="181" t="s">
        <v>14</v>
      </c>
      <c r="G246" s="181" t="s">
        <v>793</v>
      </c>
      <c r="H246" s="8">
        <v>356971.34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356971.34</v>
      </c>
    </row>
    <row r="247" spans="1:15">
      <c r="A247" s="191">
        <v>44896</v>
      </c>
      <c r="B247" s="181" t="s">
        <v>122</v>
      </c>
      <c r="C247" s="181" t="s">
        <v>652</v>
      </c>
      <c r="D247" s="181" t="str">
        <f t="shared" si="6"/>
        <v>31500</v>
      </c>
      <c r="E247" s="181" t="s">
        <v>15</v>
      </c>
      <c r="F247" s="181" t="s">
        <v>14</v>
      </c>
      <c r="G247" s="181" t="s">
        <v>647</v>
      </c>
      <c r="H247" s="8">
        <v>-316701.93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-316701.93</v>
      </c>
    </row>
    <row r="248" spans="1:15">
      <c r="A248" s="191">
        <v>44896</v>
      </c>
      <c r="B248" s="181" t="s">
        <v>122</v>
      </c>
      <c r="C248" s="181" t="s">
        <v>652</v>
      </c>
      <c r="D248" s="181" t="str">
        <f t="shared" si="6"/>
        <v>31500</v>
      </c>
      <c r="E248" s="181" t="s">
        <v>15</v>
      </c>
      <c r="F248" s="181" t="s">
        <v>14</v>
      </c>
      <c r="G248" s="181" t="s">
        <v>793</v>
      </c>
      <c r="H248" s="8">
        <v>356971.34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356971.34</v>
      </c>
    </row>
    <row r="249" spans="1:15">
      <c r="A249" s="191">
        <v>44531</v>
      </c>
      <c r="B249" s="181" t="s">
        <v>13</v>
      </c>
      <c r="C249" s="181" t="s">
        <v>653</v>
      </c>
      <c r="D249" s="181" t="str">
        <f t="shared" si="6"/>
        <v>31600</v>
      </c>
      <c r="E249" s="181" t="s">
        <v>15</v>
      </c>
      <c r="F249" s="181" t="s">
        <v>14</v>
      </c>
      <c r="G249" s="181" t="s">
        <v>647</v>
      </c>
      <c r="H249" s="8">
        <v>62198.62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62198.62</v>
      </c>
    </row>
    <row r="250" spans="1:15">
      <c r="A250" s="191">
        <v>44531</v>
      </c>
      <c r="B250" s="181" t="s">
        <v>13</v>
      </c>
      <c r="C250" s="181" t="s">
        <v>653</v>
      </c>
      <c r="D250" s="181" t="str">
        <f t="shared" si="6"/>
        <v>31600</v>
      </c>
      <c r="E250" s="181" t="s">
        <v>15</v>
      </c>
      <c r="F250" s="181" t="s">
        <v>14</v>
      </c>
      <c r="G250" s="181" t="s">
        <v>793</v>
      </c>
      <c r="H250" s="8">
        <v>-62198.62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-62198.62</v>
      </c>
    </row>
    <row r="251" spans="1:15">
      <c r="A251" s="191">
        <v>44562</v>
      </c>
      <c r="B251" s="181" t="s">
        <v>133</v>
      </c>
      <c r="C251" s="181" t="s">
        <v>653</v>
      </c>
      <c r="D251" s="181" t="str">
        <f t="shared" si="6"/>
        <v>31600</v>
      </c>
      <c r="E251" s="181" t="s">
        <v>15</v>
      </c>
      <c r="F251" s="181" t="s">
        <v>14</v>
      </c>
      <c r="G251" s="181" t="s">
        <v>647</v>
      </c>
      <c r="H251" s="8">
        <v>62198.62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62198.62</v>
      </c>
    </row>
    <row r="252" spans="1:15">
      <c r="A252" s="191">
        <v>44562</v>
      </c>
      <c r="B252" s="181" t="s">
        <v>133</v>
      </c>
      <c r="C252" s="181" t="s">
        <v>653</v>
      </c>
      <c r="D252" s="181" t="str">
        <f t="shared" si="6"/>
        <v>31600</v>
      </c>
      <c r="E252" s="181" t="s">
        <v>15</v>
      </c>
      <c r="F252" s="181" t="s">
        <v>14</v>
      </c>
      <c r="G252" s="181" t="s">
        <v>793</v>
      </c>
      <c r="H252" s="8">
        <v>-62198.62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-62198.62</v>
      </c>
    </row>
    <row r="253" spans="1:15">
      <c r="A253" s="191">
        <v>44593</v>
      </c>
      <c r="B253" s="181" t="s">
        <v>132</v>
      </c>
      <c r="C253" s="181" t="s">
        <v>653</v>
      </c>
      <c r="D253" s="181" t="str">
        <f t="shared" si="6"/>
        <v>31600</v>
      </c>
      <c r="E253" s="181" t="s">
        <v>15</v>
      </c>
      <c r="F253" s="181" t="s">
        <v>14</v>
      </c>
      <c r="G253" s="181" t="s">
        <v>647</v>
      </c>
      <c r="H253" s="8">
        <v>62198.62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62198.62</v>
      </c>
    </row>
    <row r="254" spans="1:15">
      <c r="A254" s="191">
        <v>44593</v>
      </c>
      <c r="B254" s="181" t="s">
        <v>132</v>
      </c>
      <c r="C254" s="181" t="s">
        <v>653</v>
      </c>
      <c r="D254" s="181" t="str">
        <f t="shared" si="6"/>
        <v>31600</v>
      </c>
      <c r="E254" s="181" t="s">
        <v>15</v>
      </c>
      <c r="F254" s="181" t="s">
        <v>14</v>
      </c>
      <c r="G254" s="181" t="s">
        <v>793</v>
      </c>
      <c r="H254" s="8">
        <v>-62198.62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-62198.62</v>
      </c>
    </row>
    <row r="255" spans="1:15">
      <c r="A255" s="191">
        <v>44621</v>
      </c>
      <c r="B255" s="181" t="s">
        <v>131</v>
      </c>
      <c r="C255" s="181" t="s">
        <v>653</v>
      </c>
      <c r="D255" s="181" t="str">
        <f t="shared" si="6"/>
        <v>31600</v>
      </c>
      <c r="E255" s="181" t="s">
        <v>15</v>
      </c>
      <c r="F255" s="181" t="s">
        <v>14</v>
      </c>
      <c r="G255" s="181" t="s">
        <v>647</v>
      </c>
      <c r="H255" s="8">
        <v>62198.62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62198.62</v>
      </c>
    </row>
    <row r="256" spans="1:15">
      <c r="A256" s="191">
        <v>44621</v>
      </c>
      <c r="B256" s="181" t="s">
        <v>131</v>
      </c>
      <c r="C256" s="181" t="s">
        <v>653</v>
      </c>
      <c r="D256" s="181" t="str">
        <f t="shared" si="6"/>
        <v>31600</v>
      </c>
      <c r="E256" s="181" t="s">
        <v>15</v>
      </c>
      <c r="F256" s="181" t="s">
        <v>14</v>
      </c>
      <c r="G256" s="181" t="s">
        <v>793</v>
      </c>
      <c r="H256" s="8">
        <v>-62198.62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-62198.62</v>
      </c>
    </row>
    <row r="257" spans="1:15">
      <c r="A257" s="191">
        <v>44652</v>
      </c>
      <c r="B257" s="181" t="s">
        <v>130</v>
      </c>
      <c r="C257" s="181" t="s">
        <v>653</v>
      </c>
      <c r="D257" s="181" t="str">
        <f t="shared" si="6"/>
        <v>31600</v>
      </c>
      <c r="E257" s="181" t="s">
        <v>15</v>
      </c>
      <c r="F257" s="181" t="s">
        <v>14</v>
      </c>
      <c r="G257" s="181" t="s">
        <v>647</v>
      </c>
      <c r="H257" s="8">
        <v>62198.62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62198.62</v>
      </c>
    </row>
    <row r="258" spans="1:15">
      <c r="A258" s="191">
        <v>44652</v>
      </c>
      <c r="B258" s="181" t="s">
        <v>130</v>
      </c>
      <c r="C258" s="181" t="s">
        <v>653</v>
      </c>
      <c r="D258" s="181" t="str">
        <f t="shared" ref="D258:D321" si="7">MID(C258,10,5)</f>
        <v>31600</v>
      </c>
      <c r="E258" s="181" t="s">
        <v>15</v>
      </c>
      <c r="F258" s="181" t="s">
        <v>14</v>
      </c>
      <c r="G258" s="181" t="s">
        <v>793</v>
      </c>
      <c r="H258" s="8">
        <v>-62198.62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-62198.62</v>
      </c>
    </row>
    <row r="259" spans="1:15">
      <c r="A259" s="191">
        <v>44682</v>
      </c>
      <c r="B259" s="181" t="s">
        <v>129</v>
      </c>
      <c r="C259" s="181" t="s">
        <v>653</v>
      </c>
      <c r="D259" s="181" t="str">
        <f t="shared" si="7"/>
        <v>31600</v>
      </c>
      <c r="E259" s="181" t="s">
        <v>15</v>
      </c>
      <c r="F259" s="181" t="s">
        <v>14</v>
      </c>
      <c r="G259" s="181" t="s">
        <v>647</v>
      </c>
      <c r="H259" s="8">
        <v>62198.62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62198.62</v>
      </c>
    </row>
    <row r="260" spans="1:15">
      <c r="A260" s="191">
        <v>44682</v>
      </c>
      <c r="B260" s="181" t="s">
        <v>129</v>
      </c>
      <c r="C260" s="181" t="s">
        <v>653</v>
      </c>
      <c r="D260" s="181" t="str">
        <f t="shared" si="7"/>
        <v>31600</v>
      </c>
      <c r="E260" s="181" t="s">
        <v>15</v>
      </c>
      <c r="F260" s="181" t="s">
        <v>14</v>
      </c>
      <c r="G260" s="181" t="s">
        <v>793</v>
      </c>
      <c r="H260" s="8">
        <v>-62198.62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-62198.62</v>
      </c>
    </row>
    <row r="261" spans="1:15">
      <c r="A261" s="191">
        <v>44713</v>
      </c>
      <c r="B261" s="181" t="s">
        <v>128</v>
      </c>
      <c r="C261" s="181" t="s">
        <v>653</v>
      </c>
      <c r="D261" s="181" t="str">
        <f t="shared" si="7"/>
        <v>31600</v>
      </c>
      <c r="E261" s="181" t="s">
        <v>15</v>
      </c>
      <c r="F261" s="181" t="s">
        <v>14</v>
      </c>
      <c r="G261" s="181" t="s">
        <v>647</v>
      </c>
      <c r="H261" s="8">
        <v>62198.62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62198.62</v>
      </c>
    </row>
    <row r="262" spans="1:15">
      <c r="A262" s="191">
        <v>44713</v>
      </c>
      <c r="B262" s="181" t="s">
        <v>128</v>
      </c>
      <c r="C262" s="181" t="s">
        <v>653</v>
      </c>
      <c r="D262" s="181" t="str">
        <f t="shared" si="7"/>
        <v>31600</v>
      </c>
      <c r="E262" s="181" t="s">
        <v>15</v>
      </c>
      <c r="F262" s="181" t="s">
        <v>14</v>
      </c>
      <c r="G262" s="181" t="s">
        <v>793</v>
      </c>
      <c r="H262" s="8">
        <v>-62198.62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-62198.62</v>
      </c>
    </row>
    <row r="263" spans="1:15">
      <c r="A263" s="191">
        <v>44743</v>
      </c>
      <c r="B263" s="181" t="s">
        <v>127</v>
      </c>
      <c r="C263" s="181" t="s">
        <v>653</v>
      </c>
      <c r="D263" s="181" t="str">
        <f t="shared" si="7"/>
        <v>31600</v>
      </c>
      <c r="E263" s="181" t="s">
        <v>15</v>
      </c>
      <c r="F263" s="181" t="s">
        <v>14</v>
      </c>
      <c r="G263" s="181" t="s">
        <v>647</v>
      </c>
      <c r="H263" s="8">
        <v>62198.62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62198.62</v>
      </c>
    </row>
    <row r="264" spans="1:15">
      <c r="A264" s="191">
        <v>44743</v>
      </c>
      <c r="B264" s="181" t="s">
        <v>127</v>
      </c>
      <c r="C264" s="181" t="s">
        <v>653</v>
      </c>
      <c r="D264" s="181" t="str">
        <f t="shared" si="7"/>
        <v>31600</v>
      </c>
      <c r="E264" s="181" t="s">
        <v>15</v>
      </c>
      <c r="F264" s="181" t="s">
        <v>14</v>
      </c>
      <c r="G264" s="181" t="s">
        <v>793</v>
      </c>
      <c r="H264" s="8">
        <v>-62198.62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-62198.62</v>
      </c>
    </row>
    <row r="265" spans="1:15">
      <c r="A265" s="191">
        <v>44774</v>
      </c>
      <c r="B265" s="181" t="s">
        <v>126</v>
      </c>
      <c r="C265" s="181" t="s">
        <v>653</v>
      </c>
      <c r="D265" s="181" t="str">
        <f t="shared" si="7"/>
        <v>31600</v>
      </c>
      <c r="E265" s="181" t="s">
        <v>15</v>
      </c>
      <c r="F265" s="181" t="s">
        <v>14</v>
      </c>
      <c r="G265" s="181" t="s">
        <v>647</v>
      </c>
      <c r="H265" s="8">
        <v>62198.62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62198.62</v>
      </c>
    </row>
    <row r="266" spans="1:15">
      <c r="A266" s="191">
        <v>44774</v>
      </c>
      <c r="B266" s="181" t="s">
        <v>126</v>
      </c>
      <c r="C266" s="181" t="s">
        <v>653</v>
      </c>
      <c r="D266" s="181" t="str">
        <f t="shared" si="7"/>
        <v>31600</v>
      </c>
      <c r="E266" s="181" t="s">
        <v>15</v>
      </c>
      <c r="F266" s="181" t="s">
        <v>14</v>
      </c>
      <c r="G266" s="181" t="s">
        <v>793</v>
      </c>
      <c r="H266" s="8">
        <v>-62198.62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-62198.62</v>
      </c>
    </row>
    <row r="267" spans="1:15">
      <c r="A267" s="191">
        <v>44805</v>
      </c>
      <c r="B267" s="181" t="s">
        <v>125</v>
      </c>
      <c r="C267" s="181" t="s">
        <v>653</v>
      </c>
      <c r="D267" s="181" t="str">
        <f t="shared" si="7"/>
        <v>31600</v>
      </c>
      <c r="E267" s="181" t="s">
        <v>15</v>
      </c>
      <c r="F267" s="181" t="s">
        <v>14</v>
      </c>
      <c r="G267" s="181" t="s">
        <v>647</v>
      </c>
      <c r="H267" s="8">
        <v>62198.62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62198.62</v>
      </c>
    </row>
    <row r="268" spans="1:15">
      <c r="A268" s="191">
        <v>44805</v>
      </c>
      <c r="B268" s="181" t="s">
        <v>125</v>
      </c>
      <c r="C268" s="181" t="s">
        <v>653</v>
      </c>
      <c r="D268" s="181" t="str">
        <f t="shared" si="7"/>
        <v>31600</v>
      </c>
      <c r="E268" s="181" t="s">
        <v>15</v>
      </c>
      <c r="F268" s="181" t="s">
        <v>14</v>
      </c>
      <c r="G268" s="181" t="s">
        <v>793</v>
      </c>
      <c r="H268" s="8">
        <v>-62198.62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-62198.62</v>
      </c>
    </row>
    <row r="269" spans="1:15">
      <c r="A269" s="191">
        <v>44835</v>
      </c>
      <c r="B269" s="181" t="s">
        <v>124</v>
      </c>
      <c r="C269" s="181" t="s">
        <v>653</v>
      </c>
      <c r="D269" s="181" t="str">
        <f t="shared" si="7"/>
        <v>31600</v>
      </c>
      <c r="E269" s="181" t="s">
        <v>15</v>
      </c>
      <c r="F269" s="181" t="s">
        <v>14</v>
      </c>
      <c r="G269" s="181" t="s">
        <v>647</v>
      </c>
      <c r="H269" s="8">
        <v>62198.62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62198.62</v>
      </c>
    </row>
    <row r="270" spans="1:15">
      <c r="A270" s="191">
        <v>44835</v>
      </c>
      <c r="B270" s="181" t="s">
        <v>124</v>
      </c>
      <c r="C270" s="181" t="s">
        <v>653</v>
      </c>
      <c r="D270" s="181" t="str">
        <f t="shared" si="7"/>
        <v>31600</v>
      </c>
      <c r="E270" s="181" t="s">
        <v>15</v>
      </c>
      <c r="F270" s="181" t="s">
        <v>14</v>
      </c>
      <c r="G270" s="181" t="s">
        <v>793</v>
      </c>
      <c r="H270" s="8">
        <v>-62198.62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-62198.62</v>
      </c>
    </row>
    <row r="271" spans="1:15">
      <c r="A271" s="191">
        <v>44866</v>
      </c>
      <c r="B271" s="181" t="s">
        <v>123</v>
      </c>
      <c r="C271" s="181" t="s">
        <v>653</v>
      </c>
      <c r="D271" s="181" t="str">
        <f t="shared" si="7"/>
        <v>31600</v>
      </c>
      <c r="E271" s="181" t="s">
        <v>15</v>
      </c>
      <c r="F271" s="181" t="s">
        <v>14</v>
      </c>
      <c r="G271" s="181" t="s">
        <v>647</v>
      </c>
      <c r="H271" s="8">
        <v>62198.62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62198.62</v>
      </c>
    </row>
    <row r="272" spans="1:15">
      <c r="A272" s="191">
        <v>44866</v>
      </c>
      <c r="B272" s="181" t="s">
        <v>123</v>
      </c>
      <c r="C272" s="181" t="s">
        <v>653</v>
      </c>
      <c r="D272" s="181" t="str">
        <f t="shared" si="7"/>
        <v>31600</v>
      </c>
      <c r="E272" s="181" t="s">
        <v>15</v>
      </c>
      <c r="F272" s="181" t="s">
        <v>14</v>
      </c>
      <c r="G272" s="181" t="s">
        <v>793</v>
      </c>
      <c r="H272" s="8">
        <v>-62198.62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-62198.62</v>
      </c>
    </row>
    <row r="273" spans="1:15">
      <c r="A273" s="191">
        <v>44896</v>
      </c>
      <c r="B273" s="181" t="s">
        <v>122</v>
      </c>
      <c r="C273" s="181" t="s">
        <v>653</v>
      </c>
      <c r="D273" s="181" t="str">
        <f t="shared" si="7"/>
        <v>31600</v>
      </c>
      <c r="E273" s="181" t="s">
        <v>15</v>
      </c>
      <c r="F273" s="181" t="s">
        <v>14</v>
      </c>
      <c r="G273" s="181" t="s">
        <v>647</v>
      </c>
      <c r="H273" s="8">
        <v>62198.62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62198.62</v>
      </c>
    </row>
    <row r="274" spans="1:15">
      <c r="A274" s="191">
        <v>44896</v>
      </c>
      <c r="B274" s="181" t="s">
        <v>122</v>
      </c>
      <c r="C274" s="181" t="s">
        <v>653</v>
      </c>
      <c r="D274" s="181" t="str">
        <f t="shared" si="7"/>
        <v>31600</v>
      </c>
      <c r="E274" s="181" t="s">
        <v>15</v>
      </c>
      <c r="F274" s="181" t="s">
        <v>14</v>
      </c>
      <c r="G274" s="181" t="s">
        <v>793</v>
      </c>
      <c r="H274" s="8">
        <v>-62198.62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-62198.62</v>
      </c>
    </row>
    <row r="275" spans="1:15">
      <c r="A275" s="191">
        <v>44531</v>
      </c>
      <c r="B275" s="181" t="s">
        <v>13</v>
      </c>
      <c r="C275" s="181" t="s">
        <v>654</v>
      </c>
      <c r="D275" s="181" t="str">
        <f t="shared" si="7"/>
        <v>34001</v>
      </c>
      <c r="E275" s="181" t="s">
        <v>15</v>
      </c>
      <c r="F275" s="181" t="s">
        <v>14</v>
      </c>
      <c r="G275" s="181" t="s">
        <v>647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</row>
    <row r="276" spans="1:15">
      <c r="A276" s="191">
        <v>44531</v>
      </c>
      <c r="B276" s="181" t="s">
        <v>13</v>
      </c>
      <c r="C276" s="181" t="s">
        <v>655</v>
      </c>
      <c r="D276" s="181" t="str">
        <f t="shared" si="7"/>
        <v>34001</v>
      </c>
      <c r="E276" s="181" t="s">
        <v>15</v>
      </c>
      <c r="F276" s="181" t="s">
        <v>14</v>
      </c>
      <c r="G276" s="181" t="s">
        <v>647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</row>
    <row r="277" spans="1:15">
      <c r="A277" s="191">
        <v>44531</v>
      </c>
      <c r="B277" s="181" t="s">
        <v>13</v>
      </c>
      <c r="C277" s="181" t="s">
        <v>656</v>
      </c>
      <c r="D277" s="181" t="str">
        <f t="shared" si="7"/>
        <v>34001</v>
      </c>
      <c r="E277" s="181" t="s">
        <v>15</v>
      </c>
      <c r="F277" s="181" t="s">
        <v>14</v>
      </c>
      <c r="G277" s="181" t="s">
        <v>647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</row>
    <row r="278" spans="1:15">
      <c r="A278" s="191">
        <v>44531</v>
      </c>
      <c r="B278" s="181" t="s">
        <v>13</v>
      </c>
      <c r="C278" s="181" t="s">
        <v>803</v>
      </c>
      <c r="D278" s="181" t="str">
        <f t="shared" si="7"/>
        <v>34001</v>
      </c>
      <c r="E278" s="181" t="s">
        <v>15</v>
      </c>
      <c r="F278" s="181" t="s">
        <v>14</v>
      </c>
      <c r="G278" s="181" t="s">
        <v>801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</row>
    <row r="279" spans="1:15">
      <c r="A279" s="191">
        <v>44531</v>
      </c>
      <c r="B279" s="181" t="s">
        <v>13</v>
      </c>
      <c r="C279" s="181" t="s">
        <v>804</v>
      </c>
      <c r="D279" s="181" t="str">
        <f t="shared" si="7"/>
        <v>34001</v>
      </c>
      <c r="E279" s="181" t="s">
        <v>15</v>
      </c>
      <c r="F279" s="181" t="s">
        <v>14</v>
      </c>
      <c r="G279" s="181" t="s">
        <v>801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</row>
    <row r="280" spans="1:15">
      <c r="A280" s="191">
        <v>44562</v>
      </c>
      <c r="B280" s="181" t="s">
        <v>133</v>
      </c>
      <c r="C280" s="181" t="s">
        <v>654</v>
      </c>
      <c r="D280" s="181" t="str">
        <f t="shared" si="7"/>
        <v>34001</v>
      </c>
      <c r="E280" s="181" t="s">
        <v>15</v>
      </c>
      <c r="F280" s="181" t="s">
        <v>14</v>
      </c>
      <c r="G280" s="181" t="s">
        <v>647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</row>
    <row r="281" spans="1:15">
      <c r="A281" s="191">
        <v>44562</v>
      </c>
      <c r="B281" s="181" t="s">
        <v>133</v>
      </c>
      <c r="C281" s="181" t="s">
        <v>655</v>
      </c>
      <c r="D281" s="181" t="str">
        <f t="shared" si="7"/>
        <v>34001</v>
      </c>
      <c r="E281" s="181" t="s">
        <v>15</v>
      </c>
      <c r="F281" s="181" t="s">
        <v>14</v>
      </c>
      <c r="G281" s="181" t="s">
        <v>647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</row>
    <row r="282" spans="1:15">
      <c r="A282" s="191">
        <v>44562</v>
      </c>
      <c r="B282" s="181" t="s">
        <v>133</v>
      </c>
      <c r="C282" s="181" t="s">
        <v>656</v>
      </c>
      <c r="D282" s="181" t="str">
        <f t="shared" si="7"/>
        <v>34001</v>
      </c>
      <c r="E282" s="181" t="s">
        <v>15</v>
      </c>
      <c r="F282" s="181" t="s">
        <v>14</v>
      </c>
      <c r="G282" s="181" t="s">
        <v>647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</row>
    <row r="283" spans="1:15">
      <c r="A283" s="191">
        <v>44562</v>
      </c>
      <c r="B283" s="181" t="s">
        <v>133</v>
      </c>
      <c r="C283" s="181" t="s">
        <v>803</v>
      </c>
      <c r="D283" s="181" t="str">
        <f t="shared" si="7"/>
        <v>34001</v>
      </c>
      <c r="E283" s="181" t="s">
        <v>15</v>
      </c>
      <c r="F283" s="181" t="s">
        <v>14</v>
      </c>
      <c r="G283" s="181" t="s">
        <v>801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</row>
    <row r="284" spans="1:15">
      <c r="A284" s="191">
        <v>44562</v>
      </c>
      <c r="B284" s="181" t="s">
        <v>133</v>
      </c>
      <c r="C284" s="181" t="s">
        <v>804</v>
      </c>
      <c r="D284" s="181" t="str">
        <f t="shared" si="7"/>
        <v>34001</v>
      </c>
      <c r="E284" s="181" t="s">
        <v>15</v>
      </c>
      <c r="F284" s="181" t="s">
        <v>14</v>
      </c>
      <c r="G284" s="181" t="s">
        <v>801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</row>
    <row r="285" spans="1:15">
      <c r="A285" s="191">
        <v>44593</v>
      </c>
      <c r="B285" s="181" t="s">
        <v>132</v>
      </c>
      <c r="C285" s="181" t="s">
        <v>654</v>
      </c>
      <c r="D285" s="181" t="str">
        <f t="shared" si="7"/>
        <v>34001</v>
      </c>
      <c r="E285" s="181" t="s">
        <v>15</v>
      </c>
      <c r="F285" s="181" t="s">
        <v>14</v>
      </c>
      <c r="G285" s="181" t="s">
        <v>647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</row>
    <row r="286" spans="1:15">
      <c r="A286" s="191">
        <v>44593</v>
      </c>
      <c r="B286" s="181" t="s">
        <v>132</v>
      </c>
      <c r="C286" s="181" t="s">
        <v>655</v>
      </c>
      <c r="D286" s="181" t="str">
        <f t="shared" si="7"/>
        <v>34001</v>
      </c>
      <c r="E286" s="181" t="s">
        <v>15</v>
      </c>
      <c r="F286" s="181" t="s">
        <v>14</v>
      </c>
      <c r="G286" s="181" t="s">
        <v>647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</row>
    <row r="287" spans="1:15">
      <c r="A287" s="191">
        <v>44593</v>
      </c>
      <c r="B287" s="181" t="s">
        <v>132</v>
      </c>
      <c r="C287" s="181" t="s">
        <v>656</v>
      </c>
      <c r="D287" s="181" t="str">
        <f t="shared" si="7"/>
        <v>34001</v>
      </c>
      <c r="E287" s="181" t="s">
        <v>15</v>
      </c>
      <c r="F287" s="181" t="s">
        <v>14</v>
      </c>
      <c r="G287" s="181" t="s">
        <v>647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</row>
    <row r="288" spans="1:15">
      <c r="A288" s="191">
        <v>44593</v>
      </c>
      <c r="B288" s="181" t="s">
        <v>132</v>
      </c>
      <c r="C288" s="181" t="s">
        <v>803</v>
      </c>
      <c r="D288" s="181" t="str">
        <f t="shared" si="7"/>
        <v>34001</v>
      </c>
      <c r="E288" s="181" t="s">
        <v>15</v>
      </c>
      <c r="F288" s="181" t="s">
        <v>14</v>
      </c>
      <c r="G288" s="181" t="s">
        <v>801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</row>
    <row r="289" spans="1:15">
      <c r="A289" s="191">
        <v>44593</v>
      </c>
      <c r="B289" s="181" t="s">
        <v>132</v>
      </c>
      <c r="C289" s="181" t="s">
        <v>804</v>
      </c>
      <c r="D289" s="181" t="str">
        <f t="shared" si="7"/>
        <v>34001</v>
      </c>
      <c r="E289" s="181" t="s">
        <v>15</v>
      </c>
      <c r="F289" s="181" t="s">
        <v>14</v>
      </c>
      <c r="G289" s="181" t="s">
        <v>801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</row>
    <row r="290" spans="1:15">
      <c r="A290" s="191">
        <v>44621</v>
      </c>
      <c r="B290" s="181" t="s">
        <v>131</v>
      </c>
      <c r="C290" s="181" t="s">
        <v>654</v>
      </c>
      <c r="D290" s="181" t="str">
        <f t="shared" si="7"/>
        <v>34001</v>
      </c>
      <c r="E290" s="181" t="s">
        <v>15</v>
      </c>
      <c r="F290" s="181" t="s">
        <v>14</v>
      </c>
      <c r="G290" s="181" t="s">
        <v>647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</row>
    <row r="291" spans="1:15">
      <c r="A291" s="191">
        <v>44621</v>
      </c>
      <c r="B291" s="181" t="s">
        <v>131</v>
      </c>
      <c r="C291" s="181" t="s">
        <v>655</v>
      </c>
      <c r="D291" s="181" t="str">
        <f t="shared" si="7"/>
        <v>34001</v>
      </c>
      <c r="E291" s="181" t="s">
        <v>15</v>
      </c>
      <c r="F291" s="181" t="s">
        <v>14</v>
      </c>
      <c r="G291" s="181" t="s">
        <v>647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</row>
    <row r="292" spans="1:15">
      <c r="A292" s="191">
        <v>44621</v>
      </c>
      <c r="B292" s="181" t="s">
        <v>131</v>
      </c>
      <c r="C292" s="181" t="s">
        <v>656</v>
      </c>
      <c r="D292" s="181" t="str">
        <f t="shared" si="7"/>
        <v>34001</v>
      </c>
      <c r="E292" s="181" t="s">
        <v>15</v>
      </c>
      <c r="F292" s="181" t="s">
        <v>14</v>
      </c>
      <c r="G292" s="181" t="s">
        <v>647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</row>
    <row r="293" spans="1:15">
      <c r="A293" s="191">
        <v>44621</v>
      </c>
      <c r="B293" s="181" t="s">
        <v>131</v>
      </c>
      <c r="C293" s="181" t="s">
        <v>803</v>
      </c>
      <c r="D293" s="181" t="str">
        <f t="shared" si="7"/>
        <v>34001</v>
      </c>
      <c r="E293" s="181" t="s">
        <v>15</v>
      </c>
      <c r="F293" s="181" t="s">
        <v>14</v>
      </c>
      <c r="G293" s="181" t="s">
        <v>801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</row>
    <row r="294" spans="1:15">
      <c r="A294" s="191">
        <v>44621</v>
      </c>
      <c r="B294" s="181" t="s">
        <v>131</v>
      </c>
      <c r="C294" s="181" t="s">
        <v>804</v>
      </c>
      <c r="D294" s="181" t="str">
        <f t="shared" si="7"/>
        <v>34001</v>
      </c>
      <c r="E294" s="181" t="s">
        <v>15</v>
      </c>
      <c r="F294" s="181" t="s">
        <v>14</v>
      </c>
      <c r="G294" s="181" t="s">
        <v>801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</row>
    <row r="295" spans="1:15">
      <c r="A295" s="191">
        <v>44652</v>
      </c>
      <c r="B295" s="181" t="s">
        <v>130</v>
      </c>
      <c r="C295" s="181" t="s">
        <v>654</v>
      </c>
      <c r="D295" s="181" t="str">
        <f t="shared" si="7"/>
        <v>34001</v>
      </c>
      <c r="E295" s="181" t="s">
        <v>15</v>
      </c>
      <c r="F295" s="181" t="s">
        <v>14</v>
      </c>
      <c r="G295" s="181" t="s">
        <v>647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</row>
    <row r="296" spans="1:15">
      <c r="A296" s="191">
        <v>44652</v>
      </c>
      <c r="B296" s="181" t="s">
        <v>130</v>
      </c>
      <c r="C296" s="181" t="s">
        <v>655</v>
      </c>
      <c r="D296" s="181" t="str">
        <f t="shared" si="7"/>
        <v>34001</v>
      </c>
      <c r="E296" s="181" t="s">
        <v>15</v>
      </c>
      <c r="F296" s="181" t="s">
        <v>14</v>
      </c>
      <c r="G296" s="181" t="s">
        <v>647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</row>
    <row r="297" spans="1:15">
      <c r="A297" s="191">
        <v>44652</v>
      </c>
      <c r="B297" s="181" t="s">
        <v>130</v>
      </c>
      <c r="C297" s="181" t="s">
        <v>656</v>
      </c>
      <c r="D297" s="181" t="str">
        <f t="shared" si="7"/>
        <v>34001</v>
      </c>
      <c r="E297" s="181" t="s">
        <v>15</v>
      </c>
      <c r="F297" s="181" t="s">
        <v>14</v>
      </c>
      <c r="G297" s="181" t="s">
        <v>647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</row>
    <row r="298" spans="1:15">
      <c r="A298" s="191">
        <v>44652</v>
      </c>
      <c r="B298" s="181" t="s">
        <v>130</v>
      </c>
      <c r="C298" s="181" t="s">
        <v>803</v>
      </c>
      <c r="D298" s="181" t="str">
        <f t="shared" si="7"/>
        <v>34001</v>
      </c>
      <c r="E298" s="181" t="s">
        <v>15</v>
      </c>
      <c r="F298" s="181" t="s">
        <v>14</v>
      </c>
      <c r="G298" s="181" t="s">
        <v>801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</row>
    <row r="299" spans="1:15">
      <c r="A299" s="191">
        <v>44652</v>
      </c>
      <c r="B299" s="181" t="s">
        <v>130</v>
      </c>
      <c r="C299" s="181" t="s">
        <v>804</v>
      </c>
      <c r="D299" s="181" t="str">
        <f t="shared" si="7"/>
        <v>34001</v>
      </c>
      <c r="E299" s="181" t="s">
        <v>15</v>
      </c>
      <c r="F299" s="181" t="s">
        <v>14</v>
      </c>
      <c r="G299" s="181" t="s">
        <v>801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</row>
    <row r="300" spans="1:15">
      <c r="A300" s="191">
        <v>44682</v>
      </c>
      <c r="B300" s="181" t="s">
        <v>129</v>
      </c>
      <c r="C300" s="181" t="s">
        <v>654</v>
      </c>
      <c r="D300" s="181" t="str">
        <f t="shared" si="7"/>
        <v>34001</v>
      </c>
      <c r="E300" s="181" t="s">
        <v>15</v>
      </c>
      <c r="F300" s="181" t="s">
        <v>14</v>
      </c>
      <c r="G300" s="181" t="s">
        <v>647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</row>
    <row r="301" spans="1:15">
      <c r="A301" s="191">
        <v>44682</v>
      </c>
      <c r="B301" s="181" t="s">
        <v>129</v>
      </c>
      <c r="C301" s="181" t="s">
        <v>655</v>
      </c>
      <c r="D301" s="181" t="str">
        <f t="shared" si="7"/>
        <v>34001</v>
      </c>
      <c r="E301" s="181" t="s">
        <v>15</v>
      </c>
      <c r="F301" s="181" t="s">
        <v>14</v>
      </c>
      <c r="G301" s="181" t="s">
        <v>647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</row>
    <row r="302" spans="1:15">
      <c r="A302" s="191">
        <v>44682</v>
      </c>
      <c r="B302" s="181" t="s">
        <v>129</v>
      </c>
      <c r="C302" s="181" t="s">
        <v>656</v>
      </c>
      <c r="D302" s="181" t="str">
        <f t="shared" si="7"/>
        <v>34001</v>
      </c>
      <c r="E302" s="181" t="s">
        <v>15</v>
      </c>
      <c r="F302" s="181" t="s">
        <v>14</v>
      </c>
      <c r="G302" s="181" t="s">
        <v>647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</row>
    <row r="303" spans="1:15">
      <c r="A303" s="191">
        <v>44682</v>
      </c>
      <c r="B303" s="181" t="s">
        <v>129</v>
      </c>
      <c r="C303" s="181" t="s">
        <v>803</v>
      </c>
      <c r="D303" s="181" t="str">
        <f t="shared" si="7"/>
        <v>34001</v>
      </c>
      <c r="E303" s="181" t="s">
        <v>15</v>
      </c>
      <c r="F303" s="181" t="s">
        <v>14</v>
      </c>
      <c r="G303" s="181" t="s">
        <v>801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</row>
    <row r="304" spans="1:15">
      <c r="A304" s="191">
        <v>44682</v>
      </c>
      <c r="B304" s="181" t="s">
        <v>129</v>
      </c>
      <c r="C304" s="181" t="s">
        <v>804</v>
      </c>
      <c r="D304" s="181" t="str">
        <f t="shared" si="7"/>
        <v>34001</v>
      </c>
      <c r="E304" s="181" t="s">
        <v>15</v>
      </c>
      <c r="F304" s="181" t="s">
        <v>14</v>
      </c>
      <c r="G304" s="181" t="s">
        <v>801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</row>
    <row r="305" spans="1:15">
      <c r="A305" s="191">
        <v>44713</v>
      </c>
      <c r="B305" s="181" t="s">
        <v>128</v>
      </c>
      <c r="C305" s="181" t="s">
        <v>654</v>
      </c>
      <c r="D305" s="181" t="str">
        <f t="shared" si="7"/>
        <v>34001</v>
      </c>
      <c r="E305" s="181" t="s">
        <v>15</v>
      </c>
      <c r="F305" s="181" t="s">
        <v>14</v>
      </c>
      <c r="G305" s="181" t="s">
        <v>647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</row>
    <row r="306" spans="1:15">
      <c r="A306" s="191">
        <v>44713</v>
      </c>
      <c r="B306" s="181" t="s">
        <v>128</v>
      </c>
      <c r="C306" s="181" t="s">
        <v>655</v>
      </c>
      <c r="D306" s="181" t="str">
        <f t="shared" si="7"/>
        <v>34001</v>
      </c>
      <c r="E306" s="181" t="s">
        <v>15</v>
      </c>
      <c r="F306" s="181" t="s">
        <v>14</v>
      </c>
      <c r="G306" s="181" t="s">
        <v>647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</row>
    <row r="307" spans="1:15">
      <c r="A307" s="191">
        <v>44713</v>
      </c>
      <c r="B307" s="181" t="s">
        <v>128</v>
      </c>
      <c r="C307" s="181" t="s">
        <v>656</v>
      </c>
      <c r="D307" s="181" t="str">
        <f t="shared" si="7"/>
        <v>34001</v>
      </c>
      <c r="E307" s="181" t="s">
        <v>15</v>
      </c>
      <c r="F307" s="181" t="s">
        <v>14</v>
      </c>
      <c r="G307" s="181" t="s">
        <v>647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</row>
    <row r="308" spans="1:15">
      <c r="A308" s="191">
        <v>44713</v>
      </c>
      <c r="B308" s="181" t="s">
        <v>128</v>
      </c>
      <c r="C308" s="181" t="s">
        <v>803</v>
      </c>
      <c r="D308" s="181" t="str">
        <f t="shared" si="7"/>
        <v>34001</v>
      </c>
      <c r="E308" s="181" t="s">
        <v>15</v>
      </c>
      <c r="F308" s="181" t="s">
        <v>14</v>
      </c>
      <c r="G308" s="181" t="s">
        <v>801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</row>
    <row r="309" spans="1:15">
      <c r="A309" s="191">
        <v>44713</v>
      </c>
      <c r="B309" s="181" t="s">
        <v>128</v>
      </c>
      <c r="C309" s="181" t="s">
        <v>804</v>
      </c>
      <c r="D309" s="181" t="str">
        <f t="shared" si="7"/>
        <v>34001</v>
      </c>
      <c r="E309" s="181" t="s">
        <v>15</v>
      </c>
      <c r="F309" s="181" t="s">
        <v>14</v>
      </c>
      <c r="G309" s="181" t="s">
        <v>801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</row>
    <row r="310" spans="1:15">
      <c r="A310" s="191">
        <v>44743</v>
      </c>
      <c r="B310" s="181" t="s">
        <v>127</v>
      </c>
      <c r="C310" s="181" t="s">
        <v>654</v>
      </c>
      <c r="D310" s="181" t="str">
        <f t="shared" si="7"/>
        <v>34001</v>
      </c>
      <c r="E310" s="181" t="s">
        <v>15</v>
      </c>
      <c r="F310" s="181" t="s">
        <v>14</v>
      </c>
      <c r="G310" s="181" t="s">
        <v>647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</row>
    <row r="311" spans="1:15">
      <c r="A311" s="191">
        <v>44743</v>
      </c>
      <c r="B311" s="181" t="s">
        <v>127</v>
      </c>
      <c r="C311" s="181" t="s">
        <v>655</v>
      </c>
      <c r="D311" s="181" t="str">
        <f t="shared" si="7"/>
        <v>34001</v>
      </c>
      <c r="E311" s="181" t="s">
        <v>15</v>
      </c>
      <c r="F311" s="181" t="s">
        <v>14</v>
      </c>
      <c r="G311" s="181" t="s">
        <v>647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</row>
    <row r="312" spans="1:15">
      <c r="A312" s="191">
        <v>44743</v>
      </c>
      <c r="B312" s="181" t="s">
        <v>127</v>
      </c>
      <c r="C312" s="181" t="s">
        <v>656</v>
      </c>
      <c r="D312" s="181" t="str">
        <f t="shared" si="7"/>
        <v>34001</v>
      </c>
      <c r="E312" s="181" t="s">
        <v>15</v>
      </c>
      <c r="F312" s="181" t="s">
        <v>14</v>
      </c>
      <c r="G312" s="181" t="s">
        <v>647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</row>
    <row r="313" spans="1:15">
      <c r="A313" s="191">
        <v>44743</v>
      </c>
      <c r="B313" s="181" t="s">
        <v>127</v>
      </c>
      <c r="C313" s="181" t="s">
        <v>803</v>
      </c>
      <c r="D313" s="181" t="str">
        <f t="shared" si="7"/>
        <v>34001</v>
      </c>
      <c r="E313" s="181" t="s">
        <v>15</v>
      </c>
      <c r="F313" s="181" t="s">
        <v>14</v>
      </c>
      <c r="G313" s="181" t="s">
        <v>801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</row>
    <row r="314" spans="1:15">
      <c r="A314" s="191">
        <v>44743</v>
      </c>
      <c r="B314" s="181" t="s">
        <v>127</v>
      </c>
      <c r="C314" s="181" t="s">
        <v>804</v>
      </c>
      <c r="D314" s="181" t="str">
        <f t="shared" si="7"/>
        <v>34001</v>
      </c>
      <c r="E314" s="181" t="s">
        <v>15</v>
      </c>
      <c r="F314" s="181" t="s">
        <v>14</v>
      </c>
      <c r="G314" s="181" t="s">
        <v>801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</row>
    <row r="315" spans="1:15">
      <c r="A315" s="191">
        <v>44774</v>
      </c>
      <c r="B315" s="181" t="s">
        <v>126</v>
      </c>
      <c r="C315" s="181" t="s">
        <v>654</v>
      </c>
      <c r="D315" s="181" t="str">
        <f t="shared" si="7"/>
        <v>34001</v>
      </c>
      <c r="E315" s="181" t="s">
        <v>15</v>
      </c>
      <c r="F315" s="181" t="s">
        <v>14</v>
      </c>
      <c r="G315" s="181" t="s">
        <v>647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</row>
    <row r="316" spans="1:15">
      <c r="A316" s="191">
        <v>44774</v>
      </c>
      <c r="B316" s="181" t="s">
        <v>126</v>
      </c>
      <c r="C316" s="181" t="s">
        <v>655</v>
      </c>
      <c r="D316" s="181" t="str">
        <f t="shared" si="7"/>
        <v>34001</v>
      </c>
      <c r="E316" s="181" t="s">
        <v>15</v>
      </c>
      <c r="F316" s="181" t="s">
        <v>14</v>
      </c>
      <c r="G316" s="181" t="s">
        <v>647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</row>
    <row r="317" spans="1:15">
      <c r="A317" s="191">
        <v>44774</v>
      </c>
      <c r="B317" s="181" t="s">
        <v>126</v>
      </c>
      <c r="C317" s="181" t="s">
        <v>656</v>
      </c>
      <c r="D317" s="181" t="str">
        <f t="shared" si="7"/>
        <v>34001</v>
      </c>
      <c r="E317" s="181" t="s">
        <v>15</v>
      </c>
      <c r="F317" s="181" t="s">
        <v>14</v>
      </c>
      <c r="G317" s="181" t="s">
        <v>647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</row>
    <row r="318" spans="1:15">
      <c r="A318" s="191">
        <v>44774</v>
      </c>
      <c r="B318" s="181" t="s">
        <v>126</v>
      </c>
      <c r="C318" s="181" t="s">
        <v>803</v>
      </c>
      <c r="D318" s="181" t="str">
        <f t="shared" si="7"/>
        <v>34001</v>
      </c>
      <c r="E318" s="181" t="s">
        <v>15</v>
      </c>
      <c r="F318" s="181" t="s">
        <v>14</v>
      </c>
      <c r="G318" s="181" t="s">
        <v>801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</row>
    <row r="319" spans="1:15">
      <c r="A319" s="191">
        <v>44774</v>
      </c>
      <c r="B319" s="181" t="s">
        <v>126</v>
      </c>
      <c r="C319" s="181" t="s">
        <v>804</v>
      </c>
      <c r="D319" s="181" t="str">
        <f t="shared" si="7"/>
        <v>34001</v>
      </c>
      <c r="E319" s="181" t="s">
        <v>15</v>
      </c>
      <c r="F319" s="181" t="s">
        <v>14</v>
      </c>
      <c r="G319" s="181" t="s">
        <v>801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</row>
    <row r="320" spans="1:15">
      <c r="A320" s="191">
        <v>44805</v>
      </c>
      <c r="B320" s="181" t="s">
        <v>125</v>
      </c>
      <c r="C320" s="181" t="s">
        <v>654</v>
      </c>
      <c r="D320" s="181" t="str">
        <f t="shared" si="7"/>
        <v>34001</v>
      </c>
      <c r="E320" s="181" t="s">
        <v>15</v>
      </c>
      <c r="F320" s="181" t="s">
        <v>14</v>
      </c>
      <c r="G320" s="181" t="s">
        <v>647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</row>
    <row r="321" spans="1:15">
      <c r="A321" s="191">
        <v>44805</v>
      </c>
      <c r="B321" s="181" t="s">
        <v>125</v>
      </c>
      <c r="C321" s="181" t="s">
        <v>655</v>
      </c>
      <c r="D321" s="181" t="str">
        <f t="shared" si="7"/>
        <v>34001</v>
      </c>
      <c r="E321" s="181" t="s">
        <v>15</v>
      </c>
      <c r="F321" s="181" t="s">
        <v>14</v>
      </c>
      <c r="G321" s="181" t="s">
        <v>647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</row>
    <row r="322" spans="1:15">
      <c r="A322" s="191">
        <v>44805</v>
      </c>
      <c r="B322" s="181" t="s">
        <v>125</v>
      </c>
      <c r="C322" s="181" t="s">
        <v>656</v>
      </c>
      <c r="D322" s="181" t="str">
        <f t="shared" ref="D322:D385" si="8">MID(C322,10,5)</f>
        <v>34001</v>
      </c>
      <c r="E322" s="181" t="s">
        <v>15</v>
      </c>
      <c r="F322" s="181" t="s">
        <v>14</v>
      </c>
      <c r="G322" s="181" t="s">
        <v>647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</row>
    <row r="323" spans="1:15">
      <c r="A323" s="191">
        <v>44805</v>
      </c>
      <c r="B323" s="181" t="s">
        <v>125</v>
      </c>
      <c r="C323" s="181" t="s">
        <v>803</v>
      </c>
      <c r="D323" s="181" t="str">
        <f t="shared" si="8"/>
        <v>34001</v>
      </c>
      <c r="E323" s="181" t="s">
        <v>15</v>
      </c>
      <c r="F323" s="181" t="s">
        <v>14</v>
      </c>
      <c r="G323" s="181" t="s">
        <v>801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</row>
    <row r="324" spans="1:15">
      <c r="A324" s="191">
        <v>44805</v>
      </c>
      <c r="B324" s="181" t="s">
        <v>125</v>
      </c>
      <c r="C324" s="181" t="s">
        <v>804</v>
      </c>
      <c r="D324" s="181" t="str">
        <f t="shared" si="8"/>
        <v>34001</v>
      </c>
      <c r="E324" s="181" t="s">
        <v>15</v>
      </c>
      <c r="F324" s="181" t="s">
        <v>14</v>
      </c>
      <c r="G324" s="181" t="s">
        <v>801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</row>
    <row r="325" spans="1:15">
      <c r="A325" s="191">
        <v>44835</v>
      </c>
      <c r="B325" s="181" t="s">
        <v>124</v>
      </c>
      <c r="C325" s="181" t="s">
        <v>654</v>
      </c>
      <c r="D325" s="181" t="str">
        <f t="shared" si="8"/>
        <v>34001</v>
      </c>
      <c r="E325" s="181" t="s">
        <v>15</v>
      </c>
      <c r="F325" s="181" t="s">
        <v>14</v>
      </c>
      <c r="G325" s="181" t="s">
        <v>647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</row>
    <row r="326" spans="1:15">
      <c r="A326" s="191">
        <v>44835</v>
      </c>
      <c r="B326" s="181" t="s">
        <v>124</v>
      </c>
      <c r="C326" s="181" t="s">
        <v>655</v>
      </c>
      <c r="D326" s="181" t="str">
        <f t="shared" si="8"/>
        <v>34001</v>
      </c>
      <c r="E326" s="181" t="s">
        <v>15</v>
      </c>
      <c r="F326" s="181" t="s">
        <v>14</v>
      </c>
      <c r="G326" s="181" t="s">
        <v>647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</row>
    <row r="327" spans="1:15">
      <c r="A327" s="191">
        <v>44835</v>
      </c>
      <c r="B327" s="181" t="s">
        <v>124</v>
      </c>
      <c r="C327" s="181" t="s">
        <v>656</v>
      </c>
      <c r="D327" s="181" t="str">
        <f t="shared" si="8"/>
        <v>34001</v>
      </c>
      <c r="E327" s="181" t="s">
        <v>15</v>
      </c>
      <c r="F327" s="181" t="s">
        <v>14</v>
      </c>
      <c r="G327" s="181" t="s">
        <v>647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</row>
    <row r="328" spans="1:15">
      <c r="A328" s="191">
        <v>44835</v>
      </c>
      <c r="B328" s="181" t="s">
        <v>124</v>
      </c>
      <c r="C328" s="181" t="s">
        <v>803</v>
      </c>
      <c r="D328" s="181" t="str">
        <f t="shared" si="8"/>
        <v>34001</v>
      </c>
      <c r="E328" s="181" t="s">
        <v>15</v>
      </c>
      <c r="F328" s="181" t="s">
        <v>14</v>
      </c>
      <c r="G328" s="181" t="s">
        <v>801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</row>
    <row r="329" spans="1:15">
      <c r="A329" s="191">
        <v>44835</v>
      </c>
      <c r="B329" s="181" t="s">
        <v>124</v>
      </c>
      <c r="C329" s="181" t="s">
        <v>804</v>
      </c>
      <c r="D329" s="181" t="str">
        <f t="shared" si="8"/>
        <v>34001</v>
      </c>
      <c r="E329" s="181" t="s">
        <v>15</v>
      </c>
      <c r="F329" s="181" t="s">
        <v>14</v>
      </c>
      <c r="G329" s="181" t="s">
        <v>801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</row>
    <row r="330" spans="1:15">
      <c r="A330" s="191">
        <v>44866</v>
      </c>
      <c r="B330" s="181" t="s">
        <v>123</v>
      </c>
      <c r="C330" s="181" t="s">
        <v>654</v>
      </c>
      <c r="D330" s="181" t="str">
        <f t="shared" si="8"/>
        <v>34001</v>
      </c>
      <c r="E330" s="181" t="s">
        <v>15</v>
      </c>
      <c r="F330" s="181" t="s">
        <v>14</v>
      </c>
      <c r="G330" s="181" t="s">
        <v>647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</row>
    <row r="331" spans="1:15">
      <c r="A331" s="191">
        <v>44866</v>
      </c>
      <c r="B331" s="181" t="s">
        <v>123</v>
      </c>
      <c r="C331" s="181" t="s">
        <v>655</v>
      </c>
      <c r="D331" s="181" t="str">
        <f t="shared" si="8"/>
        <v>34001</v>
      </c>
      <c r="E331" s="181" t="s">
        <v>15</v>
      </c>
      <c r="F331" s="181" t="s">
        <v>14</v>
      </c>
      <c r="G331" s="181" t="s">
        <v>647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</row>
    <row r="332" spans="1:15">
      <c r="A332" s="191">
        <v>44866</v>
      </c>
      <c r="B332" s="181" t="s">
        <v>123</v>
      </c>
      <c r="C332" s="181" t="s">
        <v>656</v>
      </c>
      <c r="D332" s="181" t="str">
        <f t="shared" si="8"/>
        <v>34001</v>
      </c>
      <c r="E332" s="181" t="s">
        <v>15</v>
      </c>
      <c r="F332" s="181" t="s">
        <v>14</v>
      </c>
      <c r="G332" s="181" t="s">
        <v>647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</row>
    <row r="333" spans="1:15">
      <c r="A333" s="191">
        <v>44866</v>
      </c>
      <c r="B333" s="181" t="s">
        <v>123</v>
      </c>
      <c r="C333" s="181" t="s">
        <v>803</v>
      </c>
      <c r="D333" s="181" t="str">
        <f t="shared" si="8"/>
        <v>34001</v>
      </c>
      <c r="E333" s="181" t="s">
        <v>15</v>
      </c>
      <c r="F333" s="181" t="s">
        <v>14</v>
      </c>
      <c r="G333" s="181" t="s">
        <v>801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</row>
    <row r="334" spans="1:15">
      <c r="A334" s="191">
        <v>44866</v>
      </c>
      <c r="B334" s="181" t="s">
        <v>123</v>
      </c>
      <c r="C334" s="181" t="s">
        <v>804</v>
      </c>
      <c r="D334" s="181" t="str">
        <f t="shared" si="8"/>
        <v>34001</v>
      </c>
      <c r="E334" s="181" t="s">
        <v>15</v>
      </c>
      <c r="F334" s="181" t="s">
        <v>14</v>
      </c>
      <c r="G334" s="181" t="s">
        <v>801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</row>
    <row r="335" spans="1:15">
      <c r="A335" s="191">
        <v>44896</v>
      </c>
      <c r="B335" s="181" t="s">
        <v>122</v>
      </c>
      <c r="C335" s="181" t="s">
        <v>654</v>
      </c>
      <c r="D335" s="181" t="str">
        <f t="shared" si="8"/>
        <v>34001</v>
      </c>
      <c r="E335" s="181" t="s">
        <v>15</v>
      </c>
      <c r="F335" s="181" t="s">
        <v>14</v>
      </c>
      <c r="G335" s="181" t="s">
        <v>647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</row>
    <row r="336" spans="1:15">
      <c r="A336" s="191">
        <v>44896</v>
      </c>
      <c r="B336" s="181" t="s">
        <v>122</v>
      </c>
      <c r="C336" s="181" t="s">
        <v>655</v>
      </c>
      <c r="D336" s="181" t="str">
        <f t="shared" si="8"/>
        <v>34001</v>
      </c>
      <c r="E336" s="181" t="s">
        <v>15</v>
      </c>
      <c r="F336" s="181" t="s">
        <v>14</v>
      </c>
      <c r="G336" s="181" t="s">
        <v>647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</row>
    <row r="337" spans="1:15">
      <c r="A337" s="191">
        <v>44896</v>
      </c>
      <c r="B337" s="181" t="s">
        <v>122</v>
      </c>
      <c r="C337" s="181" t="s">
        <v>656</v>
      </c>
      <c r="D337" s="181" t="str">
        <f t="shared" si="8"/>
        <v>34001</v>
      </c>
      <c r="E337" s="181" t="s">
        <v>15</v>
      </c>
      <c r="F337" s="181" t="s">
        <v>14</v>
      </c>
      <c r="G337" s="181" t="s">
        <v>647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</row>
    <row r="338" spans="1:15">
      <c r="A338" s="191">
        <v>44896</v>
      </c>
      <c r="B338" s="181" t="s">
        <v>122</v>
      </c>
      <c r="C338" s="181" t="s">
        <v>803</v>
      </c>
      <c r="D338" s="181" t="str">
        <f t="shared" si="8"/>
        <v>34001</v>
      </c>
      <c r="E338" s="181" t="s">
        <v>15</v>
      </c>
      <c r="F338" s="181" t="s">
        <v>14</v>
      </c>
      <c r="G338" s="181" t="s">
        <v>801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</row>
    <row r="339" spans="1:15">
      <c r="A339" s="191">
        <v>44896</v>
      </c>
      <c r="B339" s="181" t="s">
        <v>122</v>
      </c>
      <c r="C339" s="181" t="s">
        <v>804</v>
      </c>
      <c r="D339" s="181" t="str">
        <f t="shared" si="8"/>
        <v>34001</v>
      </c>
      <c r="E339" s="181" t="s">
        <v>15</v>
      </c>
      <c r="F339" s="181" t="s">
        <v>14</v>
      </c>
      <c r="G339" s="181" t="s">
        <v>801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</row>
    <row r="340" spans="1:15">
      <c r="A340" s="191">
        <v>44531</v>
      </c>
      <c r="B340" s="181" t="s">
        <v>13</v>
      </c>
      <c r="C340" s="181" t="s">
        <v>657</v>
      </c>
      <c r="D340" s="181" t="str">
        <f t="shared" si="8"/>
        <v>34002</v>
      </c>
      <c r="E340" s="181" t="s">
        <v>15</v>
      </c>
      <c r="F340" s="181" t="s">
        <v>14</v>
      </c>
      <c r="G340" s="181" t="s">
        <v>647</v>
      </c>
      <c r="H340" s="8">
        <v>-2572.3000000000002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-2572.3000000000002</v>
      </c>
    </row>
    <row r="341" spans="1:15">
      <c r="A341" s="191">
        <v>44531</v>
      </c>
      <c r="B341" s="181" t="s">
        <v>13</v>
      </c>
      <c r="C341" s="181" t="s">
        <v>658</v>
      </c>
      <c r="D341" s="181" t="str">
        <f t="shared" si="8"/>
        <v>34002</v>
      </c>
      <c r="E341" s="181" t="s">
        <v>15</v>
      </c>
      <c r="F341" s="181" t="s">
        <v>14</v>
      </c>
      <c r="G341" s="181" t="s">
        <v>647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</row>
    <row r="342" spans="1:15">
      <c r="A342" s="191">
        <v>44531</v>
      </c>
      <c r="B342" s="181" t="s">
        <v>13</v>
      </c>
      <c r="C342" s="181" t="s">
        <v>659</v>
      </c>
      <c r="D342" s="181" t="str">
        <f t="shared" si="8"/>
        <v>34002</v>
      </c>
      <c r="E342" s="181" t="s">
        <v>15</v>
      </c>
      <c r="F342" s="181" t="s">
        <v>14</v>
      </c>
      <c r="G342" s="181" t="s">
        <v>647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</row>
    <row r="343" spans="1:15">
      <c r="A343" s="191">
        <v>44531</v>
      </c>
      <c r="B343" s="181" t="s">
        <v>13</v>
      </c>
      <c r="C343" s="181" t="s">
        <v>657</v>
      </c>
      <c r="D343" s="181" t="str">
        <f t="shared" si="8"/>
        <v>34002</v>
      </c>
      <c r="E343" s="181" t="s">
        <v>15</v>
      </c>
      <c r="F343" s="181" t="s">
        <v>14</v>
      </c>
      <c r="G343" s="181" t="s">
        <v>793</v>
      </c>
      <c r="H343" s="8">
        <v>2572.3000000000002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2572.3000000000002</v>
      </c>
    </row>
    <row r="344" spans="1:15">
      <c r="A344" s="191">
        <v>44562</v>
      </c>
      <c r="B344" s="181" t="s">
        <v>133</v>
      </c>
      <c r="C344" s="181" t="s">
        <v>657</v>
      </c>
      <c r="D344" s="181" t="str">
        <f t="shared" si="8"/>
        <v>34002</v>
      </c>
      <c r="E344" s="181" t="s">
        <v>15</v>
      </c>
      <c r="F344" s="181" t="s">
        <v>14</v>
      </c>
      <c r="G344" s="181" t="s">
        <v>647</v>
      </c>
      <c r="H344" s="8">
        <v>-2572.3000000000002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-2572.3000000000002</v>
      </c>
    </row>
    <row r="345" spans="1:15">
      <c r="A345" s="191">
        <v>44562</v>
      </c>
      <c r="B345" s="181" t="s">
        <v>133</v>
      </c>
      <c r="C345" s="181" t="s">
        <v>658</v>
      </c>
      <c r="D345" s="181" t="str">
        <f t="shared" si="8"/>
        <v>34002</v>
      </c>
      <c r="E345" s="181" t="s">
        <v>15</v>
      </c>
      <c r="F345" s="181" t="s">
        <v>14</v>
      </c>
      <c r="G345" s="181" t="s">
        <v>647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</row>
    <row r="346" spans="1:15">
      <c r="A346" s="191">
        <v>44562</v>
      </c>
      <c r="B346" s="181" t="s">
        <v>133</v>
      </c>
      <c r="C346" s="181" t="s">
        <v>659</v>
      </c>
      <c r="D346" s="181" t="str">
        <f t="shared" si="8"/>
        <v>34002</v>
      </c>
      <c r="E346" s="181" t="s">
        <v>15</v>
      </c>
      <c r="F346" s="181" t="s">
        <v>14</v>
      </c>
      <c r="G346" s="181" t="s">
        <v>647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</row>
    <row r="347" spans="1:15">
      <c r="A347" s="191">
        <v>44562</v>
      </c>
      <c r="B347" s="181" t="s">
        <v>133</v>
      </c>
      <c r="C347" s="181" t="s">
        <v>657</v>
      </c>
      <c r="D347" s="181" t="str">
        <f t="shared" si="8"/>
        <v>34002</v>
      </c>
      <c r="E347" s="181" t="s">
        <v>15</v>
      </c>
      <c r="F347" s="181" t="s">
        <v>14</v>
      </c>
      <c r="G347" s="181" t="s">
        <v>793</v>
      </c>
      <c r="H347" s="8">
        <v>2572.3000000000002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2572.3000000000002</v>
      </c>
    </row>
    <row r="348" spans="1:15">
      <c r="A348" s="191">
        <v>44593</v>
      </c>
      <c r="B348" s="181" t="s">
        <v>132</v>
      </c>
      <c r="C348" s="181" t="s">
        <v>657</v>
      </c>
      <c r="D348" s="181" t="str">
        <f t="shared" si="8"/>
        <v>34002</v>
      </c>
      <c r="E348" s="181" t="s">
        <v>15</v>
      </c>
      <c r="F348" s="181" t="s">
        <v>14</v>
      </c>
      <c r="G348" s="181" t="s">
        <v>647</v>
      </c>
      <c r="H348" s="8">
        <v>-2572.3000000000002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-2572.3000000000002</v>
      </c>
    </row>
    <row r="349" spans="1:15">
      <c r="A349" s="191">
        <v>44593</v>
      </c>
      <c r="B349" s="181" t="s">
        <v>132</v>
      </c>
      <c r="C349" s="181" t="s">
        <v>658</v>
      </c>
      <c r="D349" s="181" t="str">
        <f t="shared" si="8"/>
        <v>34002</v>
      </c>
      <c r="E349" s="181" t="s">
        <v>15</v>
      </c>
      <c r="F349" s="181" t="s">
        <v>14</v>
      </c>
      <c r="G349" s="181" t="s">
        <v>647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</row>
    <row r="350" spans="1:15">
      <c r="A350" s="191">
        <v>44593</v>
      </c>
      <c r="B350" s="181" t="s">
        <v>132</v>
      </c>
      <c r="C350" s="181" t="s">
        <v>659</v>
      </c>
      <c r="D350" s="181" t="str">
        <f t="shared" si="8"/>
        <v>34002</v>
      </c>
      <c r="E350" s="181" t="s">
        <v>15</v>
      </c>
      <c r="F350" s="181" t="s">
        <v>14</v>
      </c>
      <c r="G350" s="181" t="s">
        <v>647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</row>
    <row r="351" spans="1:15">
      <c r="A351" s="191">
        <v>44593</v>
      </c>
      <c r="B351" s="181" t="s">
        <v>132</v>
      </c>
      <c r="C351" s="181" t="s">
        <v>657</v>
      </c>
      <c r="D351" s="181" t="str">
        <f t="shared" si="8"/>
        <v>34002</v>
      </c>
      <c r="E351" s="181" t="s">
        <v>15</v>
      </c>
      <c r="F351" s="181" t="s">
        <v>14</v>
      </c>
      <c r="G351" s="181" t="s">
        <v>793</v>
      </c>
      <c r="H351" s="8">
        <v>2572.3000000000002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2572.3000000000002</v>
      </c>
    </row>
    <row r="352" spans="1:15">
      <c r="A352" s="191">
        <v>44621</v>
      </c>
      <c r="B352" s="181" t="s">
        <v>131</v>
      </c>
      <c r="C352" s="181" t="s">
        <v>657</v>
      </c>
      <c r="D352" s="181" t="str">
        <f t="shared" si="8"/>
        <v>34002</v>
      </c>
      <c r="E352" s="181" t="s">
        <v>15</v>
      </c>
      <c r="F352" s="181" t="s">
        <v>14</v>
      </c>
      <c r="G352" s="181" t="s">
        <v>647</v>
      </c>
      <c r="H352" s="8">
        <v>-2572.3000000000002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-2572.3000000000002</v>
      </c>
    </row>
    <row r="353" spans="1:15">
      <c r="A353" s="191">
        <v>44621</v>
      </c>
      <c r="B353" s="181" t="s">
        <v>131</v>
      </c>
      <c r="C353" s="181" t="s">
        <v>658</v>
      </c>
      <c r="D353" s="181" t="str">
        <f t="shared" si="8"/>
        <v>34002</v>
      </c>
      <c r="E353" s="181" t="s">
        <v>15</v>
      </c>
      <c r="F353" s="181" t="s">
        <v>14</v>
      </c>
      <c r="G353" s="181" t="s">
        <v>647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</row>
    <row r="354" spans="1:15">
      <c r="A354" s="191">
        <v>44621</v>
      </c>
      <c r="B354" s="181" t="s">
        <v>131</v>
      </c>
      <c r="C354" s="181" t="s">
        <v>659</v>
      </c>
      <c r="D354" s="181" t="str">
        <f t="shared" si="8"/>
        <v>34002</v>
      </c>
      <c r="E354" s="181" t="s">
        <v>15</v>
      </c>
      <c r="F354" s="181" t="s">
        <v>14</v>
      </c>
      <c r="G354" s="181" t="s">
        <v>647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</row>
    <row r="355" spans="1:15">
      <c r="A355" s="191">
        <v>44621</v>
      </c>
      <c r="B355" s="181" t="s">
        <v>131</v>
      </c>
      <c r="C355" s="181" t="s">
        <v>657</v>
      </c>
      <c r="D355" s="181" t="str">
        <f t="shared" si="8"/>
        <v>34002</v>
      </c>
      <c r="E355" s="181" t="s">
        <v>15</v>
      </c>
      <c r="F355" s="181" t="s">
        <v>14</v>
      </c>
      <c r="G355" s="181" t="s">
        <v>793</v>
      </c>
      <c r="H355" s="8">
        <v>2572.3000000000002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2572.3000000000002</v>
      </c>
    </row>
    <row r="356" spans="1:15">
      <c r="A356" s="191">
        <v>44652</v>
      </c>
      <c r="B356" s="181" t="s">
        <v>130</v>
      </c>
      <c r="C356" s="181" t="s">
        <v>657</v>
      </c>
      <c r="D356" s="181" t="str">
        <f t="shared" si="8"/>
        <v>34002</v>
      </c>
      <c r="E356" s="181" t="s">
        <v>15</v>
      </c>
      <c r="F356" s="181" t="s">
        <v>14</v>
      </c>
      <c r="G356" s="181" t="s">
        <v>647</v>
      </c>
      <c r="H356" s="8">
        <v>-2572.3000000000002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-2572.3000000000002</v>
      </c>
    </row>
    <row r="357" spans="1:15">
      <c r="A357" s="191">
        <v>44652</v>
      </c>
      <c r="B357" s="181" t="s">
        <v>130</v>
      </c>
      <c r="C357" s="181" t="s">
        <v>658</v>
      </c>
      <c r="D357" s="181" t="str">
        <f t="shared" si="8"/>
        <v>34002</v>
      </c>
      <c r="E357" s="181" t="s">
        <v>15</v>
      </c>
      <c r="F357" s="181" t="s">
        <v>14</v>
      </c>
      <c r="G357" s="181" t="s">
        <v>647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</row>
    <row r="358" spans="1:15">
      <c r="A358" s="191">
        <v>44652</v>
      </c>
      <c r="B358" s="181" t="s">
        <v>130</v>
      </c>
      <c r="C358" s="181" t="s">
        <v>659</v>
      </c>
      <c r="D358" s="181" t="str">
        <f t="shared" si="8"/>
        <v>34002</v>
      </c>
      <c r="E358" s="181" t="s">
        <v>15</v>
      </c>
      <c r="F358" s="181" t="s">
        <v>14</v>
      </c>
      <c r="G358" s="181" t="s">
        <v>647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</row>
    <row r="359" spans="1:15">
      <c r="A359" s="191">
        <v>44652</v>
      </c>
      <c r="B359" s="181" t="s">
        <v>130</v>
      </c>
      <c r="C359" s="181" t="s">
        <v>657</v>
      </c>
      <c r="D359" s="181" t="str">
        <f t="shared" si="8"/>
        <v>34002</v>
      </c>
      <c r="E359" s="181" t="s">
        <v>15</v>
      </c>
      <c r="F359" s="181" t="s">
        <v>14</v>
      </c>
      <c r="G359" s="181" t="s">
        <v>793</v>
      </c>
      <c r="H359" s="8">
        <v>2572.3000000000002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2572.3000000000002</v>
      </c>
    </row>
    <row r="360" spans="1:15">
      <c r="A360" s="191">
        <v>44682</v>
      </c>
      <c r="B360" s="181" t="s">
        <v>129</v>
      </c>
      <c r="C360" s="181" t="s">
        <v>657</v>
      </c>
      <c r="D360" s="181" t="str">
        <f t="shared" si="8"/>
        <v>34002</v>
      </c>
      <c r="E360" s="181" t="s">
        <v>15</v>
      </c>
      <c r="F360" s="181" t="s">
        <v>14</v>
      </c>
      <c r="G360" s="181" t="s">
        <v>647</v>
      </c>
      <c r="H360" s="8">
        <v>-2572.3000000000002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-2572.3000000000002</v>
      </c>
    </row>
    <row r="361" spans="1:15">
      <c r="A361" s="191">
        <v>44682</v>
      </c>
      <c r="B361" s="181" t="s">
        <v>129</v>
      </c>
      <c r="C361" s="181" t="s">
        <v>658</v>
      </c>
      <c r="D361" s="181" t="str">
        <f t="shared" si="8"/>
        <v>34002</v>
      </c>
      <c r="E361" s="181" t="s">
        <v>15</v>
      </c>
      <c r="F361" s="181" t="s">
        <v>14</v>
      </c>
      <c r="G361" s="181" t="s">
        <v>647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</row>
    <row r="362" spans="1:15">
      <c r="A362" s="191">
        <v>44682</v>
      </c>
      <c r="B362" s="181" t="s">
        <v>129</v>
      </c>
      <c r="C362" s="181" t="s">
        <v>659</v>
      </c>
      <c r="D362" s="181" t="str">
        <f t="shared" si="8"/>
        <v>34002</v>
      </c>
      <c r="E362" s="181" t="s">
        <v>15</v>
      </c>
      <c r="F362" s="181" t="s">
        <v>14</v>
      </c>
      <c r="G362" s="181" t="s">
        <v>647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</row>
    <row r="363" spans="1:15">
      <c r="A363" s="191">
        <v>44682</v>
      </c>
      <c r="B363" s="181" t="s">
        <v>129</v>
      </c>
      <c r="C363" s="181" t="s">
        <v>657</v>
      </c>
      <c r="D363" s="181" t="str">
        <f t="shared" si="8"/>
        <v>34002</v>
      </c>
      <c r="E363" s="181" t="s">
        <v>15</v>
      </c>
      <c r="F363" s="181" t="s">
        <v>14</v>
      </c>
      <c r="G363" s="181" t="s">
        <v>793</v>
      </c>
      <c r="H363" s="8">
        <v>2572.3000000000002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2572.3000000000002</v>
      </c>
    </row>
    <row r="364" spans="1:15">
      <c r="A364" s="191">
        <v>44713</v>
      </c>
      <c r="B364" s="181" t="s">
        <v>128</v>
      </c>
      <c r="C364" s="181" t="s">
        <v>657</v>
      </c>
      <c r="D364" s="181" t="str">
        <f t="shared" si="8"/>
        <v>34002</v>
      </c>
      <c r="E364" s="181" t="s">
        <v>15</v>
      </c>
      <c r="F364" s="181" t="s">
        <v>14</v>
      </c>
      <c r="G364" s="181" t="s">
        <v>647</v>
      </c>
      <c r="H364" s="8">
        <v>-2572.3000000000002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-2572.3000000000002</v>
      </c>
    </row>
    <row r="365" spans="1:15">
      <c r="A365" s="191">
        <v>44713</v>
      </c>
      <c r="B365" s="181" t="s">
        <v>128</v>
      </c>
      <c r="C365" s="181" t="s">
        <v>658</v>
      </c>
      <c r="D365" s="181" t="str">
        <f t="shared" si="8"/>
        <v>34002</v>
      </c>
      <c r="E365" s="181" t="s">
        <v>15</v>
      </c>
      <c r="F365" s="181" t="s">
        <v>14</v>
      </c>
      <c r="G365" s="181" t="s">
        <v>647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</row>
    <row r="366" spans="1:15">
      <c r="A366" s="191">
        <v>44713</v>
      </c>
      <c r="B366" s="181" t="s">
        <v>128</v>
      </c>
      <c r="C366" s="181" t="s">
        <v>659</v>
      </c>
      <c r="D366" s="181" t="str">
        <f t="shared" si="8"/>
        <v>34002</v>
      </c>
      <c r="E366" s="181" t="s">
        <v>15</v>
      </c>
      <c r="F366" s="181" t="s">
        <v>14</v>
      </c>
      <c r="G366" s="181" t="s">
        <v>647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</row>
    <row r="367" spans="1:15">
      <c r="A367" s="191">
        <v>44713</v>
      </c>
      <c r="B367" s="181" t="s">
        <v>128</v>
      </c>
      <c r="C367" s="181" t="s">
        <v>657</v>
      </c>
      <c r="D367" s="181" t="str">
        <f t="shared" si="8"/>
        <v>34002</v>
      </c>
      <c r="E367" s="181" t="s">
        <v>15</v>
      </c>
      <c r="F367" s="181" t="s">
        <v>14</v>
      </c>
      <c r="G367" s="181" t="s">
        <v>793</v>
      </c>
      <c r="H367" s="8">
        <v>2572.3000000000002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2572.3000000000002</v>
      </c>
    </row>
    <row r="368" spans="1:15">
      <c r="A368" s="191">
        <v>44743</v>
      </c>
      <c r="B368" s="181" t="s">
        <v>127</v>
      </c>
      <c r="C368" s="181" t="s">
        <v>657</v>
      </c>
      <c r="D368" s="181" t="str">
        <f t="shared" si="8"/>
        <v>34002</v>
      </c>
      <c r="E368" s="181" t="s">
        <v>15</v>
      </c>
      <c r="F368" s="181" t="s">
        <v>14</v>
      </c>
      <c r="G368" s="181" t="s">
        <v>647</v>
      </c>
      <c r="H368" s="8">
        <v>-2572.3000000000002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-2572.3000000000002</v>
      </c>
    </row>
    <row r="369" spans="1:15">
      <c r="A369" s="191">
        <v>44743</v>
      </c>
      <c r="B369" s="181" t="s">
        <v>127</v>
      </c>
      <c r="C369" s="181" t="s">
        <v>658</v>
      </c>
      <c r="D369" s="181" t="str">
        <f t="shared" si="8"/>
        <v>34002</v>
      </c>
      <c r="E369" s="181" t="s">
        <v>15</v>
      </c>
      <c r="F369" s="181" t="s">
        <v>14</v>
      </c>
      <c r="G369" s="181" t="s">
        <v>647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</row>
    <row r="370" spans="1:15">
      <c r="A370" s="191">
        <v>44743</v>
      </c>
      <c r="B370" s="181" t="s">
        <v>127</v>
      </c>
      <c r="C370" s="181" t="s">
        <v>659</v>
      </c>
      <c r="D370" s="181" t="str">
        <f t="shared" si="8"/>
        <v>34002</v>
      </c>
      <c r="E370" s="181" t="s">
        <v>15</v>
      </c>
      <c r="F370" s="181" t="s">
        <v>14</v>
      </c>
      <c r="G370" s="181" t="s">
        <v>647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</row>
    <row r="371" spans="1:15">
      <c r="A371" s="191">
        <v>44743</v>
      </c>
      <c r="B371" s="181" t="s">
        <v>127</v>
      </c>
      <c r="C371" s="181" t="s">
        <v>657</v>
      </c>
      <c r="D371" s="181" t="str">
        <f t="shared" si="8"/>
        <v>34002</v>
      </c>
      <c r="E371" s="181" t="s">
        <v>15</v>
      </c>
      <c r="F371" s="181" t="s">
        <v>14</v>
      </c>
      <c r="G371" s="181" t="s">
        <v>793</v>
      </c>
      <c r="H371" s="8">
        <v>2572.3000000000002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2572.3000000000002</v>
      </c>
    </row>
    <row r="372" spans="1:15">
      <c r="A372" s="191">
        <v>44774</v>
      </c>
      <c r="B372" s="181" t="s">
        <v>126</v>
      </c>
      <c r="C372" s="181" t="s">
        <v>657</v>
      </c>
      <c r="D372" s="181" t="str">
        <f t="shared" si="8"/>
        <v>34002</v>
      </c>
      <c r="E372" s="181" t="s">
        <v>15</v>
      </c>
      <c r="F372" s="181" t="s">
        <v>14</v>
      </c>
      <c r="G372" s="181" t="s">
        <v>647</v>
      </c>
      <c r="H372" s="8">
        <v>-2572.3000000000002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-2572.3000000000002</v>
      </c>
    </row>
    <row r="373" spans="1:15">
      <c r="A373" s="191">
        <v>44774</v>
      </c>
      <c r="B373" s="181" t="s">
        <v>126</v>
      </c>
      <c r="C373" s="181" t="s">
        <v>658</v>
      </c>
      <c r="D373" s="181" t="str">
        <f t="shared" si="8"/>
        <v>34002</v>
      </c>
      <c r="E373" s="181" t="s">
        <v>15</v>
      </c>
      <c r="F373" s="181" t="s">
        <v>14</v>
      </c>
      <c r="G373" s="181" t="s">
        <v>647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</row>
    <row r="374" spans="1:15">
      <c r="A374" s="191">
        <v>44774</v>
      </c>
      <c r="B374" s="181" t="s">
        <v>126</v>
      </c>
      <c r="C374" s="181" t="s">
        <v>659</v>
      </c>
      <c r="D374" s="181" t="str">
        <f t="shared" si="8"/>
        <v>34002</v>
      </c>
      <c r="E374" s="181" t="s">
        <v>15</v>
      </c>
      <c r="F374" s="181" t="s">
        <v>14</v>
      </c>
      <c r="G374" s="181" t="s">
        <v>647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</row>
    <row r="375" spans="1:15">
      <c r="A375" s="191">
        <v>44774</v>
      </c>
      <c r="B375" s="181" t="s">
        <v>126</v>
      </c>
      <c r="C375" s="181" t="s">
        <v>657</v>
      </c>
      <c r="D375" s="181" t="str">
        <f t="shared" si="8"/>
        <v>34002</v>
      </c>
      <c r="E375" s="181" t="s">
        <v>15</v>
      </c>
      <c r="F375" s="181" t="s">
        <v>14</v>
      </c>
      <c r="G375" s="181" t="s">
        <v>793</v>
      </c>
      <c r="H375" s="8">
        <v>2572.3000000000002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2572.3000000000002</v>
      </c>
    </row>
    <row r="376" spans="1:15">
      <c r="A376" s="191">
        <v>44805</v>
      </c>
      <c r="B376" s="181" t="s">
        <v>125</v>
      </c>
      <c r="C376" s="181" t="s">
        <v>657</v>
      </c>
      <c r="D376" s="181" t="str">
        <f t="shared" si="8"/>
        <v>34002</v>
      </c>
      <c r="E376" s="181" t="s">
        <v>15</v>
      </c>
      <c r="F376" s="181" t="s">
        <v>14</v>
      </c>
      <c r="G376" s="181" t="s">
        <v>647</v>
      </c>
      <c r="H376" s="8">
        <v>-2572.3000000000002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-2572.3000000000002</v>
      </c>
    </row>
    <row r="377" spans="1:15">
      <c r="A377" s="191">
        <v>44805</v>
      </c>
      <c r="B377" s="181" t="s">
        <v>125</v>
      </c>
      <c r="C377" s="181" t="s">
        <v>658</v>
      </c>
      <c r="D377" s="181" t="str">
        <f t="shared" si="8"/>
        <v>34002</v>
      </c>
      <c r="E377" s="181" t="s">
        <v>15</v>
      </c>
      <c r="F377" s="181" t="s">
        <v>14</v>
      </c>
      <c r="G377" s="181" t="s">
        <v>647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</row>
    <row r="378" spans="1:15">
      <c r="A378" s="191">
        <v>44805</v>
      </c>
      <c r="B378" s="181" t="s">
        <v>125</v>
      </c>
      <c r="C378" s="181" t="s">
        <v>659</v>
      </c>
      <c r="D378" s="181" t="str">
        <f t="shared" si="8"/>
        <v>34002</v>
      </c>
      <c r="E378" s="181" t="s">
        <v>15</v>
      </c>
      <c r="F378" s="181" t="s">
        <v>14</v>
      </c>
      <c r="G378" s="181" t="s">
        <v>647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</row>
    <row r="379" spans="1:15">
      <c r="A379" s="191">
        <v>44805</v>
      </c>
      <c r="B379" s="181" t="s">
        <v>125</v>
      </c>
      <c r="C379" s="181" t="s">
        <v>657</v>
      </c>
      <c r="D379" s="181" t="str">
        <f t="shared" si="8"/>
        <v>34002</v>
      </c>
      <c r="E379" s="181" t="s">
        <v>15</v>
      </c>
      <c r="F379" s="181" t="s">
        <v>14</v>
      </c>
      <c r="G379" s="181" t="s">
        <v>793</v>
      </c>
      <c r="H379" s="8">
        <v>2572.3000000000002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2572.3000000000002</v>
      </c>
    </row>
    <row r="380" spans="1:15">
      <c r="A380" s="191">
        <v>44835</v>
      </c>
      <c r="B380" s="181" t="s">
        <v>124</v>
      </c>
      <c r="C380" s="181" t="s">
        <v>657</v>
      </c>
      <c r="D380" s="181" t="str">
        <f t="shared" si="8"/>
        <v>34002</v>
      </c>
      <c r="E380" s="181" t="s">
        <v>15</v>
      </c>
      <c r="F380" s="181" t="s">
        <v>14</v>
      </c>
      <c r="G380" s="181" t="s">
        <v>647</v>
      </c>
      <c r="H380" s="8">
        <v>-2572.3000000000002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-2572.3000000000002</v>
      </c>
    </row>
    <row r="381" spans="1:15">
      <c r="A381" s="191">
        <v>44835</v>
      </c>
      <c r="B381" s="181" t="s">
        <v>124</v>
      </c>
      <c r="C381" s="181" t="s">
        <v>658</v>
      </c>
      <c r="D381" s="181" t="str">
        <f t="shared" si="8"/>
        <v>34002</v>
      </c>
      <c r="E381" s="181" t="s">
        <v>15</v>
      </c>
      <c r="F381" s="181" t="s">
        <v>14</v>
      </c>
      <c r="G381" s="181" t="s">
        <v>647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</row>
    <row r="382" spans="1:15">
      <c r="A382" s="191">
        <v>44835</v>
      </c>
      <c r="B382" s="181" t="s">
        <v>124</v>
      </c>
      <c r="C382" s="181" t="s">
        <v>659</v>
      </c>
      <c r="D382" s="181" t="str">
        <f t="shared" si="8"/>
        <v>34002</v>
      </c>
      <c r="E382" s="181" t="s">
        <v>15</v>
      </c>
      <c r="F382" s="181" t="s">
        <v>14</v>
      </c>
      <c r="G382" s="181" t="s">
        <v>647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</row>
    <row r="383" spans="1:15">
      <c r="A383" s="191">
        <v>44835</v>
      </c>
      <c r="B383" s="181" t="s">
        <v>124</v>
      </c>
      <c r="C383" s="181" t="s">
        <v>657</v>
      </c>
      <c r="D383" s="181" t="str">
        <f t="shared" si="8"/>
        <v>34002</v>
      </c>
      <c r="E383" s="181" t="s">
        <v>15</v>
      </c>
      <c r="F383" s="181" t="s">
        <v>14</v>
      </c>
      <c r="G383" s="181" t="s">
        <v>793</v>
      </c>
      <c r="H383" s="8">
        <v>2572.3000000000002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2572.3000000000002</v>
      </c>
    </row>
    <row r="384" spans="1:15">
      <c r="A384" s="191">
        <v>44866</v>
      </c>
      <c r="B384" s="181" t="s">
        <v>123</v>
      </c>
      <c r="C384" s="181" t="s">
        <v>657</v>
      </c>
      <c r="D384" s="181" t="str">
        <f t="shared" si="8"/>
        <v>34002</v>
      </c>
      <c r="E384" s="181" t="s">
        <v>15</v>
      </c>
      <c r="F384" s="181" t="s">
        <v>14</v>
      </c>
      <c r="G384" s="181" t="s">
        <v>647</v>
      </c>
      <c r="H384" s="8">
        <v>-2572.3000000000002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-2572.3000000000002</v>
      </c>
    </row>
    <row r="385" spans="1:15">
      <c r="A385" s="191">
        <v>44866</v>
      </c>
      <c r="B385" s="181" t="s">
        <v>123</v>
      </c>
      <c r="C385" s="181" t="s">
        <v>658</v>
      </c>
      <c r="D385" s="181" t="str">
        <f t="shared" si="8"/>
        <v>34002</v>
      </c>
      <c r="E385" s="181" t="s">
        <v>15</v>
      </c>
      <c r="F385" s="181" t="s">
        <v>14</v>
      </c>
      <c r="G385" s="181" t="s">
        <v>647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</row>
    <row r="386" spans="1:15">
      <c r="A386" s="191">
        <v>44866</v>
      </c>
      <c r="B386" s="181" t="s">
        <v>123</v>
      </c>
      <c r="C386" s="181" t="s">
        <v>659</v>
      </c>
      <c r="D386" s="181" t="str">
        <f t="shared" ref="D386:D449" si="9">MID(C386,10,5)</f>
        <v>34002</v>
      </c>
      <c r="E386" s="181" t="s">
        <v>15</v>
      </c>
      <c r="F386" s="181" t="s">
        <v>14</v>
      </c>
      <c r="G386" s="181" t="s">
        <v>647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</row>
    <row r="387" spans="1:15">
      <c r="A387" s="191">
        <v>44866</v>
      </c>
      <c r="B387" s="181" t="s">
        <v>123</v>
      </c>
      <c r="C387" s="181" t="s">
        <v>657</v>
      </c>
      <c r="D387" s="181" t="str">
        <f t="shared" si="9"/>
        <v>34002</v>
      </c>
      <c r="E387" s="181" t="s">
        <v>15</v>
      </c>
      <c r="F387" s="181" t="s">
        <v>14</v>
      </c>
      <c r="G387" s="181" t="s">
        <v>793</v>
      </c>
      <c r="H387" s="8">
        <v>2572.3000000000002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2572.3000000000002</v>
      </c>
    </row>
    <row r="388" spans="1:15">
      <c r="A388" s="191">
        <v>44896</v>
      </c>
      <c r="B388" s="181" t="s">
        <v>122</v>
      </c>
      <c r="C388" s="181" t="s">
        <v>657</v>
      </c>
      <c r="D388" s="181" t="str">
        <f t="shared" si="9"/>
        <v>34002</v>
      </c>
      <c r="E388" s="181" t="s">
        <v>15</v>
      </c>
      <c r="F388" s="181" t="s">
        <v>14</v>
      </c>
      <c r="G388" s="181" t="s">
        <v>647</v>
      </c>
      <c r="H388" s="8">
        <v>-2572.3000000000002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-2572.3000000000002</v>
      </c>
    </row>
    <row r="389" spans="1:15">
      <c r="A389" s="191">
        <v>44896</v>
      </c>
      <c r="B389" s="181" t="s">
        <v>122</v>
      </c>
      <c r="C389" s="181" t="s">
        <v>658</v>
      </c>
      <c r="D389" s="181" t="str">
        <f t="shared" si="9"/>
        <v>34002</v>
      </c>
      <c r="E389" s="181" t="s">
        <v>15</v>
      </c>
      <c r="F389" s="181" t="s">
        <v>14</v>
      </c>
      <c r="G389" s="181" t="s">
        <v>647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</row>
    <row r="390" spans="1:15">
      <c r="A390" s="191">
        <v>44896</v>
      </c>
      <c r="B390" s="181" t="s">
        <v>122</v>
      </c>
      <c r="C390" s="181" t="s">
        <v>659</v>
      </c>
      <c r="D390" s="181" t="str">
        <f t="shared" si="9"/>
        <v>34002</v>
      </c>
      <c r="E390" s="181" t="s">
        <v>15</v>
      </c>
      <c r="F390" s="181" t="s">
        <v>14</v>
      </c>
      <c r="G390" s="181" t="s">
        <v>647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</row>
    <row r="391" spans="1:15">
      <c r="A391" s="191">
        <v>44896</v>
      </c>
      <c r="B391" s="181" t="s">
        <v>122</v>
      </c>
      <c r="C391" s="181" t="s">
        <v>657</v>
      </c>
      <c r="D391" s="181" t="str">
        <f t="shared" si="9"/>
        <v>34002</v>
      </c>
      <c r="E391" s="181" t="s">
        <v>15</v>
      </c>
      <c r="F391" s="181" t="s">
        <v>14</v>
      </c>
      <c r="G391" s="181" t="s">
        <v>793</v>
      </c>
      <c r="H391" s="8">
        <v>2572.3000000000002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2572.3000000000002</v>
      </c>
    </row>
    <row r="392" spans="1:15">
      <c r="A392" s="191">
        <v>44531</v>
      </c>
      <c r="B392" s="181" t="s">
        <v>13</v>
      </c>
      <c r="C392" s="181" t="s">
        <v>660</v>
      </c>
      <c r="D392" s="181" t="str">
        <f t="shared" si="9"/>
        <v>34003</v>
      </c>
      <c r="E392" s="181" t="s">
        <v>15</v>
      </c>
      <c r="F392" s="181" t="s">
        <v>14</v>
      </c>
      <c r="G392" s="181" t="s">
        <v>647</v>
      </c>
      <c r="H392" s="8">
        <v>2196272.0299999998</v>
      </c>
      <c r="I392" s="8">
        <v>16091.710000000001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2212363.7400000002</v>
      </c>
    </row>
    <row r="393" spans="1:15">
      <c r="A393" s="191">
        <v>44531</v>
      </c>
      <c r="B393" s="181" t="s">
        <v>13</v>
      </c>
      <c r="C393" s="181" t="s">
        <v>661</v>
      </c>
      <c r="D393" s="181" t="str">
        <f t="shared" si="9"/>
        <v>34003</v>
      </c>
      <c r="E393" s="181" t="s">
        <v>15</v>
      </c>
      <c r="F393" s="181" t="s">
        <v>14</v>
      </c>
      <c r="G393" s="181" t="s">
        <v>647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</row>
    <row r="394" spans="1:15">
      <c r="A394" s="191">
        <v>44531</v>
      </c>
      <c r="B394" s="181" t="s">
        <v>13</v>
      </c>
      <c r="C394" s="181" t="s">
        <v>662</v>
      </c>
      <c r="D394" s="181" t="str">
        <f t="shared" si="9"/>
        <v>34003</v>
      </c>
      <c r="E394" s="181" t="s">
        <v>15</v>
      </c>
      <c r="F394" s="181" t="s">
        <v>14</v>
      </c>
      <c r="G394" s="181" t="s">
        <v>647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</row>
    <row r="395" spans="1:15">
      <c r="A395" s="191">
        <v>44531</v>
      </c>
      <c r="B395" s="181" t="s">
        <v>13</v>
      </c>
      <c r="C395" s="181" t="s">
        <v>660</v>
      </c>
      <c r="D395" s="181" t="str">
        <f t="shared" si="9"/>
        <v>34003</v>
      </c>
      <c r="E395" s="181" t="s">
        <v>15</v>
      </c>
      <c r="F395" s="181" t="s">
        <v>14</v>
      </c>
      <c r="G395" s="181" t="s">
        <v>793</v>
      </c>
      <c r="H395" s="8">
        <v>202545.36000000002</v>
      </c>
      <c r="I395" s="8">
        <v>1956.96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204502.32</v>
      </c>
    </row>
    <row r="396" spans="1:15">
      <c r="A396" s="191">
        <v>44562</v>
      </c>
      <c r="B396" s="181" t="s">
        <v>133</v>
      </c>
      <c r="C396" s="181" t="s">
        <v>660</v>
      </c>
      <c r="D396" s="181" t="str">
        <f t="shared" si="9"/>
        <v>34003</v>
      </c>
      <c r="E396" s="181" t="s">
        <v>15</v>
      </c>
      <c r="F396" s="181" t="s">
        <v>14</v>
      </c>
      <c r="G396" s="181" t="s">
        <v>647</v>
      </c>
      <c r="H396" s="8">
        <v>2212363.7400000002</v>
      </c>
      <c r="I396" s="8">
        <v>16091.710000000001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2228455.4500000002</v>
      </c>
    </row>
    <row r="397" spans="1:15">
      <c r="A397" s="191">
        <v>44562</v>
      </c>
      <c r="B397" s="181" t="s">
        <v>133</v>
      </c>
      <c r="C397" s="181" t="s">
        <v>661</v>
      </c>
      <c r="D397" s="181" t="str">
        <f t="shared" si="9"/>
        <v>34003</v>
      </c>
      <c r="E397" s="181" t="s">
        <v>15</v>
      </c>
      <c r="F397" s="181" t="s">
        <v>14</v>
      </c>
      <c r="G397" s="181" t="s">
        <v>647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</row>
    <row r="398" spans="1:15">
      <c r="A398" s="191">
        <v>44562</v>
      </c>
      <c r="B398" s="181" t="s">
        <v>133</v>
      </c>
      <c r="C398" s="181" t="s">
        <v>662</v>
      </c>
      <c r="D398" s="181" t="str">
        <f t="shared" si="9"/>
        <v>34003</v>
      </c>
      <c r="E398" s="181" t="s">
        <v>15</v>
      </c>
      <c r="F398" s="181" t="s">
        <v>14</v>
      </c>
      <c r="G398" s="181" t="s">
        <v>647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</row>
    <row r="399" spans="1:15">
      <c r="A399" s="191">
        <v>44562</v>
      </c>
      <c r="B399" s="181" t="s">
        <v>133</v>
      </c>
      <c r="C399" s="181" t="s">
        <v>660</v>
      </c>
      <c r="D399" s="181" t="str">
        <f t="shared" si="9"/>
        <v>34003</v>
      </c>
      <c r="E399" s="181" t="s">
        <v>15</v>
      </c>
      <c r="F399" s="181" t="s">
        <v>14</v>
      </c>
      <c r="G399" s="181" t="s">
        <v>793</v>
      </c>
      <c r="H399" s="8">
        <v>204502.32</v>
      </c>
      <c r="I399" s="8">
        <v>1956.96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206459.28</v>
      </c>
    </row>
    <row r="400" spans="1:15">
      <c r="A400" s="191">
        <v>44593</v>
      </c>
      <c r="B400" s="181" t="s">
        <v>132</v>
      </c>
      <c r="C400" s="181" t="s">
        <v>660</v>
      </c>
      <c r="D400" s="181" t="str">
        <f t="shared" si="9"/>
        <v>34003</v>
      </c>
      <c r="E400" s="181" t="s">
        <v>15</v>
      </c>
      <c r="F400" s="181" t="s">
        <v>14</v>
      </c>
      <c r="G400" s="181" t="s">
        <v>647</v>
      </c>
      <c r="H400" s="8">
        <v>2228455.4500000002</v>
      </c>
      <c r="I400" s="8">
        <v>16091.710000000001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2244547.16</v>
      </c>
    </row>
    <row r="401" spans="1:15">
      <c r="A401" s="191">
        <v>44593</v>
      </c>
      <c r="B401" s="181" t="s">
        <v>132</v>
      </c>
      <c r="C401" s="181" t="s">
        <v>661</v>
      </c>
      <c r="D401" s="181" t="str">
        <f t="shared" si="9"/>
        <v>34003</v>
      </c>
      <c r="E401" s="181" t="s">
        <v>15</v>
      </c>
      <c r="F401" s="181" t="s">
        <v>14</v>
      </c>
      <c r="G401" s="181" t="s">
        <v>647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</row>
    <row r="402" spans="1:15">
      <c r="A402" s="191">
        <v>44593</v>
      </c>
      <c r="B402" s="181" t="s">
        <v>132</v>
      </c>
      <c r="C402" s="181" t="s">
        <v>662</v>
      </c>
      <c r="D402" s="181" t="str">
        <f t="shared" si="9"/>
        <v>34003</v>
      </c>
      <c r="E402" s="181" t="s">
        <v>15</v>
      </c>
      <c r="F402" s="181" t="s">
        <v>14</v>
      </c>
      <c r="G402" s="181" t="s">
        <v>647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</row>
    <row r="403" spans="1:15">
      <c r="A403" s="191">
        <v>44593</v>
      </c>
      <c r="B403" s="181" t="s">
        <v>132</v>
      </c>
      <c r="C403" s="181" t="s">
        <v>660</v>
      </c>
      <c r="D403" s="181" t="str">
        <f t="shared" si="9"/>
        <v>34003</v>
      </c>
      <c r="E403" s="181" t="s">
        <v>15</v>
      </c>
      <c r="F403" s="181" t="s">
        <v>14</v>
      </c>
      <c r="G403" s="181" t="s">
        <v>793</v>
      </c>
      <c r="H403" s="8">
        <v>206459.28</v>
      </c>
      <c r="I403" s="8">
        <v>1956.96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208416.24</v>
      </c>
    </row>
    <row r="404" spans="1:15">
      <c r="A404" s="191">
        <v>44621</v>
      </c>
      <c r="B404" s="181" t="s">
        <v>131</v>
      </c>
      <c r="C404" s="181" t="s">
        <v>660</v>
      </c>
      <c r="D404" s="181" t="str">
        <f t="shared" si="9"/>
        <v>34003</v>
      </c>
      <c r="E404" s="181" t="s">
        <v>15</v>
      </c>
      <c r="F404" s="181" t="s">
        <v>14</v>
      </c>
      <c r="G404" s="181" t="s">
        <v>647</v>
      </c>
      <c r="H404" s="8">
        <v>2244547.16</v>
      </c>
      <c r="I404" s="8">
        <v>16091.710000000001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2260638.87</v>
      </c>
    </row>
    <row r="405" spans="1:15">
      <c r="A405" s="191">
        <v>44621</v>
      </c>
      <c r="B405" s="181" t="s">
        <v>131</v>
      </c>
      <c r="C405" s="181" t="s">
        <v>661</v>
      </c>
      <c r="D405" s="181" t="str">
        <f t="shared" si="9"/>
        <v>34003</v>
      </c>
      <c r="E405" s="181" t="s">
        <v>15</v>
      </c>
      <c r="F405" s="181" t="s">
        <v>14</v>
      </c>
      <c r="G405" s="181" t="s">
        <v>647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</row>
    <row r="406" spans="1:15">
      <c r="A406" s="191">
        <v>44621</v>
      </c>
      <c r="B406" s="181" t="s">
        <v>131</v>
      </c>
      <c r="C406" s="181" t="s">
        <v>662</v>
      </c>
      <c r="D406" s="181" t="str">
        <f t="shared" si="9"/>
        <v>34003</v>
      </c>
      <c r="E406" s="181" t="s">
        <v>15</v>
      </c>
      <c r="F406" s="181" t="s">
        <v>14</v>
      </c>
      <c r="G406" s="181" t="s">
        <v>647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</row>
    <row r="407" spans="1:15">
      <c r="A407" s="191">
        <v>44621</v>
      </c>
      <c r="B407" s="181" t="s">
        <v>131</v>
      </c>
      <c r="C407" s="181" t="s">
        <v>660</v>
      </c>
      <c r="D407" s="181" t="str">
        <f t="shared" si="9"/>
        <v>34003</v>
      </c>
      <c r="E407" s="181" t="s">
        <v>15</v>
      </c>
      <c r="F407" s="181" t="s">
        <v>14</v>
      </c>
      <c r="G407" s="181" t="s">
        <v>793</v>
      </c>
      <c r="H407" s="8">
        <v>208416.24</v>
      </c>
      <c r="I407" s="8">
        <v>1956.96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210373.2</v>
      </c>
    </row>
    <row r="408" spans="1:15">
      <c r="A408" s="191">
        <v>44652</v>
      </c>
      <c r="B408" s="181" t="s">
        <v>130</v>
      </c>
      <c r="C408" s="181" t="s">
        <v>660</v>
      </c>
      <c r="D408" s="181" t="str">
        <f t="shared" si="9"/>
        <v>34003</v>
      </c>
      <c r="E408" s="181" t="s">
        <v>15</v>
      </c>
      <c r="F408" s="181" t="s">
        <v>14</v>
      </c>
      <c r="G408" s="181" t="s">
        <v>647</v>
      </c>
      <c r="H408" s="8">
        <v>2260638.87</v>
      </c>
      <c r="I408" s="8">
        <v>16091.710000000001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2276730.58</v>
      </c>
    </row>
    <row r="409" spans="1:15">
      <c r="A409" s="191">
        <v>44652</v>
      </c>
      <c r="B409" s="181" t="s">
        <v>130</v>
      </c>
      <c r="C409" s="181" t="s">
        <v>661</v>
      </c>
      <c r="D409" s="181" t="str">
        <f t="shared" si="9"/>
        <v>34003</v>
      </c>
      <c r="E409" s="181" t="s">
        <v>15</v>
      </c>
      <c r="F409" s="181" t="s">
        <v>14</v>
      </c>
      <c r="G409" s="181" t="s">
        <v>647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</row>
    <row r="410" spans="1:15">
      <c r="A410" s="191">
        <v>44652</v>
      </c>
      <c r="B410" s="181" t="s">
        <v>130</v>
      </c>
      <c r="C410" s="181" t="s">
        <v>662</v>
      </c>
      <c r="D410" s="181" t="str">
        <f t="shared" si="9"/>
        <v>34003</v>
      </c>
      <c r="E410" s="181" t="s">
        <v>15</v>
      </c>
      <c r="F410" s="181" t="s">
        <v>14</v>
      </c>
      <c r="G410" s="181" t="s">
        <v>647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</row>
    <row r="411" spans="1:15">
      <c r="A411" s="191">
        <v>44652</v>
      </c>
      <c r="B411" s="181" t="s">
        <v>130</v>
      </c>
      <c r="C411" s="181" t="s">
        <v>660</v>
      </c>
      <c r="D411" s="181" t="str">
        <f t="shared" si="9"/>
        <v>34003</v>
      </c>
      <c r="E411" s="181" t="s">
        <v>15</v>
      </c>
      <c r="F411" s="181" t="s">
        <v>14</v>
      </c>
      <c r="G411" s="181" t="s">
        <v>793</v>
      </c>
      <c r="H411" s="8">
        <v>210373.2</v>
      </c>
      <c r="I411" s="8">
        <v>1956.96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212330.16</v>
      </c>
    </row>
    <row r="412" spans="1:15">
      <c r="A412" s="191">
        <v>44682</v>
      </c>
      <c r="B412" s="181" t="s">
        <v>129</v>
      </c>
      <c r="C412" s="181" t="s">
        <v>660</v>
      </c>
      <c r="D412" s="181" t="str">
        <f t="shared" si="9"/>
        <v>34003</v>
      </c>
      <c r="E412" s="181" t="s">
        <v>15</v>
      </c>
      <c r="F412" s="181" t="s">
        <v>14</v>
      </c>
      <c r="G412" s="181" t="s">
        <v>647</v>
      </c>
      <c r="H412" s="8">
        <v>2276730.58</v>
      </c>
      <c r="I412" s="8">
        <v>16091.710000000001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2292822.29</v>
      </c>
    </row>
    <row r="413" spans="1:15">
      <c r="A413" s="191">
        <v>44682</v>
      </c>
      <c r="B413" s="181" t="s">
        <v>129</v>
      </c>
      <c r="C413" s="181" t="s">
        <v>661</v>
      </c>
      <c r="D413" s="181" t="str">
        <f t="shared" si="9"/>
        <v>34003</v>
      </c>
      <c r="E413" s="181" t="s">
        <v>15</v>
      </c>
      <c r="F413" s="181" t="s">
        <v>14</v>
      </c>
      <c r="G413" s="181" t="s">
        <v>647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</row>
    <row r="414" spans="1:15">
      <c r="A414" s="191">
        <v>44682</v>
      </c>
      <c r="B414" s="181" t="s">
        <v>129</v>
      </c>
      <c r="C414" s="181" t="s">
        <v>662</v>
      </c>
      <c r="D414" s="181" t="str">
        <f t="shared" si="9"/>
        <v>34003</v>
      </c>
      <c r="E414" s="181" t="s">
        <v>15</v>
      </c>
      <c r="F414" s="181" t="s">
        <v>14</v>
      </c>
      <c r="G414" s="181" t="s">
        <v>647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</row>
    <row r="415" spans="1:15">
      <c r="A415" s="191">
        <v>44682</v>
      </c>
      <c r="B415" s="181" t="s">
        <v>129</v>
      </c>
      <c r="C415" s="181" t="s">
        <v>660</v>
      </c>
      <c r="D415" s="181" t="str">
        <f t="shared" si="9"/>
        <v>34003</v>
      </c>
      <c r="E415" s="181" t="s">
        <v>15</v>
      </c>
      <c r="F415" s="181" t="s">
        <v>14</v>
      </c>
      <c r="G415" s="181" t="s">
        <v>793</v>
      </c>
      <c r="H415" s="8">
        <v>212330.16</v>
      </c>
      <c r="I415" s="8">
        <v>1956.96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214287.12</v>
      </c>
    </row>
    <row r="416" spans="1:15">
      <c r="A416" s="191">
        <v>44713</v>
      </c>
      <c r="B416" s="181" t="s">
        <v>128</v>
      </c>
      <c r="C416" s="181" t="s">
        <v>660</v>
      </c>
      <c r="D416" s="181" t="str">
        <f t="shared" si="9"/>
        <v>34003</v>
      </c>
      <c r="E416" s="181" t="s">
        <v>15</v>
      </c>
      <c r="F416" s="181" t="s">
        <v>14</v>
      </c>
      <c r="G416" s="181" t="s">
        <v>647</v>
      </c>
      <c r="H416" s="8">
        <v>2292822.29</v>
      </c>
      <c r="I416" s="8">
        <v>16091.710000000001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2308914</v>
      </c>
    </row>
    <row r="417" spans="1:15">
      <c r="A417" s="191">
        <v>44713</v>
      </c>
      <c r="B417" s="181" t="s">
        <v>128</v>
      </c>
      <c r="C417" s="181" t="s">
        <v>661</v>
      </c>
      <c r="D417" s="181" t="str">
        <f t="shared" si="9"/>
        <v>34003</v>
      </c>
      <c r="E417" s="181" t="s">
        <v>15</v>
      </c>
      <c r="F417" s="181" t="s">
        <v>14</v>
      </c>
      <c r="G417" s="181" t="s">
        <v>647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</row>
    <row r="418" spans="1:15">
      <c r="A418" s="191">
        <v>44713</v>
      </c>
      <c r="B418" s="181" t="s">
        <v>128</v>
      </c>
      <c r="C418" s="181" t="s">
        <v>662</v>
      </c>
      <c r="D418" s="181" t="str">
        <f t="shared" si="9"/>
        <v>34003</v>
      </c>
      <c r="E418" s="181" t="s">
        <v>15</v>
      </c>
      <c r="F418" s="181" t="s">
        <v>14</v>
      </c>
      <c r="G418" s="181" t="s">
        <v>647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</row>
    <row r="419" spans="1:15">
      <c r="A419" s="191">
        <v>44713</v>
      </c>
      <c r="B419" s="181" t="s">
        <v>128</v>
      </c>
      <c r="C419" s="181" t="s">
        <v>660</v>
      </c>
      <c r="D419" s="181" t="str">
        <f t="shared" si="9"/>
        <v>34003</v>
      </c>
      <c r="E419" s="181" t="s">
        <v>15</v>
      </c>
      <c r="F419" s="181" t="s">
        <v>14</v>
      </c>
      <c r="G419" s="181" t="s">
        <v>793</v>
      </c>
      <c r="H419" s="8">
        <v>214287.12</v>
      </c>
      <c r="I419" s="8">
        <v>1956.96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216244.08000000002</v>
      </c>
    </row>
    <row r="420" spans="1:15">
      <c r="A420" s="191">
        <v>44743</v>
      </c>
      <c r="B420" s="181" t="s">
        <v>127</v>
      </c>
      <c r="C420" s="181" t="s">
        <v>660</v>
      </c>
      <c r="D420" s="181" t="str">
        <f t="shared" si="9"/>
        <v>34003</v>
      </c>
      <c r="E420" s="181" t="s">
        <v>15</v>
      </c>
      <c r="F420" s="181" t="s">
        <v>14</v>
      </c>
      <c r="G420" s="181" t="s">
        <v>647</v>
      </c>
      <c r="H420" s="8">
        <v>2308914</v>
      </c>
      <c r="I420" s="8">
        <v>16091.710000000001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2325005.71</v>
      </c>
    </row>
    <row r="421" spans="1:15">
      <c r="A421" s="191">
        <v>44743</v>
      </c>
      <c r="B421" s="181" t="s">
        <v>127</v>
      </c>
      <c r="C421" s="181" t="s">
        <v>661</v>
      </c>
      <c r="D421" s="181" t="str">
        <f t="shared" si="9"/>
        <v>34003</v>
      </c>
      <c r="E421" s="181" t="s">
        <v>15</v>
      </c>
      <c r="F421" s="181" t="s">
        <v>14</v>
      </c>
      <c r="G421" s="181" t="s">
        <v>647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</row>
    <row r="422" spans="1:15">
      <c r="A422" s="191">
        <v>44743</v>
      </c>
      <c r="B422" s="181" t="s">
        <v>127</v>
      </c>
      <c r="C422" s="181" t="s">
        <v>662</v>
      </c>
      <c r="D422" s="181" t="str">
        <f t="shared" si="9"/>
        <v>34003</v>
      </c>
      <c r="E422" s="181" t="s">
        <v>15</v>
      </c>
      <c r="F422" s="181" t="s">
        <v>14</v>
      </c>
      <c r="G422" s="181" t="s">
        <v>647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</row>
    <row r="423" spans="1:15">
      <c r="A423" s="191">
        <v>44743</v>
      </c>
      <c r="B423" s="181" t="s">
        <v>127</v>
      </c>
      <c r="C423" s="181" t="s">
        <v>660</v>
      </c>
      <c r="D423" s="181" t="str">
        <f t="shared" si="9"/>
        <v>34003</v>
      </c>
      <c r="E423" s="181" t="s">
        <v>15</v>
      </c>
      <c r="F423" s="181" t="s">
        <v>14</v>
      </c>
      <c r="G423" s="181" t="s">
        <v>793</v>
      </c>
      <c r="H423" s="8">
        <v>216244.08000000002</v>
      </c>
      <c r="I423" s="8">
        <v>1956.96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218201.04</v>
      </c>
    </row>
    <row r="424" spans="1:15">
      <c r="A424" s="191">
        <v>44774</v>
      </c>
      <c r="B424" s="181" t="s">
        <v>126</v>
      </c>
      <c r="C424" s="181" t="s">
        <v>660</v>
      </c>
      <c r="D424" s="181" t="str">
        <f t="shared" si="9"/>
        <v>34003</v>
      </c>
      <c r="E424" s="181" t="s">
        <v>15</v>
      </c>
      <c r="F424" s="181" t="s">
        <v>14</v>
      </c>
      <c r="G424" s="181" t="s">
        <v>647</v>
      </c>
      <c r="H424" s="8">
        <v>2325005.71</v>
      </c>
      <c r="I424" s="8">
        <v>16091.710000000001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2341097.42</v>
      </c>
    </row>
    <row r="425" spans="1:15">
      <c r="A425" s="191">
        <v>44774</v>
      </c>
      <c r="B425" s="181" t="s">
        <v>126</v>
      </c>
      <c r="C425" s="181" t="s">
        <v>661</v>
      </c>
      <c r="D425" s="181" t="str">
        <f t="shared" si="9"/>
        <v>34003</v>
      </c>
      <c r="E425" s="181" t="s">
        <v>15</v>
      </c>
      <c r="F425" s="181" t="s">
        <v>14</v>
      </c>
      <c r="G425" s="181" t="s">
        <v>647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</row>
    <row r="426" spans="1:15">
      <c r="A426" s="191">
        <v>44774</v>
      </c>
      <c r="B426" s="181" t="s">
        <v>126</v>
      </c>
      <c r="C426" s="181" t="s">
        <v>662</v>
      </c>
      <c r="D426" s="181" t="str">
        <f t="shared" si="9"/>
        <v>34003</v>
      </c>
      <c r="E426" s="181" t="s">
        <v>15</v>
      </c>
      <c r="F426" s="181" t="s">
        <v>14</v>
      </c>
      <c r="G426" s="181" t="s">
        <v>647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</row>
    <row r="427" spans="1:15">
      <c r="A427" s="191">
        <v>44774</v>
      </c>
      <c r="B427" s="181" t="s">
        <v>126</v>
      </c>
      <c r="C427" s="181" t="s">
        <v>660</v>
      </c>
      <c r="D427" s="181" t="str">
        <f t="shared" si="9"/>
        <v>34003</v>
      </c>
      <c r="E427" s="181" t="s">
        <v>15</v>
      </c>
      <c r="F427" s="181" t="s">
        <v>14</v>
      </c>
      <c r="G427" s="181" t="s">
        <v>793</v>
      </c>
      <c r="H427" s="8">
        <v>218201.04</v>
      </c>
      <c r="I427" s="8">
        <v>1956.96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220158</v>
      </c>
    </row>
    <row r="428" spans="1:15">
      <c r="A428" s="191">
        <v>44805</v>
      </c>
      <c r="B428" s="181" t="s">
        <v>125</v>
      </c>
      <c r="C428" s="181" t="s">
        <v>660</v>
      </c>
      <c r="D428" s="181" t="str">
        <f t="shared" si="9"/>
        <v>34003</v>
      </c>
      <c r="E428" s="181" t="s">
        <v>15</v>
      </c>
      <c r="F428" s="181" t="s">
        <v>14</v>
      </c>
      <c r="G428" s="181" t="s">
        <v>647</v>
      </c>
      <c r="H428" s="8">
        <v>2341097.42</v>
      </c>
      <c r="I428" s="8">
        <v>16091.710000000001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2357189.13</v>
      </c>
    </row>
    <row r="429" spans="1:15">
      <c r="A429" s="191">
        <v>44805</v>
      </c>
      <c r="B429" s="181" t="s">
        <v>125</v>
      </c>
      <c r="C429" s="181" t="s">
        <v>661</v>
      </c>
      <c r="D429" s="181" t="str">
        <f t="shared" si="9"/>
        <v>34003</v>
      </c>
      <c r="E429" s="181" t="s">
        <v>15</v>
      </c>
      <c r="F429" s="181" t="s">
        <v>14</v>
      </c>
      <c r="G429" s="181" t="s">
        <v>647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</row>
    <row r="430" spans="1:15">
      <c r="A430" s="191">
        <v>44805</v>
      </c>
      <c r="B430" s="181" t="s">
        <v>125</v>
      </c>
      <c r="C430" s="181" t="s">
        <v>662</v>
      </c>
      <c r="D430" s="181" t="str">
        <f t="shared" si="9"/>
        <v>34003</v>
      </c>
      <c r="E430" s="181" t="s">
        <v>15</v>
      </c>
      <c r="F430" s="181" t="s">
        <v>14</v>
      </c>
      <c r="G430" s="181" t="s">
        <v>647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</row>
    <row r="431" spans="1:15">
      <c r="A431" s="191">
        <v>44805</v>
      </c>
      <c r="B431" s="181" t="s">
        <v>125</v>
      </c>
      <c r="C431" s="181" t="s">
        <v>660</v>
      </c>
      <c r="D431" s="181" t="str">
        <f t="shared" si="9"/>
        <v>34003</v>
      </c>
      <c r="E431" s="181" t="s">
        <v>15</v>
      </c>
      <c r="F431" s="181" t="s">
        <v>14</v>
      </c>
      <c r="G431" s="181" t="s">
        <v>793</v>
      </c>
      <c r="H431" s="8">
        <v>220158</v>
      </c>
      <c r="I431" s="8">
        <v>1956.96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222114.96</v>
      </c>
    </row>
    <row r="432" spans="1:15">
      <c r="A432" s="191">
        <v>44835</v>
      </c>
      <c r="B432" s="181" t="s">
        <v>124</v>
      </c>
      <c r="C432" s="181" t="s">
        <v>660</v>
      </c>
      <c r="D432" s="181" t="str">
        <f t="shared" si="9"/>
        <v>34003</v>
      </c>
      <c r="E432" s="181" t="s">
        <v>15</v>
      </c>
      <c r="F432" s="181" t="s">
        <v>14</v>
      </c>
      <c r="G432" s="181" t="s">
        <v>647</v>
      </c>
      <c r="H432" s="8">
        <v>2357189.13</v>
      </c>
      <c r="I432" s="8">
        <v>16091.710000000001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2373280.84</v>
      </c>
    </row>
    <row r="433" spans="1:15">
      <c r="A433" s="191">
        <v>44835</v>
      </c>
      <c r="B433" s="181" t="s">
        <v>124</v>
      </c>
      <c r="C433" s="181" t="s">
        <v>661</v>
      </c>
      <c r="D433" s="181" t="str">
        <f t="shared" si="9"/>
        <v>34003</v>
      </c>
      <c r="E433" s="181" t="s">
        <v>15</v>
      </c>
      <c r="F433" s="181" t="s">
        <v>14</v>
      </c>
      <c r="G433" s="181" t="s">
        <v>647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</row>
    <row r="434" spans="1:15">
      <c r="A434" s="191">
        <v>44835</v>
      </c>
      <c r="B434" s="181" t="s">
        <v>124</v>
      </c>
      <c r="C434" s="181" t="s">
        <v>662</v>
      </c>
      <c r="D434" s="181" t="str">
        <f t="shared" si="9"/>
        <v>34003</v>
      </c>
      <c r="E434" s="181" t="s">
        <v>15</v>
      </c>
      <c r="F434" s="181" t="s">
        <v>14</v>
      </c>
      <c r="G434" s="181" t="s">
        <v>647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</row>
    <row r="435" spans="1:15">
      <c r="A435" s="191">
        <v>44835</v>
      </c>
      <c r="B435" s="181" t="s">
        <v>124</v>
      </c>
      <c r="C435" s="181" t="s">
        <v>660</v>
      </c>
      <c r="D435" s="181" t="str">
        <f t="shared" si="9"/>
        <v>34003</v>
      </c>
      <c r="E435" s="181" t="s">
        <v>15</v>
      </c>
      <c r="F435" s="181" t="s">
        <v>14</v>
      </c>
      <c r="G435" s="181" t="s">
        <v>793</v>
      </c>
      <c r="H435" s="8">
        <v>222114.96</v>
      </c>
      <c r="I435" s="8">
        <v>1956.96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224071.92</v>
      </c>
    </row>
    <row r="436" spans="1:15">
      <c r="A436" s="191">
        <v>44866</v>
      </c>
      <c r="B436" s="181" t="s">
        <v>123</v>
      </c>
      <c r="C436" s="181" t="s">
        <v>660</v>
      </c>
      <c r="D436" s="181" t="str">
        <f t="shared" si="9"/>
        <v>34003</v>
      </c>
      <c r="E436" s="181" t="s">
        <v>15</v>
      </c>
      <c r="F436" s="181" t="s">
        <v>14</v>
      </c>
      <c r="G436" s="181" t="s">
        <v>647</v>
      </c>
      <c r="H436" s="8">
        <v>2373280.84</v>
      </c>
      <c r="I436" s="8">
        <v>16091.710000000001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2389372.5499999998</v>
      </c>
    </row>
    <row r="437" spans="1:15">
      <c r="A437" s="191">
        <v>44866</v>
      </c>
      <c r="B437" s="181" t="s">
        <v>123</v>
      </c>
      <c r="C437" s="181" t="s">
        <v>661</v>
      </c>
      <c r="D437" s="181" t="str">
        <f t="shared" si="9"/>
        <v>34003</v>
      </c>
      <c r="E437" s="181" t="s">
        <v>15</v>
      </c>
      <c r="F437" s="181" t="s">
        <v>14</v>
      </c>
      <c r="G437" s="181" t="s">
        <v>647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</row>
    <row r="438" spans="1:15">
      <c r="A438" s="191">
        <v>44866</v>
      </c>
      <c r="B438" s="181" t="s">
        <v>123</v>
      </c>
      <c r="C438" s="181" t="s">
        <v>662</v>
      </c>
      <c r="D438" s="181" t="str">
        <f t="shared" si="9"/>
        <v>34003</v>
      </c>
      <c r="E438" s="181" t="s">
        <v>15</v>
      </c>
      <c r="F438" s="181" t="s">
        <v>14</v>
      </c>
      <c r="G438" s="181" t="s">
        <v>647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</row>
    <row r="439" spans="1:15">
      <c r="A439" s="191">
        <v>44866</v>
      </c>
      <c r="B439" s="181" t="s">
        <v>123</v>
      </c>
      <c r="C439" s="181" t="s">
        <v>660</v>
      </c>
      <c r="D439" s="181" t="str">
        <f t="shared" si="9"/>
        <v>34003</v>
      </c>
      <c r="E439" s="181" t="s">
        <v>15</v>
      </c>
      <c r="F439" s="181" t="s">
        <v>14</v>
      </c>
      <c r="G439" s="181" t="s">
        <v>793</v>
      </c>
      <c r="H439" s="8">
        <v>224071.92</v>
      </c>
      <c r="I439" s="8">
        <v>1956.96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226028.88</v>
      </c>
    </row>
    <row r="440" spans="1:15">
      <c r="A440" s="191">
        <v>44896</v>
      </c>
      <c r="B440" s="181" t="s">
        <v>122</v>
      </c>
      <c r="C440" s="181" t="s">
        <v>660</v>
      </c>
      <c r="D440" s="181" t="str">
        <f t="shared" si="9"/>
        <v>34003</v>
      </c>
      <c r="E440" s="181" t="s">
        <v>15</v>
      </c>
      <c r="F440" s="181" t="s">
        <v>14</v>
      </c>
      <c r="G440" s="181" t="s">
        <v>647</v>
      </c>
      <c r="H440" s="8">
        <v>2389372.5499999998</v>
      </c>
      <c r="I440" s="8">
        <v>16091.710000000001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2405464.2599999998</v>
      </c>
    </row>
    <row r="441" spans="1:15">
      <c r="A441" s="191">
        <v>44896</v>
      </c>
      <c r="B441" s="181" t="s">
        <v>122</v>
      </c>
      <c r="C441" s="181" t="s">
        <v>661</v>
      </c>
      <c r="D441" s="181" t="str">
        <f t="shared" si="9"/>
        <v>34003</v>
      </c>
      <c r="E441" s="181" t="s">
        <v>15</v>
      </c>
      <c r="F441" s="181" t="s">
        <v>14</v>
      </c>
      <c r="G441" s="181" t="s">
        <v>647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</row>
    <row r="442" spans="1:15">
      <c r="A442" s="191">
        <v>44896</v>
      </c>
      <c r="B442" s="181" t="s">
        <v>122</v>
      </c>
      <c r="C442" s="181" t="s">
        <v>662</v>
      </c>
      <c r="D442" s="181" t="str">
        <f t="shared" si="9"/>
        <v>34003</v>
      </c>
      <c r="E442" s="181" t="s">
        <v>15</v>
      </c>
      <c r="F442" s="181" t="s">
        <v>14</v>
      </c>
      <c r="G442" s="181" t="s">
        <v>647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</row>
    <row r="443" spans="1:15">
      <c r="A443" s="191">
        <v>44896</v>
      </c>
      <c r="B443" s="181" t="s">
        <v>122</v>
      </c>
      <c r="C443" s="181" t="s">
        <v>660</v>
      </c>
      <c r="D443" s="181" t="str">
        <f t="shared" si="9"/>
        <v>34003</v>
      </c>
      <c r="E443" s="181" t="s">
        <v>15</v>
      </c>
      <c r="F443" s="181" t="s">
        <v>14</v>
      </c>
      <c r="G443" s="181" t="s">
        <v>793</v>
      </c>
      <c r="H443" s="8">
        <v>226028.88</v>
      </c>
      <c r="I443" s="8">
        <v>1956.96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227985.84</v>
      </c>
    </row>
    <row r="444" spans="1:15">
      <c r="A444" s="191">
        <v>44531</v>
      </c>
      <c r="B444" s="181" t="s">
        <v>13</v>
      </c>
      <c r="C444" s="181" t="s">
        <v>663</v>
      </c>
      <c r="D444" s="181" t="str">
        <f t="shared" si="9"/>
        <v>34100</v>
      </c>
      <c r="E444" s="181" t="s">
        <v>15</v>
      </c>
      <c r="F444" s="181" t="s">
        <v>14</v>
      </c>
      <c r="G444" s="181" t="s">
        <v>647</v>
      </c>
      <c r="H444" s="8">
        <v>275406.01</v>
      </c>
      <c r="I444" s="8">
        <v>534.79999999999995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275940.81</v>
      </c>
    </row>
    <row r="445" spans="1:15">
      <c r="A445" s="191">
        <v>44531</v>
      </c>
      <c r="B445" s="181" t="s">
        <v>13</v>
      </c>
      <c r="C445" s="181" t="s">
        <v>664</v>
      </c>
      <c r="D445" s="181" t="str">
        <f t="shared" si="9"/>
        <v>34100</v>
      </c>
      <c r="E445" s="181" t="s">
        <v>15</v>
      </c>
      <c r="F445" s="181" t="s">
        <v>14</v>
      </c>
      <c r="G445" s="181" t="s">
        <v>647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</row>
    <row r="446" spans="1:15">
      <c r="A446" s="191">
        <v>44531</v>
      </c>
      <c r="B446" s="181" t="s">
        <v>13</v>
      </c>
      <c r="C446" s="181" t="s">
        <v>665</v>
      </c>
      <c r="D446" s="181" t="str">
        <f t="shared" si="9"/>
        <v>34100</v>
      </c>
      <c r="E446" s="181" t="s">
        <v>15</v>
      </c>
      <c r="F446" s="181" t="s">
        <v>14</v>
      </c>
      <c r="G446" s="181" t="s">
        <v>647</v>
      </c>
      <c r="H446" s="8">
        <v>434367.9</v>
      </c>
      <c r="I446" s="8">
        <v>7436.43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441804.33</v>
      </c>
    </row>
    <row r="447" spans="1:15">
      <c r="A447" s="191">
        <v>44531</v>
      </c>
      <c r="B447" s="181" t="s">
        <v>13</v>
      </c>
      <c r="C447" s="181" t="s">
        <v>666</v>
      </c>
      <c r="D447" s="181" t="str">
        <f t="shared" si="9"/>
        <v>34100</v>
      </c>
      <c r="E447" s="181" t="s">
        <v>15</v>
      </c>
      <c r="F447" s="181" t="s">
        <v>14</v>
      </c>
      <c r="G447" s="181" t="s">
        <v>647</v>
      </c>
      <c r="H447" s="8">
        <v>1751749.63</v>
      </c>
      <c r="I447" s="8">
        <v>15547.24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1767296.87</v>
      </c>
    </row>
    <row r="448" spans="1:15">
      <c r="A448" s="191">
        <v>44531</v>
      </c>
      <c r="B448" s="181" t="s">
        <v>13</v>
      </c>
      <c r="C448" s="181" t="s">
        <v>667</v>
      </c>
      <c r="D448" s="181" t="str">
        <f t="shared" si="9"/>
        <v>34100</v>
      </c>
      <c r="E448" s="181" t="s">
        <v>15</v>
      </c>
      <c r="F448" s="181" t="s">
        <v>14</v>
      </c>
      <c r="G448" s="181" t="s">
        <v>647</v>
      </c>
      <c r="H448" s="8">
        <v>1747719.6600000001</v>
      </c>
      <c r="I448" s="8">
        <v>15009.91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1762729.57</v>
      </c>
    </row>
    <row r="449" spans="1:15">
      <c r="A449" s="191">
        <v>44531</v>
      </c>
      <c r="B449" s="181" t="s">
        <v>13</v>
      </c>
      <c r="C449" s="181" t="s">
        <v>668</v>
      </c>
      <c r="D449" s="181" t="str">
        <f t="shared" si="9"/>
        <v>34100</v>
      </c>
      <c r="E449" s="181" t="s">
        <v>15</v>
      </c>
      <c r="F449" s="181" t="s">
        <v>14</v>
      </c>
      <c r="G449" s="181" t="s">
        <v>647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</row>
    <row r="450" spans="1:15">
      <c r="A450" s="191">
        <v>44531</v>
      </c>
      <c r="B450" s="181" t="s">
        <v>13</v>
      </c>
      <c r="C450" s="181" t="s">
        <v>663</v>
      </c>
      <c r="D450" s="181" t="str">
        <f t="shared" ref="D450:D513" si="10">MID(C450,10,5)</f>
        <v>34100</v>
      </c>
      <c r="E450" s="181" t="s">
        <v>15</v>
      </c>
      <c r="F450" s="181" t="s">
        <v>14</v>
      </c>
      <c r="G450" s="181" t="s">
        <v>793</v>
      </c>
      <c r="H450" s="8">
        <v>2451.3000000000002</v>
      </c>
      <c r="I450" s="8">
        <v>27.66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2478.96</v>
      </c>
    </row>
    <row r="451" spans="1:15">
      <c r="A451" s="191">
        <v>44531</v>
      </c>
      <c r="B451" s="181" t="s">
        <v>13</v>
      </c>
      <c r="C451" s="181" t="s">
        <v>665</v>
      </c>
      <c r="D451" s="181" t="str">
        <f t="shared" si="10"/>
        <v>34100</v>
      </c>
      <c r="E451" s="181" t="s">
        <v>15</v>
      </c>
      <c r="F451" s="181" t="s">
        <v>14</v>
      </c>
      <c r="G451" s="181" t="s">
        <v>793</v>
      </c>
      <c r="H451" s="8">
        <v>50092.41</v>
      </c>
      <c r="I451" s="8">
        <v>904.37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50996.78</v>
      </c>
    </row>
    <row r="452" spans="1:15">
      <c r="A452" s="191">
        <v>44531</v>
      </c>
      <c r="B452" s="181" t="s">
        <v>13</v>
      </c>
      <c r="C452" s="181" t="s">
        <v>666</v>
      </c>
      <c r="D452" s="181" t="str">
        <f t="shared" si="10"/>
        <v>34100</v>
      </c>
      <c r="E452" s="181" t="s">
        <v>15</v>
      </c>
      <c r="F452" s="181" t="s">
        <v>14</v>
      </c>
      <c r="G452" s="181" t="s">
        <v>793</v>
      </c>
      <c r="H452" s="8">
        <v>193065.29</v>
      </c>
      <c r="I452" s="8">
        <v>1890.74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194956.03</v>
      </c>
    </row>
    <row r="453" spans="1:15">
      <c r="A453" s="191">
        <v>44531</v>
      </c>
      <c r="B453" s="181" t="s">
        <v>13</v>
      </c>
      <c r="C453" s="181" t="s">
        <v>667</v>
      </c>
      <c r="D453" s="181" t="str">
        <f t="shared" si="10"/>
        <v>34100</v>
      </c>
      <c r="E453" s="181" t="s">
        <v>15</v>
      </c>
      <c r="F453" s="181" t="s">
        <v>14</v>
      </c>
      <c r="G453" s="181" t="s">
        <v>793</v>
      </c>
      <c r="H453" s="8">
        <v>192575.24</v>
      </c>
      <c r="I453" s="8">
        <v>1825.4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194400.64000000001</v>
      </c>
    </row>
    <row r="454" spans="1:15">
      <c r="A454" s="191">
        <v>44562</v>
      </c>
      <c r="B454" s="181" t="s">
        <v>133</v>
      </c>
      <c r="C454" s="181" t="s">
        <v>663</v>
      </c>
      <c r="D454" s="181" t="str">
        <f t="shared" si="10"/>
        <v>34100</v>
      </c>
      <c r="E454" s="181" t="s">
        <v>15</v>
      </c>
      <c r="F454" s="181" t="s">
        <v>14</v>
      </c>
      <c r="G454" s="181" t="s">
        <v>647</v>
      </c>
      <c r="H454" s="8">
        <v>275940.81</v>
      </c>
      <c r="I454" s="8">
        <v>534.79999999999995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276475.61</v>
      </c>
    </row>
    <row r="455" spans="1:15">
      <c r="A455" s="191">
        <v>44562</v>
      </c>
      <c r="B455" s="181" t="s">
        <v>133</v>
      </c>
      <c r="C455" s="181" t="s">
        <v>664</v>
      </c>
      <c r="D455" s="181" t="str">
        <f t="shared" si="10"/>
        <v>34100</v>
      </c>
      <c r="E455" s="181" t="s">
        <v>15</v>
      </c>
      <c r="F455" s="181" t="s">
        <v>14</v>
      </c>
      <c r="G455" s="181" t="s">
        <v>647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</row>
    <row r="456" spans="1:15">
      <c r="A456" s="191">
        <v>44562</v>
      </c>
      <c r="B456" s="181" t="s">
        <v>133</v>
      </c>
      <c r="C456" s="181" t="s">
        <v>665</v>
      </c>
      <c r="D456" s="181" t="str">
        <f t="shared" si="10"/>
        <v>34100</v>
      </c>
      <c r="E456" s="181" t="s">
        <v>15</v>
      </c>
      <c r="F456" s="181" t="s">
        <v>14</v>
      </c>
      <c r="G456" s="181" t="s">
        <v>647</v>
      </c>
      <c r="H456" s="8">
        <v>441804.33</v>
      </c>
      <c r="I456" s="8">
        <v>7436.43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449240.76</v>
      </c>
    </row>
    <row r="457" spans="1:15">
      <c r="A457" s="191">
        <v>44562</v>
      </c>
      <c r="B457" s="181" t="s">
        <v>133</v>
      </c>
      <c r="C457" s="181" t="s">
        <v>666</v>
      </c>
      <c r="D457" s="181" t="str">
        <f t="shared" si="10"/>
        <v>34100</v>
      </c>
      <c r="E457" s="181" t="s">
        <v>15</v>
      </c>
      <c r="F457" s="181" t="s">
        <v>14</v>
      </c>
      <c r="G457" s="181" t="s">
        <v>647</v>
      </c>
      <c r="H457" s="8">
        <v>1767296.87</v>
      </c>
      <c r="I457" s="8">
        <v>15547.24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1782844.1099999999</v>
      </c>
    </row>
    <row r="458" spans="1:15">
      <c r="A458" s="191">
        <v>44562</v>
      </c>
      <c r="B458" s="181" t="s">
        <v>133</v>
      </c>
      <c r="C458" s="181" t="s">
        <v>667</v>
      </c>
      <c r="D458" s="181" t="str">
        <f t="shared" si="10"/>
        <v>34100</v>
      </c>
      <c r="E458" s="181" t="s">
        <v>15</v>
      </c>
      <c r="F458" s="181" t="s">
        <v>14</v>
      </c>
      <c r="G458" s="181" t="s">
        <v>647</v>
      </c>
      <c r="H458" s="8">
        <v>1762729.57</v>
      </c>
      <c r="I458" s="8">
        <v>15009.91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1777739.48</v>
      </c>
    </row>
    <row r="459" spans="1:15">
      <c r="A459" s="191">
        <v>44562</v>
      </c>
      <c r="B459" s="181" t="s">
        <v>133</v>
      </c>
      <c r="C459" s="181" t="s">
        <v>668</v>
      </c>
      <c r="D459" s="181" t="str">
        <f t="shared" si="10"/>
        <v>34100</v>
      </c>
      <c r="E459" s="181" t="s">
        <v>15</v>
      </c>
      <c r="F459" s="181" t="s">
        <v>14</v>
      </c>
      <c r="G459" s="181" t="s">
        <v>647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</row>
    <row r="460" spans="1:15">
      <c r="A460" s="191">
        <v>44562</v>
      </c>
      <c r="B460" s="181" t="s">
        <v>133</v>
      </c>
      <c r="C460" s="181" t="s">
        <v>663</v>
      </c>
      <c r="D460" s="181" t="str">
        <f t="shared" si="10"/>
        <v>34100</v>
      </c>
      <c r="E460" s="181" t="s">
        <v>15</v>
      </c>
      <c r="F460" s="181" t="s">
        <v>14</v>
      </c>
      <c r="G460" s="181" t="s">
        <v>793</v>
      </c>
      <c r="H460" s="8">
        <v>2478.96</v>
      </c>
      <c r="I460" s="8">
        <v>27.66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2506.62</v>
      </c>
    </row>
    <row r="461" spans="1:15">
      <c r="A461" s="191">
        <v>44562</v>
      </c>
      <c r="B461" s="181" t="s">
        <v>133</v>
      </c>
      <c r="C461" s="181" t="s">
        <v>665</v>
      </c>
      <c r="D461" s="181" t="str">
        <f t="shared" si="10"/>
        <v>34100</v>
      </c>
      <c r="E461" s="181" t="s">
        <v>15</v>
      </c>
      <c r="F461" s="181" t="s">
        <v>14</v>
      </c>
      <c r="G461" s="181" t="s">
        <v>793</v>
      </c>
      <c r="H461" s="8">
        <v>50996.78</v>
      </c>
      <c r="I461" s="8">
        <v>904.37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51901.15</v>
      </c>
    </row>
    <row r="462" spans="1:15">
      <c r="A462" s="191">
        <v>44562</v>
      </c>
      <c r="B462" s="181" t="s">
        <v>133</v>
      </c>
      <c r="C462" s="181" t="s">
        <v>666</v>
      </c>
      <c r="D462" s="181" t="str">
        <f t="shared" si="10"/>
        <v>34100</v>
      </c>
      <c r="E462" s="181" t="s">
        <v>15</v>
      </c>
      <c r="F462" s="181" t="s">
        <v>14</v>
      </c>
      <c r="G462" s="181" t="s">
        <v>793</v>
      </c>
      <c r="H462" s="8">
        <v>194956.03</v>
      </c>
      <c r="I462" s="8">
        <v>1890.74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196846.77000000002</v>
      </c>
    </row>
    <row r="463" spans="1:15">
      <c r="A463" s="191">
        <v>44562</v>
      </c>
      <c r="B463" s="181" t="s">
        <v>133</v>
      </c>
      <c r="C463" s="181" t="s">
        <v>667</v>
      </c>
      <c r="D463" s="181" t="str">
        <f t="shared" si="10"/>
        <v>34100</v>
      </c>
      <c r="E463" s="181" t="s">
        <v>15</v>
      </c>
      <c r="F463" s="181" t="s">
        <v>14</v>
      </c>
      <c r="G463" s="181" t="s">
        <v>793</v>
      </c>
      <c r="H463" s="8">
        <v>194400.64000000001</v>
      </c>
      <c r="I463" s="8">
        <v>1825.4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196226.04</v>
      </c>
    </row>
    <row r="464" spans="1:15">
      <c r="A464" s="191">
        <v>44593</v>
      </c>
      <c r="B464" s="181" t="s">
        <v>132</v>
      </c>
      <c r="C464" s="181" t="s">
        <v>663</v>
      </c>
      <c r="D464" s="181" t="str">
        <f t="shared" si="10"/>
        <v>34100</v>
      </c>
      <c r="E464" s="181" t="s">
        <v>15</v>
      </c>
      <c r="F464" s="181" t="s">
        <v>14</v>
      </c>
      <c r="G464" s="181" t="s">
        <v>647</v>
      </c>
      <c r="H464" s="8">
        <v>276475.61</v>
      </c>
      <c r="I464" s="8">
        <v>534.79999999999995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277010.41000000003</v>
      </c>
    </row>
    <row r="465" spans="1:15">
      <c r="A465" s="191">
        <v>44593</v>
      </c>
      <c r="B465" s="181" t="s">
        <v>132</v>
      </c>
      <c r="C465" s="181" t="s">
        <v>664</v>
      </c>
      <c r="D465" s="181" t="str">
        <f t="shared" si="10"/>
        <v>34100</v>
      </c>
      <c r="E465" s="181" t="s">
        <v>15</v>
      </c>
      <c r="F465" s="181" t="s">
        <v>14</v>
      </c>
      <c r="G465" s="181" t="s">
        <v>647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</row>
    <row r="466" spans="1:15">
      <c r="A466" s="191">
        <v>44593</v>
      </c>
      <c r="B466" s="181" t="s">
        <v>132</v>
      </c>
      <c r="C466" s="181" t="s">
        <v>665</v>
      </c>
      <c r="D466" s="181" t="str">
        <f t="shared" si="10"/>
        <v>34100</v>
      </c>
      <c r="E466" s="181" t="s">
        <v>15</v>
      </c>
      <c r="F466" s="181" t="s">
        <v>14</v>
      </c>
      <c r="G466" s="181" t="s">
        <v>647</v>
      </c>
      <c r="H466" s="8">
        <v>449240.76</v>
      </c>
      <c r="I466" s="8">
        <v>7436.43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456677.19</v>
      </c>
    </row>
    <row r="467" spans="1:15">
      <c r="A467" s="191">
        <v>44593</v>
      </c>
      <c r="B467" s="181" t="s">
        <v>132</v>
      </c>
      <c r="C467" s="181" t="s">
        <v>666</v>
      </c>
      <c r="D467" s="181" t="str">
        <f t="shared" si="10"/>
        <v>34100</v>
      </c>
      <c r="E467" s="181" t="s">
        <v>15</v>
      </c>
      <c r="F467" s="181" t="s">
        <v>14</v>
      </c>
      <c r="G467" s="181" t="s">
        <v>647</v>
      </c>
      <c r="H467" s="8">
        <v>1782844.1099999999</v>
      </c>
      <c r="I467" s="8">
        <v>15547.24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1798391.35</v>
      </c>
    </row>
    <row r="468" spans="1:15">
      <c r="A468" s="191">
        <v>44593</v>
      </c>
      <c r="B468" s="181" t="s">
        <v>132</v>
      </c>
      <c r="C468" s="181" t="s">
        <v>667</v>
      </c>
      <c r="D468" s="181" t="str">
        <f t="shared" si="10"/>
        <v>34100</v>
      </c>
      <c r="E468" s="181" t="s">
        <v>15</v>
      </c>
      <c r="F468" s="181" t="s">
        <v>14</v>
      </c>
      <c r="G468" s="181" t="s">
        <v>647</v>
      </c>
      <c r="H468" s="8">
        <v>1777739.48</v>
      </c>
      <c r="I468" s="8">
        <v>15009.91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1792749.3900000001</v>
      </c>
    </row>
    <row r="469" spans="1:15">
      <c r="A469" s="191">
        <v>44593</v>
      </c>
      <c r="B469" s="181" t="s">
        <v>132</v>
      </c>
      <c r="C469" s="181" t="s">
        <v>668</v>
      </c>
      <c r="D469" s="181" t="str">
        <f t="shared" si="10"/>
        <v>34100</v>
      </c>
      <c r="E469" s="181" t="s">
        <v>15</v>
      </c>
      <c r="F469" s="181" t="s">
        <v>14</v>
      </c>
      <c r="G469" s="181" t="s">
        <v>647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</row>
    <row r="470" spans="1:15">
      <c r="A470" s="191">
        <v>44593</v>
      </c>
      <c r="B470" s="181" t="s">
        <v>132</v>
      </c>
      <c r="C470" s="181" t="s">
        <v>663</v>
      </c>
      <c r="D470" s="181" t="str">
        <f t="shared" si="10"/>
        <v>34100</v>
      </c>
      <c r="E470" s="181" t="s">
        <v>15</v>
      </c>
      <c r="F470" s="181" t="s">
        <v>14</v>
      </c>
      <c r="G470" s="181" t="s">
        <v>793</v>
      </c>
      <c r="H470" s="8">
        <v>2506.62</v>
      </c>
      <c r="I470" s="8">
        <v>27.66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2534.2800000000002</v>
      </c>
    </row>
    <row r="471" spans="1:15">
      <c r="A471" s="191">
        <v>44593</v>
      </c>
      <c r="B471" s="181" t="s">
        <v>132</v>
      </c>
      <c r="C471" s="181" t="s">
        <v>665</v>
      </c>
      <c r="D471" s="181" t="str">
        <f t="shared" si="10"/>
        <v>34100</v>
      </c>
      <c r="E471" s="181" t="s">
        <v>15</v>
      </c>
      <c r="F471" s="181" t="s">
        <v>14</v>
      </c>
      <c r="G471" s="181" t="s">
        <v>793</v>
      </c>
      <c r="H471" s="8">
        <v>51901.15</v>
      </c>
      <c r="I471" s="8">
        <v>904.37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52805.520000000004</v>
      </c>
    </row>
    <row r="472" spans="1:15">
      <c r="A472" s="191">
        <v>44593</v>
      </c>
      <c r="B472" s="181" t="s">
        <v>132</v>
      </c>
      <c r="C472" s="181" t="s">
        <v>666</v>
      </c>
      <c r="D472" s="181" t="str">
        <f t="shared" si="10"/>
        <v>34100</v>
      </c>
      <c r="E472" s="181" t="s">
        <v>15</v>
      </c>
      <c r="F472" s="181" t="s">
        <v>14</v>
      </c>
      <c r="G472" s="181" t="s">
        <v>793</v>
      </c>
      <c r="H472" s="8">
        <v>196846.77000000002</v>
      </c>
      <c r="I472" s="8">
        <v>1890.74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198737.51</v>
      </c>
    </row>
    <row r="473" spans="1:15">
      <c r="A473" s="191">
        <v>44593</v>
      </c>
      <c r="B473" s="181" t="s">
        <v>132</v>
      </c>
      <c r="C473" s="181" t="s">
        <v>667</v>
      </c>
      <c r="D473" s="181" t="str">
        <f t="shared" si="10"/>
        <v>34100</v>
      </c>
      <c r="E473" s="181" t="s">
        <v>15</v>
      </c>
      <c r="F473" s="181" t="s">
        <v>14</v>
      </c>
      <c r="G473" s="181" t="s">
        <v>793</v>
      </c>
      <c r="H473" s="8">
        <v>196226.04</v>
      </c>
      <c r="I473" s="8">
        <v>1825.4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198051.44</v>
      </c>
    </row>
    <row r="474" spans="1:15">
      <c r="A474" s="191">
        <v>44621</v>
      </c>
      <c r="B474" s="181" t="s">
        <v>131</v>
      </c>
      <c r="C474" s="181" t="s">
        <v>663</v>
      </c>
      <c r="D474" s="181" t="str">
        <f t="shared" si="10"/>
        <v>34100</v>
      </c>
      <c r="E474" s="181" t="s">
        <v>15</v>
      </c>
      <c r="F474" s="181" t="s">
        <v>14</v>
      </c>
      <c r="G474" s="181" t="s">
        <v>647</v>
      </c>
      <c r="H474" s="8">
        <v>277010.41000000003</v>
      </c>
      <c r="I474" s="8">
        <v>534.79999999999995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277545.21000000002</v>
      </c>
    </row>
    <row r="475" spans="1:15">
      <c r="A475" s="191">
        <v>44621</v>
      </c>
      <c r="B475" s="181" t="s">
        <v>131</v>
      </c>
      <c r="C475" s="181" t="s">
        <v>664</v>
      </c>
      <c r="D475" s="181" t="str">
        <f t="shared" si="10"/>
        <v>34100</v>
      </c>
      <c r="E475" s="181" t="s">
        <v>15</v>
      </c>
      <c r="F475" s="181" t="s">
        <v>14</v>
      </c>
      <c r="G475" s="181" t="s">
        <v>647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</row>
    <row r="476" spans="1:15">
      <c r="A476" s="191">
        <v>44621</v>
      </c>
      <c r="B476" s="181" t="s">
        <v>131</v>
      </c>
      <c r="C476" s="181" t="s">
        <v>665</v>
      </c>
      <c r="D476" s="181" t="str">
        <f t="shared" si="10"/>
        <v>34100</v>
      </c>
      <c r="E476" s="181" t="s">
        <v>15</v>
      </c>
      <c r="F476" s="181" t="s">
        <v>14</v>
      </c>
      <c r="G476" s="181" t="s">
        <v>647</v>
      </c>
      <c r="H476" s="8">
        <v>456677.19</v>
      </c>
      <c r="I476" s="8">
        <v>7414.76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464091.95</v>
      </c>
    </row>
    <row r="477" spans="1:15">
      <c r="A477" s="191">
        <v>44621</v>
      </c>
      <c r="B477" s="181" t="s">
        <v>131</v>
      </c>
      <c r="C477" s="181" t="s">
        <v>666</v>
      </c>
      <c r="D477" s="181" t="str">
        <f t="shared" si="10"/>
        <v>34100</v>
      </c>
      <c r="E477" s="181" t="s">
        <v>15</v>
      </c>
      <c r="F477" s="181" t="s">
        <v>14</v>
      </c>
      <c r="G477" s="181" t="s">
        <v>647</v>
      </c>
      <c r="H477" s="8">
        <v>1798391.35</v>
      </c>
      <c r="I477" s="8">
        <v>15547.24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1813938.5899999999</v>
      </c>
    </row>
    <row r="478" spans="1:15">
      <c r="A478" s="191">
        <v>44621</v>
      </c>
      <c r="B478" s="181" t="s">
        <v>131</v>
      </c>
      <c r="C478" s="181" t="s">
        <v>667</v>
      </c>
      <c r="D478" s="181" t="str">
        <f t="shared" si="10"/>
        <v>34100</v>
      </c>
      <c r="E478" s="181" t="s">
        <v>15</v>
      </c>
      <c r="F478" s="181" t="s">
        <v>14</v>
      </c>
      <c r="G478" s="181" t="s">
        <v>647</v>
      </c>
      <c r="H478" s="8">
        <v>1792749.3900000001</v>
      </c>
      <c r="I478" s="8">
        <v>15009.91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1807759.3</v>
      </c>
    </row>
    <row r="479" spans="1:15">
      <c r="A479" s="191">
        <v>44621</v>
      </c>
      <c r="B479" s="181" t="s">
        <v>131</v>
      </c>
      <c r="C479" s="181" t="s">
        <v>668</v>
      </c>
      <c r="D479" s="181" t="str">
        <f t="shared" si="10"/>
        <v>34100</v>
      </c>
      <c r="E479" s="181" t="s">
        <v>15</v>
      </c>
      <c r="F479" s="181" t="s">
        <v>14</v>
      </c>
      <c r="G479" s="181" t="s">
        <v>647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</row>
    <row r="480" spans="1:15">
      <c r="A480" s="191">
        <v>44621</v>
      </c>
      <c r="B480" s="181" t="s">
        <v>131</v>
      </c>
      <c r="C480" s="181" t="s">
        <v>663</v>
      </c>
      <c r="D480" s="181" t="str">
        <f t="shared" si="10"/>
        <v>34100</v>
      </c>
      <c r="E480" s="181" t="s">
        <v>15</v>
      </c>
      <c r="F480" s="181" t="s">
        <v>14</v>
      </c>
      <c r="G480" s="181" t="s">
        <v>793</v>
      </c>
      <c r="H480" s="8">
        <v>2534.2800000000002</v>
      </c>
      <c r="I480" s="8">
        <v>27.66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2561.94</v>
      </c>
    </row>
    <row r="481" spans="1:15">
      <c r="A481" s="191">
        <v>44621</v>
      </c>
      <c r="B481" s="181" t="s">
        <v>131</v>
      </c>
      <c r="C481" s="181" t="s">
        <v>665</v>
      </c>
      <c r="D481" s="181" t="str">
        <f t="shared" si="10"/>
        <v>34100</v>
      </c>
      <c r="E481" s="181" t="s">
        <v>15</v>
      </c>
      <c r="F481" s="181" t="s">
        <v>14</v>
      </c>
      <c r="G481" s="181" t="s">
        <v>793</v>
      </c>
      <c r="H481" s="8">
        <v>52805.520000000004</v>
      </c>
      <c r="I481" s="8">
        <v>901.73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53707.25</v>
      </c>
    </row>
    <row r="482" spans="1:15">
      <c r="A482" s="191">
        <v>44621</v>
      </c>
      <c r="B482" s="181" t="s">
        <v>131</v>
      </c>
      <c r="C482" s="181" t="s">
        <v>666</v>
      </c>
      <c r="D482" s="181" t="str">
        <f t="shared" si="10"/>
        <v>34100</v>
      </c>
      <c r="E482" s="181" t="s">
        <v>15</v>
      </c>
      <c r="F482" s="181" t="s">
        <v>14</v>
      </c>
      <c r="G482" s="181" t="s">
        <v>793</v>
      </c>
      <c r="H482" s="8">
        <v>198737.51</v>
      </c>
      <c r="I482" s="8">
        <v>1890.74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200628.25</v>
      </c>
    </row>
    <row r="483" spans="1:15">
      <c r="A483" s="191">
        <v>44621</v>
      </c>
      <c r="B483" s="181" t="s">
        <v>131</v>
      </c>
      <c r="C483" s="181" t="s">
        <v>667</v>
      </c>
      <c r="D483" s="181" t="str">
        <f t="shared" si="10"/>
        <v>34100</v>
      </c>
      <c r="E483" s="181" t="s">
        <v>15</v>
      </c>
      <c r="F483" s="181" t="s">
        <v>14</v>
      </c>
      <c r="G483" s="181" t="s">
        <v>793</v>
      </c>
      <c r="H483" s="8">
        <v>198051.44</v>
      </c>
      <c r="I483" s="8">
        <v>1825.4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199876.84</v>
      </c>
    </row>
    <row r="484" spans="1:15">
      <c r="A484" s="191">
        <v>44652</v>
      </c>
      <c r="B484" s="181" t="s">
        <v>130</v>
      </c>
      <c r="C484" s="181" t="s">
        <v>663</v>
      </c>
      <c r="D484" s="181" t="str">
        <f t="shared" si="10"/>
        <v>34100</v>
      </c>
      <c r="E484" s="181" t="s">
        <v>15</v>
      </c>
      <c r="F484" s="181" t="s">
        <v>14</v>
      </c>
      <c r="G484" s="181" t="s">
        <v>647</v>
      </c>
      <c r="H484" s="8">
        <v>277545.21000000002</v>
      </c>
      <c r="I484" s="8">
        <v>534.79999999999995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278080.01</v>
      </c>
    </row>
    <row r="485" spans="1:15">
      <c r="A485" s="191">
        <v>44652</v>
      </c>
      <c r="B485" s="181" t="s">
        <v>130</v>
      </c>
      <c r="C485" s="181" t="s">
        <v>664</v>
      </c>
      <c r="D485" s="181" t="str">
        <f t="shared" si="10"/>
        <v>34100</v>
      </c>
      <c r="E485" s="181" t="s">
        <v>15</v>
      </c>
      <c r="F485" s="181" t="s">
        <v>14</v>
      </c>
      <c r="G485" s="181" t="s">
        <v>647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</row>
    <row r="486" spans="1:15">
      <c r="A486" s="191">
        <v>44652</v>
      </c>
      <c r="B486" s="181" t="s">
        <v>130</v>
      </c>
      <c r="C486" s="181" t="s">
        <v>665</v>
      </c>
      <c r="D486" s="181" t="str">
        <f t="shared" si="10"/>
        <v>34100</v>
      </c>
      <c r="E486" s="181" t="s">
        <v>15</v>
      </c>
      <c r="F486" s="181" t="s">
        <v>14</v>
      </c>
      <c r="G486" s="181" t="s">
        <v>647</v>
      </c>
      <c r="H486" s="8">
        <v>464091.95</v>
      </c>
      <c r="I486" s="8">
        <v>7393.1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471485.05</v>
      </c>
    </row>
    <row r="487" spans="1:15">
      <c r="A487" s="191">
        <v>44652</v>
      </c>
      <c r="B487" s="181" t="s">
        <v>130</v>
      </c>
      <c r="C487" s="181" t="s">
        <v>666</v>
      </c>
      <c r="D487" s="181" t="str">
        <f t="shared" si="10"/>
        <v>34100</v>
      </c>
      <c r="E487" s="181" t="s">
        <v>15</v>
      </c>
      <c r="F487" s="181" t="s">
        <v>14</v>
      </c>
      <c r="G487" s="181" t="s">
        <v>647</v>
      </c>
      <c r="H487" s="8">
        <v>1813938.5899999999</v>
      </c>
      <c r="I487" s="8">
        <v>15547.24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1829485.83</v>
      </c>
    </row>
    <row r="488" spans="1:15">
      <c r="A488" s="191">
        <v>44652</v>
      </c>
      <c r="B488" s="181" t="s">
        <v>130</v>
      </c>
      <c r="C488" s="181" t="s">
        <v>667</v>
      </c>
      <c r="D488" s="181" t="str">
        <f t="shared" si="10"/>
        <v>34100</v>
      </c>
      <c r="E488" s="181" t="s">
        <v>15</v>
      </c>
      <c r="F488" s="181" t="s">
        <v>14</v>
      </c>
      <c r="G488" s="181" t="s">
        <v>647</v>
      </c>
      <c r="H488" s="8">
        <v>1807759.3</v>
      </c>
      <c r="I488" s="8">
        <v>15009.91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1822769.21</v>
      </c>
    </row>
    <row r="489" spans="1:15">
      <c r="A489" s="191">
        <v>44652</v>
      </c>
      <c r="B489" s="181" t="s">
        <v>130</v>
      </c>
      <c r="C489" s="181" t="s">
        <v>668</v>
      </c>
      <c r="D489" s="181" t="str">
        <f t="shared" si="10"/>
        <v>34100</v>
      </c>
      <c r="E489" s="181" t="s">
        <v>15</v>
      </c>
      <c r="F489" s="181" t="s">
        <v>14</v>
      </c>
      <c r="G489" s="181" t="s">
        <v>647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</row>
    <row r="490" spans="1:15">
      <c r="A490" s="191">
        <v>44652</v>
      </c>
      <c r="B490" s="181" t="s">
        <v>130</v>
      </c>
      <c r="C490" s="181" t="s">
        <v>663</v>
      </c>
      <c r="D490" s="181" t="str">
        <f t="shared" si="10"/>
        <v>34100</v>
      </c>
      <c r="E490" s="181" t="s">
        <v>15</v>
      </c>
      <c r="F490" s="181" t="s">
        <v>14</v>
      </c>
      <c r="G490" s="181" t="s">
        <v>793</v>
      </c>
      <c r="H490" s="8">
        <v>2561.94</v>
      </c>
      <c r="I490" s="8">
        <v>27.66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2589.6</v>
      </c>
    </row>
    <row r="491" spans="1:15">
      <c r="A491" s="191">
        <v>44652</v>
      </c>
      <c r="B491" s="181" t="s">
        <v>130</v>
      </c>
      <c r="C491" s="181" t="s">
        <v>665</v>
      </c>
      <c r="D491" s="181" t="str">
        <f t="shared" si="10"/>
        <v>34100</v>
      </c>
      <c r="E491" s="181" t="s">
        <v>15</v>
      </c>
      <c r="F491" s="181" t="s">
        <v>14</v>
      </c>
      <c r="G491" s="181" t="s">
        <v>793</v>
      </c>
      <c r="H491" s="8">
        <v>53707.25</v>
      </c>
      <c r="I491" s="8">
        <v>899.1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54606.35</v>
      </c>
    </row>
    <row r="492" spans="1:15">
      <c r="A492" s="191">
        <v>44652</v>
      </c>
      <c r="B492" s="181" t="s">
        <v>130</v>
      </c>
      <c r="C492" s="181" t="s">
        <v>666</v>
      </c>
      <c r="D492" s="181" t="str">
        <f t="shared" si="10"/>
        <v>34100</v>
      </c>
      <c r="E492" s="181" t="s">
        <v>15</v>
      </c>
      <c r="F492" s="181" t="s">
        <v>14</v>
      </c>
      <c r="G492" s="181" t="s">
        <v>793</v>
      </c>
      <c r="H492" s="8">
        <v>200628.25</v>
      </c>
      <c r="I492" s="8">
        <v>1890.74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202518.99</v>
      </c>
    </row>
    <row r="493" spans="1:15">
      <c r="A493" s="191">
        <v>44652</v>
      </c>
      <c r="B493" s="181" t="s">
        <v>130</v>
      </c>
      <c r="C493" s="181" t="s">
        <v>667</v>
      </c>
      <c r="D493" s="181" t="str">
        <f t="shared" si="10"/>
        <v>34100</v>
      </c>
      <c r="E493" s="181" t="s">
        <v>15</v>
      </c>
      <c r="F493" s="181" t="s">
        <v>14</v>
      </c>
      <c r="G493" s="181" t="s">
        <v>793</v>
      </c>
      <c r="H493" s="8">
        <v>199876.84</v>
      </c>
      <c r="I493" s="8">
        <v>1825.4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201702.24</v>
      </c>
    </row>
    <row r="494" spans="1:15">
      <c r="A494" s="191">
        <v>44682</v>
      </c>
      <c r="B494" s="181" t="s">
        <v>129</v>
      </c>
      <c r="C494" s="181" t="s">
        <v>663</v>
      </c>
      <c r="D494" s="181" t="str">
        <f t="shared" si="10"/>
        <v>34100</v>
      </c>
      <c r="E494" s="181" t="s">
        <v>15</v>
      </c>
      <c r="F494" s="181" t="s">
        <v>14</v>
      </c>
      <c r="G494" s="181" t="s">
        <v>647</v>
      </c>
      <c r="H494" s="8">
        <v>278080.01</v>
      </c>
      <c r="I494" s="8">
        <v>534.79999999999995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278614.81</v>
      </c>
    </row>
    <row r="495" spans="1:15">
      <c r="A495" s="191">
        <v>44682</v>
      </c>
      <c r="B495" s="181" t="s">
        <v>129</v>
      </c>
      <c r="C495" s="181" t="s">
        <v>664</v>
      </c>
      <c r="D495" s="181" t="str">
        <f t="shared" si="10"/>
        <v>34100</v>
      </c>
      <c r="E495" s="181" t="s">
        <v>15</v>
      </c>
      <c r="F495" s="181" t="s">
        <v>14</v>
      </c>
      <c r="G495" s="181" t="s">
        <v>647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</row>
    <row r="496" spans="1:15">
      <c r="A496" s="191">
        <v>44682</v>
      </c>
      <c r="B496" s="181" t="s">
        <v>129</v>
      </c>
      <c r="C496" s="181" t="s">
        <v>665</v>
      </c>
      <c r="D496" s="181" t="str">
        <f t="shared" si="10"/>
        <v>34100</v>
      </c>
      <c r="E496" s="181" t="s">
        <v>15</v>
      </c>
      <c r="F496" s="181" t="s">
        <v>14</v>
      </c>
      <c r="G496" s="181" t="s">
        <v>647</v>
      </c>
      <c r="H496" s="8">
        <v>471485.05</v>
      </c>
      <c r="I496" s="8">
        <v>7393.1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478878.15</v>
      </c>
    </row>
    <row r="497" spans="1:15">
      <c r="A497" s="191">
        <v>44682</v>
      </c>
      <c r="B497" s="181" t="s">
        <v>129</v>
      </c>
      <c r="C497" s="181" t="s">
        <v>666</v>
      </c>
      <c r="D497" s="181" t="str">
        <f t="shared" si="10"/>
        <v>34100</v>
      </c>
      <c r="E497" s="181" t="s">
        <v>15</v>
      </c>
      <c r="F497" s="181" t="s">
        <v>14</v>
      </c>
      <c r="G497" s="181" t="s">
        <v>647</v>
      </c>
      <c r="H497" s="8">
        <v>1829485.83</v>
      </c>
      <c r="I497" s="8">
        <v>15547.24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1845033.07</v>
      </c>
    </row>
    <row r="498" spans="1:15">
      <c r="A498" s="191">
        <v>44682</v>
      </c>
      <c r="B498" s="181" t="s">
        <v>129</v>
      </c>
      <c r="C498" s="181" t="s">
        <v>667</v>
      </c>
      <c r="D498" s="181" t="str">
        <f t="shared" si="10"/>
        <v>34100</v>
      </c>
      <c r="E498" s="181" t="s">
        <v>15</v>
      </c>
      <c r="F498" s="181" t="s">
        <v>14</v>
      </c>
      <c r="G498" s="181" t="s">
        <v>647</v>
      </c>
      <c r="H498" s="8">
        <v>1822769.21</v>
      </c>
      <c r="I498" s="8">
        <v>15009.91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1837779.12</v>
      </c>
    </row>
    <row r="499" spans="1:15">
      <c r="A499" s="191">
        <v>44682</v>
      </c>
      <c r="B499" s="181" t="s">
        <v>129</v>
      </c>
      <c r="C499" s="181" t="s">
        <v>668</v>
      </c>
      <c r="D499" s="181" t="str">
        <f t="shared" si="10"/>
        <v>34100</v>
      </c>
      <c r="E499" s="181" t="s">
        <v>15</v>
      </c>
      <c r="F499" s="181" t="s">
        <v>14</v>
      </c>
      <c r="G499" s="181" t="s">
        <v>647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</row>
    <row r="500" spans="1:15">
      <c r="A500" s="191">
        <v>44682</v>
      </c>
      <c r="B500" s="181" t="s">
        <v>129</v>
      </c>
      <c r="C500" s="181" t="s">
        <v>663</v>
      </c>
      <c r="D500" s="181" t="str">
        <f t="shared" si="10"/>
        <v>34100</v>
      </c>
      <c r="E500" s="181" t="s">
        <v>15</v>
      </c>
      <c r="F500" s="181" t="s">
        <v>14</v>
      </c>
      <c r="G500" s="181" t="s">
        <v>793</v>
      </c>
      <c r="H500" s="8">
        <v>2589.6</v>
      </c>
      <c r="I500" s="8">
        <v>27.66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2617.2600000000002</v>
      </c>
    </row>
    <row r="501" spans="1:15">
      <c r="A501" s="191">
        <v>44682</v>
      </c>
      <c r="B501" s="181" t="s">
        <v>129</v>
      </c>
      <c r="C501" s="181" t="s">
        <v>665</v>
      </c>
      <c r="D501" s="181" t="str">
        <f t="shared" si="10"/>
        <v>34100</v>
      </c>
      <c r="E501" s="181" t="s">
        <v>15</v>
      </c>
      <c r="F501" s="181" t="s">
        <v>14</v>
      </c>
      <c r="G501" s="181" t="s">
        <v>793</v>
      </c>
      <c r="H501" s="8">
        <v>54606.35</v>
      </c>
      <c r="I501" s="8">
        <v>899.1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55505.450000000004</v>
      </c>
    </row>
    <row r="502" spans="1:15">
      <c r="A502" s="191">
        <v>44562</v>
      </c>
      <c r="B502" s="181" t="s">
        <v>133</v>
      </c>
      <c r="C502" s="181" t="s">
        <v>815</v>
      </c>
      <c r="D502" s="181" t="str">
        <f t="shared" si="10"/>
        <v>31001</v>
      </c>
      <c r="E502" s="181" t="s">
        <v>15</v>
      </c>
      <c r="F502" s="181" t="s">
        <v>14</v>
      </c>
      <c r="G502" s="181" t="s">
        <v>816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</row>
    <row r="503" spans="1:15">
      <c r="A503" s="191">
        <v>44562</v>
      </c>
      <c r="B503" s="181" t="s">
        <v>133</v>
      </c>
      <c r="C503" s="181" t="s">
        <v>817</v>
      </c>
      <c r="D503" s="181" t="str">
        <f t="shared" si="10"/>
        <v>31001</v>
      </c>
      <c r="E503" s="181" t="s">
        <v>15</v>
      </c>
      <c r="F503" s="181" t="s">
        <v>14</v>
      </c>
      <c r="G503" s="181" t="s">
        <v>816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</row>
    <row r="504" spans="1:15">
      <c r="A504" s="191">
        <v>44682</v>
      </c>
      <c r="B504" s="181" t="s">
        <v>129</v>
      </c>
      <c r="C504" s="181" t="s">
        <v>666</v>
      </c>
      <c r="D504" s="181" t="str">
        <f t="shared" si="10"/>
        <v>34100</v>
      </c>
      <c r="E504" s="181" t="s">
        <v>15</v>
      </c>
      <c r="F504" s="181" t="s">
        <v>14</v>
      </c>
      <c r="G504" s="181" t="s">
        <v>793</v>
      </c>
      <c r="H504" s="8">
        <v>202518.99</v>
      </c>
      <c r="I504" s="8">
        <v>1890.74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204409.73</v>
      </c>
    </row>
    <row r="505" spans="1:15">
      <c r="A505" s="191">
        <v>44682</v>
      </c>
      <c r="B505" s="181" t="s">
        <v>129</v>
      </c>
      <c r="C505" s="181" t="s">
        <v>667</v>
      </c>
      <c r="D505" s="181" t="str">
        <f t="shared" si="10"/>
        <v>34100</v>
      </c>
      <c r="E505" s="181" t="s">
        <v>15</v>
      </c>
      <c r="F505" s="181" t="s">
        <v>14</v>
      </c>
      <c r="G505" s="181" t="s">
        <v>793</v>
      </c>
      <c r="H505" s="8">
        <v>201702.24</v>
      </c>
      <c r="I505" s="8">
        <v>1825.4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203527.64</v>
      </c>
    </row>
    <row r="506" spans="1:15">
      <c r="A506" s="191">
        <v>44713</v>
      </c>
      <c r="B506" s="181" t="s">
        <v>128</v>
      </c>
      <c r="C506" s="181" t="s">
        <v>663</v>
      </c>
      <c r="D506" s="181" t="str">
        <f t="shared" si="10"/>
        <v>34100</v>
      </c>
      <c r="E506" s="181" t="s">
        <v>15</v>
      </c>
      <c r="F506" s="181" t="s">
        <v>14</v>
      </c>
      <c r="G506" s="181" t="s">
        <v>647</v>
      </c>
      <c r="H506" s="8">
        <v>278614.81</v>
      </c>
      <c r="I506" s="8">
        <v>534.79999999999995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279149.61</v>
      </c>
    </row>
    <row r="507" spans="1:15">
      <c r="A507" s="191">
        <v>44713</v>
      </c>
      <c r="B507" s="181" t="s">
        <v>128</v>
      </c>
      <c r="C507" s="181" t="s">
        <v>664</v>
      </c>
      <c r="D507" s="181" t="str">
        <f t="shared" si="10"/>
        <v>34100</v>
      </c>
      <c r="E507" s="181" t="s">
        <v>15</v>
      </c>
      <c r="F507" s="181" t="s">
        <v>14</v>
      </c>
      <c r="G507" s="181" t="s">
        <v>647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</row>
    <row r="508" spans="1:15">
      <c r="A508" s="191">
        <v>44713</v>
      </c>
      <c r="B508" s="181" t="s">
        <v>128</v>
      </c>
      <c r="C508" s="181" t="s">
        <v>665</v>
      </c>
      <c r="D508" s="181" t="str">
        <f t="shared" si="10"/>
        <v>34100</v>
      </c>
      <c r="E508" s="181" t="s">
        <v>15</v>
      </c>
      <c r="F508" s="181" t="s">
        <v>14</v>
      </c>
      <c r="G508" s="181" t="s">
        <v>647</v>
      </c>
      <c r="H508" s="8">
        <v>478878.15</v>
      </c>
      <c r="I508" s="8">
        <v>7393.1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486271.25</v>
      </c>
    </row>
    <row r="509" spans="1:15">
      <c r="A509" s="191">
        <v>44713</v>
      </c>
      <c r="B509" s="181" t="s">
        <v>128</v>
      </c>
      <c r="C509" s="181" t="s">
        <v>666</v>
      </c>
      <c r="D509" s="181" t="str">
        <f t="shared" si="10"/>
        <v>34100</v>
      </c>
      <c r="E509" s="181" t="s">
        <v>15</v>
      </c>
      <c r="F509" s="181" t="s">
        <v>14</v>
      </c>
      <c r="G509" s="181" t="s">
        <v>647</v>
      </c>
      <c r="H509" s="8">
        <v>1845033.07</v>
      </c>
      <c r="I509" s="8">
        <v>15278.57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1860311.6400000001</v>
      </c>
    </row>
    <row r="510" spans="1:15">
      <c r="A510" s="191">
        <v>44713</v>
      </c>
      <c r="B510" s="181" t="s">
        <v>128</v>
      </c>
      <c r="C510" s="181" t="s">
        <v>667</v>
      </c>
      <c r="D510" s="181" t="str">
        <f t="shared" si="10"/>
        <v>34100</v>
      </c>
      <c r="E510" s="181" t="s">
        <v>15</v>
      </c>
      <c r="F510" s="181" t="s">
        <v>14</v>
      </c>
      <c r="G510" s="181" t="s">
        <v>647</v>
      </c>
      <c r="H510" s="8">
        <v>1837779.12</v>
      </c>
      <c r="I510" s="8">
        <v>15009.91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1852789.03</v>
      </c>
    </row>
    <row r="511" spans="1:15">
      <c r="A511" s="191">
        <v>44713</v>
      </c>
      <c r="B511" s="181" t="s">
        <v>128</v>
      </c>
      <c r="C511" s="181" t="s">
        <v>668</v>
      </c>
      <c r="D511" s="181" t="str">
        <f t="shared" si="10"/>
        <v>34100</v>
      </c>
      <c r="E511" s="181" t="s">
        <v>15</v>
      </c>
      <c r="F511" s="181" t="s">
        <v>14</v>
      </c>
      <c r="G511" s="181" t="s">
        <v>647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</row>
    <row r="512" spans="1:15">
      <c r="A512" s="191">
        <v>44713</v>
      </c>
      <c r="B512" s="181" t="s">
        <v>128</v>
      </c>
      <c r="C512" s="181" t="s">
        <v>663</v>
      </c>
      <c r="D512" s="181" t="str">
        <f t="shared" si="10"/>
        <v>34100</v>
      </c>
      <c r="E512" s="181" t="s">
        <v>15</v>
      </c>
      <c r="F512" s="181" t="s">
        <v>14</v>
      </c>
      <c r="G512" s="181" t="s">
        <v>793</v>
      </c>
      <c r="H512" s="8">
        <v>2617.2600000000002</v>
      </c>
      <c r="I512" s="8">
        <v>27.66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2644.92</v>
      </c>
    </row>
    <row r="513" spans="1:15">
      <c r="A513" s="191">
        <v>44713</v>
      </c>
      <c r="B513" s="181" t="s">
        <v>128</v>
      </c>
      <c r="C513" s="181" t="s">
        <v>665</v>
      </c>
      <c r="D513" s="181" t="str">
        <f t="shared" si="10"/>
        <v>34100</v>
      </c>
      <c r="E513" s="181" t="s">
        <v>15</v>
      </c>
      <c r="F513" s="181" t="s">
        <v>14</v>
      </c>
      <c r="G513" s="181" t="s">
        <v>793</v>
      </c>
      <c r="H513" s="8">
        <v>55505.450000000004</v>
      </c>
      <c r="I513" s="8">
        <v>899.1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56404.55</v>
      </c>
    </row>
    <row r="514" spans="1:15">
      <c r="A514" s="191">
        <v>44713</v>
      </c>
      <c r="B514" s="181" t="s">
        <v>128</v>
      </c>
      <c r="C514" s="181" t="s">
        <v>666</v>
      </c>
      <c r="D514" s="181" t="str">
        <f t="shared" ref="D514:D577" si="11">MID(C514,10,5)</f>
        <v>34100</v>
      </c>
      <c r="E514" s="181" t="s">
        <v>15</v>
      </c>
      <c r="F514" s="181" t="s">
        <v>14</v>
      </c>
      <c r="G514" s="181" t="s">
        <v>793</v>
      </c>
      <c r="H514" s="8">
        <v>204409.73</v>
      </c>
      <c r="I514" s="8">
        <v>1858.07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206267.80000000002</v>
      </c>
    </row>
    <row r="515" spans="1:15">
      <c r="A515" s="191">
        <v>44713</v>
      </c>
      <c r="B515" s="181" t="s">
        <v>128</v>
      </c>
      <c r="C515" s="181" t="s">
        <v>667</v>
      </c>
      <c r="D515" s="181" t="str">
        <f t="shared" si="11"/>
        <v>34100</v>
      </c>
      <c r="E515" s="181" t="s">
        <v>15</v>
      </c>
      <c r="F515" s="181" t="s">
        <v>14</v>
      </c>
      <c r="G515" s="181" t="s">
        <v>793</v>
      </c>
      <c r="H515" s="8">
        <v>203527.64</v>
      </c>
      <c r="I515" s="8">
        <v>1825.4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205353.04</v>
      </c>
    </row>
    <row r="516" spans="1:15">
      <c r="A516" s="191">
        <v>44743</v>
      </c>
      <c r="B516" s="181" t="s">
        <v>127</v>
      </c>
      <c r="C516" s="181" t="s">
        <v>663</v>
      </c>
      <c r="D516" s="181" t="str">
        <f t="shared" si="11"/>
        <v>34100</v>
      </c>
      <c r="E516" s="181" t="s">
        <v>15</v>
      </c>
      <c r="F516" s="181" t="s">
        <v>14</v>
      </c>
      <c r="G516" s="181" t="s">
        <v>647</v>
      </c>
      <c r="H516" s="8">
        <v>279149.61</v>
      </c>
      <c r="I516" s="8">
        <v>534.79999999999995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279684.41000000003</v>
      </c>
    </row>
    <row r="517" spans="1:15">
      <c r="A517" s="191">
        <v>44743</v>
      </c>
      <c r="B517" s="181" t="s">
        <v>127</v>
      </c>
      <c r="C517" s="181" t="s">
        <v>664</v>
      </c>
      <c r="D517" s="181" t="str">
        <f t="shared" si="11"/>
        <v>34100</v>
      </c>
      <c r="E517" s="181" t="s">
        <v>15</v>
      </c>
      <c r="F517" s="181" t="s">
        <v>14</v>
      </c>
      <c r="G517" s="181" t="s">
        <v>647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</row>
    <row r="518" spans="1:15">
      <c r="A518" s="191">
        <v>44743</v>
      </c>
      <c r="B518" s="181" t="s">
        <v>127</v>
      </c>
      <c r="C518" s="181" t="s">
        <v>665</v>
      </c>
      <c r="D518" s="181" t="str">
        <f t="shared" si="11"/>
        <v>34100</v>
      </c>
      <c r="E518" s="181" t="s">
        <v>15</v>
      </c>
      <c r="F518" s="181" t="s">
        <v>14</v>
      </c>
      <c r="G518" s="181" t="s">
        <v>647</v>
      </c>
      <c r="H518" s="8">
        <v>486271.25</v>
      </c>
      <c r="I518" s="8">
        <v>7393.1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493664.35000000003</v>
      </c>
    </row>
    <row r="519" spans="1:15">
      <c r="A519" s="191">
        <v>44743</v>
      </c>
      <c r="B519" s="181" t="s">
        <v>127</v>
      </c>
      <c r="C519" s="181" t="s">
        <v>666</v>
      </c>
      <c r="D519" s="181" t="str">
        <f t="shared" si="11"/>
        <v>34100</v>
      </c>
      <c r="E519" s="181" t="s">
        <v>15</v>
      </c>
      <c r="F519" s="181" t="s">
        <v>14</v>
      </c>
      <c r="G519" s="181" t="s">
        <v>647</v>
      </c>
      <c r="H519" s="8">
        <v>1860311.6400000001</v>
      </c>
      <c r="I519" s="8">
        <v>15009.91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1875321.55</v>
      </c>
    </row>
    <row r="520" spans="1:15">
      <c r="A520" s="191">
        <v>44743</v>
      </c>
      <c r="B520" s="181" t="s">
        <v>127</v>
      </c>
      <c r="C520" s="181" t="s">
        <v>667</v>
      </c>
      <c r="D520" s="181" t="str">
        <f t="shared" si="11"/>
        <v>34100</v>
      </c>
      <c r="E520" s="181" t="s">
        <v>15</v>
      </c>
      <c r="F520" s="181" t="s">
        <v>14</v>
      </c>
      <c r="G520" s="181" t="s">
        <v>647</v>
      </c>
      <c r="H520" s="8">
        <v>1852789.03</v>
      </c>
      <c r="I520" s="8">
        <v>15009.91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1867798.94</v>
      </c>
    </row>
    <row r="521" spans="1:15">
      <c r="A521" s="191">
        <v>44743</v>
      </c>
      <c r="B521" s="181" t="s">
        <v>127</v>
      </c>
      <c r="C521" s="181" t="s">
        <v>668</v>
      </c>
      <c r="D521" s="181" t="str">
        <f t="shared" si="11"/>
        <v>34100</v>
      </c>
      <c r="E521" s="181" t="s">
        <v>15</v>
      </c>
      <c r="F521" s="181" t="s">
        <v>14</v>
      </c>
      <c r="G521" s="181" t="s">
        <v>647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</row>
    <row r="522" spans="1:15">
      <c r="A522" s="191">
        <v>44743</v>
      </c>
      <c r="B522" s="181" t="s">
        <v>127</v>
      </c>
      <c r="C522" s="181" t="s">
        <v>663</v>
      </c>
      <c r="D522" s="181" t="str">
        <f t="shared" si="11"/>
        <v>34100</v>
      </c>
      <c r="E522" s="181" t="s">
        <v>15</v>
      </c>
      <c r="F522" s="181" t="s">
        <v>14</v>
      </c>
      <c r="G522" s="181" t="s">
        <v>793</v>
      </c>
      <c r="H522" s="8">
        <v>2644.92</v>
      </c>
      <c r="I522" s="8">
        <v>27.66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2672.58</v>
      </c>
    </row>
    <row r="523" spans="1:15">
      <c r="A523" s="191">
        <v>44743</v>
      </c>
      <c r="B523" s="181" t="s">
        <v>127</v>
      </c>
      <c r="C523" s="181" t="s">
        <v>665</v>
      </c>
      <c r="D523" s="181" t="str">
        <f t="shared" si="11"/>
        <v>34100</v>
      </c>
      <c r="E523" s="181" t="s">
        <v>15</v>
      </c>
      <c r="F523" s="181" t="s">
        <v>14</v>
      </c>
      <c r="G523" s="181" t="s">
        <v>793</v>
      </c>
      <c r="H523" s="8">
        <v>56404.55</v>
      </c>
      <c r="I523" s="8">
        <v>899.1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57303.65</v>
      </c>
    </row>
    <row r="524" spans="1:15">
      <c r="A524" s="191">
        <v>44743</v>
      </c>
      <c r="B524" s="181" t="s">
        <v>127</v>
      </c>
      <c r="C524" s="181" t="s">
        <v>666</v>
      </c>
      <c r="D524" s="181" t="str">
        <f t="shared" si="11"/>
        <v>34100</v>
      </c>
      <c r="E524" s="181" t="s">
        <v>15</v>
      </c>
      <c r="F524" s="181" t="s">
        <v>14</v>
      </c>
      <c r="G524" s="181" t="s">
        <v>793</v>
      </c>
      <c r="H524" s="8">
        <v>206267.80000000002</v>
      </c>
      <c r="I524" s="8">
        <v>1825.4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208093.2</v>
      </c>
    </row>
    <row r="525" spans="1:15">
      <c r="A525" s="191">
        <v>44743</v>
      </c>
      <c r="B525" s="181" t="s">
        <v>127</v>
      </c>
      <c r="C525" s="181" t="s">
        <v>667</v>
      </c>
      <c r="D525" s="181" t="str">
        <f t="shared" si="11"/>
        <v>34100</v>
      </c>
      <c r="E525" s="181" t="s">
        <v>15</v>
      </c>
      <c r="F525" s="181" t="s">
        <v>14</v>
      </c>
      <c r="G525" s="181" t="s">
        <v>793</v>
      </c>
      <c r="H525" s="8">
        <v>205353.04</v>
      </c>
      <c r="I525" s="8">
        <v>1825.4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207178.44</v>
      </c>
    </row>
    <row r="526" spans="1:15">
      <c r="A526" s="191">
        <v>44774</v>
      </c>
      <c r="B526" s="181" t="s">
        <v>126</v>
      </c>
      <c r="C526" s="181" t="s">
        <v>663</v>
      </c>
      <c r="D526" s="181" t="str">
        <f t="shared" si="11"/>
        <v>34100</v>
      </c>
      <c r="E526" s="181" t="s">
        <v>15</v>
      </c>
      <c r="F526" s="181" t="s">
        <v>14</v>
      </c>
      <c r="G526" s="181" t="s">
        <v>647</v>
      </c>
      <c r="H526" s="8">
        <v>279684.41000000003</v>
      </c>
      <c r="I526" s="8">
        <v>534.79999999999995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280219.21000000002</v>
      </c>
    </row>
    <row r="527" spans="1:15">
      <c r="A527" s="191">
        <v>44774</v>
      </c>
      <c r="B527" s="181" t="s">
        <v>126</v>
      </c>
      <c r="C527" s="181" t="s">
        <v>664</v>
      </c>
      <c r="D527" s="181" t="str">
        <f t="shared" si="11"/>
        <v>34100</v>
      </c>
      <c r="E527" s="181" t="s">
        <v>15</v>
      </c>
      <c r="F527" s="181" t="s">
        <v>14</v>
      </c>
      <c r="G527" s="181" t="s">
        <v>647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</row>
    <row r="528" spans="1:15">
      <c r="A528" s="191">
        <v>44774</v>
      </c>
      <c r="B528" s="181" t="s">
        <v>126</v>
      </c>
      <c r="C528" s="181" t="s">
        <v>665</v>
      </c>
      <c r="D528" s="181" t="str">
        <f t="shared" si="11"/>
        <v>34100</v>
      </c>
      <c r="E528" s="181" t="s">
        <v>15</v>
      </c>
      <c r="F528" s="181" t="s">
        <v>14</v>
      </c>
      <c r="G528" s="181" t="s">
        <v>647</v>
      </c>
      <c r="H528" s="8">
        <v>493664.35000000003</v>
      </c>
      <c r="I528" s="8">
        <v>7393.1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501057.45</v>
      </c>
    </row>
    <row r="529" spans="1:15">
      <c r="A529" s="191">
        <v>44774</v>
      </c>
      <c r="B529" s="181" t="s">
        <v>126</v>
      </c>
      <c r="C529" s="181" t="s">
        <v>666</v>
      </c>
      <c r="D529" s="181" t="str">
        <f t="shared" si="11"/>
        <v>34100</v>
      </c>
      <c r="E529" s="181" t="s">
        <v>15</v>
      </c>
      <c r="F529" s="181" t="s">
        <v>14</v>
      </c>
      <c r="G529" s="181" t="s">
        <v>647</v>
      </c>
      <c r="H529" s="8">
        <v>1875321.55</v>
      </c>
      <c r="I529" s="8">
        <v>15009.91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1890331.46</v>
      </c>
    </row>
    <row r="530" spans="1:15">
      <c r="A530" s="191">
        <v>44774</v>
      </c>
      <c r="B530" s="181" t="s">
        <v>126</v>
      </c>
      <c r="C530" s="181" t="s">
        <v>667</v>
      </c>
      <c r="D530" s="181" t="str">
        <f t="shared" si="11"/>
        <v>34100</v>
      </c>
      <c r="E530" s="181" t="s">
        <v>15</v>
      </c>
      <c r="F530" s="181" t="s">
        <v>14</v>
      </c>
      <c r="G530" s="181" t="s">
        <v>647</v>
      </c>
      <c r="H530" s="8">
        <v>1867798.94</v>
      </c>
      <c r="I530" s="8">
        <v>15009.91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1882808.85</v>
      </c>
    </row>
    <row r="531" spans="1:15">
      <c r="A531" s="191">
        <v>44774</v>
      </c>
      <c r="B531" s="181" t="s">
        <v>126</v>
      </c>
      <c r="C531" s="181" t="s">
        <v>668</v>
      </c>
      <c r="D531" s="181" t="str">
        <f t="shared" si="11"/>
        <v>34100</v>
      </c>
      <c r="E531" s="181" t="s">
        <v>15</v>
      </c>
      <c r="F531" s="181" t="s">
        <v>14</v>
      </c>
      <c r="G531" s="181" t="s">
        <v>647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</row>
    <row r="532" spans="1:15">
      <c r="A532" s="191">
        <v>44774</v>
      </c>
      <c r="B532" s="181" t="s">
        <v>126</v>
      </c>
      <c r="C532" s="181" t="s">
        <v>663</v>
      </c>
      <c r="D532" s="181" t="str">
        <f t="shared" si="11"/>
        <v>34100</v>
      </c>
      <c r="E532" s="181" t="s">
        <v>15</v>
      </c>
      <c r="F532" s="181" t="s">
        <v>14</v>
      </c>
      <c r="G532" s="181" t="s">
        <v>793</v>
      </c>
      <c r="H532" s="8">
        <v>2672.58</v>
      </c>
      <c r="I532" s="8">
        <v>27.66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2700.2400000000002</v>
      </c>
    </row>
    <row r="533" spans="1:15">
      <c r="A533" s="191">
        <v>44774</v>
      </c>
      <c r="B533" s="181" t="s">
        <v>126</v>
      </c>
      <c r="C533" s="181" t="s">
        <v>665</v>
      </c>
      <c r="D533" s="181" t="str">
        <f t="shared" si="11"/>
        <v>34100</v>
      </c>
      <c r="E533" s="181" t="s">
        <v>15</v>
      </c>
      <c r="F533" s="181" t="s">
        <v>14</v>
      </c>
      <c r="G533" s="181" t="s">
        <v>793</v>
      </c>
      <c r="H533" s="8">
        <v>57303.65</v>
      </c>
      <c r="I533" s="8">
        <v>899.1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58202.75</v>
      </c>
    </row>
    <row r="534" spans="1:15">
      <c r="A534" s="191">
        <v>44774</v>
      </c>
      <c r="B534" s="181" t="s">
        <v>126</v>
      </c>
      <c r="C534" s="181" t="s">
        <v>666</v>
      </c>
      <c r="D534" s="181" t="str">
        <f t="shared" si="11"/>
        <v>34100</v>
      </c>
      <c r="E534" s="181" t="s">
        <v>15</v>
      </c>
      <c r="F534" s="181" t="s">
        <v>14</v>
      </c>
      <c r="G534" s="181" t="s">
        <v>793</v>
      </c>
      <c r="H534" s="8">
        <v>208093.2</v>
      </c>
      <c r="I534" s="8">
        <v>1825.4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209918.6</v>
      </c>
    </row>
    <row r="535" spans="1:15">
      <c r="A535" s="191">
        <v>44774</v>
      </c>
      <c r="B535" s="181" t="s">
        <v>126</v>
      </c>
      <c r="C535" s="181" t="s">
        <v>667</v>
      </c>
      <c r="D535" s="181" t="str">
        <f t="shared" si="11"/>
        <v>34100</v>
      </c>
      <c r="E535" s="181" t="s">
        <v>15</v>
      </c>
      <c r="F535" s="181" t="s">
        <v>14</v>
      </c>
      <c r="G535" s="181" t="s">
        <v>793</v>
      </c>
      <c r="H535" s="8">
        <v>207178.44</v>
      </c>
      <c r="I535" s="8">
        <v>1825.4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209003.84</v>
      </c>
    </row>
    <row r="536" spans="1:15">
      <c r="A536" s="191">
        <v>44805</v>
      </c>
      <c r="B536" s="181" t="s">
        <v>125</v>
      </c>
      <c r="C536" s="181" t="s">
        <v>663</v>
      </c>
      <c r="D536" s="181" t="str">
        <f t="shared" si="11"/>
        <v>34100</v>
      </c>
      <c r="E536" s="181" t="s">
        <v>15</v>
      </c>
      <c r="F536" s="181" t="s">
        <v>14</v>
      </c>
      <c r="G536" s="181" t="s">
        <v>647</v>
      </c>
      <c r="H536" s="8">
        <v>280219.21000000002</v>
      </c>
      <c r="I536" s="8">
        <v>534.79999999999995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280754.01</v>
      </c>
    </row>
    <row r="537" spans="1:15">
      <c r="A537" s="191">
        <v>44805</v>
      </c>
      <c r="B537" s="181" t="s">
        <v>125</v>
      </c>
      <c r="C537" s="181" t="s">
        <v>664</v>
      </c>
      <c r="D537" s="181" t="str">
        <f t="shared" si="11"/>
        <v>34100</v>
      </c>
      <c r="E537" s="181" t="s">
        <v>15</v>
      </c>
      <c r="F537" s="181" t="s">
        <v>14</v>
      </c>
      <c r="G537" s="181" t="s">
        <v>647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</row>
    <row r="538" spans="1:15">
      <c r="A538" s="191">
        <v>44805</v>
      </c>
      <c r="B538" s="181" t="s">
        <v>125</v>
      </c>
      <c r="C538" s="181" t="s">
        <v>665</v>
      </c>
      <c r="D538" s="181" t="str">
        <f t="shared" si="11"/>
        <v>34100</v>
      </c>
      <c r="E538" s="181" t="s">
        <v>15</v>
      </c>
      <c r="F538" s="181" t="s">
        <v>14</v>
      </c>
      <c r="G538" s="181" t="s">
        <v>647</v>
      </c>
      <c r="H538" s="8">
        <v>501057.45</v>
      </c>
      <c r="I538" s="8">
        <v>7393.1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508450.55</v>
      </c>
    </row>
    <row r="539" spans="1:15">
      <c r="A539" s="191">
        <v>44805</v>
      </c>
      <c r="B539" s="181" t="s">
        <v>125</v>
      </c>
      <c r="C539" s="181" t="s">
        <v>666</v>
      </c>
      <c r="D539" s="181" t="str">
        <f t="shared" si="11"/>
        <v>34100</v>
      </c>
      <c r="E539" s="181" t="s">
        <v>15</v>
      </c>
      <c r="F539" s="181" t="s">
        <v>14</v>
      </c>
      <c r="G539" s="181" t="s">
        <v>647</v>
      </c>
      <c r="H539" s="8">
        <v>1890331.46</v>
      </c>
      <c r="I539" s="8">
        <v>15009.91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1905341.37</v>
      </c>
    </row>
    <row r="540" spans="1:15">
      <c r="A540" s="191">
        <v>44805</v>
      </c>
      <c r="B540" s="181" t="s">
        <v>125</v>
      </c>
      <c r="C540" s="181" t="s">
        <v>667</v>
      </c>
      <c r="D540" s="181" t="str">
        <f t="shared" si="11"/>
        <v>34100</v>
      </c>
      <c r="E540" s="181" t="s">
        <v>15</v>
      </c>
      <c r="F540" s="181" t="s">
        <v>14</v>
      </c>
      <c r="G540" s="181" t="s">
        <v>647</v>
      </c>
      <c r="H540" s="8">
        <v>1882808.85</v>
      </c>
      <c r="I540" s="8">
        <v>15009.91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1897818.76</v>
      </c>
    </row>
    <row r="541" spans="1:15">
      <c r="A541" s="191">
        <v>44805</v>
      </c>
      <c r="B541" s="181" t="s">
        <v>125</v>
      </c>
      <c r="C541" s="181" t="s">
        <v>668</v>
      </c>
      <c r="D541" s="181" t="str">
        <f t="shared" si="11"/>
        <v>34100</v>
      </c>
      <c r="E541" s="181" t="s">
        <v>15</v>
      </c>
      <c r="F541" s="181" t="s">
        <v>14</v>
      </c>
      <c r="G541" s="181" t="s">
        <v>647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</row>
    <row r="542" spans="1:15">
      <c r="A542" s="191">
        <v>44805</v>
      </c>
      <c r="B542" s="181" t="s">
        <v>125</v>
      </c>
      <c r="C542" s="181" t="s">
        <v>663</v>
      </c>
      <c r="D542" s="181" t="str">
        <f t="shared" si="11"/>
        <v>34100</v>
      </c>
      <c r="E542" s="181" t="s">
        <v>15</v>
      </c>
      <c r="F542" s="181" t="s">
        <v>14</v>
      </c>
      <c r="G542" s="181" t="s">
        <v>793</v>
      </c>
      <c r="H542" s="8">
        <v>2700.2400000000002</v>
      </c>
      <c r="I542" s="8">
        <v>27.66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2727.9</v>
      </c>
    </row>
    <row r="543" spans="1:15">
      <c r="A543" s="191">
        <v>44805</v>
      </c>
      <c r="B543" s="181" t="s">
        <v>125</v>
      </c>
      <c r="C543" s="181" t="s">
        <v>665</v>
      </c>
      <c r="D543" s="181" t="str">
        <f t="shared" si="11"/>
        <v>34100</v>
      </c>
      <c r="E543" s="181" t="s">
        <v>15</v>
      </c>
      <c r="F543" s="181" t="s">
        <v>14</v>
      </c>
      <c r="G543" s="181" t="s">
        <v>793</v>
      </c>
      <c r="H543" s="8">
        <v>58202.75</v>
      </c>
      <c r="I543" s="8">
        <v>899.1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59101.85</v>
      </c>
    </row>
    <row r="544" spans="1:15">
      <c r="A544" s="191">
        <v>44805</v>
      </c>
      <c r="B544" s="181" t="s">
        <v>125</v>
      </c>
      <c r="C544" s="181" t="s">
        <v>666</v>
      </c>
      <c r="D544" s="181" t="str">
        <f t="shared" si="11"/>
        <v>34100</v>
      </c>
      <c r="E544" s="181" t="s">
        <v>15</v>
      </c>
      <c r="F544" s="181" t="s">
        <v>14</v>
      </c>
      <c r="G544" s="181" t="s">
        <v>793</v>
      </c>
      <c r="H544" s="8">
        <v>209918.6</v>
      </c>
      <c r="I544" s="8">
        <v>1825.4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211744</v>
      </c>
    </row>
    <row r="545" spans="1:15">
      <c r="A545" s="191">
        <v>44805</v>
      </c>
      <c r="B545" s="181" t="s">
        <v>125</v>
      </c>
      <c r="C545" s="181" t="s">
        <v>667</v>
      </c>
      <c r="D545" s="181" t="str">
        <f t="shared" si="11"/>
        <v>34100</v>
      </c>
      <c r="E545" s="181" t="s">
        <v>15</v>
      </c>
      <c r="F545" s="181" t="s">
        <v>14</v>
      </c>
      <c r="G545" s="181" t="s">
        <v>793</v>
      </c>
      <c r="H545" s="8">
        <v>209003.84</v>
      </c>
      <c r="I545" s="8">
        <v>1825.4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210829.24</v>
      </c>
    </row>
    <row r="546" spans="1:15">
      <c r="A546" s="191">
        <v>44835</v>
      </c>
      <c r="B546" s="181" t="s">
        <v>124</v>
      </c>
      <c r="C546" s="181" t="s">
        <v>663</v>
      </c>
      <c r="D546" s="181" t="str">
        <f t="shared" si="11"/>
        <v>34100</v>
      </c>
      <c r="E546" s="181" t="s">
        <v>15</v>
      </c>
      <c r="F546" s="181" t="s">
        <v>14</v>
      </c>
      <c r="G546" s="181" t="s">
        <v>647</v>
      </c>
      <c r="H546" s="8">
        <v>280754.01</v>
      </c>
      <c r="I546" s="8">
        <v>534.79999999999995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281288.81</v>
      </c>
    </row>
    <row r="547" spans="1:15">
      <c r="A547" s="191">
        <v>44835</v>
      </c>
      <c r="B547" s="181" t="s">
        <v>124</v>
      </c>
      <c r="C547" s="181" t="s">
        <v>664</v>
      </c>
      <c r="D547" s="181" t="str">
        <f t="shared" si="11"/>
        <v>34100</v>
      </c>
      <c r="E547" s="181" t="s">
        <v>15</v>
      </c>
      <c r="F547" s="181" t="s">
        <v>14</v>
      </c>
      <c r="G547" s="181" t="s">
        <v>647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</row>
    <row r="548" spans="1:15">
      <c r="A548" s="191">
        <v>44835</v>
      </c>
      <c r="B548" s="181" t="s">
        <v>124</v>
      </c>
      <c r="C548" s="181" t="s">
        <v>665</v>
      </c>
      <c r="D548" s="181" t="str">
        <f t="shared" si="11"/>
        <v>34100</v>
      </c>
      <c r="E548" s="181" t="s">
        <v>15</v>
      </c>
      <c r="F548" s="181" t="s">
        <v>14</v>
      </c>
      <c r="G548" s="181" t="s">
        <v>647</v>
      </c>
      <c r="H548" s="8">
        <v>508450.55</v>
      </c>
      <c r="I548" s="8">
        <v>7418.82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515869.37</v>
      </c>
    </row>
    <row r="549" spans="1:15">
      <c r="A549" s="191">
        <v>44835</v>
      </c>
      <c r="B549" s="181" t="s">
        <v>124</v>
      </c>
      <c r="C549" s="181" t="s">
        <v>666</v>
      </c>
      <c r="D549" s="181" t="str">
        <f t="shared" si="11"/>
        <v>34100</v>
      </c>
      <c r="E549" s="181" t="s">
        <v>15</v>
      </c>
      <c r="F549" s="181" t="s">
        <v>14</v>
      </c>
      <c r="G549" s="181" t="s">
        <v>647</v>
      </c>
      <c r="H549" s="8">
        <v>1905341.37</v>
      </c>
      <c r="I549" s="8">
        <v>15009.91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1920351.28</v>
      </c>
    </row>
    <row r="550" spans="1:15">
      <c r="A550" s="191">
        <v>44835</v>
      </c>
      <c r="B550" s="181" t="s">
        <v>124</v>
      </c>
      <c r="C550" s="181" t="s">
        <v>667</v>
      </c>
      <c r="D550" s="181" t="str">
        <f t="shared" si="11"/>
        <v>34100</v>
      </c>
      <c r="E550" s="181" t="s">
        <v>15</v>
      </c>
      <c r="F550" s="181" t="s">
        <v>14</v>
      </c>
      <c r="G550" s="181" t="s">
        <v>647</v>
      </c>
      <c r="H550" s="8">
        <v>1897818.76</v>
      </c>
      <c r="I550" s="8">
        <v>15009.91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1912828.67</v>
      </c>
    </row>
    <row r="551" spans="1:15">
      <c r="A551" s="191">
        <v>44835</v>
      </c>
      <c r="B551" s="181" t="s">
        <v>124</v>
      </c>
      <c r="C551" s="181" t="s">
        <v>668</v>
      </c>
      <c r="D551" s="181" t="str">
        <f t="shared" si="11"/>
        <v>34100</v>
      </c>
      <c r="E551" s="181" t="s">
        <v>15</v>
      </c>
      <c r="F551" s="181" t="s">
        <v>14</v>
      </c>
      <c r="G551" s="181" t="s">
        <v>647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</row>
    <row r="552" spans="1:15">
      <c r="A552" s="191">
        <v>44835</v>
      </c>
      <c r="B552" s="181" t="s">
        <v>124</v>
      </c>
      <c r="C552" s="181" t="s">
        <v>663</v>
      </c>
      <c r="D552" s="181" t="str">
        <f t="shared" si="11"/>
        <v>34100</v>
      </c>
      <c r="E552" s="181" t="s">
        <v>15</v>
      </c>
      <c r="F552" s="181" t="s">
        <v>14</v>
      </c>
      <c r="G552" s="181" t="s">
        <v>793</v>
      </c>
      <c r="H552" s="8">
        <v>2727.9</v>
      </c>
      <c r="I552" s="8">
        <v>27.66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2755.56</v>
      </c>
    </row>
    <row r="553" spans="1:15">
      <c r="A553" s="191">
        <v>44835</v>
      </c>
      <c r="B553" s="181" t="s">
        <v>124</v>
      </c>
      <c r="C553" s="181" t="s">
        <v>665</v>
      </c>
      <c r="D553" s="181" t="str">
        <f t="shared" si="11"/>
        <v>34100</v>
      </c>
      <c r="E553" s="181" t="s">
        <v>15</v>
      </c>
      <c r="F553" s="181" t="s">
        <v>14</v>
      </c>
      <c r="G553" s="181" t="s">
        <v>793</v>
      </c>
      <c r="H553" s="8">
        <v>59101.85</v>
      </c>
      <c r="I553" s="8">
        <v>902.22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60004.07</v>
      </c>
    </row>
    <row r="554" spans="1:15">
      <c r="A554" s="191">
        <v>44835</v>
      </c>
      <c r="B554" s="181" t="s">
        <v>124</v>
      </c>
      <c r="C554" s="181" t="s">
        <v>666</v>
      </c>
      <c r="D554" s="181" t="str">
        <f t="shared" si="11"/>
        <v>34100</v>
      </c>
      <c r="E554" s="181" t="s">
        <v>15</v>
      </c>
      <c r="F554" s="181" t="s">
        <v>14</v>
      </c>
      <c r="G554" s="181" t="s">
        <v>793</v>
      </c>
      <c r="H554" s="8">
        <v>211744</v>
      </c>
      <c r="I554" s="8">
        <v>1825.4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213569.4</v>
      </c>
    </row>
    <row r="555" spans="1:15">
      <c r="A555" s="191">
        <v>44835</v>
      </c>
      <c r="B555" s="181" t="s">
        <v>124</v>
      </c>
      <c r="C555" s="181" t="s">
        <v>667</v>
      </c>
      <c r="D555" s="181" t="str">
        <f t="shared" si="11"/>
        <v>34100</v>
      </c>
      <c r="E555" s="181" t="s">
        <v>15</v>
      </c>
      <c r="F555" s="181" t="s">
        <v>14</v>
      </c>
      <c r="G555" s="181" t="s">
        <v>793</v>
      </c>
      <c r="H555" s="8">
        <v>210829.24</v>
      </c>
      <c r="I555" s="8">
        <v>1825.4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212654.64</v>
      </c>
    </row>
    <row r="556" spans="1:15">
      <c r="A556" s="191">
        <v>44866</v>
      </c>
      <c r="B556" s="181" t="s">
        <v>123</v>
      </c>
      <c r="C556" s="181" t="s">
        <v>663</v>
      </c>
      <c r="D556" s="181" t="str">
        <f t="shared" si="11"/>
        <v>34100</v>
      </c>
      <c r="E556" s="181" t="s">
        <v>15</v>
      </c>
      <c r="F556" s="181" t="s">
        <v>14</v>
      </c>
      <c r="G556" s="181" t="s">
        <v>647</v>
      </c>
      <c r="H556" s="8">
        <v>281288.81</v>
      </c>
      <c r="I556" s="8">
        <v>534.79999999999995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281823.61</v>
      </c>
    </row>
    <row r="557" spans="1:15">
      <c r="A557" s="191">
        <v>44866</v>
      </c>
      <c r="B557" s="181" t="s">
        <v>123</v>
      </c>
      <c r="C557" s="181" t="s">
        <v>664</v>
      </c>
      <c r="D557" s="181" t="str">
        <f t="shared" si="11"/>
        <v>34100</v>
      </c>
      <c r="E557" s="181" t="s">
        <v>15</v>
      </c>
      <c r="F557" s="181" t="s">
        <v>14</v>
      </c>
      <c r="G557" s="181" t="s">
        <v>647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</row>
    <row r="558" spans="1:15">
      <c r="A558" s="191">
        <v>44866</v>
      </c>
      <c r="B558" s="181" t="s">
        <v>123</v>
      </c>
      <c r="C558" s="181" t="s">
        <v>665</v>
      </c>
      <c r="D558" s="181" t="str">
        <f t="shared" si="11"/>
        <v>34100</v>
      </c>
      <c r="E558" s="181" t="s">
        <v>15</v>
      </c>
      <c r="F558" s="181" t="s">
        <v>14</v>
      </c>
      <c r="G558" s="181" t="s">
        <v>647</v>
      </c>
      <c r="H558" s="8">
        <v>515869.37</v>
      </c>
      <c r="I558" s="8">
        <v>7444.53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523313.9</v>
      </c>
    </row>
    <row r="559" spans="1:15">
      <c r="A559" s="191">
        <v>44866</v>
      </c>
      <c r="B559" s="181" t="s">
        <v>123</v>
      </c>
      <c r="C559" s="181" t="s">
        <v>666</v>
      </c>
      <c r="D559" s="181" t="str">
        <f t="shared" si="11"/>
        <v>34100</v>
      </c>
      <c r="E559" s="181" t="s">
        <v>15</v>
      </c>
      <c r="F559" s="181" t="s">
        <v>14</v>
      </c>
      <c r="G559" s="181" t="s">
        <v>647</v>
      </c>
      <c r="H559" s="8">
        <v>1920351.28</v>
      </c>
      <c r="I559" s="8">
        <v>15009.91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1935361.19</v>
      </c>
    </row>
    <row r="560" spans="1:15">
      <c r="A560" s="191">
        <v>44866</v>
      </c>
      <c r="B560" s="181" t="s">
        <v>123</v>
      </c>
      <c r="C560" s="181" t="s">
        <v>667</v>
      </c>
      <c r="D560" s="181" t="str">
        <f t="shared" si="11"/>
        <v>34100</v>
      </c>
      <c r="E560" s="181" t="s">
        <v>15</v>
      </c>
      <c r="F560" s="181" t="s">
        <v>14</v>
      </c>
      <c r="G560" s="181" t="s">
        <v>647</v>
      </c>
      <c r="H560" s="8">
        <v>1912828.67</v>
      </c>
      <c r="I560" s="8">
        <v>15009.91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1927838.58</v>
      </c>
    </row>
    <row r="561" spans="1:15">
      <c r="A561" s="191">
        <v>44866</v>
      </c>
      <c r="B561" s="181" t="s">
        <v>123</v>
      </c>
      <c r="C561" s="181" t="s">
        <v>668</v>
      </c>
      <c r="D561" s="181" t="str">
        <f t="shared" si="11"/>
        <v>34100</v>
      </c>
      <c r="E561" s="181" t="s">
        <v>15</v>
      </c>
      <c r="F561" s="181" t="s">
        <v>14</v>
      </c>
      <c r="G561" s="181" t="s">
        <v>647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</row>
    <row r="562" spans="1:15">
      <c r="A562" s="191">
        <v>44866</v>
      </c>
      <c r="B562" s="181" t="s">
        <v>123</v>
      </c>
      <c r="C562" s="181" t="s">
        <v>663</v>
      </c>
      <c r="D562" s="181" t="str">
        <f t="shared" si="11"/>
        <v>34100</v>
      </c>
      <c r="E562" s="181" t="s">
        <v>15</v>
      </c>
      <c r="F562" s="181" t="s">
        <v>14</v>
      </c>
      <c r="G562" s="181" t="s">
        <v>793</v>
      </c>
      <c r="H562" s="8">
        <v>2755.56</v>
      </c>
      <c r="I562" s="8">
        <v>27.66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2783.2200000000003</v>
      </c>
    </row>
    <row r="563" spans="1:15">
      <c r="A563" s="191">
        <v>44866</v>
      </c>
      <c r="B563" s="181" t="s">
        <v>123</v>
      </c>
      <c r="C563" s="181" t="s">
        <v>665</v>
      </c>
      <c r="D563" s="181" t="str">
        <f t="shared" si="11"/>
        <v>34100</v>
      </c>
      <c r="E563" s="181" t="s">
        <v>15</v>
      </c>
      <c r="F563" s="181" t="s">
        <v>14</v>
      </c>
      <c r="G563" s="181" t="s">
        <v>793</v>
      </c>
      <c r="H563" s="8">
        <v>60004.07</v>
      </c>
      <c r="I563" s="8">
        <v>905.35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60909.42</v>
      </c>
    </row>
    <row r="564" spans="1:15">
      <c r="A564" s="191">
        <v>44866</v>
      </c>
      <c r="B564" s="181" t="s">
        <v>123</v>
      </c>
      <c r="C564" s="181" t="s">
        <v>666</v>
      </c>
      <c r="D564" s="181" t="str">
        <f t="shared" si="11"/>
        <v>34100</v>
      </c>
      <c r="E564" s="181" t="s">
        <v>15</v>
      </c>
      <c r="F564" s="181" t="s">
        <v>14</v>
      </c>
      <c r="G564" s="181" t="s">
        <v>793</v>
      </c>
      <c r="H564" s="8">
        <v>213569.4</v>
      </c>
      <c r="I564" s="8">
        <v>1825.4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215394.80000000002</v>
      </c>
    </row>
    <row r="565" spans="1:15">
      <c r="A565" s="191">
        <v>44866</v>
      </c>
      <c r="B565" s="181" t="s">
        <v>123</v>
      </c>
      <c r="C565" s="181" t="s">
        <v>667</v>
      </c>
      <c r="D565" s="181" t="str">
        <f t="shared" si="11"/>
        <v>34100</v>
      </c>
      <c r="E565" s="181" t="s">
        <v>15</v>
      </c>
      <c r="F565" s="181" t="s">
        <v>14</v>
      </c>
      <c r="G565" s="181" t="s">
        <v>793</v>
      </c>
      <c r="H565" s="8">
        <v>212654.64</v>
      </c>
      <c r="I565" s="8">
        <v>1825.4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214480.04</v>
      </c>
    </row>
    <row r="566" spans="1:15">
      <c r="A566" s="191">
        <v>44896</v>
      </c>
      <c r="B566" s="181" t="s">
        <v>122</v>
      </c>
      <c r="C566" s="181" t="s">
        <v>663</v>
      </c>
      <c r="D566" s="181" t="str">
        <f t="shared" si="11"/>
        <v>34100</v>
      </c>
      <c r="E566" s="181" t="s">
        <v>15</v>
      </c>
      <c r="F566" s="181" t="s">
        <v>14</v>
      </c>
      <c r="G566" s="181" t="s">
        <v>647</v>
      </c>
      <c r="H566" s="8">
        <v>281823.61</v>
      </c>
      <c r="I566" s="8">
        <v>534.79999999999995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282358.41000000003</v>
      </c>
    </row>
    <row r="567" spans="1:15">
      <c r="A567" s="191">
        <v>44896</v>
      </c>
      <c r="B567" s="181" t="s">
        <v>122</v>
      </c>
      <c r="C567" s="181" t="s">
        <v>664</v>
      </c>
      <c r="D567" s="181" t="str">
        <f t="shared" si="11"/>
        <v>34100</v>
      </c>
      <c r="E567" s="181" t="s">
        <v>15</v>
      </c>
      <c r="F567" s="181" t="s">
        <v>14</v>
      </c>
      <c r="G567" s="181" t="s">
        <v>647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</row>
    <row r="568" spans="1:15">
      <c r="A568" s="191">
        <v>44896</v>
      </c>
      <c r="B568" s="181" t="s">
        <v>122</v>
      </c>
      <c r="C568" s="181" t="s">
        <v>665</v>
      </c>
      <c r="D568" s="181" t="str">
        <f t="shared" si="11"/>
        <v>34100</v>
      </c>
      <c r="E568" s="181" t="s">
        <v>15</v>
      </c>
      <c r="F568" s="181" t="s">
        <v>14</v>
      </c>
      <c r="G568" s="181" t="s">
        <v>647</v>
      </c>
      <c r="H568" s="8">
        <v>523313.9</v>
      </c>
      <c r="I568" s="8">
        <v>7444.53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530758.43000000005</v>
      </c>
    </row>
    <row r="569" spans="1:15">
      <c r="A569" s="191">
        <v>44896</v>
      </c>
      <c r="B569" s="181" t="s">
        <v>122</v>
      </c>
      <c r="C569" s="181" t="s">
        <v>666</v>
      </c>
      <c r="D569" s="181" t="str">
        <f t="shared" si="11"/>
        <v>34100</v>
      </c>
      <c r="E569" s="181" t="s">
        <v>15</v>
      </c>
      <c r="F569" s="181" t="s">
        <v>14</v>
      </c>
      <c r="G569" s="181" t="s">
        <v>647</v>
      </c>
      <c r="H569" s="8">
        <v>1935361.19</v>
      </c>
      <c r="I569" s="8">
        <v>15009.91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1950371.1</v>
      </c>
    </row>
    <row r="570" spans="1:15">
      <c r="A570" s="191">
        <v>44896</v>
      </c>
      <c r="B570" s="181" t="s">
        <v>122</v>
      </c>
      <c r="C570" s="181" t="s">
        <v>667</v>
      </c>
      <c r="D570" s="181" t="str">
        <f t="shared" si="11"/>
        <v>34100</v>
      </c>
      <c r="E570" s="181" t="s">
        <v>15</v>
      </c>
      <c r="F570" s="181" t="s">
        <v>14</v>
      </c>
      <c r="G570" s="181" t="s">
        <v>647</v>
      </c>
      <c r="H570" s="8">
        <v>1927838.58</v>
      </c>
      <c r="I570" s="8">
        <v>15009.91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1942848.49</v>
      </c>
    </row>
    <row r="571" spans="1:15">
      <c r="A571" s="191">
        <v>44896</v>
      </c>
      <c r="B571" s="181" t="s">
        <v>122</v>
      </c>
      <c r="C571" s="181" t="s">
        <v>668</v>
      </c>
      <c r="D571" s="181" t="str">
        <f t="shared" si="11"/>
        <v>34100</v>
      </c>
      <c r="E571" s="181" t="s">
        <v>15</v>
      </c>
      <c r="F571" s="181" t="s">
        <v>14</v>
      </c>
      <c r="G571" s="181" t="s">
        <v>647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</row>
    <row r="572" spans="1:15">
      <c r="A572" s="191">
        <v>44896</v>
      </c>
      <c r="B572" s="181" t="s">
        <v>122</v>
      </c>
      <c r="C572" s="181" t="s">
        <v>663</v>
      </c>
      <c r="D572" s="181" t="str">
        <f t="shared" si="11"/>
        <v>34100</v>
      </c>
      <c r="E572" s="181" t="s">
        <v>15</v>
      </c>
      <c r="F572" s="181" t="s">
        <v>14</v>
      </c>
      <c r="G572" s="181" t="s">
        <v>793</v>
      </c>
      <c r="H572" s="8">
        <v>2783.2200000000003</v>
      </c>
      <c r="I572" s="8">
        <v>27.66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2810.88</v>
      </c>
    </row>
    <row r="573" spans="1:15">
      <c r="A573" s="191">
        <v>44896</v>
      </c>
      <c r="B573" s="181" t="s">
        <v>122</v>
      </c>
      <c r="C573" s="181" t="s">
        <v>665</v>
      </c>
      <c r="D573" s="181" t="str">
        <f t="shared" si="11"/>
        <v>34100</v>
      </c>
      <c r="E573" s="181" t="s">
        <v>15</v>
      </c>
      <c r="F573" s="181" t="s">
        <v>14</v>
      </c>
      <c r="G573" s="181" t="s">
        <v>793</v>
      </c>
      <c r="H573" s="8">
        <v>60909.42</v>
      </c>
      <c r="I573" s="8">
        <v>905.35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61814.770000000004</v>
      </c>
    </row>
    <row r="574" spans="1:15">
      <c r="A574" s="191">
        <v>44896</v>
      </c>
      <c r="B574" s="181" t="s">
        <v>122</v>
      </c>
      <c r="C574" s="181" t="s">
        <v>666</v>
      </c>
      <c r="D574" s="181" t="str">
        <f t="shared" si="11"/>
        <v>34100</v>
      </c>
      <c r="E574" s="181" t="s">
        <v>15</v>
      </c>
      <c r="F574" s="181" t="s">
        <v>14</v>
      </c>
      <c r="G574" s="181" t="s">
        <v>793</v>
      </c>
      <c r="H574" s="8">
        <v>215394.80000000002</v>
      </c>
      <c r="I574" s="8">
        <v>1825.4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217220.2</v>
      </c>
    </row>
    <row r="575" spans="1:15">
      <c r="A575" s="191">
        <v>44896</v>
      </c>
      <c r="B575" s="181" t="s">
        <v>122</v>
      </c>
      <c r="C575" s="181" t="s">
        <v>667</v>
      </c>
      <c r="D575" s="181" t="str">
        <f t="shared" si="11"/>
        <v>34100</v>
      </c>
      <c r="E575" s="181" t="s">
        <v>15</v>
      </c>
      <c r="F575" s="181" t="s">
        <v>14</v>
      </c>
      <c r="G575" s="181" t="s">
        <v>793</v>
      </c>
      <c r="H575" s="8">
        <v>214480.04</v>
      </c>
      <c r="I575" s="8">
        <v>1825.4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216305.44</v>
      </c>
    </row>
    <row r="576" spans="1:15">
      <c r="A576" s="191">
        <v>44531</v>
      </c>
      <c r="B576" s="181" t="s">
        <v>13</v>
      </c>
      <c r="C576" s="181" t="s">
        <v>669</v>
      </c>
      <c r="D576" s="181" t="str">
        <f t="shared" si="11"/>
        <v>34105</v>
      </c>
      <c r="E576" s="181" t="s">
        <v>15</v>
      </c>
      <c r="F576" s="181" t="s">
        <v>14</v>
      </c>
      <c r="G576" s="181" t="s">
        <v>647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</row>
    <row r="577" spans="1:15">
      <c r="A577" s="191">
        <v>44531</v>
      </c>
      <c r="B577" s="181" t="s">
        <v>13</v>
      </c>
      <c r="C577" s="181" t="s">
        <v>670</v>
      </c>
      <c r="D577" s="181" t="str">
        <f t="shared" si="11"/>
        <v>34105</v>
      </c>
      <c r="E577" s="181" t="s">
        <v>15</v>
      </c>
      <c r="F577" s="181" t="s">
        <v>14</v>
      </c>
      <c r="G577" s="181" t="s">
        <v>647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</row>
    <row r="578" spans="1:15">
      <c r="A578" s="191">
        <v>44531</v>
      </c>
      <c r="B578" s="181" t="s">
        <v>13</v>
      </c>
      <c r="C578" s="181" t="s">
        <v>671</v>
      </c>
      <c r="D578" s="181" t="str">
        <f t="shared" ref="D578:D641" si="12">MID(C578,10,5)</f>
        <v>34105</v>
      </c>
      <c r="E578" s="181" t="s">
        <v>15</v>
      </c>
      <c r="F578" s="181" t="s">
        <v>14</v>
      </c>
      <c r="G578" s="181" t="s">
        <v>647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</row>
    <row r="579" spans="1:15">
      <c r="A579" s="191">
        <v>44562</v>
      </c>
      <c r="B579" s="181" t="s">
        <v>133</v>
      </c>
      <c r="C579" s="181" t="s">
        <v>669</v>
      </c>
      <c r="D579" s="181" t="str">
        <f t="shared" si="12"/>
        <v>34105</v>
      </c>
      <c r="E579" s="181" t="s">
        <v>15</v>
      </c>
      <c r="F579" s="181" t="s">
        <v>14</v>
      </c>
      <c r="G579" s="181" t="s">
        <v>647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</row>
    <row r="580" spans="1:15">
      <c r="A580" s="191">
        <v>44562</v>
      </c>
      <c r="B580" s="181" t="s">
        <v>133</v>
      </c>
      <c r="C580" s="181" t="s">
        <v>670</v>
      </c>
      <c r="D580" s="181" t="str">
        <f t="shared" si="12"/>
        <v>34105</v>
      </c>
      <c r="E580" s="181" t="s">
        <v>15</v>
      </c>
      <c r="F580" s="181" t="s">
        <v>14</v>
      </c>
      <c r="G580" s="181" t="s">
        <v>647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</row>
    <row r="581" spans="1:15">
      <c r="A581" s="191">
        <v>44562</v>
      </c>
      <c r="B581" s="181" t="s">
        <v>133</v>
      </c>
      <c r="C581" s="181" t="s">
        <v>671</v>
      </c>
      <c r="D581" s="181" t="str">
        <f t="shared" si="12"/>
        <v>34105</v>
      </c>
      <c r="E581" s="181" t="s">
        <v>15</v>
      </c>
      <c r="F581" s="181" t="s">
        <v>14</v>
      </c>
      <c r="G581" s="181" t="s">
        <v>647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</row>
    <row r="582" spans="1:15">
      <c r="A582" s="191">
        <v>44593</v>
      </c>
      <c r="B582" s="181" t="s">
        <v>132</v>
      </c>
      <c r="C582" s="181" t="s">
        <v>669</v>
      </c>
      <c r="D582" s="181" t="str">
        <f t="shared" si="12"/>
        <v>34105</v>
      </c>
      <c r="E582" s="181" t="s">
        <v>15</v>
      </c>
      <c r="F582" s="181" t="s">
        <v>14</v>
      </c>
      <c r="G582" s="181" t="s">
        <v>647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</row>
    <row r="583" spans="1:15">
      <c r="A583" s="191">
        <v>44593</v>
      </c>
      <c r="B583" s="181" t="s">
        <v>132</v>
      </c>
      <c r="C583" s="181" t="s">
        <v>670</v>
      </c>
      <c r="D583" s="181" t="str">
        <f t="shared" si="12"/>
        <v>34105</v>
      </c>
      <c r="E583" s="181" t="s">
        <v>15</v>
      </c>
      <c r="F583" s="181" t="s">
        <v>14</v>
      </c>
      <c r="G583" s="181" t="s">
        <v>647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</row>
    <row r="584" spans="1:15">
      <c r="A584" s="191">
        <v>44593</v>
      </c>
      <c r="B584" s="181" t="s">
        <v>132</v>
      </c>
      <c r="C584" s="181" t="s">
        <v>671</v>
      </c>
      <c r="D584" s="181" t="str">
        <f t="shared" si="12"/>
        <v>34105</v>
      </c>
      <c r="E584" s="181" t="s">
        <v>15</v>
      </c>
      <c r="F584" s="181" t="s">
        <v>14</v>
      </c>
      <c r="G584" s="181" t="s">
        <v>647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</row>
    <row r="585" spans="1:15">
      <c r="A585" s="191">
        <v>44621</v>
      </c>
      <c r="B585" s="181" t="s">
        <v>131</v>
      </c>
      <c r="C585" s="181" t="s">
        <v>669</v>
      </c>
      <c r="D585" s="181" t="str">
        <f t="shared" si="12"/>
        <v>34105</v>
      </c>
      <c r="E585" s="181" t="s">
        <v>15</v>
      </c>
      <c r="F585" s="181" t="s">
        <v>14</v>
      </c>
      <c r="G585" s="181" t="s">
        <v>647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</row>
    <row r="586" spans="1:15">
      <c r="A586" s="191">
        <v>44621</v>
      </c>
      <c r="B586" s="181" t="s">
        <v>131</v>
      </c>
      <c r="C586" s="181" t="s">
        <v>670</v>
      </c>
      <c r="D586" s="181" t="str">
        <f t="shared" si="12"/>
        <v>34105</v>
      </c>
      <c r="E586" s="181" t="s">
        <v>15</v>
      </c>
      <c r="F586" s="181" t="s">
        <v>14</v>
      </c>
      <c r="G586" s="181" t="s">
        <v>647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</row>
    <row r="587" spans="1:15">
      <c r="A587" s="191">
        <v>44621</v>
      </c>
      <c r="B587" s="181" t="s">
        <v>131</v>
      </c>
      <c r="C587" s="181" t="s">
        <v>671</v>
      </c>
      <c r="D587" s="181" t="str">
        <f t="shared" si="12"/>
        <v>34105</v>
      </c>
      <c r="E587" s="181" t="s">
        <v>15</v>
      </c>
      <c r="F587" s="181" t="s">
        <v>14</v>
      </c>
      <c r="G587" s="181" t="s">
        <v>647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</row>
    <row r="588" spans="1:15">
      <c r="A588" s="191">
        <v>44652</v>
      </c>
      <c r="B588" s="181" t="s">
        <v>130</v>
      </c>
      <c r="C588" s="181" t="s">
        <v>669</v>
      </c>
      <c r="D588" s="181" t="str">
        <f t="shared" si="12"/>
        <v>34105</v>
      </c>
      <c r="E588" s="181" t="s">
        <v>15</v>
      </c>
      <c r="F588" s="181" t="s">
        <v>14</v>
      </c>
      <c r="G588" s="181" t="s">
        <v>647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</row>
    <row r="589" spans="1:15">
      <c r="A589" s="191">
        <v>44652</v>
      </c>
      <c r="B589" s="181" t="s">
        <v>130</v>
      </c>
      <c r="C589" s="181" t="s">
        <v>670</v>
      </c>
      <c r="D589" s="181" t="str">
        <f t="shared" si="12"/>
        <v>34105</v>
      </c>
      <c r="E589" s="181" t="s">
        <v>15</v>
      </c>
      <c r="F589" s="181" t="s">
        <v>14</v>
      </c>
      <c r="G589" s="181" t="s">
        <v>647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</row>
    <row r="590" spans="1:15">
      <c r="A590" s="191">
        <v>44652</v>
      </c>
      <c r="B590" s="181" t="s">
        <v>130</v>
      </c>
      <c r="C590" s="181" t="s">
        <v>671</v>
      </c>
      <c r="D590" s="181" t="str">
        <f t="shared" si="12"/>
        <v>34105</v>
      </c>
      <c r="E590" s="181" t="s">
        <v>15</v>
      </c>
      <c r="F590" s="181" t="s">
        <v>14</v>
      </c>
      <c r="G590" s="181" t="s">
        <v>647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</row>
    <row r="591" spans="1:15">
      <c r="A591" s="191">
        <v>44682</v>
      </c>
      <c r="B591" s="181" t="s">
        <v>129</v>
      </c>
      <c r="C591" s="181" t="s">
        <v>669</v>
      </c>
      <c r="D591" s="181" t="str">
        <f t="shared" si="12"/>
        <v>34105</v>
      </c>
      <c r="E591" s="181" t="s">
        <v>15</v>
      </c>
      <c r="F591" s="181" t="s">
        <v>14</v>
      </c>
      <c r="G591" s="181" t="s">
        <v>647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</row>
    <row r="592" spans="1:15">
      <c r="A592" s="191">
        <v>44682</v>
      </c>
      <c r="B592" s="181" t="s">
        <v>129</v>
      </c>
      <c r="C592" s="181" t="s">
        <v>670</v>
      </c>
      <c r="D592" s="181" t="str">
        <f t="shared" si="12"/>
        <v>34105</v>
      </c>
      <c r="E592" s="181" t="s">
        <v>15</v>
      </c>
      <c r="F592" s="181" t="s">
        <v>14</v>
      </c>
      <c r="G592" s="181" t="s">
        <v>647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</row>
    <row r="593" spans="1:15">
      <c r="A593" s="191">
        <v>44682</v>
      </c>
      <c r="B593" s="181" t="s">
        <v>129</v>
      </c>
      <c r="C593" s="181" t="s">
        <v>671</v>
      </c>
      <c r="D593" s="181" t="str">
        <f t="shared" si="12"/>
        <v>34105</v>
      </c>
      <c r="E593" s="181" t="s">
        <v>15</v>
      </c>
      <c r="F593" s="181" t="s">
        <v>14</v>
      </c>
      <c r="G593" s="181" t="s">
        <v>647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</row>
    <row r="594" spans="1:15">
      <c r="A594" s="191">
        <v>44713</v>
      </c>
      <c r="B594" s="181" t="s">
        <v>128</v>
      </c>
      <c r="C594" s="181" t="s">
        <v>669</v>
      </c>
      <c r="D594" s="181" t="str">
        <f t="shared" si="12"/>
        <v>34105</v>
      </c>
      <c r="E594" s="181" t="s">
        <v>15</v>
      </c>
      <c r="F594" s="181" t="s">
        <v>14</v>
      </c>
      <c r="G594" s="181" t="s">
        <v>647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</row>
    <row r="595" spans="1:15">
      <c r="A595" s="191">
        <v>44713</v>
      </c>
      <c r="B595" s="181" t="s">
        <v>128</v>
      </c>
      <c r="C595" s="181" t="s">
        <v>670</v>
      </c>
      <c r="D595" s="181" t="str">
        <f t="shared" si="12"/>
        <v>34105</v>
      </c>
      <c r="E595" s="181" t="s">
        <v>15</v>
      </c>
      <c r="F595" s="181" t="s">
        <v>14</v>
      </c>
      <c r="G595" s="181" t="s">
        <v>647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</row>
    <row r="596" spans="1:15">
      <c r="A596" s="191">
        <v>44713</v>
      </c>
      <c r="B596" s="181" t="s">
        <v>128</v>
      </c>
      <c r="C596" s="181" t="s">
        <v>671</v>
      </c>
      <c r="D596" s="181" t="str">
        <f t="shared" si="12"/>
        <v>34105</v>
      </c>
      <c r="E596" s="181" t="s">
        <v>15</v>
      </c>
      <c r="F596" s="181" t="s">
        <v>14</v>
      </c>
      <c r="G596" s="181" t="s">
        <v>647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</row>
    <row r="597" spans="1:15">
      <c r="A597" s="191">
        <v>44743</v>
      </c>
      <c r="B597" s="181" t="s">
        <v>127</v>
      </c>
      <c r="C597" s="181" t="s">
        <v>669</v>
      </c>
      <c r="D597" s="181" t="str">
        <f t="shared" si="12"/>
        <v>34105</v>
      </c>
      <c r="E597" s="181" t="s">
        <v>15</v>
      </c>
      <c r="F597" s="181" t="s">
        <v>14</v>
      </c>
      <c r="G597" s="181" t="s">
        <v>647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</row>
    <row r="598" spans="1:15">
      <c r="A598" s="191">
        <v>44743</v>
      </c>
      <c r="B598" s="181" t="s">
        <v>127</v>
      </c>
      <c r="C598" s="181" t="s">
        <v>670</v>
      </c>
      <c r="D598" s="181" t="str">
        <f t="shared" si="12"/>
        <v>34105</v>
      </c>
      <c r="E598" s="181" t="s">
        <v>15</v>
      </c>
      <c r="F598" s="181" t="s">
        <v>14</v>
      </c>
      <c r="G598" s="181" t="s">
        <v>647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</row>
    <row r="599" spans="1:15">
      <c r="A599" s="191">
        <v>44743</v>
      </c>
      <c r="B599" s="181" t="s">
        <v>127</v>
      </c>
      <c r="C599" s="181" t="s">
        <v>671</v>
      </c>
      <c r="D599" s="181" t="str">
        <f t="shared" si="12"/>
        <v>34105</v>
      </c>
      <c r="E599" s="181" t="s">
        <v>15</v>
      </c>
      <c r="F599" s="181" t="s">
        <v>14</v>
      </c>
      <c r="G599" s="181" t="s">
        <v>647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</row>
    <row r="600" spans="1:15">
      <c r="A600" s="191">
        <v>44774</v>
      </c>
      <c r="B600" s="181" t="s">
        <v>126</v>
      </c>
      <c r="C600" s="181" t="s">
        <v>669</v>
      </c>
      <c r="D600" s="181" t="str">
        <f t="shared" si="12"/>
        <v>34105</v>
      </c>
      <c r="E600" s="181" t="s">
        <v>15</v>
      </c>
      <c r="F600" s="181" t="s">
        <v>14</v>
      </c>
      <c r="G600" s="181" t="s">
        <v>647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</row>
    <row r="601" spans="1:15">
      <c r="A601" s="191">
        <v>44774</v>
      </c>
      <c r="B601" s="181" t="s">
        <v>126</v>
      </c>
      <c r="C601" s="181" t="s">
        <v>670</v>
      </c>
      <c r="D601" s="181" t="str">
        <f t="shared" si="12"/>
        <v>34105</v>
      </c>
      <c r="E601" s="181" t="s">
        <v>15</v>
      </c>
      <c r="F601" s="181" t="s">
        <v>14</v>
      </c>
      <c r="G601" s="181" t="s">
        <v>647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</row>
    <row r="602" spans="1:15">
      <c r="A602" s="191">
        <v>44774</v>
      </c>
      <c r="B602" s="181" t="s">
        <v>126</v>
      </c>
      <c r="C602" s="181" t="s">
        <v>671</v>
      </c>
      <c r="D602" s="181" t="str">
        <f t="shared" si="12"/>
        <v>34105</v>
      </c>
      <c r="E602" s="181" t="s">
        <v>15</v>
      </c>
      <c r="F602" s="181" t="s">
        <v>14</v>
      </c>
      <c r="G602" s="181" t="s">
        <v>647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</row>
    <row r="603" spans="1:15">
      <c r="A603" s="191">
        <v>44805</v>
      </c>
      <c r="B603" s="181" t="s">
        <v>125</v>
      </c>
      <c r="C603" s="181" t="s">
        <v>669</v>
      </c>
      <c r="D603" s="181" t="str">
        <f t="shared" si="12"/>
        <v>34105</v>
      </c>
      <c r="E603" s="181" t="s">
        <v>15</v>
      </c>
      <c r="F603" s="181" t="s">
        <v>14</v>
      </c>
      <c r="G603" s="181" t="s">
        <v>647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</row>
    <row r="604" spans="1:15">
      <c r="A604" s="191">
        <v>44805</v>
      </c>
      <c r="B604" s="181" t="s">
        <v>125</v>
      </c>
      <c r="C604" s="181" t="s">
        <v>670</v>
      </c>
      <c r="D604" s="181" t="str">
        <f t="shared" si="12"/>
        <v>34105</v>
      </c>
      <c r="E604" s="181" t="s">
        <v>15</v>
      </c>
      <c r="F604" s="181" t="s">
        <v>14</v>
      </c>
      <c r="G604" s="181" t="s">
        <v>647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</row>
    <row r="605" spans="1:15">
      <c r="A605" s="191">
        <v>44805</v>
      </c>
      <c r="B605" s="181" t="s">
        <v>125</v>
      </c>
      <c r="C605" s="181" t="s">
        <v>671</v>
      </c>
      <c r="D605" s="181" t="str">
        <f t="shared" si="12"/>
        <v>34105</v>
      </c>
      <c r="E605" s="181" t="s">
        <v>15</v>
      </c>
      <c r="F605" s="181" t="s">
        <v>14</v>
      </c>
      <c r="G605" s="181" t="s">
        <v>647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</row>
    <row r="606" spans="1:15">
      <c r="A606" s="191">
        <v>44835</v>
      </c>
      <c r="B606" s="181" t="s">
        <v>124</v>
      </c>
      <c r="C606" s="181" t="s">
        <v>669</v>
      </c>
      <c r="D606" s="181" t="str">
        <f t="shared" si="12"/>
        <v>34105</v>
      </c>
      <c r="E606" s="181" t="s">
        <v>15</v>
      </c>
      <c r="F606" s="181" t="s">
        <v>14</v>
      </c>
      <c r="G606" s="181" t="s">
        <v>647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</row>
    <row r="607" spans="1:15">
      <c r="A607" s="191">
        <v>44835</v>
      </c>
      <c r="B607" s="181" t="s">
        <v>124</v>
      </c>
      <c r="C607" s="181" t="s">
        <v>670</v>
      </c>
      <c r="D607" s="181" t="str">
        <f t="shared" si="12"/>
        <v>34105</v>
      </c>
      <c r="E607" s="181" t="s">
        <v>15</v>
      </c>
      <c r="F607" s="181" t="s">
        <v>14</v>
      </c>
      <c r="G607" s="181" t="s">
        <v>647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</row>
    <row r="608" spans="1:15">
      <c r="A608" s="191">
        <v>44835</v>
      </c>
      <c r="B608" s="181" t="s">
        <v>124</v>
      </c>
      <c r="C608" s="181" t="s">
        <v>671</v>
      </c>
      <c r="D608" s="181" t="str">
        <f t="shared" si="12"/>
        <v>34105</v>
      </c>
      <c r="E608" s="181" t="s">
        <v>15</v>
      </c>
      <c r="F608" s="181" t="s">
        <v>14</v>
      </c>
      <c r="G608" s="181" t="s">
        <v>647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</row>
    <row r="609" spans="1:15">
      <c r="A609" s="191">
        <v>44866</v>
      </c>
      <c r="B609" s="181" t="s">
        <v>123</v>
      </c>
      <c r="C609" s="181" t="s">
        <v>669</v>
      </c>
      <c r="D609" s="181" t="str">
        <f t="shared" si="12"/>
        <v>34105</v>
      </c>
      <c r="E609" s="181" t="s">
        <v>15</v>
      </c>
      <c r="F609" s="181" t="s">
        <v>14</v>
      </c>
      <c r="G609" s="181" t="s">
        <v>647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</row>
    <row r="610" spans="1:15">
      <c r="A610" s="191">
        <v>44866</v>
      </c>
      <c r="B610" s="181" t="s">
        <v>123</v>
      </c>
      <c r="C610" s="181" t="s">
        <v>670</v>
      </c>
      <c r="D610" s="181" t="str">
        <f t="shared" si="12"/>
        <v>34105</v>
      </c>
      <c r="E610" s="181" t="s">
        <v>15</v>
      </c>
      <c r="F610" s="181" t="s">
        <v>14</v>
      </c>
      <c r="G610" s="181" t="s">
        <v>647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</row>
    <row r="611" spans="1:15">
      <c r="A611" s="191">
        <v>44866</v>
      </c>
      <c r="B611" s="181" t="s">
        <v>123</v>
      </c>
      <c r="C611" s="181" t="s">
        <v>671</v>
      </c>
      <c r="D611" s="181" t="str">
        <f t="shared" si="12"/>
        <v>34105</v>
      </c>
      <c r="E611" s="181" t="s">
        <v>15</v>
      </c>
      <c r="F611" s="181" t="s">
        <v>14</v>
      </c>
      <c r="G611" s="181" t="s">
        <v>647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</row>
    <row r="612" spans="1:15">
      <c r="A612" s="191">
        <v>44896</v>
      </c>
      <c r="B612" s="181" t="s">
        <v>122</v>
      </c>
      <c r="C612" s="181" t="s">
        <v>669</v>
      </c>
      <c r="D612" s="181" t="str">
        <f t="shared" si="12"/>
        <v>34105</v>
      </c>
      <c r="E612" s="181" t="s">
        <v>15</v>
      </c>
      <c r="F612" s="181" t="s">
        <v>14</v>
      </c>
      <c r="G612" s="181" t="s">
        <v>647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</row>
    <row r="613" spans="1:15">
      <c r="A613" s="191">
        <v>44896</v>
      </c>
      <c r="B613" s="181" t="s">
        <v>122</v>
      </c>
      <c r="C613" s="181" t="s">
        <v>670</v>
      </c>
      <c r="D613" s="181" t="str">
        <f t="shared" si="12"/>
        <v>34105</v>
      </c>
      <c r="E613" s="181" t="s">
        <v>15</v>
      </c>
      <c r="F613" s="181" t="s">
        <v>14</v>
      </c>
      <c r="G613" s="181" t="s">
        <v>647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</row>
    <row r="614" spans="1:15">
      <c r="A614" s="191">
        <v>44896</v>
      </c>
      <c r="B614" s="181" t="s">
        <v>122</v>
      </c>
      <c r="C614" s="181" t="s">
        <v>671</v>
      </c>
      <c r="D614" s="181" t="str">
        <f t="shared" si="12"/>
        <v>34105</v>
      </c>
      <c r="E614" s="181" t="s">
        <v>15</v>
      </c>
      <c r="F614" s="181" t="s">
        <v>14</v>
      </c>
      <c r="G614" s="181" t="s">
        <v>647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</row>
    <row r="615" spans="1:15">
      <c r="A615" s="191">
        <v>44531</v>
      </c>
      <c r="B615" s="181" t="s">
        <v>13</v>
      </c>
      <c r="C615" s="181" t="s">
        <v>672</v>
      </c>
      <c r="D615" s="181" t="str">
        <f t="shared" si="12"/>
        <v>34200</v>
      </c>
      <c r="E615" s="181" t="s">
        <v>15</v>
      </c>
      <c r="F615" s="181" t="s">
        <v>14</v>
      </c>
      <c r="G615" s="181" t="s">
        <v>647</v>
      </c>
      <c r="H615" s="8">
        <v>141116.85</v>
      </c>
      <c r="I615" s="8">
        <v>786.96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141903.81</v>
      </c>
    </row>
    <row r="616" spans="1:15">
      <c r="A616" s="191">
        <v>44531</v>
      </c>
      <c r="B616" s="181" t="s">
        <v>13</v>
      </c>
      <c r="C616" s="181" t="s">
        <v>673</v>
      </c>
      <c r="D616" s="181" t="str">
        <f t="shared" si="12"/>
        <v>34200</v>
      </c>
      <c r="E616" s="181" t="s">
        <v>15</v>
      </c>
      <c r="F616" s="181" t="s">
        <v>14</v>
      </c>
      <c r="G616" s="181" t="s">
        <v>647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</row>
    <row r="617" spans="1:15">
      <c r="A617" s="191">
        <v>44531</v>
      </c>
      <c r="B617" s="181" t="s">
        <v>13</v>
      </c>
      <c r="C617" s="181" t="s">
        <v>674</v>
      </c>
      <c r="D617" s="181" t="str">
        <f t="shared" si="12"/>
        <v>34200</v>
      </c>
      <c r="E617" s="181" t="s">
        <v>15</v>
      </c>
      <c r="F617" s="181" t="s">
        <v>14</v>
      </c>
      <c r="G617" s="181" t="s">
        <v>647</v>
      </c>
      <c r="H617" s="8">
        <v>44186.71</v>
      </c>
      <c r="I617" s="8">
        <v>1278.8700000000001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45465.58</v>
      </c>
    </row>
    <row r="618" spans="1:15">
      <c r="A618" s="191">
        <v>44531</v>
      </c>
      <c r="B618" s="181" t="s">
        <v>13</v>
      </c>
      <c r="C618" s="181" t="s">
        <v>675</v>
      </c>
      <c r="D618" s="181" t="str">
        <f t="shared" si="12"/>
        <v>34200</v>
      </c>
      <c r="E618" s="181" t="s">
        <v>15</v>
      </c>
      <c r="F618" s="181" t="s">
        <v>14</v>
      </c>
      <c r="G618" s="181" t="s">
        <v>647</v>
      </c>
      <c r="H618" s="8">
        <v>1216050.8700000001</v>
      </c>
      <c r="I618" s="8">
        <v>10127.27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1226178.1400000001</v>
      </c>
    </row>
    <row r="619" spans="1:15">
      <c r="A619" s="191">
        <v>44531</v>
      </c>
      <c r="B619" s="181" t="s">
        <v>13</v>
      </c>
      <c r="C619" s="181" t="s">
        <v>676</v>
      </c>
      <c r="D619" s="181" t="str">
        <f t="shared" si="12"/>
        <v>34200</v>
      </c>
      <c r="E619" s="181" t="s">
        <v>15</v>
      </c>
      <c r="F619" s="181" t="s">
        <v>14</v>
      </c>
      <c r="G619" s="181" t="s">
        <v>647</v>
      </c>
      <c r="H619" s="8">
        <v>1216050.8700000001</v>
      </c>
      <c r="I619" s="8">
        <v>10127.27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1226178.1400000001</v>
      </c>
    </row>
    <row r="620" spans="1:15">
      <c r="A620" s="191">
        <v>44531</v>
      </c>
      <c r="B620" s="181" t="s">
        <v>13</v>
      </c>
      <c r="C620" s="181" t="s">
        <v>677</v>
      </c>
      <c r="D620" s="181" t="str">
        <f t="shared" si="12"/>
        <v>34200</v>
      </c>
      <c r="E620" s="181" t="s">
        <v>15</v>
      </c>
      <c r="F620" s="181" t="s">
        <v>14</v>
      </c>
      <c r="G620" s="181" t="s">
        <v>647</v>
      </c>
      <c r="H620" s="8">
        <v>54239.42</v>
      </c>
      <c r="I620" s="8">
        <v>1115.5899999999999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55355.01</v>
      </c>
    </row>
    <row r="621" spans="1:15">
      <c r="A621" s="191">
        <v>44531</v>
      </c>
      <c r="B621" s="181" t="s">
        <v>13</v>
      </c>
      <c r="C621" s="181" t="s">
        <v>672</v>
      </c>
      <c r="D621" s="181" t="str">
        <f t="shared" si="12"/>
        <v>34200</v>
      </c>
      <c r="E621" s="181" t="s">
        <v>15</v>
      </c>
      <c r="F621" s="181" t="s">
        <v>14</v>
      </c>
      <c r="G621" s="181" t="s">
        <v>793</v>
      </c>
      <c r="H621" s="8">
        <v>112095.69</v>
      </c>
      <c r="I621" s="8">
        <v>156.88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112252.57</v>
      </c>
    </row>
    <row r="622" spans="1:15">
      <c r="A622" s="191">
        <v>44531</v>
      </c>
      <c r="B622" s="181" t="s">
        <v>13</v>
      </c>
      <c r="C622" s="181" t="s">
        <v>674</v>
      </c>
      <c r="D622" s="181" t="str">
        <f t="shared" si="12"/>
        <v>34200</v>
      </c>
      <c r="E622" s="181" t="s">
        <v>15</v>
      </c>
      <c r="F622" s="181" t="s">
        <v>14</v>
      </c>
      <c r="G622" s="181" t="s">
        <v>793</v>
      </c>
      <c r="H622" s="8">
        <v>5373.4000000000005</v>
      </c>
      <c r="I622" s="8">
        <v>155.53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5528.93</v>
      </c>
    </row>
    <row r="623" spans="1:15">
      <c r="A623" s="191">
        <v>44531</v>
      </c>
      <c r="B623" s="181" t="s">
        <v>13</v>
      </c>
      <c r="C623" s="181" t="s">
        <v>675</v>
      </c>
      <c r="D623" s="181" t="str">
        <f t="shared" si="12"/>
        <v>34200</v>
      </c>
      <c r="E623" s="181" t="s">
        <v>15</v>
      </c>
      <c r="F623" s="181" t="s">
        <v>14</v>
      </c>
      <c r="G623" s="181" t="s">
        <v>793</v>
      </c>
      <c r="H623" s="8">
        <v>133081.60000000001</v>
      </c>
      <c r="I623" s="8">
        <v>1231.6100000000001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134313.21</v>
      </c>
    </row>
    <row r="624" spans="1:15">
      <c r="A624" s="191">
        <v>44531</v>
      </c>
      <c r="B624" s="181" t="s">
        <v>13</v>
      </c>
      <c r="C624" s="181" t="s">
        <v>676</v>
      </c>
      <c r="D624" s="181" t="str">
        <f t="shared" si="12"/>
        <v>34200</v>
      </c>
      <c r="E624" s="181" t="s">
        <v>15</v>
      </c>
      <c r="F624" s="181" t="s">
        <v>14</v>
      </c>
      <c r="G624" s="181" t="s">
        <v>793</v>
      </c>
      <c r="H624" s="8">
        <v>133081.60000000001</v>
      </c>
      <c r="I624" s="8">
        <v>1231.6100000000001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134313.21</v>
      </c>
    </row>
    <row r="625" spans="1:15">
      <c r="A625" s="191">
        <v>44531</v>
      </c>
      <c r="B625" s="181" t="s">
        <v>13</v>
      </c>
      <c r="C625" s="181" t="s">
        <v>677</v>
      </c>
      <c r="D625" s="181" t="str">
        <f t="shared" si="12"/>
        <v>34200</v>
      </c>
      <c r="E625" s="181" t="s">
        <v>15</v>
      </c>
      <c r="F625" s="181" t="s">
        <v>14</v>
      </c>
      <c r="G625" s="181" t="s">
        <v>793</v>
      </c>
      <c r="H625" s="8">
        <v>2100.85</v>
      </c>
      <c r="I625" s="8">
        <v>43.21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2144.06</v>
      </c>
    </row>
    <row r="626" spans="1:15">
      <c r="A626" s="191">
        <v>44562</v>
      </c>
      <c r="B626" s="181" t="s">
        <v>133</v>
      </c>
      <c r="C626" s="181" t="s">
        <v>672</v>
      </c>
      <c r="D626" s="181" t="str">
        <f t="shared" si="12"/>
        <v>34200</v>
      </c>
      <c r="E626" s="181" t="s">
        <v>15</v>
      </c>
      <c r="F626" s="181" t="s">
        <v>14</v>
      </c>
      <c r="G626" s="181" t="s">
        <v>647</v>
      </c>
      <c r="H626" s="8">
        <v>141903.81</v>
      </c>
      <c r="I626" s="8">
        <v>786.96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142690.76999999999</v>
      </c>
    </row>
    <row r="627" spans="1:15">
      <c r="A627" s="191">
        <v>44562</v>
      </c>
      <c r="B627" s="181" t="s">
        <v>133</v>
      </c>
      <c r="C627" s="181" t="s">
        <v>673</v>
      </c>
      <c r="D627" s="181" t="str">
        <f t="shared" si="12"/>
        <v>34200</v>
      </c>
      <c r="E627" s="181" t="s">
        <v>15</v>
      </c>
      <c r="F627" s="181" t="s">
        <v>14</v>
      </c>
      <c r="G627" s="181" t="s">
        <v>647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</row>
    <row r="628" spans="1:15">
      <c r="A628" s="191">
        <v>44562</v>
      </c>
      <c r="B628" s="181" t="s">
        <v>133</v>
      </c>
      <c r="C628" s="181" t="s">
        <v>674</v>
      </c>
      <c r="D628" s="181" t="str">
        <f t="shared" si="12"/>
        <v>34200</v>
      </c>
      <c r="E628" s="181" t="s">
        <v>15</v>
      </c>
      <c r="F628" s="181" t="s">
        <v>14</v>
      </c>
      <c r="G628" s="181" t="s">
        <v>647</v>
      </c>
      <c r="H628" s="8">
        <v>45465.58</v>
      </c>
      <c r="I628" s="8">
        <v>1278.8700000000001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46744.450000000004</v>
      </c>
    </row>
    <row r="629" spans="1:15">
      <c r="A629" s="191">
        <v>44562</v>
      </c>
      <c r="B629" s="181" t="s">
        <v>133</v>
      </c>
      <c r="C629" s="181" t="s">
        <v>675</v>
      </c>
      <c r="D629" s="181" t="str">
        <f t="shared" si="12"/>
        <v>34200</v>
      </c>
      <c r="E629" s="181" t="s">
        <v>15</v>
      </c>
      <c r="F629" s="181" t="s">
        <v>14</v>
      </c>
      <c r="G629" s="181" t="s">
        <v>647</v>
      </c>
      <c r="H629" s="8">
        <v>1226178.1400000001</v>
      </c>
      <c r="I629" s="8">
        <v>10127.27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1236305.4099999999</v>
      </c>
    </row>
    <row r="630" spans="1:15">
      <c r="A630" s="191">
        <v>44562</v>
      </c>
      <c r="B630" s="181" t="s">
        <v>133</v>
      </c>
      <c r="C630" s="181" t="s">
        <v>676</v>
      </c>
      <c r="D630" s="181" t="str">
        <f t="shared" si="12"/>
        <v>34200</v>
      </c>
      <c r="E630" s="181" t="s">
        <v>15</v>
      </c>
      <c r="F630" s="181" t="s">
        <v>14</v>
      </c>
      <c r="G630" s="181" t="s">
        <v>647</v>
      </c>
      <c r="H630" s="8">
        <v>1226178.1400000001</v>
      </c>
      <c r="I630" s="8">
        <v>10127.27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1236305.4099999999</v>
      </c>
    </row>
    <row r="631" spans="1:15">
      <c r="A631" s="191">
        <v>44562</v>
      </c>
      <c r="B631" s="181" t="s">
        <v>133</v>
      </c>
      <c r="C631" s="181" t="s">
        <v>677</v>
      </c>
      <c r="D631" s="181" t="str">
        <f t="shared" si="12"/>
        <v>34200</v>
      </c>
      <c r="E631" s="181" t="s">
        <v>15</v>
      </c>
      <c r="F631" s="181" t="s">
        <v>14</v>
      </c>
      <c r="G631" s="181" t="s">
        <v>647</v>
      </c>
      <c r="H631" s="8">
        <v>55355.01</v>
      </c>
      <c r="I631" s="8">
        <v>1115.5899999999999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56470.6</v>
      </c>
    </row>
    <row r="632" spans="1:15">
      <c r="A632" s="191">
        <v>44562</v>
      </c>
      <c r="B632" s="181" t="s">
        <v>133</v>
      </c>
      <c r="C632" s="181" t="s">
        <v>672</v>
      </c>
      <c r="D632" s="181" t="str">
        <f t="shared" si="12"/>
        <v>34200</v>
      </c>
      <c r="E632" s="181" t="s">
        <v>15</v>
      </c>
      <c r="F632" s="181" t="s">
        <v>14</v>
      </c>
      <c r="G632" s="181" t="s">
        <v>793</v>
      </c>
      <c r="H632" s="8">
        <v>112252.57</v>
      </c>
      <c r="I632" s="8">
        <v>156.88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112409.45</v>
      </c>
    </row>
    <row r="633" spans="1:15">
      <c r="A633" s="191">
        <v>44562</v>
      </c>
      <c r="B633" s="181" t="s">
        <v>133</v>
      </c>
      <c r="C633" s="181" t="s">
        <v>674</v>
      </c>
      <c r="D633" s="181" t="str">
        <f t="shared" si="12"/>
        <v>34200</v>
      </c>
      <c r="E633" s="181" t="s">
        <v>15</v>
      </c>
      <c r="F633" s="181" t="s">
        <v>14</v>
      </c>
      <c r="G633" s="181" t="s">
        <v>793</v>
      </c>
      <c r="H633" s="8">
        <v>5528.93</v>
      </c>
      <c r="I633" s="8">
        <v>155.53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5684.46</v>
      </c>
    </row>
    <row r="634" spans="1:15">
      <c r="A634" s="191">
        <v>44562</v>
      </c>
      <c r="B634" s="181" t="s">
        <v>133</v>
      </c>
      <c r="C634" s="181" t="s">
        <v>675</v>
      </c>
      <c r="D634" s="181" t="str">
        <f t="shared" si="12"/>
        <v>34200</v>
      </c>
      <c r="E634" s="181" t="s">
        <v>15</v>
      </c>
      <c r="F634" s="181" t="s">
        <v>14</v>
      </c>
      <c r="G634" s="181" t="s">
        <v>793</v>
      </c>
      <c r="H634" s="8">
        <v>134313.21</v>
      </c>
      <c r="I634" s="8">
        <v>1231.6100000000001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135544.82</v>
      </c>
    </row>
    <row r="635" spans="1:15">
      <c r="A635" s="191">
        <v>44562</v>
      </c>
      <c r="B635" s="181" t="s">
        <v>133</v>
      </c>
      <c r="C635" s="181" t="s">
        <v>676</v>
      </c>
      <c r="D635" s="181" t="str">
        <f t="shared" si="12"/>
        <v>34200</v>
      </c>
      <c r="E635" s="181" t="s">
        <v>15</v>
      </c>
      <c r="F635" s="181" t="s">
        <v>14</v>
      </c>
      <c r="G635" s="181" t="s">
        <v>793</v>
      </c>
      <c r="H635" s="8">
        <v>134313.21</v>
      </c>
      <c r="I635" s="8">
        <v>1231.6100000000001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135544.82</v>
      </c>
    </row>
    <row r="636" spans="1:15">
      <c r="A636" s="191">
        <v>44562</v>
      </c>
      <c r="B636" s="181" t="s">
        <v>133</v>
      </c>
      <c r="C636" s="181" t="s">
        <v>677</v>
      </c>
      <c r="D636" s="181" t="str">
        <f t="shared" si="12"/>
        <v>34200</v>
      </c>
      <c r="E636" s="181" t="s">
        <v>15</v>
      </c>
      <c r="F636" s="181" t="s">
        <v>14</v>
      </c>
      <c r="G636" s="181" t="s">
        <v>793</v>
      </c>
      <c r="H636" s="8">
        <v>2144.06</v>
      </c>
      <c r="I636" s="8">
        <v>43.21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2187.27</v>
      </c>
    </row>
    <row r="637" spans="1:15">
      <c r="A637" s="191">
        <v>44593</v>
      </c>
      <c r="B637" s="181" t="s">
        <v>132</v>
      </c>
      <c r="C637" s="181" t="s">
        <v>672</v>
      </c>
      <c r="D637" s="181" t="str">
        <f t="shared" si="12"/>
        <v>34200</v>
      </c>
      <c r="E637" s="181" t="s">
        <v>15</v>
      </c>
      <c r="F637" s="181" t="s">
        <v>14</v>
      </c>
      <c r="G637" s="181" t="s">
        <v>647</v>
      </c>
      <c r="H637" s="8">
        <v>142690.76999999999</v>
      </c>
      <c r="I637" s="8">
        <v>786.96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143477.73000000001</v>
      </c>
    </row>
    <row r="638" spans="1:15">
      <c r="A638" s="191">
        <v>44593</v>
      </c>
      <c r="B638" s="181" t="s">
        <v>132</v>
      </c>
      <c r="C638" s="181" t="s">
        <v>673</v>
      </c>
      <c r="D638" s="181" t="str">
        <f t="shared" si="12"/>
        <v>34200</v>
      </c>
      <c r="E638" s="181" t="s">
        <v>15</v>
      </c>
      <c r="F638" s="181" t="s">
        <v>14</v>
      </c>
      <c r="G638" s="181" t="s">
        <v>647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</row>
    <row r="639" spans="1:15">
      <c r="A639" s="191">
        <v>44593</v>
      </c>
      <c r="B639" s="181" t="s">
        <v>132</v>
      </c>
      <c r="C639" s="181" t="s">
        <v>674</v>
      </c>
      <c r="D639" s="181" t="str">
        <f t="shared" si="12"/>
        <v>34200</v>
      </c>
      <c r="E639" s="181" t="s">
        <v>15</v>
      </c>
      <c r="F639" s="181" t="s">
        <v>14</v>
      </c>
      <c r="G639" s="181" t="s">
        <v>647</v>
      </c>
      <c r="H639" s="8">
        <v>46744.450000000004</v>
      </c>
      <c r="I639" s="8">
        <v>1278.8700000000001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48023.32</v>
      </c>
    </row>
    <row r="640" spans="1:15">
      <c r="A640" s="191">
        <v>44593</v>
      </c>
      <c r="B640" s="181" t="s">
        <v>132</v>
      </c>
      <c r="C640" s="181" t="s">
        <v>675</v>
      </c>
      <c r="D640" s="181" t="str">
        <f t="shared" si="12"/>
        <v>34200</v>
      </c>
      <c r="E640" s="181" t="s">
        <v>15</v>
      </c>
      <c r="F640" s="181" t="s">
        <v>14</v>
      </c>
      <c r="G640" s="181" t="s">
        <v>647</v>
      </c>
      <c r="H640" s="8">
        <v>1236305.4099999999</v>
      </c>
      <c r="I640" s="8">
        <v>10127.27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1246432.68</v>
      </c>
    </row>
    <row r="641" spans="1:15">
      <c r="A641" s="191">
        <v>44593</v>
      </c>
      <c r="B641" s="181" t="s">
        <v>132</v>
      </c>
      <c r="C641" s="181" t="s">
        <v>676</v>
      </c>
      <c r="D641" s="181" t="str">
        <f t="shared" si="12"/>
        <v>34200</v>
      </c>
      <c r="E641" s="181" t="s">
        <v>15</v>
      </c>
      <c r="F641" s="181" t="s">
        <v>14</v>
      </c>
      <c r="G641" s="181" t="s">
        <v>647</v>
      </c>
      <c r="H641" s="8">
        <v>1236305.4099999999</v>
      </c>
      <c r="I641" s="8">
        <v>10127.27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1246432.68</v>
      </c>
    </row>
    <row r="642" spans="1:15">
      <c r="A642" s="191">
        <v>44593</v>
      </c>
      <c r="B642" s="181" t="s">
        <v>132</v>
      </c>
      <c r="C642" s="181" t="s">
        <v>677</v>
      </c>
      <c r="D642" s="181" t="str">
        <f t="shared" ref="D642:D705" si="13">MID(C642,10,5)</f>
        <v>34200</v>
      </c>
      <c r="E642" s="181" t="s">
        <v>15</v>
      </c>
      <c r="F642" s="181" t="s">
        <v>14</v>
      </c>
      <c r="G642" s="181" t="s">
        <v>647</v>
      </c>
      <c r="H642" s="8">
        <v>56470.6</v>
      </c>
      <c r="I642" s="8">
        <v>1115.5899999999999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57586.19</v>
      </c>
    </row>
    <row r="643" spans="1:15">
      <c r="A643" s="191">
        <v>44593</v>
      </c>
      <c r="B643" s="181" t="s">
        <v>132</v>
      </c>
      <c r="C643" s="181" t="s">
        <v>672</v>
      </c>
      <c r="D643" s="181" t="str">
        <f t="shared" si="13"/>
        <v>34200</v>
      </c>
      <c r="E643" s="181" t="s">
        <v>15</v>
      </c>
      <c r="F643" s="181" t="s">
        <v>14</v>
      </c>
      <c r="G643" s="181" t="s">
        <v>793</v>
      </c>
      <c r="H643" s="8">
        <v>112409.45</v>
      </c>
      <c r="I643" s="8">
        <v>156.88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112566.33</v>
      </c>
    </row>
    <row r="644" spans="1:15">
      <c r="A644" s="191">
        <v>44593</v>
      </c>
      <c r="B644" s="181" t="s">
        <v>132</v>
      </c>
      <c r="C644" s="181" t="s">
        <v>674</v>
      </c>
      <c r="D644" s="181" t="str">
        <f t="shared" si="13"/>
        <v>34200</v>
      </c>
      <c r="E644" s="181" t="s">
        <v>15</v>
      </c>
      <c r="F644" s="181" t="s">
        <v>14</v>
      </c>
      <c r="G644" s="181" t="s">
        <v>793</v>
      </c>
      <c r="H644" s="8">
        <v>5684.46</v>
      </c>
      <c r="I644" s="8">
        <v>155.53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5839.99</v>
      </c>
    </row>
    <row r="645" spans="1:15">
      <c r="A645" s="191">
        <v>44593</v>
      </c>
      <c r="B645" s="181" t="s">
        <v>132</v>
      </c>
      <c r="C645" s="181" t="s">
        <v>675</v>
      </c>
      <c r="D645" s="181" t="str">
        <f t="shared" si="13"/>
        <v>34200</v>
      </c>
      <c r="E645" s="181" t="s">
        <v>15</v>
      </c>
      <c r="F645" s="181" t="s">
        <v>14</v>
      </c>
      <c r="G645" s="181" t="s">
        <v>793</v>
      </c>
      <c r="H645" s="8">
        <v>135544.82</v>
      </c>
      <c r="I645" s="8">
        <v>1231.6100000000001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136776.43</v>
      </c>
    </row>
    <row r="646" spans="1:15">
      <c r="A646" s="191">
        <v>44593</v>
      </c>
      <c r="B646" s="181" t="s">
        <v>132</v>
      </c>
      <c r="C646" s="181" t="s">
        <v>676</v>
      </c>
      <c r="D646" s="181" t="str">
        <f t="shared" si="13"/>
        <v>34200</v>
      </c>
      <c r="E646" s="181" t="s">
        <v>15</v>
      </c>
      <c r="F646" s="181" t="s">
        <v>14</v>
      </c>
      <c r="G646" s="181" t="s">
        <v>793</v>
      </c>
      <c r="H646" s="8">
        <v>135544.82</v>
      </c>
      <c r="I646" s="8">
        <v>1231.6100000000001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136776.43</v>
      </c>
    </row>
    <row r="647" spans="1:15">
      <c r="A647" s="191">
        <v>44593</v>
      </c>
      <c r="B647" s="181" t="s">
        <v>132</v>
      </c>
      <c r="C647" s="181" t="s">
        <v>677</v>
      </c>
      <c r="D647" s="181" t="str">
        <f t="shared" si="13"/>
        <v>34200</v>
      </c>
      <c r="E647" s="181" t="s">
        <v>15</v>
      </c>
      <c r="F647" s="181" t="s">
        <v>14</v>
      </c>
      <c r="G647" s="181" t="s">
        <v>793</v>
      </c>
      <c r="H647" s="8">
        <v>2187.27</v>
      </c>
      <c r="I647" s="8">
        <v>43.21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2230.48</v>
      </c>
    </row>
    <row r="648" spans="1:15">
      <c r="A648" s="191">
        <v>44621</v>
      </c>
      <c r="B648" s="181" t="s">
        <v>131</v>
      </c>
      <c r="C648" s="181" t="s">
        <v>672</v>
      </c>
      <c r="D648" s="181" t="str">
        <f t="shared" si="13"/>
        <v>34200</v>
      </c>
      <c r="E648" s="181" t="s">
        <v>15</v>
      </c>
      <c r="F648" s="181" t="s">
        <v>14</v>
      </c>
      <c r="G648" s="181" t="s">
        <v>647</v>
      </c>
      <c r="H648" s="8">
        <v>143477.73000000001</v>
      </c>
      <c r="I648" s="8">
        <v>786.96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144264.69</v>
      </c>
    </row>
    <row r="649" spans="1:15">
      <c r="A649" s="191">
        <v>44621</v>
      </c>
      <c r="B649" s="181" t="s">
        <v>131</v>
      </c>
      <c r="C649" s="181" t="s">
        <v>673</v>
      </c>
      <c r="D649" s="181" t="str">
        <f t="shared" si="13"/>
        <v>34200</v>
      </c>
      <c r="E649" s="181" t="s">
        <v>15</v>
      </c>
      <c r="F649" s="181" t="s">
        <v>14</v>
      </c>
      <c r="G649" s="181" t="s">
        <v>647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</row>
    <row r="650" spans="1:15">
      <c r="A650" s="191">
        <v>44621</v>
      </c>
      <c r="B650" s="181" t="s">
        <v>131</v>
      </c>
      <c r="C650" s="181" t="s">
        <v>674</v>
      </c>
      <c r="D650" s="181" t="str">
        <f t="shared" si="13"/>
        <v>34200</v>
      </c>
      <c r="E650" s="181" t="s">
        <v>15</v>
      </c>
      <c r="F650" s="181" t="s">
        <v>14</v>
      </c>
      <c r="G650" s="181" t="s">
        <v>647</v>
      </c>
      <c r="H650" s="8">
        <v>48023.32</v>
      </c>
      <c r="I650" s="8">
        <v>1278.8700000000001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49302.19</v>
      </c>
    </row>
    <row r="651" spans="1:15">
      <c r="A651" s="191">
        <v>44621</v>
      </c>
      <c r="B651" s="181" t="s">
        <v>131</v>
      </c>
      <c r="C651" s="181" t="s">
        <v>675</v>
      </c>
      <c r="D651" s="181" t="str">
        <f t="shared" si="13"/>
        <v>34200</v>
      </c>
      <c r="E651" s="181" t="s">
        <v>15</v>
      </c>
      <c r="F651" s="181" t="s">
        <v>14</v>
      </c>
      <c r="G651" s="181" t="s">
        <v>647</v>
      </c>
      <c r="H651" s="8">
        <v>1246432.68</v>
      </c>
      <c r="I651" s="8">
        <v>10127.27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1256559.95</v>
      </c>
    </row>
    <row r="652" spans="1:15">
      <c r="A652" s="191">
        <v>44621</v>
      </c>
      <c r="B652" s="181" t="s">
        <v>131</v>
      </c>
      <c r="C652" s="181" t="s">
        <v>676</v>
      </c>
      <c r="D652" s="181" t="str">
        <f t="shared" si="13"/>
        <v>34200</v>
      </c>
      <c r="E652" s="181" t="s">
        <v>15</v>
      </c>
      <c r="F652" s="181" t="s">
        <v>14</v>
      </c>
      <c r="G652" s="181" t="s">
        <v>647</v>
      </c>
      <c r="H652" s="8">
        <v>1246432.68</v>
      </c>
      <c r="I652" s="8">
        <v>10127.27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1256559.95</v>
      </c>
    </row>
    <row r="653" spans="1:15">
      <c r="A653" s="191">
        <v>44621</v>
      </c>
      <c r="B653" s="181" t="s">
        <v>131</v>
      </c>
      <c r="C653" s="181" t="s">
        <v>677</v>
      </c>
      <c r="D653" s="181" t="str">
        <f t="shared" si="13"/>
        <v>34200</v>
      </c>
      <c r="E653" s="181" t="s">
        <v>15</v>
      </c>
      <c r="F653" s="181" t="s">
        <v>14</v>
      </c>
      <c r="G653" s="181" t="s">
        <v>647</v>
      </c>
      <c r="H653" s="8">
        <v>57586.19</v>
      </c>
      <c r="I653" s="8">
        <v>1115.5899999999999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58701.78</v>
      </c>
    </row>
    <row r="654" spans="1:15">
      <c r="A654" s="191">
        <v>44621</v>
      </c>
      <c r="B654" s="181" t="s">
        <v>131</v>
      </c>
      <c r="C654" s="181" t="s">
        <v>672</v>
      </c>
      <c r="D654" s="181" t="str">
        <f t="shared" si="13"/>
        <v>34200</v>
      </c>
      <c r="E654" s="181" t="s">
        <v>15</v>
      </c>
      <c r="F654" s="181" t="s">
        <v>14</v>
      </c>
      <c r="G654" s="181" t="s">
        <v>793</v>
      </c>
      <c r="H654" s="8">
        <v>112566.33</v>
      </c>
      <c r="I654" s="8">
        <v>156.88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112723.21</v>
      </c>
    </row>
    <row r="655" spans="1:15">
      <c r="A655" s="191">
        <v>44621</v>
      </c>
      <c r="B655" s="181" t="s">
        <v>131</v>
      </c>
      <c r="C655" s="181" t="s">
        <v>674</v>
      </c>
      <c r="D655" s="181" t="str">
        <f t="shared" si="13"/>
        <v>34200</v>
      </c>
      <c r="E655" s="181" t="s">
        <v>15</v>
      </c>
      <c r="F655" s="181" t="s">
        <v>14</v>
      </c>
      <c r="G655" s="181" t="s">
        <v>793</v>
      </c>
      <c r="H655" s="8">
        <v>5839.99</v>
      </c>
      <c r="I655" s="8">
        <v>155.53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5995.52</v>
      </c>
    </row>
    <row r="656" spans="1:15">
      <c r="A656" s="191">
        <v>44621</v>
      </c>
      <c r="B656" s="181" t="s">
        <v>131</v>
      </c>
      <c r="C656" s="181" t="s">
        <v>675</v>
      </c>
      <c r="D656" s="181" t="str">
        <f t="shared" si="13"/>
        <v>34200</v>
      </c>
      <c r="E656" s="181" t="s">
        <v>15</v>
      </c>
      <c r="F656" s="181" t="s">
        <v>14</v>
      </c>
      <c r="G656" s="181" t="s">
        <v>793</v>
      </c>
      <c r="H656" s="8">
        <v>136776.43</v>
      </c>
      <c r="I656" s="8">
        <v>1231.6100000000001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138008.04</v>
      </c>
    </row>
    <row r="657" spans="1:15">
      <c r="A657" s="191">
        <v>44621</v>
      </c>
      <c r="B657" s="181" t="s">
        <v>131</v>
      </c>
      <c r="C657" s="181" t="s">
        <v>676</v>
      </c>
      <c r="D657" s="181" t="str">
        <f t="shared" si="13"/>
        <v>34200</v>
      </c>
      <c r="E657" s="181" t="s">
        <v>15</v>
      </c>
      <c r="F657" s="181" t="s">
        <v>14</v>
      </c>
      <c r="G657" s="181" t="s">
        <v>793</v>
      </c>
      <c r="H657" s="8">
        <v>136776.43</v>
      </c>
      <c r="I657" s="8">
        <v>1231.6100000000001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138008.04</v>
      </c>
    </row>
    <row r="658" spans="1:15">
      <c r="A658" s="191">
        <v>44621</v>
      </c>
      <c r="B658" s="181" t="s">
        <v>131</v>
      </c>
      <c r="C658" s="181" t="s">
        <v>677</v>
      </c>
      <c r="D658" s="181" t="str">
        <f t="shared" si="13"/>
        <v>34200</v>
      </c>
      <c r="E658" s="181" t="s">
        <v>15</v>
      </c>
      <c r="F658" s="181" t="s">
        <v>14</v>
      </c>
      <c r="G658" s="181" t="s">
        <v>793</v>
      </c>
      <c r="H658" s="8">
        <v>2230.48</v>
      </c>
      <c r="I658" s="8">
        <v>43.21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2273.69</v>
      </c>
    </row>
    <row r="659" spans="1:15">
      <c r="A659" s="191">
        <v>44652</v>
      </c>
      <c r="B659" s="181" t="s">
        <v>130</v>
      </c>
      <c r="C659" s="181" t="s">
        <v>672</v>
      </c>
      <c r="D659" s="181" t="str">
        <f t="shared" si="13"/>
        <v>34200</v>
      </c>
      <c r="E659" s="181" t="s">
        <v>15</v>
      </c>
      <c r="F659" s="181" t="s">
        <v>14</v>
      </c>
      <c r="G659" s="181" t="s">
        <v>647</v>
      </c>
      <c r="H659" s="8">
        <v>144264.69</v>
      </c>
      <c r="I659" s="8">
        <v>786.96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145051.65</v>
      </c>
    </row>
    <row r="660" spans="1:15">
      <c r="A660" s="191">
        <v>44652</v>
      </c>
      <c r="B660" s="181" t="s">
        <v>130</v>
      </c>
      <c r="C660" s="181" t="s">
        <v>673</v>
      </c>
      <c r="D660" s="181" t="str">
        <f t="shared" si="13"/>
        <v>34200</v>
      </c>
      <c r="E660" s="181" t="s">
        <v>15</v>
      </c>
      <c r="F660" s="181" t="s">
        <v>14</v>
      </c>
      <c r="G660" s="181" t="s">
        <v>647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</row>
    <row r="661" spans="1:15">
      <c r="A661" s="191">
        <v>44652</v>
      </c>
      <c r="B661" s="181" t="s">
        <v>130</v>
      </c>
      <c r="C661" s="181" t="s">
        <v>674</v>
      </c>
      <c r="D661" s="181" t="str">
        <f t="shared" si="13"/>
        <v>34200</v>
      </c>
      <c r="E661" s="181" t="s">
        <v>15</v>
      </c>
      <c r="F661" s="181" t="s">
        <v>14</v>
      </c>
      <c r="G661" s="181" t="s">
        <v>647</v>
      </c>
      <c r="H661" s="8">
        <v>49302.19</v>
      </c>
      <c r="I661" s="8">
        <v>1278.8700000000001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50581.06</v>
      </c>
    </row>
    <row r="662" spans="1:15">
      <c r="A662" s="191">
        <v>44652</v>
      </c>
      <c r="B662" s="181" t="s">
        <v>130</v>
      </c>
      <c r="C662" s="181" t="s">
        <v>675</v>
      </c>
      <c r="D662" s="181" t="str">
        <f t="shared" si="13"/>
        <v>34200</v>
      </c>
      <c r="E662" s="181" t="s">
        <v>15</v>
      </c>
      <c r="F662" s="181" t="s">
        <v>14</v>
      </c>
      <c r="G662" s="181" t="s">
        <v>647</v>
      </c>
      <c r="H662" s="8">
        <v>1256559.95</v>
      </c>
      <c r="I662" s="8">
        <v>10127.27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1266687.22</v>
      </c>
    </row>
    <row r="663" spans="1:15">
      <c r="A663" s="191">
        <v>44652</v>
      </c>
      <c r="B663" s="181" t="s">
        <v>130</v>
      </c>
      <c r="C663" s="181" t="s">
        <v>676</v>
      </c>
      <c r="D663" s="181" t="str">
        <f t="shared" si="13"/>
        <v>34200</v>
      </c>
      <c r="E663" s="181" t="s">
        <v>15</v>
      </c>
      <c r="F663" s="181" t="s">
        <v>14</v>
      </c>
      <c r="G663" s="181" t="s">
        <v>647</v>
      </c>
      <c r="H663" s="8">
        <v>1256559.95</v>
      </c>
      <c r="I663" s="8">
        <v>10127.27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1266687.22</v>
      </c>
    </row>
    <row r="664" spans="1:15">
      <c r="A664" s="191">
        <v>44652</v>
      </c>
      <c r="B664" s="181" t="s">
        <v>130</v>
      </c>
      <c r="C664" s="181" t="s">
        <v>677</v>
      </c>
      <c r="D664" s="181" t="str">
        <f t="shared" si="13"/>
        <v>34200</v>
      </c>
      <c r="E664" s="181" t="s">
        <v>15</v>
      </c>
      <c r="F664" s="181" t="s">
        <v>14</v>
      </c>
      <c r="G664" s="181" t="s">
        <v>647</v>
      </c>
      <c r="H664" s="8">
        <v>58701.78</v>
      </c>
      <c r="I664" s="8">
        <v>1115.5899999999999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59817.37</v>
      </c>
    </row>
    <row r="665" spans="1:15">
      <c r="A665" s="191">
        <v>44652</v>
      </c>
      <c r="B665" s="181" t="s">
        <v>130</v>
      </c>
      <c r="C665" s="181" t="s">
        <v>672</v>
      </c>
      <c r="D665" s="181" t="str">
        <f t="shared" si="13"/>
        <v>34200</v>
      </c>
      <c r="E665" s="181" t="s">
        <v>15</v>
      </c>
      <c r="F665" s="181" t="s">
        <v>14</v>
      </c>
      <c r="G665" s="181" t="s">
        <v>793</v>
      </c>
      <c r="H665" s="8">
        <v>112723.21</v>
      </c>
      <c r="I665" s="8">
        <v>156.88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112880.09</v>
      </c>
    </row>
    <row r="666" spans="1:15">
      <c r="A666" s="191">
        <v>44652</v>
      </c>
      <c r="B666" s="181" t="s">
        <v>130</v>
      </c>
      <c r="C666" s="181" t="s">
        <v>674</v>
      </c>
      <c r="D666" s="181" t="str">
        <f t="shared" si="13"/>
        <v>34200</v>
      </c>
      <c r="E666" s="181" t="s">
        <v>15</v>
      </c>
      <c r="F666" s="181" t="s">
        <v>14</v>
      </c>
      <c r="G666" s="181" t="s">
        <v>793</v>
      </c>
      <c r="H666" s="8">
        <v>5995.52</v>
      </c>
      <c r="I666" s="8">
        <v>155.53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6151.05</v>
      </c>
    </row>
    <row r="667" spans="1:15">
      <c r="A667" s="191">
        <v>44652</v>
      </c>
      <c r="B667" s="181" t="s">
        <v>130</v>
      </c>
      <c r="C667" s="181" t="s">
        <v>675</v>
      </c>
      <c r="D667" s="181" t="str">
        <f t="shared" si="13"/>
        <v>34200</v>
      </c>
      <c r="E667" s="181" t="s">
        <v>15</v>
      </c>
      <c r="F667" s="181" t="s">
        <v>14</v>
      </c>
      <c r="G667" s="181" t="s">
        <v>793</v>
      </c>
      <c r="H667" s="8">
        <v>138008.04</v>
      </c>
      <c r="I667" s="8">
        <v>1231.6100000000001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139239.65</v>
      </c>
    </row>
    <row r="668" spans="1:15">
      <c r="A668" s="191">
        <v>44652</v>
      </c>
      <c r="B668" s="181" t="s">
        <v>130</v>
      </c>
      <c r="C668" s="181" t="s">
        <v>676</v>
      </c>
      <c r="D668" s="181" t="str">
        <f t="shared" si="13"/>
        <v>34200</v>
      </c>
      <c r="E668" s="181" t="s">
        <v>15</v>
      </c>
      <c r="F668" s="181" t="s">
        <v>14</v>
      </c>
      <c r="G668" s="181" t="s">
        <v>793</v>
      </c>
      <c r="H668" s="8">
        <v>138008.04</v>
      </c>
      <c r="I668" s="8">
        <v>1231.6100000000001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139239.65</v>
      </c>
    </row>
    <row r="669" spans="1:15">
      <c r="A669" s="191">
        <v>44652</v>
      </c>
      <c r="B669" s="181" t="s">
        <v>130</v>
      </c>
      <c r="C669" s="181" t="s">
        <v>677</v>
      </c>
      <c r="D669" s="181" t="str">
        <f t="shared" si="13"/>
        <v>34200</v>
      </c>
      <c r="E669" s="181" t="s">
        <v>15</v>
      </c>
      <c r="F669" s="181" t="s">
        <v>14</v>
      </c>
      <c r="G669" s="181" t="s">
        <v>793</v>
      </c>
      <c r="H669" s="8">
        <v>2273.69</v>
      </c>
      <c r="I669" s="8">
        <v>43.21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2316.9</v>
      </c>
    </row>
    <row r="670" spans="1:15">
      <c r="A670" s="191">
        <v>44682</v>
      </c>
      <c r="B670" s="181" t="s">
        <v>129</v>
      </c>
      <c r="C670" s="181" t="s">
        <v>672</v>
      </c>
      <c r="D670" s="181" t="str">
        <f t="shared" si="13"/>
        <v>34200</v>
      </c>
      <c r="E670" s="181" t="s">
        <v>15</v>
      </c>
      <c r="F670" s="181" t="s">
        <v>14</v>
      </c>
      <c r="G670" s="181" t="s">
        <v>647</v>
      </c>
      <c r="H670" s="8">
        <v>145051.65</v>
      </c>
      <c r="I670" s="8">
        <v>786.96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145838.61000000002</v>
      </c>
    </row>
    <row r="671" spans="1:15">
      <c r="A671" s="191">
        <v>44682</v>
      </c>
      <c r="B671" s="181" t="s">
        <v>129</v>
      </c>
      <c r="C671" s="181" t="s">
        <v>673</v>
      </c>
      <c r="D671" s="181" t="str">
        <f t="shared" si="13"/>
        <v>34200</v>
      </c>
      <c r="E671" s="181" t="s">
        <v>15</v>
      </c>
      <c r="F671" s="181" t="s">
        <v>14</v>
      </c>
      <c r="G671" s="181" t="s">
        <v>647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</row>
    <row r="672" spans="1:15">
      <c r="A672" s="191">
        <v>44682</v>
      </c>
      <c r="B672" s="181" t="s">
        <v>129</v>
      </c>
      <c r="C672" s="181" t="s">
        <v>674</v>
      </c>
      <c r="D672" s="181" t="str">
        <f t="shared" si="13"/>
        <v>34200</v>
      </c>
      <c r="E672" s="181" t="s">
        <v>15</v>
      </c>
      <c r="F672" s="181" t="s">
        <v>14</v>
      </c>
      <c r="G672" s="181" t="s">
        <v>647</v>
      </c>
      <c r="H672" s="8">
        <v>50581.06</v>
      </c>
      <c r="I672" s="8">
        <v>1278.8700000000001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51859.93</v>
      </c>
    </row>
    <row r="673" spans="1:15">
      <c r="A673" s="191">
        <v>44682</v>
      </c>
      <c r="B673" s="181" t="s">
        <v>129</v>
      </c>
      <c r="C673" s="181" t="s">
        <v>675</v>
      </c>
      <c r="D673" s="181" t="str">
        <f t="shared" si="13"/>
        <v>34200</v>
      </c>
      <c r="E673" s="181" t="s">
        <v>15</v>
      </c>
      <c r="F673" s="181" t="s">
        <v>14</v>
      </c>
      <c r="G673" s="181" t="s">
        <v>647</v>
      </c>
      <c r="H673" s="8">
        <v>1266687.22</v>
      </c>
      <c r="I673" s="8">
        <v>10127.27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1276814.49</v>
      </c>
    </row>
    <row r="674" spans="1:15">
      <c r="A674" s="191">
        <v>44682</v>
      </c>
      <c r="B674" s="181" t="s">
        <v>129</v>
      </c>
      <c r="C674" s="181" t="s">
        <v>676</v>
      </c>
      <c r="D674" s="181" t="str">
        <f t="shared" si="13"/>
        <v>34200</v>
      </c>
      <c r="E674" s="181" t="s">
        <v>15</v>
      </c>
      <c r="F674" s="181" t="s">
        <v>14</v>
      </c>
      <c r="G674" s="181" t="s">
        <v>647</v>
      </c>
      <c r="H674" s="8">
        <v>1266687.22</v>
      </c>
      <c r="I674" s="8">
        <v>10127.27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1276814.49</v>
      </c>
    </row>
    <row r="675" spans="1:15">
      <c r="A675" s="191">
        <v>44682</v>
      </c>
      <c r="B675" s="181" t="s">
        <v>129</v>
      </c>
      <c r="C675" s="181" t="s">
        <v>677</v>
      </c>
      <c r="D675" s="181" t="str">
        <f t="shared" si="13"/>
        <v>34200</v>
      </c>
      <c r="E675" s="181" t="s">
        <v>15</v>
      </c>
      <c r="F675" s="181" t="s">
        <v>14</v>
      </c>
      <c r="G675" s="181" t="s">
        <v>647</v>
      </c>
      <c r="H675" s="8">
        <v>59817.37</v>
      </c>
      <c r="I675" s="8">
        <v>1115.5899999999999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60932.959999999999</v>
      </c>
    </row>
    <row r="676" spans="1:15">
      <c r="A676" s="191">
        <v>44682</v>
      </c>
      <c r="B676" s="181" t="s">
        <v>129</v>
      </c>
      <c r="C676" s="181" t="s">
        <v>672</v>
      </c>
      <c r="D676" s="181" t="str">
        <f t="shared" si="13"/>
        <v>34200</v>
      </c>
      <c r="E676" s="181" t="s">
        <v>15</v>
      </c>
      <c r="F676" s="181" t="s">
        <v>14</v>
      </c>
      <c r="G676" s="181" t="s">
        <v>793</v>
      </c>
      <c r="H676" s="8">
        <v>112880.09</v>
      </c>
      <c r="I676" s="8">
        <v>156.88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113036.97</v>
      </c>
    </row>
    <row r="677" spans="1:15">
      <c r="A677" s="191">
        <v>44682</v>
      </c>
      <c r="B677" s="181" t="s">
        <v>129</v>
      </c>
      <c r="C677" s="181" t="s">
        <v>674</v>
      </c>
      <c r="D677" s="181" t="str">
        <f t="shared" si="13"/>
        <v>34200</v>
      </c>
      <c r="E677" s="181" t="s">
        <v>15</v>
      </c>
      <c r="F677" s="181" t="s">
        <v>14</v>
      </c>
      <c r="G677" s="181" t="s">
        <v>793</v>
      </c>
      <c r="H677" s="8">
        <v>6151.05</v>
      </c>
      <c r="I677" s="8">
        <v>155.53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6306.58</v>
      </c>
    </row>
    <row r="678" spans="1:15">
      <c r="A678" s="191">
        <v>44682</v>
      </c>
      <c r="B678" s="181" t="s">
        <v>129</v>
      </c>
      <c r="C678" s="181" t="s">
        <v>675</v>
      </c>
      <c r="D678" s="181" t="str">
        <f t="shared" si="13"/>
        <v>34200</v>
      </c>
      <c r="E678" s="181" t="s">
        <v>15</v>
      </c>
      <c r="F678" s="181" t="s">
        <v>14</v>
      </c>
      <c r="G678" s="181" t="s">
        <v>793</v>
      </c>
      <c r="H678" s="8">
        <v>139239.65</v>
      </c>
      <c r="I678" s="8">
        <v>1231.6100000000001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140471.26</v>
      </c>
    </row>
    <row r="679" spans="1:15">
      <c r="A679" s="191">
        <v>44682</v>
      </c>
      <c r="B679" s="181" t="s">
        <v>129</v>
      </c>
      <c r="C679" s="181" t="s">
        <v>676</v>
      </c>
      <c r="D679" s="181" t="str">
        <f t="shared" si="13"/>
        <v>34200</v>
      </c>
      <c r="E679" s="181" t="s">
        <v>15</v>
      </c>
      <c r="F679" s="181" t="s">
        <v>14</v>
      </c>
      <c r="G679" s="181" t="s">
        <v>793</v>
      </c>
      <c r="H679" s="8">
        <v>139239.65</v>
      </c>
      <c r="I679" s="8">
        <v>1231.6100000000001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140471.26</v>
      </c>
    </row>
    <row r="680" spans="1:15">
      <c r="A680" s="191">
        <v>44682</v>
      </c>
      <c r="B680" s="181" t="s">
        <v>129</v>
      </c>
      <c r="C680" s="181" t="s">
        <v>677</v>
      </c>
      <c r="D680" s="181" t="str">
        <f t="shared" si="13"/>
        <v>34200</v>
      </c>
      <c r="E680" s="181" t="s">
        <v>15</v>
      </c>
      <c r="F680" s="181" t="s">
        <v>14</v>
      </c>
      <c r="G680" s="181" t="s">
        <v>793</v>
      </c>
      <c r="H680" s="8">
        <v>2316.9</v>
      </c>
      <c r="I680" s="8">
        <v>43.21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2360.11</v>
      </c>
    </row>
    <row r="681" spans="1:15">
      <c r="A681" s="191">
        <v>44713</v>
      </c>
      <c r="B681" s="181" t="s">
        <v>128</v>
      </c>
      <c r="C681" s="181" t="s">
        <v>672</v>
      </c>
      <c r="D681" s="181" t="str">
        <f t="shared" si="13"/>
        <v>34200</v>
      </c>
      <c r="E681" s="181" t="s">
        <v>15</v>
      </c>
      <c r="F681" s="181" t="s">
        <v>14</v>
      </c>
      <c r="G681" s="181" t="s">
        <v>647</v>
      </c>
      <c r="H681" s="8">
        <v>145838.61000000002</v>
      </c>
      <c r="I681" s="8">
        <v>786.96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146625.57</v>
      </c>
    </row>
    <row r="682" spans="1:15">
      <c r="A682" s="191">
        <v>44713</v>
      </c>
      <c r="B682" s="181" t="s">
        <v>128</v>
      </c>
      <c r="C682" s="181" t="s">
        <v>673</v>
      </c>
      <c r="D682" s="181" t="str">
        <f t="shared" si="13"/>
        <v>34200</v>
      </c>
      <c r="E682" s="181" t="s">
        <v>15</v>
      </c>
      <c r="F682" s="181" t="s">
        <v>14</v>
      </c>
      <c r="G682" s="181" t="s">
        <v>647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</row>
    <row r="683" spans="1:15">
      <c r="A683" s="191">
        <v>44713</v>
      </c>
      <c r="B683" s="181" t="s">
        <v>128</v>
      </c>
      <c r="C683" s="181" t="s">
        <v>674</v>
      </c>
      <c r="D683" s="181" t="str">
        <f t="shared" si="13"/>
        <v>34200</v>
      </c>
      <c r="E683" s="181" t="s">
        <v>15</v>
      </c>
      <c r="F683" s="181" t="s">
        <v>14</v>
      </c>
      <c r="G683" s="181" t="s">
        <v>647</v>
      </c>
      <c r="H683" s="8">
        <v>51859.93</v>
      </c>
      <c r="I683" s="8">
        <v>1278.8700000000001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53138.8</v>
      </c>
    </row>
    <row r="684" spans="1:15">
      <c r="A684" s="191">
        <v>44713</v>
      </c>
      <c r="B684" s="181" t="s">
        <v>128</v>
      </c>
      <c r="C684" s="181" t="s">
        <v>675</v>
      </c>
      <c r="D684" s="181" t="str">
        <f t="shared" si="13"/>
        <v>34200</v>
      </c>
      <c r="E684" s="181" t="s">
        <v>15</v>
      </c>
      <c r="F684" s="181" t="s">
        <v>14</v>
      </c>
      <c r="G684" s="181" t="s">
        <v>647</v>
      </c>
      <c r="H684" s="8">
        <v>1276814.49</v>
      </c>
      <c r="I684" s="8">
        <v>10127.27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1286941.76</v>
      </c>
    </row>
    <row r="685" spans="1:15">
      <c r="A685" s="191">
        <v>44713</v>
      </c>
      <c r="B685" s="181" t="s">
        <v>128</v>
      </c>
      <c r="C685" s="181" t="s">
        <v>676</v>
      </c>
      <c r="D685" s="181" t="str">
        <f t="shared" si="13"/>
        <v>34200</v>
      </c>
      <c r="E685" s="181" t="s">
        <v>15</v>
      </c>
      <c r="F685" s="181" t="s">
        <v>14</v>
      </c>
      <c r="G685" s="181" t="s">
        <v>647</v>
      </c>
      <c r="H685" s="8">
        <v>1276814.49</v>
      </c>
      <c r="I685" s="8">
        <v>10127.27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1286941.76</v>
      </c>
    </row>
    <row r="686" spans="1:15">
      <c r="A686" s="191">
        <v>44713</v>
      </c>
      <c r="B686" s="181" t="s">
        <v>128</v>
      </c>
      <c r="C686" s="181" t="s">
        <v>677</v>
      </c>
      <c r="D686" s="181" t="str">
        <f t="shared" si="13"/>
        <v>34200</v>
      </c>
      <c r="E686" s="181" t="s">
        <v>15</v>
      </c>
      <c r="F686" s="181" t="s">
        <v>14</v>
      </c>
      <c r="G686" s="181" t="s">
        <v>647</v>
      </c>
      <c r="H686" s="8">
        <v>60932.959999999999</v>
      </c>
      <c r="I686" s="8">
        <v>1115.5899999999999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62048.55</v>
      </c>
    </row>
    <row r="687" spans="1:15">
      <c r="A687" s="191">
        <v>44713</v>
      </c>
      <c r="B687" s="181" t="s">
        <v>128</v>
      </c>
      <c r="C687" s="181" t="s">
        <v>672</v>
      </c>
      <c r="D687" s="181" t="str">
        <f t="shared" si="13"/>
        <v>34200</v>
      </c>
      <c r="E687" s="181" t="s">
        <v>15</v>
      </c>
      <c r="F687" s="181" t="s">
        <v>14</v>
      </c>
      <c r="G687" s="181" t="s">
        <v>793</v>
      </c>
      <c r="H687" s="8">
        <v>113036.97</v>
      </c>
      <c r="I687" s="8">
        <v>156.88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113193.85</v>
      </c>
    </row>
    <row r="688" spans="1:15">
      <c r="A688" s="191">
        <v>44713</v>
      </c>
      <c r="B688" s="181" t="s">
        <v>128</v>
      </c>
      <c r="C688" s="181" t="s">
        <v>674</v>
      </c>
      <c r="D688" s="181" t="str">
        <f t="shared" si="13"/>
        <v>34200</v>
      </c>
      <c r="E688" s="181" t="s">
        <v>15</v>
      </c>
      <c r="F688" s="181" t="s">
        <v>14</v>
      </c>
      <c r="G688" s="181" t="s">
        <v>793</v>
      </c>
      <c r="H688" s="8">
        <v>6306.58</v>
      </c>
      <c r="I688" s="8">
        <v>155.53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6462.1100000000006</v>
      </c>
    </row>
    <row r="689" spans="1:15">
      <c r="A689" s="191">
        <v>44713</v>
      </c>
      <c r="B689" s="181" t="s">
        <v>128</v>
      </c>
      <c r="C689" s="181" t="s">
        <v>675</v>
      </c>
      <c r="D689" s="181" t="str">
        <f t="shared" si="13"/>
        <v>34200</v>
      </c>
      <c r="E689" s="181" t="s">
        <v>15</v>
      </c>
      <c r="F689" s="181" t="s">
        <v>14</v>
      </c>
      <c r="G689" s="181" t="s">
        <v>793</v>
      </c>
      <c r="H689" s="8">
        <v>140471.26</v>
      </c>
      <c r="I689" s="8">
        <v>1231.6100000000001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141702.87</v>
      </c>
    </row>
    <row r="690" spans="1:15">
      <c r="A690" s="191">
        <v>44713</v>
      </c>
      <c r="B690" s="181" t="s">
        <v>128</v>
      </c>
      <c r="C690" s="181" t="s">
        <v>676</v>
      </c>
      <c r="D690" s="181" t="str">
        <f t="shared" si="13"/>
        <v>34200</v>
      </c>
      <c r="E690" s="181" t="s">
        <v>15</v>
      </c>
      <c r="F690" s="181" t="s">
        <v>14</v>
      </c>
      <c r="G690" s="181" t="s">
        <v>793</v>
      </c>
      <c r="H690" s="8">
        <v>140471.26</v>
      </c>
      <c r="I690" s="8">
        <v>1231.6100000000001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141702.87</v>
      </c>
    </row>
    <row r="691" spans="1:15">
      <c r="A691" s="191">
        <v>44713</v>
      </c>
      <c r="B691" s="181" t="s">
        <v>128</v>
      </c>
      <c r="C691" s="181" t="s">
        <v>677</v>
      </c>
      <c r="D691" s="181" t="str">
        <f t="shared" si="13"/>
        <v>34200</v>
      </c>
      <c r="E691" s="181" t="s">
        <v>15</v>
      </c>
      <c r="F691" s="181" t="s">
        <v>14</v>
      </c>
      <c r="G691" s="181" t="s">
        <v>793</v>
      </c>
      <c r="H691" s="8">
        <v>2360.11</v>
      </c>
      <c r="I691" s="8">
        <v>43.21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2403.3200000000002</v>
      </c>
    </row>
    <row r="692" spans="1:15">
      <c r="A692" s="191">
        <v>44743</v>
      </c>
      <c r="B692" s="181" t="s">
        <v>127</v>
      </c>
      <c r="C692" s="181" t="s">
        <v>672</v>
      </c>
      <c r="D692" s="181" t="str">
        <f t="shared" si="13"/>
        <v>34200</v>
      </c>
      <c r="E692" s="181" t="s">
        <v>15</v>
      </c>
      <c r="F692" s="181" t="s">
        <v>14</v>
      </c>
      <c r="G692" s="181" t="s">
        <v>647</v>
      </c>
      <c r="H692" s="8">
        <v>146625.57</v>
      </c>
      <c r="I692" s="8">
        <v>786.96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147412.53</v>
      </c>
    </row>
    <row r="693" spans="1:15">
      <c r="A693" s="191">
        <v>44743</v>
      </c>
      <c r="B693" s="181" t="s">
        <v>127</v>
      </c>
      <c r="C693" s="181" t="s">
        <v>673</v>
      </c>
      <c r="D693" s="181" t="str">
        <f t="shared" si="13"/>
        <v>34200</v>
      </c>
      <c r="E693" s="181" t="s">
        <v>15</v>
      </c>
      <c r="F693" s="181" t="s">
        <v>14</v>
      </c>
      <c r="G693" s="181" t="s">
        <v>647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</row>
    <row r="694" spans="1:15">
      <c r="A694" s="191">
        <v>44743</v>
      </c>
      <c r="B694" s="181" t="s">
        <v>127</v>
      </c>
      <c r="C694" s="181" t="s">
        <v>674</v>
      </c>
      <c r="D694" s="181" t="str">
        <f t="shared" si="13"/>
        <v>34200</v>
      </c>
      <c r="E694" s="181" t="s">
        <v>15</v>
      </c>
      <c r="F694" s="181" t="s">
        <v>14</v>
      </c>
      <c r="G694" s="181" t="s">
        <v>647</v>
      </c>
      <c r="H694" s="8">
        <v>53138.8</v>
      </c>
      <c r="I694" s="8">
        <v>1278.8700000000001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54417.67</v>
      </c>
    </row>
    <row r="695" spans="1:15">
      <c r="A695" s="191">
        <v>44743</v>
      </c>
      <c r="B695" s="181" t="s">
        <v>127</v>
      </c>
      <c r="C695" s="181" t="s">
        <v>675</v>
      </c>
      <c r="D695" s="181" t="str">
        <f t="shared" si="13"/>
        <v>34200</v>
      </c>
      <c r="E695" s="181" t="s">
        <v>15</v>
      </c>
      <c r="F695" s="181" t="s">
        <v>14</v>
      </c>
      <c r="G695" s="181" t="s">
        <v>647</v>
      </c>
      <c r="H695" s="8">
        <v>1286941.76</v>
      </c>
      <c r="I695" s="8">
        <v>10127.27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1297069.03</v>
      </c>
    </row>
    <row r="696" spans="1:15">
      <c r="A696" s="191">
        <v>44743</v>
      </c>
      <c r="B696" s="181" t="s">
        <v>127</v>
      </c>
      <c r="C696" s="181" t="s">
        <v>676</v>
      </c>
      <c r="D696" s="181" t="str">
        <f t="shared" si="13"/>
        <v>34200</v>
      </c>
      <c r="E696" s="181" t="s">
        <v>15</v>
      </c>
      <c r="F696" s="181" t="s">
        <v>14</v>
      </c>
      <c r="G696" s="181" t="s">
        <v>647</v>
      </c>
      <c r="H696" s="8">
        <v>1286941.76</v>
      </c>
      <c r="I696" s="8">
        <v>10127.27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1297069.03</v>
      </c>
    </row>
    <row r="697" spans="1:15">
      <c r="A697" s="191">
        <v>44743</v>
      </c>
      <c r="B697" s="181" t="s">
        <v>127</v>
      </c>
      <c r="C697" s="181" t="s">
        <v>677</v>
      </c>
      <c r="D697" s="181" t="str">
        <f t="shared" si="13"/>
        <v>34200</v>
      </c>
      <c r="E697" s="181" t="s">
        <v>15</v>
      </c>
      <c r="F697" s="181" t="s">
        <v>14</v>
      </c>
      <c r="G697" s="181" t="s">
        <v>647</v>
      </c>
      <c r="H697" s="8">
        <v>62048.55</v>
      </c>
      <c r="I697" s="8">
        <v>1115.5899999999999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63164.14</v>
      </c>
    </row>
    <row r="698" spans="1:15">
      <c r="A698" s="191">
        <v>44743</v>
      </c>
      <c r="B698" s="181" t="s">
        <v>127</v>
      </c>
      <c r="C698" s="181" t="s">
        <v>672</v>
      </c>
      <c r="D698" s="181" t="str">
        <f t="shared" si="13"/>
        <v>34200</v>
      </c>
      <c r="E698" s="181" t="s">
        <v>15</v>
      </c>
      <c r="F698" s="181" t="s">
        <v>14</v>
      </c>
      <c r="G698" s="181" t="s">
        <v>793</v>
      </c>
      <c r="H698" s="8">
        <v>113193.85</v>
      </c>
      <c r="I698" s="8">
        <v>156.88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113350.73</v>
      </c>
    </row>
    <row r="699" spans="1:15">
      <c r="A699" s="191">
        <v>44743</v>
      </c>
      <c r="B699" s="181" t="s">
        <v>127</v>
      </c>
      <c r="C699" s="181" t="s">
        <v>674</v>
      </c>
      <c r="D699" s="181" t="str">
        <f t="shared" si="13"/>
        <v>34200</v>
      </c>
      <c r="E699" s="181" t="s">
        <v>15</v>
      </c>
      <c r="F699" s="181" t="s">
        <v>14</v>
      </c>
      <c r="G699" s="181" t="s">
        <v>793</v>
      </c>
      <c r="H699" s="8">
        <v>6462.1100000000006</v>
      </c>
      <c r="I699" s="8">
        <v>155.53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6617.64</v>
      </c>
    </row>
    <row r="700" spans="1:15">
      <c r="A700" s="191">
        <v>44743</v>
      </c>
      <c r="B700" s="181" t="s">
        <v>127</v>
      </c>
      <c r="C700" s="181" t="s">
        <v>675</v>
      </c>
      <c r="D700" s="181" t="str">
        <f t="shared" si="13"/>
        <v>34200</v>
      </c>
      <c r="E700" s="181" t="s">
        <v>15</v>
      </c>
      <c r="F700" s="181" t="s">
        <v>14</v>
      </c>
      <c r="G700" s="181" t="s">
        <v>793</v>
      </c>
      <c r="H700" s="8">
        <v>141702.87</v>
      </c>
      <c r="I700" s="8">
        <v>1231.6100000000001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142934.48000000001</v>
      </c>
    </row>
    <row r="701" spans="1:15">
      <c r="A701" s="191">
        <v>44743</v>
      </c>
      <c r="B701" s="181" t="s">
        <v>127</v>
      </c>
      <c r="C701" s="181" t="s">
        <v>676</v>
      </c>
      <c r="D701" s="181" t="str">
        <f t="shared" si="13"/>
        <v>34200</v>
      </c>
      <c r="E701" s="181" t="s">
        <v>15</v>
      </c>
      <c r="F701" s="181" t="s">
        <v>14</v>
      </c>
      <c r="G701" s="181" t="s">
        <v>793</v>
      </c>
      <c r="H701" s="8">
        <v>141702.87</v>
      </c>
      <c r="I701" s="8">
        <v>1231.6100000000001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142934.48000000001</v>
      </c>
    </row>
    <row r="702" spans="1:15">
      <c r="A702" s="191">
        <v>44743</v>
      </c>
      <c r="B702" s="181" t="s">
        <v>127</v>
      </c>
      <c r="C702" s="181" t="s">
        <v>677</v>
      </c>
      <c r="D702" s="181" t="str">
        <f t="shared" si="13"/>
        <v>34200</v>
      </c>
      <c r="E702" s="181" t="s">
        <v>15</v>
      </c>
      <c r="F702" s="181" t="s">
        <v>14</v>
      </c>
      <c r="G702" s="181" t="s">
        <v>793</v>
      </c>
      <c r="H702" s="8">
        <v>2403.3200000000002</v>
      </c>
      <c r="I702" s="8">
        <v>43.21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2446.5300000000002</v>
      </c>
    </row>
    <row r="703" spans="1:15">
      <c r="A703" s="191">
        <v>44774</v>
      </c>
      <c r="B703" s="181" t="s">
        <v>126</v>
      </c>
      <c r="C703" s="181" t="s">
        <v>672</v>
      </c>
      <c r="D703" s="181" t="str">
        <f t="shared" si="13"/>
        <v>34200</v>
      </c>
      <c r="E703" s="181" t="s">
        <v>15</v>
      </c>
      <c r="F703" s="181" t="s">
        <v>14</v>
      </c>
      <c r="G703" s="181" t="s">
        <v>647</v>
      </c>
      <c r="H703" s="8">
        <v>147412.53</v>
      </c>
      <c r="I703" s="8">
        <v>786.96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148199.49</v>
      </c>
    </row>
    <row r="704" spans="1:15">
      <c r="A704" s="191">
        <v>44774</v>
      </c>
      <c r="B704" s="181" t="s">
        <v>126</v>
      </c>
      <c r="C704" s="181" t="s">
        <v>673</v>
      </c>
      <c r="D704" s="181" t="str">
        <f t="shared" si="13"/>
        <v>34200</v>
      </c>
      <c r="E704" s="181" t="s">
        <v>15</v>
      </c>
      <c r="F704" s="181" t="s">
        <v>14</v>
      </c>
      <c r="G704" s="181" t="s">
        <v>647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</row>
    <row r="705" spans="1:15">
      <c r="A705" s="191">
        <v>44774</v>
      </c>
      <c r="B705" s="181" t="s">
        <v>126</v>
      </c>
      <c r="C705" s="181" t="s">
        <v>674</v>
      </c>
      <c r="D705" s="181" t="str">
        <f t="shared" si="13"/>
        <v>34200</v>
      </c>
      <c r="E705" s="181" t="s">
        <v>15</v>
      </c>
      <c r="F705" s="181" t="s">
        <v>14</v>
      </c>
      <c r="G705" s="181" t="s">
        <v>647</v>
      </c>
      <c r="H705" s="8">
        <v>54417.67</v>
      </c>
      <c r="I705" s="8">
        <v>1278.8700000000001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55696.54</v>
      </c>
    </row>
    <row r="706" spans="1:15">
      <c r="A706" s="191">
        <v>44774</v>
      </c>
      <c r="B706" s="181" t="s">
        <v>126</v>
      </c>
      <c r="C706" s="181" t="s">
        <v>675</v>
      </c>
      <c r="D706" s="181" t="str">
        <f t="shared" ref="D706:D769" si="14">MID(C706,10,5)</f>
        <v>34200</v>
      </c>
      <c r="E706" s="181" t="s">
        <v>15</v>
      </c>
      <c r="F706" s="181" t="s">
        <v>14</v>
      </c>
      <c r="G706" s="181" t="s">
        <v>647</v>
      </c>
      <c r="H706" s="8">
        <v>1297069.03</v>
      </c>
      <c r="I706" s="8">
        <v>10127.27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1307196.3</v>
      </c>
    </row>
    <row r="707" spans="1:15">
      <c r="A707" s="191">
        <v>44774</v>
      </c>
      <c r="B707" s="181" t="s">
        <v>126</v>
      </c>
      <c r="C707" s="181" t="s">
        <v>676</v>
      </c>
      <c r="D707" s="181" t="str">
        <f t="shared" si="14"/>
        <v>34200</v>
      </c>
      <c r="E707" s="181" t="s">
        <v>15</v>
      </c>
      <c r="F707" s="181" t="s">
        <v>14</v>
      </c>
      <c r="G707" s="181" t="s">
        <v>647</v>
      </c>
      <c r="H707" s="8">
        <v>1297069.03</v>
      </c>
      <c r="I707" s="8">
        <v>10127.27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1307196.3</v>
      </c>
    </row>
    <row r="708" spans="1:15">
      <c r="A708" s="191">
        <v>44774</v>
      </c>
      <c r="B708" s="181" t="s">
        <v>126</v>
      </c>
      <c r="C708" s="181" t="s">
        <v>677</v>
      </c>
      <c r="D708" s="181" t="str">
        <f t="shared" si="14"/>
        <v>34200</v>
      </c>
      <c r="E708" s="181" t="s">
        <v>15</v>
      </c>
      <c r="F708" s="181" t="s">
        <v>14</v>
      </c>
      <c r="G708" s="181" t="s">
        <v>647</v>
      </c>
      <c r="H708" s="8">
        <v>63164.14</v>
      </c>
      <c r="I708" s="8">
        <v>1115.5899999999999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64279.73</v>
      </c>
    </row>
    <row r="709" spans="1:15">
      <c r="A709" s="191">
        <v>44774</v>
      </c>
      <c r="B709" s="181" t="s">
        <v>126</v>
      </c>
      <c r="C709" s="181" t="s">
        <v>672</v>
      </c>
      <c r="D709" s="181" t="str">
        <f t="shared" si="14"/>
        <v>34200</v>
      </c>
      <c r="E709" s="181" t="s">
        <v>15</v>
      </c>
      <c r="F709" s="181" t="s">
        <v>14</v>
      </c>
      <c r="G709" s="181" t="s">
        <v>793</v>
      </c>
      <c r="H709" s="8">
        <v>113350.73</v>
      </c>
      <c r="I709" s="8">
        <v>156.88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113507.61</v>
      </c>
    </row>
    <row r="710" spans="1:15">
      <c r="A710" s="191">
        <v>44774</v>
      </c>
      <c r="B710" s="181" t="s">
        <v>126</v>
      </c>
      <c r="C710" s="181" t="s">
        <v>674</v>
      </c>
      <c r="D710" s="181" t="str">
        <f t="shared" si="14"/>
        <v>34200</v>
      </c>
      <c r="E710" s="181" t="s">
        <v>15</v>
      </c>
      <c r="F710" s="181" t="s">
        <v>14</v>
      </c>
      <c r="G710" s="181" t="s">
        <v>793</v>
      </c>
      <c r="H710" s="8">
        <v>6617.64</v>
      </c>
      <c r="I710" s="8">
        <v>155.53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6773.17</v>
      </c>
    </row>
    <row r="711" spans="1:15">
      <c r="A711" s="191">
        <v>44774</v>
      </c>
      <c r="B711" s="181" t="s">
        <v>126</v>
      </c>
      <c r="C711" s="181" t="s">
        <v>675</v>
      </c>
      <c r="D711" s="181" t="str">
        <f t="shared" si="14"/>
        <v>34200</v>
      </c>
      <c r="E711" s="181" t="s">
        <v>15</v>
      </c>
      <c r="F711" s="181" t="s">
        <v>14</v>
      </c>
      <c r="G711" s="181" t="s">
        <v>793</v>
      </c>
      <c r="H711" s="8">
        <v>142934.48000000001</v>
      </c>
      <c r="I711" s="8">
        <v>1231.6100000000001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144166.09</v>
      </c>
    </row>
    <row r="712" spans="1:15">
      <c r="A712" s="191">
        <v>44774</v>
      </c>
      <c r="B712" s="181" t="s">
        <v>126</v>
      </c>
      <c r="C712" s="181" t="s">
        <v>676</v>
      </c>
      <c r="D712" s="181" t="str">
        <f t="shared" si="14"/>
        <v>34200</v>
      </c>
      <c r="E712" s="181" t="s">
        <v>15</v>
      </c>
      <c r="F712" s="181" t="s">
        <v>14</v>
      </c>
      <c r="G712" s="181" t="s">
        <v>793</v>
      </c>
      <c r="H712" s="8">
        <v>142934.48000000001</v>
      </c>
      <c r="I712" s="8">
        <v>1231.6100000000001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144166.09</v>
      </c>
    </row>
    <row r="713" spans="1:15">
      <c r="A713" s="191">
        <v>44774</v>
      </c>
      <c r="B713" s="181" t="s">
        <v>126</v>
      </c>
      <c r="C713" s="181" t="s">
        <v>677</v>
      </c>
      <c r="D713" s="181" t="str">
        <f t="shared" si="14"/>
        <v>34200</v>
      </c>
      <c r="E713" s="181" t="s">
        <v>15</v>
      </c>
      <c r="F713" s="181" t="s">
        <v>14</v>
      </c>
      <c r="G713" s="181" t="s">
        <v>793</v>
      </c>
      <c r="H713" s="8">
        <v>2446.5300000000002</v>
      </c>
      <c r="I713" s="8">
        <v>43.21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2489.7400000000002</v>
      </c>
    </row>
    <row r="714" spans="1:15">
      <c r="A714" s="191">
        <v>44805</v>
      </c>
      <c r="B714" s="181" t="s">
        <v>125</v>
      </c>
      <c r="C714" s="181" t="s">
        <v>672</v>
      </c>
      <c r="D714" s="181" t="str">
        <f t="shared" si="14"/>
        <v>34200</v>
      </c>
      <c r="E714" s="181" t="s">
        <v>15</v>
      </c>
      <c r="F714" s="181" t="s">
        <v>14</v>
      </c>
      <c r="G714" s="181" t="s">
        <v>647</v>
      </c>
      <c r="H714" s="8">
        <v>148199.49</v>
      </c>
      <c r="I714" s="8">
        <v>786.96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148986.45000000001</v>
      </c>
    </row>
    <row r="715" spans="1:15">
      <c r="A715" s="191">
        <v>44805</v>
      </c>
      <c r="B715" s="181" t="s">
        <v>125</v>
      </c>
      <c r="C715" s="181" t="s">
        <v>673</v>
      </c>
      <c r="D715" s="181" t="str">
        <f t="shared" si="14"/>
        <v>34200</v>
      </c>
      <c r="E715" s="181" t="s">
        <v>15</v>
      </c>
      <c r="F715" s="181" t="s">
        <v>14</v>
      </c>
      <c r="G715" s="181" t="s">
        <v>647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</row>
    <row r="716" spans="1:15">
      <c r="A716" s="191">
        <v>44805</v>
      </c>
      <c r="B716" s="181" t="s">
        <v>125</v>
      </c>
      <c r="C716" s="181" t="s">
        <v>674</v>
      </c>
      <c r="D716" s="181" t="str">
        <f t="shared" si="14"/>
        <v>34200</v>
      </c>
      <c r="E716" s="181" t="s">
        <v>15</v>
      </c>
      <c r="F716" s="181" t="s">
        <v>14</v>
      </c>
      <c r="G716" s="181" t="s">
        <v>647</v>
      </c>
      <c r="H716" s="8">
        <v>55696.54</v>
      </c>
      <c r="I716" s="8">
        <v>1278.8700000000001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56975.41</v>
      </c>
    </row>
    <row r="717" spans="1:15">
      <c r="A717" s="191">
        <v>44805</v>
      </c>
      <c r="B717" s="181" t="s">
        <v>125</v>
      </c>
      <c r="C717" s="181" t="s">
        <v>675</v>
      </c>
      <c r="D717" s="181" t="str">
        <f t="shared" si="14"/>
        <v>34200</v>
      </c>
      <c r="E717" s="181" t="s">
        <v>15</v>
      </c>
      <c r="F717" s="181" t="s">
        <v>14</v>
      </c>
      <c r="G717" s="181" t="s">
        <v>647</v>
      </c>
      <c r="H717" s="8">
        <v>1307196.3</v>
      </c>
      <c r="I717" s="8">
        <v>10127.27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1317323.57</v>
      </c>
    </row>
    <row r="718" spans="1:15">
      <c r="A718" s="191">
        <v>44805</v>
      </c>
      <c r="B718" s="181" t="s">
        <v>125</v>
      </c>
      <c r="C718" s="181" t="s">
        <v>676</v>
      </c>
      <c r="D718" s="181" t="str">
        <f t="shared" si="14"/>
        <v>34200</v>
      </c>
      <c r="E718" s="181" t="s">
        <v>15</v>
      </c>
      <c r="F718" s="181" t="s">
        <v>14</v>
      </c>
      <c r="G718" s="181" t="s">
        <v>647</v>
      </c>
      <c r="H718" s="8">
        <v>1307196.3</v>
      </c>
      <c r="I718" s="8">
        <v>10127.27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1317323.57</v>
      </c>
    </row>
    <row r="719" spans="1:15">
      <c r="A719" s="191">
        <v>44805</v>
      </c>
      <c r="B719" s="181" t="s">
        <v>125</v>
      </c>
      <c r="C719" s="181" t="s">
        <v>677</v>
      </c>
      <c r="D719" s="181" t="str">
        <f t="shared" si="14"/>
        <v>34200</v>
      </c>
      <c r="E719" s="181" t="s">
        <v>15</v>
      </c>
      <c r="F719" s="181" t="s">
        <v>14</v>
      </c>
      <c r="G719" s="181" t="s">
        <v>647</v>
      </c>
      <c r="H719" s="8">
        <v>64279.73</v>
      </c>
      <c r="I719" s="8">
        <v>1115.5899999999999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65395.32</v>
      </c>
    </row>
    <row r="720" spans="1:15">
      <c r="A720" s="191">
        <v>44805</v>
      </c>
      <c r="B720" s="181" t="s">
        <v>125</v>
      </c>
      <c r="C720" s="181" t="s">
        <v>672</v>
      </c>
      <c r="D720" s="181" t="str">
        <f t="shared" si="14"/>
        <v>34200</v>
      </c>
      <c r="E720" s="181" t="s">
        <v>15</v>
      </c>
      <c r="F720" s="181" t="s">
        <v>14</v>
      </c>
      <c r="G720" s="181" t="s">
        <v>793</v>
      </c>
      <c r="H720" s="8">
        <v>113507.61</v>
      </c>
      <c r="I720" s="8">
        <v>156.88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113664.49</v>
      </c>
    </row>
    <row r="721" spans="1:15">
      <c r="A721" s="191">
        <v>44805</v>
      </c>
      <c r="B721" s="181" t="s">
        <v>125</v>
      </c>
      <c r="C721" s="181" t="s">
        <v>674</v>
      </c>
      <c r="D721" s="181" t="str">
        <f t="shared" si="14"/>
        <v>34200</v>
      </c>
      <c r="E721" s="181" t="s">
        <v>15</v>
      </c>
      <c r="F721" s="181" t="s">
        <v>14</v>
      </c>
      <c r="G721" s="181" t="s">
        <v>793</v>
      </c>
      <c r="H721" s="8">
        <v>6773.17</v>
      </c>
      <c r="I721" s="8">
        <v>155.53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6928.7</v>
      </c>
    </row>
    <row r="722" spans="1:15">
      <c r="A722" s="191">
        <v>44805</v>
      </c>
      <c r="B722" s="181" t="s">
        <v>125</v>
      </c>
      <c r="C722" s="181" t="s">
        <v>675</v>
      </c>
      <c r="D722" s="181" t="str">
        <f t="shared" si="14"/>
        <v>34200</v>
      </c>
      <c r="E722" s="181" t="s">
        <v>15</v>
      </c>
      <c r="F722" s="181" t="s">
        <v>14</v>
      </c>
      <c r="G722" s="181" t="s">
        <v>793</v>
      </c>
      <c r="H722" s="8">
        <v>144166.09</v>
      </c>
      <c r="I722" s="8">
        <v>1231.6100000000001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145397.70000000001</v>
      </c>
    </row>
    <row r="723" spans="1:15">
      <c r="A723" s="191">
        <v>44805</v>
      </c>
      <c r="B723" s="181" t="s">
        <v>125</v>
      </c>
      <c r="C723" s="181" t="s">
        <v>676</v>
      </c>
      <c r="D723" s="181" t="str">
        <f t="shared" si="14"/>
        <v>34200</v>
      </c>
      <c r="E723" s="181" t="s">
        <v>15</v>
      </c>
      <c r="F723" s="181" t="s">
        <v>14</v>
      </c>
      <c r="G723" s="181" t="s">
        <v>793</v>
      </c>
      <c r="H723" s="8">
        <v>144166.09</v>
      </c>
      <c r="I723" s="8">
        <v>1231.6100000000001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145397.70000000001</v>
      </c>
    </row>
    <row r="724" spans="1:15">
      <c r="A724" s="191">
        <v>44805</v>
      </c>
      <c r="B724" s="181" t="s">
        <v>125</v>
      </c>
      <c r="C724" s="181" t="s">
        <v>677</v>
      </c>
      <c r="D724" s="181" t="str">
        <f t="shared" si="14"/>
        <v>34200</v>
      </c>
      <c r="E724" s="181" t="s">
        <v>15</v>
      </c>
      <c r="F724" s="181" t="s">
        <v>14</v>
      </c>
      <c r="G724" s="181" t="s">
        <v>793</v>
      </c>
      <c r="H724" s="8">
        <v>2489.7400000000002</v>
      </c>
      <c r="I724" s="8">
        <v>43.21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2532.9500000000003</v>
      </c>
    </row>
    <row r="725" spans="1:15">
      <c r="A725" s="191">
        <v>44835</v>
      </c>
      <c r="B725" s="181" t="s">
        <v>124</v>
      </c>
      <c r="C725" s="181" t="s">
        <v>672</v>
      </c>
      <c r="D725" s="181" t="str">
        <f t="shared" si="14"/>
        <v>34200</v>
      </c>
      <c r="E725" s="181" t="s">
        <v>15</v>
      </c>
      <c r="F725" s="181" t="s">
        <v>14</v>
      </c>
      <c r="G725" s="181" t="s">
        <v>647</v>
      </c>
      <c r="H725" s="8">
        <v>148986.45000000001</v>
      </c>
      <c r="I725" s="8">
        <v>786.96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149773.41</v>
      </c>
    </row>
    <row r="726" spans="1:15">
      <c r="A726" s="191">
        <v>44835</v>
      </c>
      <c r="B726" s="181" t="s">
        <v>124</v>
      </c>
      <c r="C726" s="181" t="s">
        <v>673</v>
      </c>
      <c r="D726" s="181" t="str">
        <f t="shared" si="14"/>
        <v>34200</v>
      </c>
      <c r="E726" s="181" t="s">
        <v>15</v>
      </c>
      <c r="F726" s="181" t="s">
        <v>14</v>
      </c>
      <c r="G726" s="181" t="s">
        <v>647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</row>
    <row r="727" spans="1:15">
      <c r="A727" s="191">
        <v>44835</v>
      </c>
      <c r="B727" s="181" t="s">
        <v>124</v>
      </c>
      <c r="C727" s="181" t="s">
        <v>674</v>
      </c>
      <c r="D727" s="181" t="str">
        <f t="shared" si="14"/>
        <v>34200</v>
      </c>
      <c r="E727" s="181" t="s">
        <v>15</v>
      </c>
      <c r="F727" s="181" t="s">
        <v>14</v>
      </c>
      <c r="G727" s="181" t="s">
        <v>647</v>
      </c>
      <c r="H727" s="8">
        <v>56975.41</v>
      </c>
      <c r="I727" s="8">
        <v>1278.8700000000001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58254.28</v>
      </c>
    </row>
    <row r="728" spans="1:15">
      <c r="A728" s="191">
        <v>44835</v>
      </c>
      <c r="B728" s="181" t="s">
        <v>124</v>
      </c>
      <c r="C728" s="181" t="s">
        <v>675</v>
      </c>
      <c r="D728" s="181" t="str">
        <f t="shared" si="14"/>
        <v>34200</v>
      </c>
      <c r="E728" s="181" t="s">
        <v>15</v>
      </c>
      <c r="F728" s="181" t="s">
        <v>14</v>
      </c>
      <c r="G728" s="181" t="s">
        <v>647</v>
      </c>
      <c r="H728" s="8">
        <v>1317323.57</v>
      </c>
      <c r="I728" s="8">
        <v>10127.27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1327450.8400000001</v>
      </c>
    </row>
    <row r="729" spans="1:15">
      <c r="A729" s="191">
        <v>44835</v>
      </c>
      <c r="B729" s="181" t="s">
        <v>124</v>
      </c>
      <c r="C729" s="181" t="s">
        <v>676</v>
      </c>
      <c r="D729" s="181" t="str">
        <f t="shared" si="14"/>
        <v>34200</v>
      </c>
      <c r="E729" s="181" t="s">
        <v>15</v>
      </c>
      <c r="F729" s="181" t="s">
        <v>14</v>
      </c>
      <c r="G729" s="181" t="s">
        <v>647</v>
      </c>
      <c r="H729" s="8">
        <v>1317323.57</v>
      </c>
      <c r="I729" s="8">
        <v>10127.27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1327450.8400000001</v>
      </c>
    </row>
    <row r="730" spans="1:15">
      <c r="A730" s="191">
        <v>44835</v>
      </c>
      <c r="B730" s="181" t="s">
        <v>124</v>
      </c>
      <c r="C730" s="181" t="s">
        <v>677</v>
      </c>
      <c r="D730" s="181" t="str">
        <f t="shared" si="14"/>
        <v>34200</v>
      </c>
      <c r="E730" s="181" t="s">
        <v>15</v>
      </c>
      <c r="F730" s="181" t="s">
        <v>14</v>
      </c>
      <c r="G730" s="181" t="s">
        <v>647</v>
      </c>
      <c r="H730" s="8">
        <v>65395.32</v>
      </c>
      <c r="I730" s="8">
        <v>1115.5899999999999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66510.91</v>
      </c>
    </row>
    <row r="731" spans="1:15">
      <c r="A731" s="191">
        <v>44835</v>
      </c>
      <c r="B731" s="181" t="s">
        <v>124</v>
      </c>
      <c r="C731" s="181" t="s">
        <v>672</v>
      </c>
      <c r="D731" s="181" t="str">
        <f t="shared" si="14"/>
        <v>34200</v>
      </c>
      <c r="E731" s="181" t="s">
        <v>15</v>
      </c>
      <c r="F731" s="181" t="s">
        <v>14</v>
      </c>
      <c r="G731" s="181" t="s">
        <v>793</v>
      </c>
      <c r="H731" s="8">
        <v>113664.49</v>
      </c>
      <c r="I731" s="8">
        <v>156.88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113821.37</v>
      </c>
    </row>
    <row r="732" spans="1:15">
      <c r="A732" s="191">
        <v>44835</v>
      </c>
      <c r="B732" s="181" t="s">
        <v>124</v>
      </c>
      <c r="C732" s="181" t="s">
        <v>674</v>
      </c>
      <c r="D732" s="181" t="str">
        <f t="shared" si="14"/>
        <v>34200</v>
      </c>
      <c r="E732" s="181" t="s">
        <v>15</v>
      </c>
      <c r="F732" s="181" t="s">
        <v>14</v>
      </c>
      <c r="G732" s="181" t="s">
        <v>793</v>
      </c>
      <c r="H732" s="8">
        <v>6928.7</v>
      </c>
      <c r="I732" s="8">
        <v>155.53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7084.2300000000005</v>
      </c>
    </row>
    <row r="733" spans="1:15">
      <c r="A733" s="191">
        <v>44835</v>
      </c>
      <c r="B733" s="181" t="s">
        <v>124</v>
      </c>
      <c r="C733" s="181" t="s">
        <v>675</v>
      </c>
      <c r="D733" s="181" t="str">
        <f t="shared" si="14"/>
        <v>34200</v>
      </c>
      <c r="E733" s="181" t="s">
        <v>15</v>
      </c>
      <c r="F733" s="181" t="s">
        <v>14</v>
      </c>
      <c r="G733" s="181" t="s">
        <v>793</v>
      </c>
      <c r="H733" s="8">
        <v>145397.70000000001</v>
      </c>
      <c r="I733" s="8">
        <v>1231.6100000000001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146629.31</v>
      </c>
    </row>
    <row r="734" spans="1:15">
      <c r="A734" s="191">
        <v>44835</v>
      </c>
      <c r="B734" s="181" t="s">
        <v>124</v>
      </c>
      <c r="C734" s="181" t="s">
        <v>676</v>
      </c>
      <c r="D734" s="181" t="str">
        <f t="shared" si="14"/>
        <v>34200</v>
      </c>
      <c r="E734" s="181" t="s">
        <v>15</v>
      </c>
      <c r="F734" s="181" t="s">
        <v>14</v>
      </c>
      <c r="G734" s="181" t="s">
        <v>793</v>
      </c>
      <c r="H734" s="8">
        <v>145397.70000000001</v>
      </c>
      <c r="I734" s="8">
        <v>1231.6100000000001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146629.31</v>
      </c>
    </row>
    <row r="735" spans="1:15">
      <c r="A735" s="191">
        <v>44835</v>
      </c>
      <c r="B735" s="181" t="s">
        <v>124</v>
      </c>
      <c r="C735" s="181" t="s">
        <v>677</v>
      </c>
      <c r="D735" s="181" t="str">
        <f t="shared" si="14"/>
        <v>34200</v>
      </c>
      <c r="E735" s="181" t="s">
        <v>15</v>
      </c>
      <c r="F735" s="181" t="s">
        <v>14</v>
      </c>
      <c r="G735" s="181" t="s">
        <v>793</v>
      </c>
      <c r="H735" s="8">
        <v>2532.9500000000003</v>
      </c>
      <c r="I735" s="8">
        <v>43.21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2576.16</v>
      </c>
    </row>
    <row r="736" spans="1:15">
      <c r="A736" s="191">
        <v>44866</v>
      </c>
      <c r="B736" s="181" t="s">
        <v>123</v>
      </c>
      <c r="C736" s="181" t="s">
        <v>672</v>
      </c>
      <c r="D736" s="181" t="str">
        <f t="shared" si="14"/>
        <v>34200</v>
      </c>
      <c r="E736" s="181" t="s">
        <v>15</v>
      </c>
      <c r="F736" s="181" t="s">
        <v>14</v>
      </c>
      <c r="G736" s="181" t="s">
        <v>647</v>
      </c>
      <c r="H736" s="8">
        <v>149773.41</v>
      </c>
      <c r="I736" s="8">
        <v>786.96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150560.37</v>
      </c>
    </row>
    <row r="737" spans="1:15">
      <c r="A737" s="191">
        <v>44866</v>
      </c>
      <c r="B737" s="181" t="s">
        <v>123</v>
      </c>
      <c r="C737" s="181" t="s">
        <v>673</v>
      </c>
      <c r="D737" s="181" t="str">
        <f t="shared" si="14"/>
        <v>34200</v>
      </c>
      <c r="E737" s="181" t="s">
        <v>15</v>
      </c>
      <c r="F737" s="181" t="s">
        <v>14</v>
      </c>
      <c r="G737" s="181" t="s">
        <v>647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</row>
    <row r="738" spans="1:15">
      <c r="A738" s="191">
        <v>44866</v>
      </c>
      <c r="B738" s="181" t="s">
        <v>123</v>
      </c>
      <c r="C738" s="181" t="s">
        <v>674</v>
      </c>
      <c r="D738" s="181" t="str">
        <f t="shared" si="14"/>
        <v>34200</v>
      </c>
      <c r="E738" s="181" t="s">
        <v>15</v>
      </c>
      <c r="F738" s="181" t="s">
        <v>14</v>
      </c>
      <c r="G738" s="181" t="s">
        <v>647</v>
      </c>
      <c r="H738" s="8">
        <v>58254.28</v>
      </c>
      <c r="I738" s="8">
        <v>1278.8700000000001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59533.15</v>
      </c>
    </row>
    <row r="739" spans="1:15">
      <c r="A739" s="191">
        <v>44866</v>
      </c>
      <c r="B739" s="181" t="s">
        <v>123</v>
      </c>
      <c r="C739" s="181" t="s">
        <v>675</v>
      </c>
      <c r="D739" s="181" t="str">
        <f t="shared" si="14"/>
        <v>34200</v>
      </c>
      <c r="E739" s="181" t="s">
        <v>15</v>
      </c>
      <c r="F739" s="181" t="s">
        <v>14</v>
      </c>
      <c r="G739" s="181" t="s">
        <v>647</v>
      </c>
      <c r="H739" s="8">
        <v>1327450.8400000001</v>
      </c>
      <c r="I739" s="8">
        <v>10127.27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1337578.1099999999</v>
      </c>
    </row>
    <row r="740" spans="1:15">
      <c r="A740" s="191">
        <v>44866</v>
      </c>
      <c r="B740" s="181" t="s">
        <v>123</v>
      </c>
      <c r="C740" s="181" t="s">
        <v>676</v>
      </c>
      <c r="D740" s="181" t="str">
        <f t="shared" si="14"/>
        <v>34200</v>
      </c>
      <c r="E740" s="181" t="s">
        <v>15</v>
      </c>
      <c r="F740" s="181" t="s">
        <v>14</v>
      </c>
      <c r="G740" s="181" t="s">
        <v>647</v>
      </c>
      <c r="H740" s="8">
        <v>1327450.8400000001</v>
      </c>
      <c r="I740" s="8">
        <v>10127.27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1337578.1099999999</v>
      </c>
    </row>
    <row r="741" spans="1:15">
      <c r="A741" s="191">
        <v>44866</v>
      </c>
      <c r="B741" s="181" t="s">
        <v>123</v>
      </c>
      <c r="C741" s="181" t="s">
        <v>677</v>
      </c>
      <c r="D741" s="181" t="str">
        <f t="shared" si="14"/>
        <v>34200</v>
      </c>
      <c r="E741" s="181" t="s">
        <v>15</v>
      </c>
      <c r="F741" s="181" t="s">
        <v>14</v>
      </c>
      <c r="G741" s="181" t="s">
        <v>647</v>
      </c>
      <c r="H741" s="8">
        <v>66510.91</v>
      </c>
      <c r="I741" s="8">
        <v>1115.5899999999999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67626.5</v>
      </c>
    </row>
    <row r="742" spans="1:15">
      <c r="A742" s="191">
        <v>44866</v>
      </c>
      <c r="B742" s="181" t="s">
        <v>123</v>
      </c>
      <c r="C742" s="181" t="s">
        <v>672</v>
      </c>
      <c r="D742" s="181" t="str">
        <f t="shared" si="14"/>
        <v>34200</v>
      </c>
      <c r="E742" s="181" t="s">
        <v>15</v>
      </c>
      <c r="F742" s="181" t="s">
        <v>14</v>
      </c>
      <c r="G742" s="181" t="s">
        <v>793</v>
      </c>
      <c r="H742" s="8">
        <v>113821.37</v>
      </c>
      <c r="I742" s="8">
        <v>156.88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113978.25</v>
      </c>
    </row>
    <row r="743" spans="1:15">
      <c r="A743" s="191">
        <v>44866</v>
      </c>
      <c r="B743" s="181" t="s">
        <v>123</v>
      </c>
      <c r="C743" s="181" t="s">
        <v>674</v>
      </c>
      <c r="D743" s="181" t="str">
        <f t="shared" si="14"/>
        <v>34200</v>
      </c>
      <c r="E743" s="181" t="s">
        <v>15</v>
      </c>
      <c r="F743" s="181" t="s">
        <v>14</v>
      </c>
      <c r="G743" s="181" t="s">
        <v>793</v>
      </c>
      <c r="H743" s="8">
        <v>7084.2300000000005</v>
      </c>
      <c r="I743" s="8">
        <v>155.53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7239.76</v>
      </c>
    </row>
    <row r="744" spans="1:15">
      <c r="A744" s="191">
        <v>44866</v>
      </c>
      <c r="B744" s="181" t="s">
        <v>123</v>
      </c>
      <c r="C744" s="181" t="s">
        <v>675</v>
      </c>
      <c r="D744" s="181" t="str">
        <f t="shared" si="14"/>
        <v>34200</v>
      </c>
      <c r="E744" s="181" t="s">
        <v>15</v>
      </c>
      <c r="F744" s="181" t="s">
        <v>14</v>
      </c>
      <c r="G744" s="181" t="s">
        <v>793</v>
      </c>
      <c r="H744" s="8">
        <v>146629.31</v>
      </c>
      <c r="I744" s="8">
        <v>1231.6100000000001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147860.92000000001</v>
      </c>
    </row>
    <row r="745" spans="1:15">
      <c r="A745" s="191">
        <v>44866</v>
      </c>
      <c r="B745" s="181" t="s">
        <v>123</v>
      </c>
      <c r="C745" s="181" t="s">
        <v>676</v>
      </c>
      <c r="D745" s="181" t="str">
        <f t="shared" si="14"/>
        <v>34200</v>
      </c>
      <c r="E745" s="181" t="s">
        <v>15</v>
      </c>
      <c r="F745" s="181" t="s">
        <v>14</v>
      </c>
      <c r="G745" s="181" t="s">
        <v>793</v>
      </c>
      <c r="H745" s="8">
        <v>146629.31</v>
      </c>
      <c r="I745" s="8">
        <v>1231.6100000000001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147860.92000000001</v>
      </c>
    </row>
    <row r="746" spans="1:15">
      <c r="A746" s="191">
        <v>44866</v>
      </c>
      <c r="B746" s="181" t="s">
        <v>123</v>
      </c>
      <c r="C746" s="181" t="s">
        <v>677</v>
      </c>
      <c r="D746" s="181" t="str">
        <f t="shared" si="14"/>
        <v>34200</v>
      </c>
      <c r="E746" s="181" t="s">
        <v>15</v>
      </c>
      <c r="F746" s="181" t="s">
        <v>14</v>
      </c>
      <c r="G746" s="181" t="s">
        <v>793</v>
      </c>
      <c r="H746" s="8">
        <v>2576.16</v>
      </c>
      <c r="I746" s="8">
        <v>43.21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2619.37</v>
      </c>
    </row>
    <row r="747" spans="1:15">
      <c r="A747" s="191">
        <v>44896</v>
      </c>
      <c r="B747" s="181" t="s">
        <v>122</v>
      </c>
      <c r="C747" s="181" t="s">
        <v>672</v>
      </c>
      <c r="D747" s="181" t="str">
        <f t="shared" si="14"/>
        <v>34200</v>
      </c>
      <c r="E747" s="181" t="s">
        <v>15</v>
      </c>
      <c r="F747" s="181" t="s">
        <v>14</v>
      </c>
      <c r="G747" s="181" t="s">
        <v>647</v>
      </c>
      <c r="H747" s="8">
        <v>150560.37</v>
      </c>
      <c r="I747" s="8">
        <v>786.96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151347.33000000002</v>
      </c>
    </row>
    <row r="748" spans="1:15">
      <c r="A748" s="191">
        <v>44896</v>
      </c>
      <c r="B748" s="181" t="s">
        <v>122</v>
      </c>
      <c r="C748" s="181" t="s">
        <v>673</v>
      </c>
      <c r="D748" s="181" t="str">
        <f t="shared" si="14"/>
        <v>34200</v>
      </c>
      <c r="E748" s="181" t="s">
        <v>15</v>
      </c>
      <c r="F748" s="181" t="s">
        <v>14</v>
      </c>
      <c r="G748" s="181" t="s">
        <v>647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</row>
    <row r="749" spans="1:15">
      <c r="A749" s="191">
        <v>44896</v>
      </c>
      <c r="B749" s="181" t="s">
        <v>122</v>
      </c>
      <c r="C749" s="181" t="s">
        <v>674</v>
      </c>
      <c r="D749" s="181" t="str">
        <f t="shared" si="14"/>
        <v>34200</v>
      </c>
      <c r="E749" s="181" t="s">
        <v>15</v>
      </c>
      <c r="F749" s="181" t="s">
        <v>14</v>
      </c>
      <c r="G749" s="181" t="s">
        <v>647</v>
      </c>
      <c r="H749" s="8">
        <v>59533.15</v>
      </c>
      <c r="I749" s="8">
        <v>1278.8700000000001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60812.020000000004</v>
      </c>
    </row>
    <row r="750" spans="1:15">
      <c r="A750" s="191">
        <v>44896</v>
      </c>
      <c r="B750" s="181" t="s">
        <v>122</v>
      </c>
      <c r="C750" s="181" t="s">
        <v>675</v>
      </c>
      <c r="D750" s="181" t="str">
        <f t="shared" si="14"/>
        <v>34200</v>
      </c>
      <c r="E750" s="181" t="s">
        <v>15</v>
      </c>
      <c r="F750" s="181" t="s">
        <v>14</v>
      </c>
      <c r="G750" s="181" t="s">
        <v>647</v>
      </c>
      <c r="H750" s="8">
        <v>1337578.1099999999</v>
      </c>
      <c r="I750" s="8">
        <v>10127.27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1347705.38</v>
      </c>
    </row>
    <row r="751" spans="1:15">
      <c r="A751" s="191">
        <v>44896</v>
      </c>
      <c r="B751" s="181" t="s">
        <v>122</v>
      </c>
      <c r="C751" s="181" t="s">
        <v>676</v>
      </c>
      <c r="D751" s="181" t="str">
        <f t="shared" si="14"/>
        <v>34200</v>
      </c>
      <c r="E751" s="181" t="s">
        <v>15</v>
      </c>
      <c r="F751" s="181" t="s">
        <v>14</v>
      </c>
      <c r="G751" s="181" t="s">
        <v>647</v>
      </c>
      <c r="H751" s="8">
        <v>1337578.1099999999</v>
      </c>
      <c r="I751" s="8">
        <v>10127.27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1347705.38</v>
      </c>
    </row>
    <row r="752" spans="1:15">
      <c r="A752" s="191">
        <v>44896</v>
      </c>
      <c r="B752" s="181" t="s">
        <v>122</v>
      </c>
      <c r="C752" s="181" t="s">
        <v>677</v>
      </c>
      <c r="D752" s="181" t="str">
        <f t="shared" si="14"/>
        <v>34200</v>
      </c>
      <c r="E752" s="181" t="s">
        <v>15</v>
      </c>
      <c r="F752" s="181" t="s">
        <v>14</v>
      </c>
      <c r="G752" s="181" t="s">
        <v>647</v>
      </c>
      <c r="H752" s="8">
        <v>67626.5</v>
      </c>
      <c r="I752" s="8">
        <v>1115.5899999999999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68742.09</v>
      </c>
    </row>
    <row r="753" spans="1:15">
      <c r="A753" s="191">
        <v>44896</v>
      </c>
      <c r="B753" s="181" t="s">
        <v>122</v>
      </c>
      <c r="C753" s="181" t="s">
        <v>672</v>
      </c>
      <c r="D753" s="181" t="str">
        <f t="shared" si="14"/>
        <v>34200</v>
      </c>
      <c r="E753" s="181" t="s">
        <v>15</v>
      </c>
      <c r="F753" s="181" t="s">
        <v>14</v>
      </c>
      <c r="G753" s="181" t="s">
        <v>793</v>
      </c>
      <c r="H753" s="8">
        <v>113978.25</v>
      </c>
      <c r="I753" s="8">
        <v>156.88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114135.13</v>
      </c>
    </row>
    <row r="754" spans="1:15">
      <c r="A754" s="191">
        <v>44896</v>
      </c>
      <c r="B754" s="181" t="s">
        <v>122</v>
      </c>
      <c r="C754" s="181" t="s">
        <v>674</v>
      </c>
      <c r="D754" s="181" t="str">
        <f t="shared" si="14"/>
        <v>34200</v>
      </c>
      <c r="E754" s="181" t="s">
        <v>15</v>
      </c>
      <c r="F754" s="181" t="s">
        <v>14</v>
      </c>
      <c r="G754" s="181" t="s">
        <v>793</v>
      </c>
      <c r="H754" s="8">
        <v>7239.76</v>
      </c>
      <c r="I754" s="8">
        <v>155.53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7395.29</v>
      </c>
    </row>
    <row r="755" spans="1:15">
      <c r="A755" s="191">
        <v>44896</v>
      </c>
      <c r="B755" s="181" t="s">
        <v>122</v>
      </c>
      <c r="C755" s="181" t="s">
        <v>675</v>
      </c>
      <c r="D755" s="181" t="str">
        <f t="shared" si="14"/>
        <v>34200</v>
      </c>
      <c r="E755" s="181" t="s">
        <v>15</v>
      </c>
      <c r="F755" s="181" t="s">
        <v>14</v>
      </c>
      <c r="G755" s="181" t="s">
        <v>793</v>
      </c>
      <c r="H755" s="8">
        <v>147860.92000000001</v>
      </c>
      <c r="I755" s="8">
        <v>1231.6100000000001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149092.53</v>
      </c>
    </row>
    <row r="756" spans="1:15">
      <c r="A756" s="191">
        <v>44896</v>
      </c>
      <c r="B756" s="181" t="s">
        <v>122</v>
      </c>
      <c r="C756" s="181" t="s">
        <v>676</v>
      </c>
      <c r="D756" s="181" t="str">
        <f t="shared" si="14"/>
        <v>34200</v>
      </c>
      <c r="E756" s="181" t="s">
        <v>15</v>
      </c>
      <c r="F756" s="181" t="s">
        <v>14</v>
      </c>
      <c r="G756" s="181" t="s">
        <v>793</v>
      </c>
      <c r="H756" s="8">
        <v>147860.92000000001</v>
      </c>
      <c r="I756" s="8">
        <v>1231.6100000000001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149092.53</v>
      </c>
    </row>
    <row r="757" spans="1:15">
      <c r="A757" s="191">
        <v>44896</v>
      </c>
      <c r="B757" s="181" t="s">
        <v>122</v>
      </c>
      <c r="C757" s="181" t="s">
        <v>677</v>
      </c>
      <c r="D757" s="181" t="str">
        <f t="shared" si="14"/>
        <v>34200</v>
      </c>
      <c r="E757" s="181" t="s">
        <v>15</v>
      </c>
      <c r="F757" s="181" t="s">
        <v>14</v>
      </c>
      <c r="G757" s="181" t="s">
        <v>793</v>
      </c>
      <c r="H757" s="8">
        <v>2619.37</v>
      </c>
      <c r="I757" s="8">
        <v>43.21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2662.58</v>
      </c>
    </row>
    <row r="758" spans="1:15">
      <c r="A758" s="191">
        <v>44531</v>
      </c>
      <c r="B758" s="181" t="s">
        <v>13</v>
      </c>
      <c r="C758" s="181" t="s">
        <v>678</v>
      </c>
      <c r="D758" s="181" t="str">
        <f t="shared" si="14"/>
        <v>34300</v>
      </c>
      <c r="E758" s="181" t="s">
        <v>15</v>
      </c>
      <c r="F758" s="181" t="s">
        <v>14</v>
      </c>
      <c r="G758" s="181" t="s">
        <v>647</v>
      </c>
      <c r="H758" s="8">
        <v>1339150.3999999999</v>
      </c>
      <c r="I758" s="8">
        <v>8618.4699999999993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1347768.87</v>
      </c>
    </row>
    <row r="759" spans="1:15">
      <c r="A759" s="191">
        <v>44531</v>
      </c>
      <c r="B759" s="181" t="s">
        <v>13</v>
      </c>
      <c r="C759" s="181" t="s">
        <v>679</v>
      </c>
      <c r="D759" s="181" t="str">
        <f t="shared" si="14"/>
        <v>34300</v>
      </c>
      <c r="E759" s="181" t="s">
        <v>15</v>
      </c>
      <c r="F759" s="181" t="s">
        <v>14</v>
      </c>
      <c r="G759" s="181" t="s">
        <v>647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</row>
    <row r="760" spans="1:15">
      <c r="A760" s="191">
        <v>44531</v>
      </c>
      <c r="B760" s="181" t="s">
        <v>13</v>
      </c>
      <c r="C760" s="181" t="s">
        <v>680</v>
      </c>
      <c r="D760" s="181" t="str">
        <f t="shared" si="14"/>
        <v>34300</v>
      </c>
      <c r="E760" s="181" t="s">
        <v>15</v>
      </c>
      <c r="F760" s="181" t="s">
        <v>14</v>
      </c>
      <c r="G760" s="181" t="s">
        <v>647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</row>
    <row r="761" spans="1:15">
      <c r="A761" s="191">
        <v>44531</v>
      </c>
      <c r="B761" s="181" t="s">
        <v>13</v>
      </c>
      <c r="C761" s="181" t="s">
        <v>681</v>
      </c>
      <c r="D761" s="181" t="str">
        <f t="shared" si="14"/>
        <v>34300</v>
      </c>
      <c r="E761" s="181" t="s">
        <v>15</v>
      </c>
      <c r="F761" s="181" t="s">
        <v>14</v>
      </c>
      <c r="G761" s="181" t="s">
        <v>647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</row>
    <row r="762" spans="1:15">
      <c r="A762" s="191">
        <v>44531</v>
      </c>
      <c r="B762" s="181" t="s">
        <v>13</v>
      </c>
      <c r="C762" s="181" t="s">
        <v>682</v>
      </c>
      <c r="D762" s="181" t="str">
        <f t="shared" si="14"/>
        <v>34300</v>
      </c>
      <c r="E762" s="181" t="s">
        <v>15</v>
      </c>
      <c r="F762" s="181" t="s">
        <v>14</v>
      </c>
      <c r="G762" s="181" t="s">
        <v>647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</row>
    <row r="763" spans="1:15">
      <c r="A763" s="191">
        <v>44531</v>
      </c>
      <c r="B763" s="181" t="s">
        <v>13</v>
      </c>
      <c r="C763" s="181" t="s">
        <v>683</v>
      </c>
      <c r="D763" s="181" t="str">
        <f t="shared" si="14"/>
        <v>34300</v>
      </c>
      <c r="E763" s="181" t="s">
        <v>15</v>
      </c>
      <c r="F763" s="181" t="s">
        <v>14</v>
      </c>
      <c r="G763" s="181" t="s">
        <v>647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</row>
    <row r="764" spans="1:15">
      <c r="A764" s="191">
        <v>44531</v>
      </c>
      <c r="B764" s="181" t="s">
        <v>13</v>
      </c>
      <c r="C764" s="181" t="s">
        <v>678</v>
      </c>
      <c r="D764" s="181" t="str">
        <f t="shared" si="14"/>
        <v>34300</v>
      </c>
      <c r="E764" s="181" t="s">
        <v>15</v>
      </c>
      <c r="F764" s="181" t="s">
        <v>14</v>
      </c>
      <c r="G764" s="181" t="s">
        <v>793</v>
      </c>
      <c r="H764" s="8">
        <v>31669.600000000002</v>
      </c>
      <c r="I764" s="8">
        <v>625.08000000000004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32294.68</v>
      </c>
    </row>
    <row r="765" spans="1:15">
      <c r="A765" s="191">
        <v>44562</v>
      </c>
      <c r="B765" s="181" t="s">
        <v>133</v>
      </c>
      <c r="C765" s="181" t="s">
        <v>678</v>
      </c>
      <c r="D765" s="181" t="str">
        <f t="shared" si="14"/>
        <v>34300</v>
      </c>
      <c r="E765" s="181" t="s">
        <v>15</v>
      </c>
      <c r="F765" s="181" t="s">
        <v>14</v>
      </c>
      <c r="G765" s="181" t="s">
        <v>647</v>
      </c>
      <c r="H765" s="8">
        <v>1347768.87</v>
      </c>
      <c r="I765" s="8">
        <v>8618.4699999999993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1356387.34</v>
      </c>
    </row>
    <row r="766" spans="1:15">
      <c r="A766" s="191">
        <v>44562</v>
      </c>
      <c r="B766" s="181" t="s">
        <v>133</v>
      </c>
      <c r="C766" s="181" t="s">
        <v>679</v>
      </c>
      <c r="D766" s="181" t="str">
        <f t="shared" si="14"/>
        <v>34300</v>
      </c>
      <c r="E766" s="181" t="s">
        <v>15</v>
      </c>
      <c r="F766" s="181" t="s">
        <v>14</v>
      </c>
      <c r="G766" s="181" t="s">
        <v>647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</row>
    <row r="767" spans="1:15">
      <c r="A767" s="191">
        <v>44562</v>
      </c>
      <c r="B767" s="181" t="s">
        <v>133</v>
      </c>
      <c r="C767" s="181" t="s">
        <v>680</v>
      </c>
      <c r="D767" s="181" t="str">
        <f t="shared" si="14"/>
        <v>34300</v>
      </c>
      <c r="E767" s="181" t="s">
        <v>15</v>
      </c>
      <c r="F767" s="181" t="s">
        <v>14</v>
      </c>
      <c r="G767" s="181" t="s">
        <v>647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</row>
    <row r="768" spans="1:15">
      <c r="A768" s="191">
        <v>44562</v>
      </c>
      <c r="B768" s="181" t="s">
        <v>133</v>
      </c>
      <c r="C768" s="181" t="s">
        <v>681</v>
      </c>
      <c r="D768" s="181" t="str">
        <f t="shared" si="14"/>
        <v>34300</v>
      </c>
      <c r="E768" s="181" t="s">
        <v>15</v>
      </c>
      <c r="F768" s="181" t="s">
        <v>14</v>
      </c>
      <c r="G768" s="181" t="s">
        <v>647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</row>
    <row r="769" spans="1:15">
      <c r="A769" s="191">
        <v>44562</v>
      </c>
      <c r="B769" s="181" t="s">
        <v>133</v>
      </c>
      <c r="C769" s="181" t="s">
        <v>682</v>
      </c>
      <c r="D769" s="181" t="str">
        <f t="shared" si="14"/>
        <v>34300</v>
      </c>
      <c r="E769" s="181" t="s">
        <v>15</v>
      </c>
      <c r="F769" s="181" t="s">
        <v>14</v>
      </c>
      <c r="G769" s="181" t="s">
        <v>647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</row>
    <row r="770" spans="1:15">
      <c r="A770" s="191">
        <v>44562</v>
      </c>
      <c r="B770" s="181" t="s">
        <v>133</v>
      </c>
      <c r="C770" s="181" t="s">
        <v>683</v>
      </c>
      <c r="D770" s="181" t="str">
        <f t="shared" ref="D770:D833" si="15">MID(C770,10,5)</f>
        <v>34300</v>
      </c>
      <c r="E770" s="181" t="s">
        <v>15</v>
      </c>
      <c r="F770" s="181" t="s">
        <v>14</v>
      </c>
      <c r="G770" s="181" t="s">
        <v>647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</row>
    <row r="771" spans="1:15">
      <c r="A771" s="191">
        <v>44562</v>
      </c>
      <c r="B771" s="181" t="s">
        <v>133</v>
      </c>
      <c r="C771" s="181" t="s">
        <v>678</v>
      </c>
      <c r="D771" s="181" t="str">
        <f t="shared" si="15"/>
        <v>34300</v>
      </c>
      <c r="E771" s="181" t="s">
        <v>15</v>
      </c>
      <c r="F771" s="181" t="s">
        <v>14</v>
      </c>
      <c r="G771" s="181" t="s">
        <v>793</v>
      </c>
      <c r="H771" s="8">
        <v>32294.68</v>
      </c>
      <c r="I771" s="8">
        <v>625.08000000000004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32919.760000000002</v>
      </c>
    </row>
    <row r="772" spans="1:15">
      <c r="A772" s="191">
        <v>44593</v>
      </c>
      <c r="B772" s="181" t="s">
        <v>132</v>
      </c>
      <c r="C772" s="181" t="s">
        <v>678</v>
      </c>
      <c r="D772" s="181" t="str">
        <f t="shared" si="15"/>
        <v>34300</v>
      </c>
      <c r="E772" s="181" t="s">
        <v>15</v>
      </c>
      <c r="F772" s="181" t="s">
        <v>14</v>
      </c>
      <c r="G772" s="181" t="s">
        <v>647</v>
      </c>
      <c r="H772" s="8">
        <v>1356387.34</v>
      </c>
      <c r="I772" s="8">
        <v>8618.4699999999993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1365005.81</v>
      </c>
    </row>
    <row r="773" spans="1:15">
      <c r="A773" s="191">
        <v>44593</v>
      </c>
      <c r="B773" s="181" t="s">
        <v>132</v>
      </c>
      <c r="C773" s="181" t="s">
        <v>679</v>
      </c>
      <c r="D773" s="181" t="str">
        <f t="shared" si="15"/>
        <v>34300</v>
      </c>
      <c r="E773" s="181" t="s">
        <v>15</v>
      </c>
      <c r="F773" s="181" t="s">
        <v>14</v>
      </c>
      <c r="G773" s="181" t="s">
        <v>647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</row>
    <row r="774" spans="1:15">
      <c r="A774" s="191">
        <v>44593</v>
      </c>
      <c r="B774" s="181" t="s">
        <v>132</v>
      </c>
      <c r="C774" s="181" t="s">
        <v>680</v>
      </c>
      <c r="D774" s="181" t="str">
        <f t="shared" si="15"/>
        <v>34300</v>
      </c>
      <c r="E774" s="181" t="s">
        <v>15</v>
      </c>
      <c r="F774" s="181" t="s">
        <v>14</v>
      </c>
      <c r="G774" s="181" t="s">
        <v>647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</row>
    <row r="775" spans="1:15">
      <c r="A775" s="191">
        <v>44593</v>
      </c>
      <c r="B775" s="181" t="s">
        <v>132</v>
      </c>
      <c r="C775" s="181" t="s">
        <v>681</v>
      </c>
      <c r="D775" s="181" t="str">
        <f t="shared" si="15"/>
        <v>34300</v>
      </c>
      <c r="E775" s="181" t="s">
        <v>15</v>
      </c>
      <c r="F775" s="181" t="s">
        <v>14</v>
      </c>
      <c r="G775" s="181" t="s">
        <v>647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</row>
    <row r="776" spans="1:15">
      <c r="A776" s="191">
        <v>44593</v>
      </c>
      <c r="B776" s="181" t="s">
        <v>132</v>
      </c>
      <c r="C776" s="181" t="s">
        <v>682</v>
      </c>
      <c r="D776" s="181" t="str">
        <f t="shared" si="15"/>
        <v>34300</v>
      </c>
      <c r="E776" s="181" t="s">
        <v>15</v>
      </c>
      <c r="F776" s="181" t="s">
        <v>14</v>
      </c>
      <c r="G776" s="181" t="s">
        <v>647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</row>
    <row r="777" spans="1:15">
      <c r="A777" s="191">
        <v>44593</v>
      </c>
      <c r="B777" s="181" t="s">
        <v>132</v>
      </c>
      <c r="C777" s="181" t="s">
        <v>683</v>
      </c>
      <c r="D777" s="181" t="str">
        <f t="shared" si="15"/>
        <v>34300</v>
      </c>
      <c r="E777" s="181" t="s">
        <v>15</v>
      </c>
      <c r="F777" s="181" t="s">
        <v>14</v>
      </c>
      <c r="G777" s="181" t="s">
        <v>647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</row>
    <row r="778" spans="1:15">
      <c r="A778" s="191">
        <v>44593</v>
      </c>
      <c r="B778" s="181" t="s">
        <v>132</v>
      </c>
      <c r="C778" s="181" t="s">
        <v>678</v>
      </c>
      <c r="D778" s="181" t="str">
        <f t="shared" si="15"/>
        <v>34300</v>
      </c>
      <c r="E778" s="181" t="s">
        <v>15</v>
      </c>
      <c r="F778" s="181" t="s">
        <v>14</v>
      </c>
      <c r="G778" s="181" t="s">
        <v>793</v>
      </c>
      <c r="H778" s="8">
        <v>32919.760000000002</v>
      </c>
      <c r="I778" s="8">
        <v>625.08000000000004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33544.840000000004</v>
      </c>
    </row>
    <row r="779" spans="1:15">
      <c r="A779" s="191">
        <v>44621</v>
      </c>
      <c r="B779" s="181" t="s">
        <v>131</v>
      </c>
      <c r="C779" s="181" t="s">
        <v>678</v>
      </c>
      <c r="D779" s="181" t="str">
        <f t="shared" si="15"/>
        <v>34300</v>
      </c>
      <c r="E779" s="181" t="s">
        <v>15</v>
      </c>
      <c r="F779" s="181" t="s">
        <v>14</v>
      </c>
      <c r="G779" s="181" t="s">
        <v>647</v>
      </c>
      <c r="H779" s="8">
        <v>1365005.81</v>
      </c>
      <c r="I779" s="8">
        <v>8618.4699999999993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1373624.28</v>
      </c>
    </row>
    <row r="780" spans="1:15">
      <c r="A780" s="191">
        <v>44621</v>
      </c>
      <c r="B780" s="181" t="s">
        <v>131</v>
      </c>
      <c r="C780" s="181" t="s">
        <v>679</v>
      </c>
      <c r="D780" s="181" t="str">
        <f t="shared" si="15"/>
        <v>34300</v>
      </c>
      <c r="E780" s="181" t="s">
        <v>15</v>
      </c>
      <c r="F780" s="181" t="s">
        <v>14</v>
      </c>
      <c r="G780" s="181" t="s">
        <v>647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</row>
    <row r="781" spans="1:15">
      <c r="A781" s="191">
        <v>44621</v>
      </c>
      <c r="B781" s="181" t="s">
        <v>131</v>
      </c>
      <c r="C781" s="181" t="s">
        <v>680</v>
      </c>
      <c r="D781" s="181" t="str">
        <f t="shared" si="15"/>
        <v>34300</v>
      </c>
      <c r="E781" s="181" t="s">
        <v>15</v>
      </c>
      <c r="F781" s="181" t="s">
        <v>14</v>
      </c>
      <c r="G781" s="181" t="s">
        <v>647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</row>
    <row r="782" spans="1:15">
      <c r="A782" s="191">
        <v>44621</v>
      </c>
      <c r="B782" s="181" t="s">
        <v>131</v>
      </c>
      <c r="C782" s="181" t="s">
        <v>681</v>
      </c>
      <c r="D782" s="181" t="str">
        <f t="shared" si="15"/>
        <v>34300</v>
      </c>
      <c r="E782" s="181" t="s">
        <v>15</v>
      </c>
      <c r="F782" s="181" t="s">
        <v>14</v>
      </c>
      <c r="G782" s="181" t="s">
        <v>647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</row>
    <row r="783" spans="1:15">
      <c r="A783" s="191">
        <v>44621</v>
      </c>
      <c r="B783" s="181" t="s">
        <v>131</v>
      </c>
      <c r="C783" s="181" t="s">
        <v>682</v>
      </c>
      <c r="D783" s="181" t="str">
        <f t="shared" si="15"/>
        <v>34300</v>
      </c>
      <c r="E783" s="181" t="s">
        <v>15</v>
      </c>
      <c r="F783" s="181" t="s">
        <v>14</v>
      </c>
      <c r="G783" s="181" t="s">
        <v>647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</row>
    <row r="784" spans="1:15">
      <c r="A784" s="191">
        <v>44621</v>
      </c>
      <c r="B784" s="181" t="s">
        <v>131</v>
      </c>
      <c r="C784" s="181" t="s">
        <v>683</v>
      </c>
      <c r="D784" s="181" t="str">
        <f t="shared" si="15"/>
        <v>34300</v>
      </c>
      <c r="E784" s="181" t="s">
        <v>15</v>
      </c>
      <c r="F784" s="181" t="s">
        <v>14</v>
      </c>
      <c r="G784" s="181" t="s">
        <v>647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</row>
    <row r="785" spans="1:15">
      <c r="A785" s="191">
        <v>44621</v>
      </c>
      <c r="B785" s="181" t="s">
        <v>131</v>
      </c>
      <c r="C785" s="181" t="s">
        <v>678</v>
      </c>
      <c r="D785" s="181" t="str">
        <f t="shared" si="15"/>
        <v>34300</v>
      </c>
      <c r="E785" s="181" t="s">
        <v>15</v>
      </c>
      <c r="F785" s="181" t="s">
        <v>14</v>
      </c>
      <c r="G785" s="181" t="s">
        <v>793</v>
      </c>
      <c r="H785" s="8">
        <v>33544.840000000004</v>
      </c>
      <c r="I785" s="8">
        <v>625.08000000000004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34169.919999999998</v>
      </c>
    </row>
    <row r="786" spans="1:15">
      <c r="A786" s="191">
        <v>44652</v>
      </c>
      <c r="B786" s="181" t="s">
        <v>130</v>
      </c>
      <c r="C786" s="181" t="s">
        <v>678</v>
      </c>
      <c r="D786" s="181" t="str">
        <f t="shared" si="15"/>
        <v>34300</v>
      </c>
      <c r="E786" s="181" t="s">
        <v>15</v>
      </c>
      <c r="F786" s="181" t="s">
        <v>14</v>
      </c>
      <c r="G786" s="181" t="s">
        <v>647</v>
      </c>
      <c r="H786" s="8">
        <v>1373624.28</v>
      </c>
      <c r="I786" s="8">
        <v>8618.4699999999993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1382242.75</v>
      </c>
    </row>
    <row r="787" spans="1:15">
      <c r="A787" s="191">
        <v>44652</v>
      </c>
      <c r="B787" s="181" t="s">
        <v>130</v>
      </c>
      <c r="C787" s="181" t="s">
        <v>679</v>
      </c>
      <c r="D787" s="181" t="str">
        <f t="shared" si="15"/>
        <v>34300</v>
      </c>
      <c r="E787" s="181" t="s">
        <v>15</v>
      </c>
      <c r="F787" s="181" t="s">
        <v>14</v>
      </c>
      <c r="G787" s="181" t="s">
        <v>647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</row>
    <row r="788" spans="1:15">
      <c r="A788" s="191">
        <v>44652</v>
      </c>
      <c r="B788" s="181" t="s">
        <v>130</v>
      </c>
      <c r="C788" s="181" t="s">
        <v>680</v>
      </c>
      <c r="D788" s="181" t="str">
        <f t="shared" si="15"/>
        <v>34300</v>
      </c>
      <c r="E788" s="181" t="s">
        <v>15</v>
      </c>
      <c r="F788" s="181" t="s">
        <v>14</v>
      </c>
      <c r="G788" s="181" t="s">
        <v>647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</row>
    <row r="789" spans="1:15">
      <c r="A789" s="191">
        <v>44652</v>
      </c>
      <c r="B789" s="181" t="s">
        <v>130</v>
      </c>
      <c r="C789" s="181" t="s">
        <v>681</v>
      </c>
      <c r="D789" s="181" t="str">
        <f t="shared" si="15"/>
        <v>34300</v>
      </c>
      <c r="E789" s="181" t="s">
        <v>15</v>
      </c>
      <c r="F789" s="181" t="s">
        <v>14</v>
      </c>
      <c r="G789" s="181" t="s">
        <v>647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</row>
    <row r="790" spans="1:15">
      <c r="A790" s="191">
        <v>44652</v>
      </c>
      <c r="B790" s="181" t="s">
        <v>130</v>
      </c>
      <c r="C790" s="181" t="s">
        <v>682</v>
      </c>
      <c r="D790" s="181" t="str">
        <f t="shared" si="15"/>
        <v>34300</v>
      </c>
      <c r="E790" s="181" t="s">
        <v>15</v>
      </c>
      <c r="F790" s="181" t="s">
        <v>14</v>
      </c>
      <c r="G790" s="181" t="s">
        <v>647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</row>
    <row r="791" spans="1:15">
      <c r="A791" s="191">
        <v>44652</v>
      </c>
      <c r="B791" s="181" t="s">
        <v>130</v>
      </c>
      <c r="C791" s="181" t="s">
        <v>683</v>
      </c>
      <c r="D791" s="181" t="str">
        <f t="shared" si="15"/>
        <v>34300</v>
      </c>
      <c r="E791" s="181" t="s">
        <v>15</v>
      </c>
      <c r="F791" s="181" t="s">
        <v>14</v>
      </c>
      <c r="G791" s="181" t="s">
        <v>647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</row>
    <row r="792" spans="1:15">
      <c r="A792" s="191">
        <v>44652</v>
      </c>
      <c r="B792" s="181" t="s">
        <v>130</v>
      </c>
      <c r="C792" s="181" t="s">
        <v>678</v>
      </c>
      <c r="D792" s="181" t="str">
        <f t="shared" si="15"/>
        <v>34300</v>
      </c>
      <c r="E792" s="181" t="s">
        <v>15</v>
      </c>
      <c r="F792" s="181" t="s">
        <v>14</v>
      </c>
      <c r="G792" s="181" t="s">
        <v>793</v>
      </c>
      <c r="H792" s="8">
        <v>34169.919999999998</v>
      </c>
      <c r="I792" s="8">
        <v>625.08000000000004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34795</v>
      </c>
    </row>
    <row r="793" spans="1:15">
      <c r="A793" s="191">
        <v>44682</v>
      </c>
      <c r="B793" s="181" t="s">
        <v>129</v>
      </c>
      <c r="C793" s="181" t="s">
        <v>678</v>
      </c>
      <c r="D793" s="181" t="str">
        <f t="shared" si="15"/>
        <v>34300</v>
      </c>
      <c r="E793" s="181" t="s">
        <v>15</v>
      </c>
      <c r="F793" s="181" t="s">
        <v>14</v>
      </c>
      <c r="G793" s="181" t="s">
        <v>647</v>
      </c>
      <c r="H793" s="8">
        <v>1382242.75</v>
      </c>
      <c r="I793" s="8">
        <v>8618.4699999999993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1390861.22</v>
      </c>
    </row>
    <row r="794" spans="1:15">
      <c r="A794" s="191">
        <v>44682</v>
      </c>
      <c r="B794" s="181" t="s">
        <v>129</v>
      </c>
      <c r="C794" s="181" t="s">
        <v>679</v>
      </c>
      <c r="D794" s="181" t="str">
        <f t="shared" si="15"/>
        <v>34300</v>
      </c>
      <c r="E794" s="181" t="s">
        <v>15</v>
      </c>
      <c r="F794" s="181" t="s">
        <v>14</v>
      </c>
      <c r="G794" s="181" t="s">
        <v>647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</row>
    <row r="795" spans="1:15">
      <c r="A795" s="191">
        <v>44682</v>
      </c>
      <c r="B795" s="181" t="s">
        <v>129</v>
      </c>
      <c r="C795" s="181" t="s">
        <v>680</v>
      </c>
      <c r="D795" s="181" t="str">
        <f t="shared" si="15"/>
        <v>34300</v>
      </c>
      <c r="E795" s="181" t="s">
        <v>15</v>
      </c>
      <c r="F795" s="181" t="s">
        <v>14</v>
      </c>
      <c r="G795" s="181" t="s">
        <v>647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</row>
    <row r="796" spans="1:15">
      <c r="A796" s="191">
        <v>44682</v>
      </c>
      <c r="B796" s="181" t="s">
        <v>129</v>
      </c>
      <c r="C796" s="181" t="s">
        <v>681</v>
      </c>
      <c r="D796" s="181" t="str">
        <f t="shared" si="15"/>
        <v>34300</v>
      </c>
      <c r="E796" s="181" t="s">
        <v>15</v>
      </c>
      <c r="F796" s="181" t="s">
        <v>14</v>
      </c>
      <c r="G796" s="181" t="s">
        <v>647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</row>
    <row r="797" spans="1:15">
      <c r="A797" s="191">
        <v>44682</v>
      </c>
      <c r="B797" s="181" t="s">
        <v>129</v>
      </c>
      <c r="C797" s="181" t="s">
        <v>682</v>
      </c>
      <c r="D797" s="181" t="str">
        <f t="shared" si="15"/>
        <v>34300</v>
      </c>
      <c r="E797" s="181" t="s">
        <v>15</v>
      </c>
      <c r="F797" s="181" t="s">
        <v>14</v>
      </c>
      <c r="G797" s="181" t="s">
        <v>647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</row>
    <row r="798" spans="1:15">
      <c r="A798" s="191">
        <v>44682</v>
      </c>
      <c r="B798" s="181" t="s">
        <v>129</v>
      </c>
      <c r="C798" s="181" t="s">
        <v>683</v>
      </c>
      <c r="D798" s="181" t="str">
        <f t="shared" si="15"/>
        <v>34300</v>
      </c>
      <c r="E798" s="181" t="s">
        <v>15</v>
      </c>
      <c r="F798" s="181" t="s">
        <v>14</v>
      </c>
      <c r="G798" s="181" t="s">
        <v>647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</row>
    <row r="799" spans="1:15">
      <c r="A799" s="191">
        <v>44682</v>
      </c>
      <c r="B799" s="181" t="s">
        <v>129</v>
      </c>
      <c r="C799" s="181" t="s">
        <v>678</v>
      </c>
      <c r="D799" s="181" t="str">
        <f t="shared" si="15"/>
        <v>34300</v>
      </c>
      <c r="E799" s="181" t="s">
        <v>15</v>
      </c>
      <c r="F799" s="181" t="s">
        <v>14</v>
      </c>
      <c r="G799" s="181" t="s">
        <v>793</v>
      </c>
      <c r="H799" s="8">
        <v>34795</v>
      </c>
      <c r="I799" s="8">
        <v>625.08000000000004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35420.080000000002</v>
      </c>
    </row>
    <row r="800" spans="1:15">
      <c r="A800" s="191">
        <v>44713</v>
      </c>
      <c r="B800" s="181" t="s">
        <v>128</v>
      </c>
      <c r="C800" s="181" t="s">
        <v>678</v>
      </c>
      <c r="D800" s="181" t="str">
        <f t="shared" si="15"/>
        <v>34300</v>
      </c>
      <c r="E800" s="181" t="s">
        <v>15</v>
      </c>
      <c r="F800" s="181" t="s">
        <v>14</v>
      </c>
      <c r="G800" s="181" t="s">
        <v>647</v>
      </c>
      <c r="H800" s="8">
        <v>1390861.22</v>
      </c>
      <c r="I800" s="8">
        <v>8618.4699999999993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1399479.69</v>
      </c>
    </row>
    <row r="801" spans="1:15">
      <c r="A801" s="191">
        <v>44713</v>
      </c>
      <c r="B801" s="181" t="s">
        <v>128</v>
      </c>
      <c r="C801" s="181" t="s">
        <v>679</v>
      </c>
      <c r="D801" s="181" t="str">
        <f t="shared" si="15"/>
        <v>34300</v>
      </c>
      <c r="E801" s="181" t="s">
        <v>15</v>
      </c>
      <c r="F801" s="181" t="s">
        <v>14</v>
      </c>
      <c r="G801" s="181" t="s">
        <v>647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</row>
    <row r="802" spans="1:15">
      <c r="A802" s="191">
        <v>44713</v>
      </c>
      <c r="B802" s="181" t="s">
        <v>128</v>
      </c>
      <c r="C802" s="181" t="s">
        <v>680</v>
      </c>
      <c r="D802" s="181" t="str">
        <f t="shared" si="15"/>
        <v>34300</v>
      </c>
      <c r="E802" s="181" t="s">
        <v>15</v>
      </c>
      <c r="F802" s="181" t="s">
        <v>14</v>
      </c>
      <c r="G802" s="181" t="s">
        <v>647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</row>
    <row r="803" spans="1:15">
      <c r="A803" s="191">
        <v>44713</v>
      </c>
      <c r="B803" s="181" t="s">
        <v>128</v>
      </c>
      <c r="C803" s="181" t="s">
        <v>681</v>
      </c>
      <c r="D803" s="181" t="str">
        <f t="shared" si="15"/>
        <v>34300</v>
      </c>
      <c r="E803" s="181" t="s">
        <v>15</v>
      </c>
      <c r="F803" s="181" t="s">
        <v>14</v>
      </c>
      <c r="G803" s="181" t="s">
        <v>647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</row>
    <row r="804" spans="1:15">
      <c r="A804" s="191">
        <v>44713</v>
      </c>
      <c r="B804" s="181" t="s">
        <v>128</v>
      </c>
      <c r="C804" s="181" t="s">
        <v>682</v>
      </c>
      <c r="D804" s="181" t="str">
        <f t="shared" si="15"/>
        <v>34300</v>
      </c>
      <c r="E804" s="181" t="s">
        <v>15</v>
      </c>
      <c r="F804" s="181" t="s">
        <v>14</v>
      </c>
      <c r="G804" s="181" t="s">
        <v>647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</row>
    <row r="805" spans="1:15">
      <c r="A805" s="191">
        <v>44713</v>
      </c>
      <c r="B805" s="181" t="s">
        <v>128</v>
      </c>
      <c r="C805" s="181" t="s">
        <v>683</v>
      </c>
      <c r="D805" s="181" t="str">
        <f t="shared" si="15"/>
        <v>34300</v>
      </c>
      <c r="E805" s="181" t="s">
        <v>15</v>
      </c>
      <c r="F805" s="181" t="s">
        <v>14</v>
      </c>
      <c r="G805" s="181" t="s">
        <v>647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</row>
    <row r="806" spans="1:15">
      <c r="A806" s="191">
        <v>44713</v>
      </c>
      <c r="B806" s="181" t="s">
        <v>128</v>
      </c>
      <c r="C806" s="181" t="s">
        <v>678</v>
      </c>
      <c r="D806" s="181" t="str">
        <f t="shared" si="15"/>
        <v>34300</v>
      </c>
      <c r="E806" s="181" t="s">
        <v>15</v>
      </c>
      <c r="F806" s="181" t="s">
        <v>14</v>
      </c>
      <c r="G806" s="181" t="s">
        <v>793</v>
      </c>
      <c r="H806" s="8">
        <v>35420.080000000002</v>
      </c>
      <c r="I806" s="8">
        <v>625.08000000000004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36045.160000000003</v>
      </c>
    </row>
    <row r="807" spans="1:15">
      <c r="A807" s="191">
        <v>44743</v>
      </c>
      <c r="B807" s="181" t="s">
        <v>127</v>
      </c>
      <c r="C807" s="181" t="s">
        <v>678</v>
      </c>
      <c r="D807" s="181" t="str">
        <f t="shared" si="15"/>
        <v>34300</v>
      </c>
      <c r="E807" s="181" t="s">
        <v>15</v>
      </c>
      <c r="F807" s="181" t="s">
        <v>14</v>
      </c>
      <c r="G807" s="181" t="s">
        <v>647</v>
      </c>
      <c r="H807" s="8">
        <v>1399479.69</v>
      </c>
      <c r="I807" s="8">
        <v>8618.4699999999993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1408098.1600000001</v>
      </c>
    </row>
    <row r="808" spans="1:15">
      <c r="A808" s="191">
        <v>44743</v>
      </c>
      <c r="B808" s="181" t="s">
        <v>127</v>
      </c>
      <c r="C808" s="181" t="s">
        <v>679</v>
      </c>
      <c r="D808" s="181" t="str">
        <f t="shared" si="15"/>
        <v>34300</v>
      </c>
      <c r="E808" s="181" t="s">
        <v>15</v>
      </c>
      <c r="F808" s="181" t="s">
        <v>14</v>
      </c>
      <c r="G808" s="181" t="s">
        <v>647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</row>
    <row r="809" spans="1:15">
      <c r="A809" s="191">
        <v>44743</v>
      </c>
      <c r="B809" s="181" t="s">
        <v>127</v>
      </c>
      <c r="C809" s="181" t="s">
        <v>680</v>
      </c>
      <c r="D809" s="181" t="str">
        <f t="shared" si="15"/>
        <v>34300</v>
      </c>
      <c r="E809" s="181" t="s">
        <v>15</v>
      </c>
      <c r="F809" s="181" t="s">
        <v>14</v>
      </c>
      <c r="G809" s="181" t="s">
        <v>647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</row>
    <row r="810" spans="1:15">
      <c r="A810" s="191">
        <v>44743</v>
      </c>
      <c r="B810" s="181" t="s">
        <v>127</v>
      </c>
      <c r="C810" s="181" t="s">
        <v>681</v>
      </c>
      <c r="D810" s="181" t="str">
        <f t="shared" si="15"/>
        <v>34300</v>
      </c>
      <c r="E810" s="181" t="s">
        <v>15</v>
      </c>
      <c r="F810" s="181" t="s">
        <v>14</v>
      </c>
      <c r="G810" s="181" t="s">
        <v>647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</row>
    <row r="811" spans="1:15">
      <c r="A811" s="191">
        <v>44743</v>
      </c>
      <c r="B811" s="181" t="s">
        <v>127</v>
      </c>
      <c r="C811" s="181" t="s">
        <v>682</v>
      </c>
      <c r="D811" s="181" t="str">
        <f t="shared" si="15"/>
        <v>34300</v>
      </c>
      <c r="E811" s="181" t="s">
        <v>15</v>
      </c>
      <c r="F811" s="181" t="s">
        <v>14</v>
      </c>
      <c r="G811" s="181" t="s">
        <v>647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</row>
    <row r="812" spans="1:15">
      <c r="A812" s="191">
        <v>44743</v>
      </c>
      <c r="B812" s="181" t="s">
        <v>127</v>
      </c>
      <c r="C812" s="181" t="s">
        <v>683</v>
      </c>
      <c r="D812" s="181" t="str">
        <f t="shared" si="15"/>
        <v>34300</v>
      </c>
      <c r="E812" s="181" t="s">
        <v>15</v>
      </c>
      <c r="F812" s="181" t="s">
        <v>14</v>
      </c>
      <c r="G812" s="181" t="s">
        <v>647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</row>
    <row r="813" spans="1:15">
      <c r="A813" s="191">
        <v>44743</v>
      </c>
      <c r="B813" s="181" t="s">
        <v>127</v>
      </c>
      <c r="C813" s="181" t="s">
        <v>678</v>
      </c>
      <c r="D813" s="181" t="str">
        <f t="shared" si="15"/>
        <v>34300</v>
      </c>
      <c r="E813" s="181" t="s">
        <v>15</v>
      </c>
      <c r="F813" s="181" t="s">
        <v>14</v>
      </c>
      <c r="G813" s="181" t="s">
        <v>793</v>
      </c>
      <c r="H813" s="8">
        <v>36045.160000000003</v>
      </c>
      <c r="I813" s="8">
        <v>625.08000000000004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36670.239999999998</v>
      </c>
    </row>
    <row r="814" spans="1:15">
      <c r="A814" s="191">
        <v>44774</v>
      </c>
      <c r="B814" s="181" t="s">
        <v>126</v>
      </c>
      <c r="C814" s="181" t="s">
        <v>678</v>
      </c>
      <c r="D814" s="181" t="str">
        <f t="shared" si="15"/>
        <v>34300</v>
      </c>
      <c r="E814" s="181" t="s">
        <v>15</v>
      </c>
      <c r="F814" s="181" t="s">
        <v>14</v>
      </c>
      <c r="G814" s="181" t="s">
        <v>647</v>
      </c>
      <c r="H814" s="8">
        <v>1408098.1600000001</v>
      </c>
      <c r="I814" s="8">
        <v>8618.4699999999993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1416716.63</v>
      </c>
    </row>
    <row r="815" spans="1:15">
      <c r="A815" s="191">
        <v>44774</v>
      </c>
      <c r="B815" s="181" t="s">
        <v>126</v>
      </c>
      <c r="C815" s="181" t="s">
        <v>679</v>
      </c>
      <c r="D815" s="181" t="str">
        <f t="shared" si="15"/>
        <v>34300</v>
      </c>
      <c r="E815" s="181" t="s">
        <v>15</v>
      </c>
      <c r="F815" s="181" t="s">
        <v>14</v>
      </c>
      <c r="G815" s="181" t="s">
        <v>647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</row>
    <row r="816" spans="1:15">
      <c r="A816" s="191">
        <v>44774</v>
      </c>
      <c r="B816" s="181" t="s">
        <v>126</v>
      </c>
      <c r="C816" s="181" t="s">
        <v>680</v>
      </c>
      <c r="D816" s="181" t="str">
        <f t="shared" si="15"/>
        <v>34300</v>
      </c>
      <c r="E816" s="181" t="s">
        <v>15</v>
      </c>
      <c r="F816" s="181" t="s">
        <v>14</v>
      </c>
      <c r="G816" s="181" t="s">
        <v>647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</row>
    <row r="817" spans="1:15">
      <c r="A817" s="191">
        <v>44774</v>
      </c>
      <c r="B817" s="181" t="s">
        <v>126</v>
      </c>
      <c r="C817" s="181" t="s">
        <v>681</v>
      </c>
      <c r="D817" s="181" t="str">
        <f t="shared" si="15"/>
        <v>34300</v>
      </c>
      <c r="E817" s="181" t="s">
        <v>15</v>
      </c>
      <c r="F817" s="181" t="s">
        <v>14</v>
      </c>
      <c r="G817" s="181" t="s">
        <v>647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</row>
    <row r="818" spans="1:15">
      <c r="A818" s="191">
        <v>44774</v>
      </c>
      <c r="B818" s="181" t="s">
        <v>126</v>
      </c>
      <c r="C818" s="181" t="s">
        <v>682</v>
      </c>
      <c r="D818" s="181" t="str">
        <f t="shared" si="15"/>
        <v>34300</v>
      </c>
      <c r="E818" s="181" t="s">
        <v>15</v>
      </c>
      <c r="F818" s="181" t="s">
        <v>14</v>
      </c>
      <c r="G818" s="181" t="s">
        <v>647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</row>
    <row r="819" spans="1:15">
      <c r="A819" s="191">
        <v>44774</v>
      </c>
      <c r="B819" s="181" t="s">
        <v>126</v>
      </c>
      <c r="C819" s="181" t="s">
        <v>683</v>
      </c>
      <c r="D819" s="181" t="str">
        <f t="shared" si="15"/>
        <v>34300</v>
      </c>
      <c r="E819" s="181" t="s">
        <v>15</v>
      </c>
      <c r="F819" s="181" t="s">
        <v>14</v>
      </c>
      <c r="G819" s="181" t="s">
        <v>647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</row>
    <row r="820" spans="1:15">
      <c r="A820" s="191">
        <v>44774</v>
      </c>
      <c r="B820" s="181" t="s">
        <v>126</v>
      </c>
      <c r="C820" s="181" t="s">
        <v>678</v>
      </c>
      <c r="D820" s="181" t="str">
        <f t="shared" si="15"/>
        <v>34300</v>
      </c>
      <c r="E820" s="181" t="s">
        <v>15</v>
      </c>
      <c r="F820" s="181" t="s">
        <v>14</v>
      </c>
      <c r="G820" s="181" t="s">
        <v>793</v>
      </c>
      <c r="H820" s="8">
        <v>36670.239999999998</v>
      </c>
      <c r="I820" s="8">
        <v>625.08000000000004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37295.32</v>
      </c>
    </row>
    <row r="821" spans="1:15">
      <c r="A821" s="191">
        <v>44805</v>
      </c>
      <c r="B821" s="181" t="s">
        <v>125</v>
      </c>
      <c r="C821" s="181" t="s">
        <v>678</v>
      </c>
      <c r="D821" s="181" t="str">
        <f t="shared" si="15"/>
        <v>34300</v>
      </c>
      <c r="E821" s="181" t="s">
        <v>15</v>
      </c>
      <c r="F821" s="181" t="s">
        <v>14</v>
      </c>
      <c r="G821" s="181" t="s">
        <v>647</v>
      </c>
      <c r="H821" s="8">
        <v>1416716.63</v>
      </c>
      <c r="I821" s="8">
        <v>8618.4699999999993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1425335.1</v>
      </c>
    </row>
    <row r="822" spans="1:15">
      <c r="A822" s="191">
        <v>44805</v>
      </c>
      <c r="B822" s="181" t="s">
        <v>125</v>
      </c>
      <c r="C822" s="181" t="s">
        <v>679</v>
      </c>
      <c r="D822" s="181" t="str">
        <f t="shared" si="15"/>
        <v>34300</v>
      </c>
      <c r="E822" s="181" t="s">
        <v>15</v>
      </c>
      <c r="F822" s="181" t="s">
        <v>14</v>
      </c>
      <c r="G822" s="181" t="s">
        <v>647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</row>
    <row r="823" spans="1:15">
      <c r="A823" s="191">
        <v>44805</v>
      </c>
      <c r="B823" s="181" t="s">
        <v>125</v>
      </c>
      <c r="C823" s="181" t="s">
        <v>680</v>
      </c>
      <c r="D823" s="181" t="str">
        <f t="shared" si="15"/>
        <v>34300</v>
      </c>
      <c r="E823" s="181" t="s">
        <v>15</v>
      </c>
      <c r="F823" s="181" t="s">
        <v>14</v>
      </c>
      <c r="G823" s="181" t="s">
        <v>647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</row>
    <row r="824" spans="1:15">
      <c r="A824" s="191">
        <v>44805</v>
      </c>
      <c r="B824" s="181" t="s">
        <v>125</v>
      </c>
      <c r="C824" s="181" t="s">
        <v>681</v>
      </c>
      <c r="D824" s="181" t="str">
        <f t="shared" si="15"/>
        <v>34300</v>
      </c>
      <c r="E824" s="181" t="s">
        <v>15</v>
      </c>
      <c r="F824" s="181" t="s">
        <v>14</v>
      </c>
      <c r="G824" s="181" t="s">
        <v>647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</row>
    <row r="825" spans="1:15">
      <c r="A825" s="191">
        <v>44805</v>
      </c>
      <c r="B825" s="181" t="s">
        <v>125</v>
      </c>
      <c r="C825" s="181" t="s">
        <v>682</v>
      </c>
      <c r="D825" s="181" t="str">
        <f t="shared" si="15"/>
        <v>34300</v>
      </c>
      <c r="E825" s="181" t="s">
        <v>15</v>
      </c>
      <c r="F825" s="181" t="s">
        <v>14</v>
      </c>
      <c r="G825" s="181" t="s">
        <v>647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</row>
    <row r="826" spans="1:15">
      <c r="A826" s="191">
        <v>44805</v>
      </c>
      <c r="B826" s="181" t="s">
        <v>125</v>
      </c>
      <c r="C826" s="181" t="s">
        <v>683</v>
      </c>
      <c r="D826" s="181" t="str">
        <f t="shared" si="15"/>
        <v>34300</v>
      </c>
      <c r="E826" s="181" t="s">
        <v>15</v>
      </c>
      <c r="F826" s="181" t="s">
        <v>14</v>
      </c>
      <c r="G826" s="181" t="s">
        <v>647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</row>
    <row r="827" spans="1:15">
      <c r="A827" s="191">
        <v>44805</v>
      </c>
      <c r="B827" s="181" t="s">
        <v>125</v>
      </c>
      <c r="C827" s="181" t="s">
        <v>678</v>
      </c>
      <c r="D827" s="181" t="str">
        <f t="shared" si="15"/>
        <v>34300</v>
      </c>
      <c r="E827" s="181" t="s">
        <v>15</v>
      </c>
      <c r="F827" s="181" t="s">
        <v>14</v>
      </c>
      <c r="G827" s="181" t="s">
        <v>793</v>
      </c>
      <c r="H827" s="8">
        <v>37295.32</v>
      </c>
      <c r="I827" s="8">
        <v>625.08000000000004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37920.400000000001</v>
      </c>
    </row>
    <row r="828" spans="1:15">
      <c r="A828" s="191">
        <v>44835</v>
      </c>
      <c r="B828" s="181" t="s">
        <v>124</v>
      </c>
      <c r="C828" s="181" t="s">
        <v>678</v>
      </c>
      <c r="D828" s="181" t="str">
        <f t="shared" si="15"/>
        <v>34300</v>
      </c>
      <c r="E828" s="181" t="s">
        <v>15</v>
      </c>
      <c r="F828" s="181" t="s">
        <v>14</v>
      </c>
      <c r="G828" s="181" t="s">
        <v>647</v>
      </c>
      <c r="H828" s="8">
        <v>1425335.1</v>
      </c>
      <c r="I828" s="8">
        <v>8618.4699999999993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1433953.57</v>
      </c>
    </row>
    <row r="829" spans="1:15">
      <c r="A829" s="191">
        <v>44835</v>
      </c>
      <c r="B829" s="181" t="s">
        <v>124</v>
      </c>
      <c r="C829" s="181" t="s">
        <v>679</v>
      </c>
      <c r="D829" s="181" t="str">
        <f t="shared" si="15"/>
        <v>34300</v>
      </c>
      <c r="E829" s="181" t="s">
        <v>15</v>
      </c>
      <c r="F829" s="181" t="s">
        <v>14</v>
      </c>
      <c r="G829" s="181" t="s">
        <v>647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</row>
    <row r="830" spans="1:15">
      <c r="A830" s="191">
        <v>44835</v>
      </c>
      <c r="B830" s="181" t="s">
        <v>124</v>
      </c>
      <c r="C830" s="181" t="s">
        <v>680</v>
      </c>
      <c r="D830" s="181" t="str">
        <f t="shared" si="15"/>
        <v>34300</v>
      </c>
      <c r="E830" s="181" t="s">
        <v>15</v>
      </c>
      <c r="F830" s="181" t="s">
        <v>14</v>
      </c>
      <c r="G830" s="181" t="s">
        <v>647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</row>
    <row r="831" spans="1:15">
      <c r="A831" s="191">
        <v>44835</v>
      </c>
      <c r="B831" s="181" t="s">
        <v>124</v>
      </c>
      <c r="C831" s="181" t="s">
        <v>681</v>
      </c>
      <c r="D831" s="181" t="str">
        <f t="shared" si="15"/>
        <v>34300</v>
      </c>
      <c r="E831" s="181" t="s">
        <v>15</v>
      </c>
      <c r="F831" s="181" t="s">
        <v>14</v>
      </c>
      <c r="G831" s="181" t="s">
        <v>647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</row>
    <row r="832" spans="1:15">
      <c r="A832" s="191">
        <v>44835</v>
      </c>
      <c r="B832" s="181" t="s">
        <v>124</v>
      </c>
      <c r="C832" s="181" t="s">
        <v>682</v>
      </c>
      <c r="D832" s="181" t="str">
        <f t="shared" si="15"/>
        <v>34300</v>
      </c>
      <c r="E832" s="181" t="s">
        <v>15</v>
      </c>
      <c r="F832" s="181" t="s">
        <v>14</v>
      </c>
      <c r="G832" s="181" t="s">
        <v>647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</row>
    <row r="833" spans="1:15">
      <c r="A833" s="191">
        <v>44835</v>
      </c>
      <c r="B833" s="181" t="s">
        <v>124</v>
      </c>
      <c r="C833" s="181" t="s">
        <v>683</v>
      </c>
      <c r="D833" s="181" t="str">
        <f t="shared" si="15"/>
        <v>34300</v>
      </c>
      <c r="E833" s="181" t="s">
        <v>15</v>
      </c>
      <c r="F833" s="181" t="s">
        <v>14</v>
      </c>
      <c r="G833" s="181" t="s">
        <v>647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</row>
    <row r="834" spans="1:15">
      <c r="A834" s="191">
        <v>44835</v>
      </c>
      <c r="B834" s="181" t="s">
        <v>124</v>
      </c>
      <c r="C834" s="181" t="s">
        <v>678</v>
      </c>
      <c r="D834" s="181" t="str">
        <f t="shared" ref="D834:D897" si="16">MID(C834,10,5)</f>
        <v>34300</v>
      </c>
      <c r="E834" s="181" t="s">
        <v>15</v>
      </c>
      <c r="F834" s="181" t="s">
        <v>14</v>
      </c>
      <c r="G834" s="181" t="s">
        <v>793</v>
      </c>
      <c r="H834" s="8">
        <v>37920.400000000001</v>
      </c>
      <c r="I834" s="8">
        <v>625.08000000000004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38545.480000000003</v>
      </c>
    </row>
    <row r="835" spans="1:15">
      <c r="A835" s="191">
        <v>44866</v>
      </c>
      <c r="B835" s="181" t="s">
        <v>123</v>
      </c>
      <c r="C835" s="181" t="s">
        <v>678</v>
      </c>
      <c r="D835" s="181" t="str">
        <f t="shared" si="16"/>
        <v>34300</v>
      </c>
      <c r="E835" s="181" t="s">
        <v>15</v>
      </c>
      <c r="F835" s="181" t="s">
        <v>14</v>
      </c>
      <c r="G835" s="181" t="s">
        <v>647</v>
      </c>
      <c r="H835" s="8">
        <v>1433953.57</v>
      </c>
      <c r="I835" s="8">
        <v>8618.4699999999993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1442572.04</v>
      </c>
    </row>
    <row r="836" spans="1:15">
      <c r="A836" s="191">
        <v>44866</v>
      </c>
      <c r="B836" s="181" t="s">
        <v>123</v>
      </c>
      <c r="C836" s="181" t="s">
        <v>679</v>
      </c>
      <c r="D836" s="181" t="str">
        <f t="shared" si="16"/>
        <v>34300</v>
      </c>
      <c r="E836" s="181" t="s">
        <v>15</v>
      </c>
      <c r="F836" s="181" t="s">
        <v>14</v>
      </c>
      <c r="G836" s="181" t="s">
        <v>647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</row>
    <row r="837" spans="1:15">
      <c r="A837" s="191">
        <v>44866</v>
      </c>
      <c r="B837" s="181" t="s">
        <v>123</v>
      </c>
      <c r="C837" s="181" t="s">
        <v>680</v>
      </c>
      <c r="D837" s="181" t="str">
        <f t="shared" si="16"/>
        <v>34300</v>
      </c>
      <c r="E837" s="181" t="s">
        <v>15</v>
      </c>
      <c r="F837" s="181" t="s">
        <v>14</v>
      </c>
      <c r="G837" s="181" t="s">
        <v>647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</row>
    <row r="838" spans="1:15">
      <c r="A838" s="191">
        <v>44866</v>
      </c>
      <c r="B838" s="181" t="s">
        <v>123</v>
      </c>
      <c r="C838" s="181" t="s">
        <v>681</v>
      </c>
      <c r="D838" s="181" t="str">
        <f t="shared" si="16"/>
        <v>34300</v>
      </c>
      <c r="E838" s="181" t="s">
        <v>15</v>
      </c>
      <c r="F838" s="181" t="s">
        <v>14</v>
      </c>
      <c r="G838" s="181" t="s">
        <v>647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</row>
    <row r="839" spans="1:15">
      <c r="A839" s="191">
        <v>44866</v>
      </c>
      <c r="B839" s="181" t="s">
        <v>123</v>
      </c>
      <c r="C839" s="181" t="s">
        <v>682</v>
      </c>
      <c r="D839" s="181" t="str">
        <f t="shared" si="16"/>
        <v>34300</v>
      </c>
      <c r="E839" s="181" t="s">
        <v>15</v>
      </c>
      <c r="F839" s="181" t="s">
        <v>14</v>
      </c>
      <c r="G839" s="181" t="s">
        <v>647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</row>
    <row r="840" spans="1:15">
      <c r="A840" s="191">
        <v>44866</v>
      </c>
      <c r="B840" s="181" t="s">
        <v>123</v>
      </c>
      <c r="C840" s="181" t="s">
        <v>683</v>
      </c>
      <c r="D840" s="181" t="str">
        <f t="shared" si="16"/>
        <v>34300</v>
      </c>
      <c r="E840" s="181" t="s">
        <v>15</v>
      </c>
      <c r="F840" s="181" t="s">
        <v>14</v>
      </c>
      <c r="G840" s="181" t="s">
        <v>647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</row>
    <row r="841" spans="1:15">
      <c r="A841" s="191">
        <v>44866</v>
      </c>
      <c r="B841" s="181" t="s">
        <v>123</v>
      </c>
      <c r="C841" s="181" t="s">
        <v>678</v>
      </c>
      <c r="D841" s="181" t="str">
        <f t="shared" si="16"/>
        <v>34300</v>
      </c>
      <c r="E841" s="181" t="s">
        <v>15</v>
      </c>
      <c r="F841" s="181" t="s">
        <v>14</v>
      </c>
      <c r="G841" s="181" t="s">
        <v>793</v>
      </c>
      <c r="H841" s="8">
        <v>38545.480000000003</v>
      </c>
      <c r="I841" s="8">
        <v>625.08000000000004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39170.559999999998</v>
      </c>
    </row>
    <row r="842" spans="1:15">
      <c r="A842" s="191">
        <v>44896</v>
      </c>
      <c r="B842" s="181" t="s">
        <v>122</v>
      </c>
      <c r="C842" s="181" t="s">
        <v>678</v>
      </c>
      <c r="D842" s="181" t="str">
        <f t="shared" si="16"/>
        <v>34300</v>
      </c>
      <c r="E842" s="181" t="s">
        <v>15</v>
      </c>
      <c r="F842" s="181" t="s">
        <v>14</v>
      </c>
      <c r="G842" s="181" t="s">
        <v>647</v>
      </c>
      <c r="H842" s="8">
        <v>1442572.04</v>
      </c>
      <c r="I842" s="8">
        <v>8618.4699999999993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1451190.51</v>
      </c>
    </row>
    <row r="843" spans="1:15">
      <c r="A843" s="191">
        <v>44896</v>
      </c>
      <c r="B843" s="181" t="s">
        <v>122</v>
      </c>
      <c r="C843" s="181" t="s">
        <v>679</v>
      </c>
      <c r="D843" s="181" t="str">
        <f t="shared" si="16"/>
        <v>34300</v>
      </c>
      <c r="E843" s="181" t="s">
        <v>15</v>
      </c>
      <c r="F843" s="181" t="s">
        <v>14</v>
      </c>
      <c r="G843" s="181" t="s">
        <v>647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</row>
    <row r="844" spans="1:15">
      <c r="A844" s="191">
        <v>44896</v>
      </c>
      <c r="B844" s="181" t="s">
        <v>122</v>
      </c>
      <c r="C844" s="181" t="s">
        <v>680</v>
      </c>
      <c r="D844" s="181" t="str">
        <f t="shared" si="16"/>
        <v>34300</v>
      </c>
      <c r="E844" s="181" t="s">
        <v>15</v>
      </c>
      <c r="F844" s="181" t="s">
        <v>14</v>
      </c>
      <c r="G844" s="181" t="s">
        <v>647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</row>
    <row r="845" spans="1:15">
      <c r="A845" s="191">
        <v>44896</v>
      </c>
      <c r="B845" s="181" t="s">
        <v>122</v>
      </c>
      <c r="C845" s="181" t="s">
        <v>681</v>
      </c>
      <c r="D845" s="181" t="str">
        <f t="shared" si="16"/>
        <v>34300</v>
      </c>
      <c r="E845" s="181" t="s">
        <v>15</v>
      </c>
      <c r="F845" s="181" t="s">
        <v>14</v>
      </c>
      <c r="G845" s="181" t="s">
        <v>647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</row>
    <row r="846" spans="1:15">
      <c r="A846" s="191">
        <v>44896</v>
      </c>
      <c r="B846" s="181" t="s">
        <v>122</v>
      </c>
      <c r="C846" s="181" t="s">
        <v>682</v>
      </c>
      <c r="D846" s="181" t="str">
        <f t="shared" si="16"/>
        <v>34300</v>
      </c>
      <c r="E846" s="181" t="s">
        <v>15</v>
      </c>
      <c r="F846" s="181" t="s">
        <v>14</v>
      </c>
      <c r="G846" s="181" t="s">
        <v>647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</row>
    <row r="847" spans="1:15">
      <c r="A847" s="191">
        <v>44896</v>
      </c>
      <c r="B847" s="181" t="s">
        <v>122</v>
      </c>
      <c r="C847" s="181" t="s">
        <v>683</v>
      </c>
      <c r="D847" s="181" t="str">
        <f t="shared" si="16"/>
        <v>34300</v>
      </c>
      <c r="E847" s="181" t="s">
        <v>15</v>
      </c>
      <c r="F847" s="181" t="s">
        <v>14</v>
      </c>
      <c r="G847" s="181" t="s">
        <v>647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</row>
    <row r="848" spans="1:15">
      <c r="A848" s="191">
        <v>44896</v>
      </c>
      <c r="B848" s="181" t="s">
        <v>122</v>
      </c>
      <c r="C848" s="181" t="s">
        <v>678</v>
      </c>
      <c r="D848" s="181" t="str">
        <f t="shared" si="16"/>
        <v>34300</v>
      </c>
      <c r="E848" s="181" t="s">
        <v>15</v>
      </c>
      <c r="F848" s="181" t="s">
        <v>14</v>
      </c>
      <c r="G848" s="181" t="s">
        <v>793</v>
      </c>
      <c r="H848" s="8">
        <v>39170.559999999998</v>
      </c>
      <c r="I848" s="8">
        <v>625.08000000000004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39795.64</v>
      </c>
    </row>
    <row r="849" spans="1:15">
      <c r="A849" s="191">
        <v>44531</v>
      </c>
      <c r="B849" s="181" t="s">
        <v>13</v>
      </c>
      <c r="C849" s="181" t="s">
        <v>684</v>
      </c>
      <c r="D849" s="181" t="str">
        <f t="shared" si="16"/>
        <v>34410</v>
      </c>
      <c r="E849" s="181" t="s">
        <v>15</v>
      </c>
      <c r="F849" s="181" t="s">
        <v>14</v>
      </c>
      <c r="G849" s="181" t="s">
        <v>647</v>
      </c>
      <c r="H849" s="8">
        <v>2602212.46</v>
      </c>
      <c r="I849" s="8">
        <v>11221.56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2613434.02</v>
      </c>
    </row>
    <row r="850" spans="1:15">
      <c r="A850" s="191">
        <v>44531</v>
      </c>
      <c r="B850" s="181" t="s">
        <v>13</v>
      </c>
      <c r="C850" s="181" t="s">
        <v>685</v>
      </c>
      <c r="D850" s="181" t="str">
        <f t="shared" si="16"/>
        <v>34410</v>
      </c>
      <c r="E850" s="181" t="s">
        <v>15</v>
      </c>
      <c r="F850" s="181" t="s">
        <v>14</v>
      </c>
      <c r="G850" s="181" t="s">
        <v>647</v>
      </c>
      <c r="H850" s="8">
        <v>6719957.6500000004</v>
      </c>
      <c r="I850" s="8">
        <v>61738.16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6781695.8100000005</v>
      </c>
    </row>
    <row r="851" spans="1:15">
      <c r="A851" s="191">
        <v>44531</v>
      </c>
      <c r="B851" s="181" t="s">
        <v>13</v>
      </c>
      <c r="C851" s="181" t="s">
        <v>686</v>
      </c>
      <c r="D851" s="181" t="str">
        <f t="shared" si="16"/>
        <v>34410</v>
      </c>
      <c r="E851" s="181" t="s">
        <v>15</v>
      </c>
      <c r="F851" s="181" t="s">
        <v>14</v>
      </c>
      <c r="G851" s="181" t="s">
        <v>647</v>
      </c>
      <c r="H851" s="8">
        <v>19883291.77</v>
      </c>
      <c r="I851" s="8">
        <v>328410.44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20211702.210000001</v>
      </c>
    </row>
    <row r="852" spans="1:15">
      <c r="A852" s="191">
        <v>44531</v>
      </c>
      <c r="B852" s="181" t="s">
        <v>13</v>
      </c>
      <c r="C852" s="181" t="s">
        <v>687</v>
      </c>
      <c r="D852" s="181" t="str">
        <f t="shared" si="16"/>
        <v>34410</v>
      </c>
      <c r="E852" s="181" t="s">
        <v>15</v>
      </c>
      <c r="F852" s="181" t="s">
        <v>14</v>
      </c>
      <c r="G852" s="181" t="s">
        <v>647</v>
      </c>
      <c r="H852" s="8">
        <v>921209.61</v>
      </c>
      <c r="I852" s="8">
        <v>7221.84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928431.45000000007</v>
      </c>
    </row>
    <row r="853" spans="1:15">
      <c r="A853" s="191">
        <v>44531</v>
      </c>
      <c r="B853" s="181" t="s">
        <v>13</v>
      </c>
      <c r="C853" s="181" t="s">
        <v>688</v>
      </c>
      <c r="D853" s="181" t="str">
        <f t="shared" si="16"/>
        <v>34410</v>
      </c>
      <c r="E853" s="181" t="s">
        <v>15</v>
      </c>
      <c r="F853" s="181" t="s">
        <v>14</v>
      </c>
      <c r="G853" s="181" t="s">
        <v>647</v>
      </c>
      <c r="H853" s="8">
        <v>27479318.52</v>
      </c>
      <c r="I853" s="8">
        <v>262494.09999999998</v>
      </c>
      <c r="J853" s="8">
        <v>-43411.4</v>
      </c>
      <c r="K853" s="8">
        <v>0</v>
      </c>
      <c r="L853" s="8">
        <v>0</v>
      </c>
      <c r="M853" s="8">
        <v>0</v>
      </c>
      <c r="N853" s="8">
        <v>0</v>
      </c>
      <c r="O853" s="8">
        <v>27698401.219999999</v>
      </c>
    </row>
    <row r="854" spans="1:15">
      <c r="A854" s="191">
        <v>44531</v>
      </c>
      <c r="B854" s="181" t="s">
        <v>13</v>
      </c>
      <c r="C854" s="181" t="s">
        <v>689</v>
      </c>
      <c r="D854" s="181" t="str">
        <f t="shared" si="16"/>
        <v>34410</v>
      </c>
      <c r="E854" s="181" t="s">
        <v>15</v>
      </c>
      <c r="F854" s="181" t="s">
        <v>14</v>
      </c>
      <c r="G854" s="181" t="s">
        <v>647</v>
      </c>
      <c r="H854" s="8">
        <v>27864541.84</v>
      </c>
      <c r="I854" s="8">
        <v>242043.08000000002</v>
      </c>
      <c r="J854" s="8">
        <v>-43411.4</v>
      </c>
      <c r="K854" s="8">
        <v>0</v>
      </c>
      <c r="L854" s="8">
        <v>0</v>
      </c>
      <c r="M854" s="8">
        <v>0</v>
      </c>
      <c r="N854" s="8">
        <v>0</v>
      </c>
      <c r="O854" s="8">
        <v>28063173.52</v>
      </c>
    </row>
    <row r="855" spans="1:15">
      <c r="A855" s="191">
        <v>44531</v>
      </c>
      <c r="B855" s="181" t="s">
        <v>13</v>
      </c>
      <c r="C855" s="181" t="s">
        <v>690</v>
      </c>
      <c r="D855" s="181" t="str">
        <f t="shared" si="16"/>
        <v>34410</v>
      </c>
      <c r="E855" s="181" t="s">
        <v>15</v>
      </c>
      <c r="F855" s="181" t="s">
        <v>14</v>
      </c>
      <c r="G855" s="181" t="s">
        <v>647</v>
      </c>
      <c r="H855" s="8">
        <v>7780596.4100000001</v>
      </c>
      <c r="I855" s="8">
        <v>129645.17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7910241.5800000001</v>
      </c>
    </row>
    <row r="856" spans="1:15">
      <c r="A856" s="191">
        <v>44531</v>
      </c>
      <c r="B856" s="181" t="s">
        <v>13</v>
      </c>
      <c r="C856" s="181" t="s">
        <v>684</v>
      </c>
      <c r="D856" s="181" t="str">
        <f t="shared" si="16"/>
        <v>34410</v>
      </c>
      <c r="E856" s="181" t="s">
        <v>15</v>
      </c>
      <c r="F856" s="181" t="s">
        <v>14</v>
      </c>
      <c r="G856" s="181" t="s">
        <v>793</v>
      </c>
      <c r="H856" s="8">
        <v>150386.76999999999</v>
      </c>
      <c r="I856" s="8">
        <v>2111.81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152498.58000000002</v>
      </c>
    </row>
    <row r="857" spans="1:15">
      <c r="A857" s="191">
        <v>44531</v>
      </c>
      <c r="B857" s="181" t="s">
        <v>13</v>
      </c>
      <c r="C857" s="181" t="s">
        <v>685</v>
      </c>
      <c r="D857" s="181" t="str">
        <f t="shared" si="16"/>
        <v>34410</v>
      </c>
      <c r="E857" s="181" t="s">
        <v>15</v>
      </c>
      <c r="F857" s="181" t="s">
        <v>14</v>
      </c>
      <c r="G857" s="181" t="s">
        <v>793</v>
      </c>
      <c r="H857" s="8">
        <v>-7.2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-7.2</v>
      </c>
    </row>
    <row r="858" spans="1:15">
      <c r="A858" s="191">
        <v>44531</v>
      </c>
      <c r="B858" s="181" t="s">
        <v>13</v>
      </c>
      <c r="C858" s="181" t="s">
        <v>686</v>
      </c>
      <c r="D858" s="181" t="str">
        <f t="shared" si="16"/>
        <v>34410</v>
      </c>
      <c r="E858" s="181" t="s">
        <v>15</v>
      </c>
      <c r="F858" s="181" t="s">
        <v>14</v>
      </c>
      <c r="G858" s="181" t="s">
        <v>793</v>
      </c>
      <c r="H858" s="8">
        <v>1405.64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1405.64</v>
      </c>
    </row>
    <row r="859" spans="1:15">
      <c r="A859" s="191">
        <v>44531</v>
      </c>
      <c r="B859" s="181" t="s">
        <v>13</v>
      </c>
      <c r="C859" s="181" t="s">
        <v>687</v>
      </c>
      <c r="D859" s="181" t="str">
        <f t="shared" si="16"/>
        <v>34410</v>
      </c>
      <c r="E859" s="181" t="s">
        <v>15</v>
      </c>
      <c r="F859" s="181" t="s">
        <v>14</v>
      </c>
      <c r="G859" s="181" t="s">
        <v>793</v>
      </c>
      <c r="H859" s="8">
        <v>142031.48000000001</v>
      </c>
      <c r="I859" s="8">
        <v>878.27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142909.75</v>
      </c>
    </row>
    <row r="860" spans="1:15">
      <c r="A860" s="191">
        <v>44531</v>
      </c>
      <c r="B860" s="181" t="s">
        <v>13</v>
      </c>
      <c r="C860" s="181" t="s">
        <v>688</v>
      </c>
      <c r="D860" s="181" t="str">
        <f t="shared" si="16"/>
        <v>34410</v>
      </c>
      <c r="E860" s="181" t="s">
        <v>15</v>
      </c>
      <c r="F860" s="181" t="s">
        <v>14</v>
      </c>
      <c r="G860" s="181" t="s">
        <v>793</v>
      </c>
      <c r="H860" s="8">
        <v>3073255.01</v>
      </c>
      <c r="I860" s="8">
        <v>31922.670000000002</v>
      </c>
      <c r="J860" s="8">
        <v>0</v>
      </c>
      <c r="K860" s="8">
        <v>-520</v>
      </c>
      <c r="L860" s="8">
        <v>0</v>
      </c>
      <c r="M860" s="8">
        <v>0</v>
      </c>
      <c r="N860" s="8">
        <v>0</v>
      </c>
      <c r="O860" s="8">
        <v>3104657.68</v>
      </c>
    </row>
    <row r="861" spans="1:15">
      <c r="A861" s="191">
        <v>44531</v>
      </c>
      <c r="B861" s="181" t="s">
        <v>13</v>
      </c>
      <c r="C861" s="181" t="s">
        <v>689</v>
      </c>
      <c r="D861" s="181" t="str">
        <f t="shared" si="16"/>
        <v>34410</v>
      </c>
      <c r="E861" s="181" t="s">
        <v>15</v>
      </c>
      <c r="F861" s="181" t="s">
        <v>14</v>
      </c>
      <c r="G861" s="181" t="s">
        <v>793</v>
      </c>
      <c r="H861" s="8">
        <v>3072217.42</v>
      </c>
      <c r="I861" s="8">
        <v>29435.56</v>
      </c>
      <c r="J861" s="8">
        <v>0</v>
      </c>
      <c r="K861" s="8">
        <v>-520</v>
      </c>
      <c r="L861" s="8">
        <v>0</v>
      </c>
      <c r="M861" s="8">
        <v>0</v>
      </c>
      <c r="N861" s="8">
        <v>0</v>
      </c>
      <c r="O861" s="8">
        <v>3101132.98</v>
      </c>
    </row>
    <row r="862" spans="1:15">
      <c r="A862" s="191">
        <v>44531</v>
      </c>
      <c r="B862" s="181" t="s">
        <v>13</v>
      </c>
      <c r="C862" s="181" t="s">
        <v>690</v>
      </c>
      <c r="D862" s="181" t="str">
        <f t="shared" si="16"/>
        <v>34410</v>
      </c>
      <c r="E862" s="181" t="s">
        <v>15</v>
      </c>
      <c r="F862" s="181" t="s">
        <v>14</v>
      </c>
      <c r="G862" s="181" t="s">
        <v>793</v>
      </c>
      <c r="H862" s="8">
        <v>393532.38</v>
      </c>
      <c r="I862" s="8">
        <v>6459.1900000000005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399991.57</v>
      </c>
    </row>
    <row r="863" spans="1:15">
      <c r="A863" s="191">
        <v>44562</v>
      </c>
      <c r="B863" s="181" t="s">
        <v>133</v>
      </c>
      <c r="C863" s="181" t="s">
        <v>684</v>
      </c>
      <c r="D863" s="181" t="str">
        <f t="shared" si="16"/>
        <v>34410</v>
      </c>
      <c r="E863" s="181" t="s">
        <v>15</v>
      </c>
      <c r="F863" s="181" t="s">
        <v>14</v>
      </c>
      <c r="G863" s="181" t="s">
        <v>647</v>
      </c>
      <c r="H863" s="8">
        <v>2613434.02</v>
      </c>
      <c r="I863" s="8">
        <v>11221.56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2624655.58</v>
      </c>
    </row>
    <row r="864" spans="1:15">
      <c r="A864" s="191">
        <v>44562</v>
      </c>
      <c r="B864" s="181" t="s">
        <v>133</v>
      </c>
      <c r="C864" s="181" t="s">
        <v>685</v>
      </c>
      <c r="D864" s="181" t="str">
        <f t="shared" si="16"/>
        <v>34410</v>
      </c>
      <c r="E864" s="181" t="s">
        <v>15</v>
      </c>
      <c r="F864" s="181" t="s">
        <v>14</v>
      </c>
      <c r="G864" s="181" t="s">
        <v>647</v>
      </c>
      <c r="H864" s="8">
        <v>6781695.8100000005</v>
      </c>
      <c r="I864" s="8">
        <v>61738.16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6843433.9699999997</v>
      </c>
    </row>
    <row r="865" spans="1:15">
      <c r="A865" s="191">
        <v>44562</v>
      </c>
      <c r="B865" s="181" t="s">
        <v>133</v>
      </c>
      <c r="C865" s="181" t="s">
        <v>686</v>
      </c>
      <c r="D865" s="181" t="str">
        <f t="shared" si="16"/>
        <v>34410</v>
      </c>
      <c r="E865" s="181" t="s">
        <v>15</v>
      </c>
      <c r="F865" s="181" t="s">
        <v>14</v>
      </c>
      <c r="G865" s="181" t="s">
        <v>647</v>
      </c>
      <c r="H865" s="8">
        <v>20211702.210000001</v>
      </c>
      <c r="I865" s="8">
        <v>328410.44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20540112.649999999</v>
      </c>
    </row>
    <row r="866" spans="1:15">
      <c r="A866" s="191">
        <v>44562</v>
      </c>
      <c r="B866" s="181" t="s">
        <v>133</v>
      </c>
      <c r="C866" s="181" t="s">
        <v>687</v>
      </c>
      <c r="D866" s="181" t="str">
        <f t="shared" si="16"/>
        <v>34410</v>
      </c>
      <c r="E866" s="181" t="s">
        <v>15</v>
      </c>
      <c r="F866" s="181" t="s">
        <v>14</v>
      </c>
      <c r="G866" s="181" t="s">
        <v>647</v>
      </c>
      <c r="H866" s="8">
        <v>928431.45000000007</v>
      </c>
      <c r="I866" s="8">
        <v>7280.31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935711.76</v>
      </c>
    </row>
    <row r="867" spans="1:15">
      <c r="A867" s="191">
        <v>44562</v>
      </c>
      <c r="B867" s="181" t="s">
        <v>133</v>
      </c>
      <c r="C867" s="181" t="s">
        <v>688</v>
      </c>
      <c r="D867" s="181" t="str">
        <f t="shared" si="16"/>
        <v>34410</v>
      </c>
      <c r="E867" s="181" t="s">
        <v>15</v>
      </c>
      <c r="F867" s="181" t="s">
        <v>14</v>
      </c>
      <c r="G867" s="181" t="s">
        <v>647</v>
      </c>
      <c r="H867" s="8">
        <v>27698401.219999999</v>
      </c>
      <c r="I867" s="8">
        <v>262446.84999999998</v>
      </c>
      <c r="J867" s="8">
        <v>-163261.98000000001</v>
      </c>
      <c r="K867" s="8">
        <v>0</v>
      </c>
      <c r="L867" s="8">
        <v>0</v>
      </c>
      <c r="M867" s="8">
        <v>0</v>
      </c>
      <c r="N867" s="8">
        <v>0</v>
      </c>
      <c r="O867" s="8">
        <v>27797586.09</v>
      </c>
    </row>
    <row r="868" spans="1:15">
      <c r="A868" s="191">
        <v>44562</v>
      </c>
      <c r="B868" s="181" t="s">
        <v>133</v>
      </c>
      <c r="C868" s="181" t="s">
        <v>689</v>
      </c>
      <c r="D868" s="181" t="str">
        <f t="shared" si="16"/>
        <v>34410</v>
      </c>
      <c r="E868" s="181" t="s">
        <v>15</v>
      </c>
      <c r="F868" s="181" t="s">
        <v>14</v>
      </c>
      <c r="G868" s="181" t="s">
        <v>647</v>
      </c>
      <c r="H868" s="8">
        <v>28063173.52</v>
      </c>
      <c r="I868" s="8">
        <v>241995.83000000002</v>
      </c>
      <c r="J868" s="8">
        <v>-163261.98000000001</v>
      </c>
      <c r="K868" s="8">
        <v>0</v>
      </c>
      <c r="L868" s="8">
        <v>0</v>
      </c>
      <c r="M868" s="8">
        <v>0</v>
      </c>
      <c r="N868" s="8">
        <v>0</v>
      </c>
      <c r="O868" s="8">
        <v>28141907.370000001</v>
      </c>
    </row>
    <row r="869" spans="1:15">
      <c r="A869" s="191">
        <v>44562</v>
      </c>
      <c r="B869" s="181" t="s">
        <v>133</v>
      </c>
      <c r="C869" s="181" t="s">
        <v>690</v>
      </c>
      <c r="D869" s="181" t="str">
        <f t="shared" si="16"/>
        <v>34410</v>
      </c>
      <c r="E869" s="181" t="s">
        <v>15</v>
      </c>
      <c r="F869" s="181" t="s">
        <v>14</v>
      </c>
      <c r="G869" s="181" t="s">
        <v>647</v>
      </c>
      <c r="H869" s="8">
        <v>7910241.5800000001</v>
      </c>
      <c r="I869" s="8">
        <v>129645.17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8039886.75</v>
      </c>
    </row>
    <row r="870" spans="1:15">
      <c r="A870" s="191">
        <v>44562</v>
      </c>
      <c r="B870" s="181" t="s">
        <v>133</v>
      </c>
      <c r="C870" s="181" t="s">
        <v>684</v>
      </c>
      <c r="D870" s="181" t="str">
        <f t="shared" si="16"/>
        <v>34410</v>
      </c>
      <c r="E870" s="181" t="s">
        <v>15</v>
      </c>
      <c r="F870" s="181" t="s">
        <v>14</v>
      </c>
      <c r="G870" s="181" t="s">
        <v>793</v>
      </c>
      <c r="H870" s="8">
        <v>152498.58000000002</v>
      </c>
      <c r="I870" s="8">
        <v>2111.81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154610.39000000001</v>
      </c>
    </row>
    <row r="871" spans="1:15">
      <c r="A871" s="191">
        <v>44562</v>
      </c>
      <c r="B871" s="181" t="s">
        <v>133</v>
      </c>
      <c r="C871" s="181" t="s">
        <v>685</v>
      </c>
      <c r="D871" s="181" t="str">
        <f t="shared" si="16"/>
        <v>34410</v>
      </c>
      <c r="E871" s="181" t="s">
        <v>15</v>
      </c>
      <c r="F871" s="181" t="s">
        <v>14</v>
      </c>
      <c r="G871" s="181" t="s">
        <v>793</v>
      </c>
      <c r="H871" s="8">
        <v>-7.2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-7.2</v>
      </c>
    </row>
    <row r="872" spans="1:15">
      <c r="A872" s="191">
        <v>44562</v>
      </c>
      <c r="B872" s="181" t="s">
        <v>133</v>
      </c>
      <c r="C872" s="181" t="s">
        <v>686</v>
      </c>
      <c r="D872" s="181" t="str">
        <f t="shared" si="16"/>
        <v>34410</v>
      </c>
      <c r="E872" s="181" t="s">
        <v>15</v>
      </c>
      <c r="F872" s="181" t="s">
        <v>14</v>
      </c>
      <c r="G872" s="181" t="s">
        <v>793</v>
      </c>
      <c r="H872" s="8">
        <v>1405.64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1405.64</v>
      </c>
    </row>
    <row r="873" spans="1:15">
      <c r="A873" s="191">
        <v>44562</v>
      </c>
      <c r="B873" s="181" t="s">
        <v>133</v>
      </c>
      <c r="C873" s="181" t="s">
        <v>687</v>
      </c>
      <c r="D873" s="181" t="str">
        <f t="shared" si="16"/>
        <v>34410</v>
      </c>
      <c r="E873" s="181" t="s">
        <v>15</v>
      </c>
      <c r="F873" s="181" t="s">
        <v>14</v>
      </c>
      <c r="G873" s="181" t="s">
        <v>793</v>
      </c>
      <c r="H873" s="8">
        <v>142909.75</v>
      </c>
      <c r="I873" s="8">
        <v>885.38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143795.13</v>
      </c>
    </row>
    <row r="874" spans="1:15">
      <c r="A874" s="191">
        <v>44562</v>
      </c>
      <c r="B874" s="181" t="s">
        <v>133</v>
      </c>
      <c r="C874" s="181" t="s">
        <v>688</v>
      </c>
      <c r="D874" s="181" t="str">
        <f t="shared" si="16"/>
        <v>34410</v>
      </c>
      <c r="E874" s="181" t="s">
        <v>15</v>
      </c>
      <c r="F874" s="181" t="s">
        <v>14</v>
      </c>
      <c r="G874" s="181" t="s">
        <v>793</v>
      </c>
      <c r="H874" s="8">
        <v>3104657.68</v>
      </c>
      <c r="I874" s="8">
        <v>31916.920000000002</v>
      </c>
      <c r="J874" s="8">
        <v>0</v>
      </c>
      <c r="K874" s="8">
        <v>-20729.5</v>
      </c>
      <c r="L874" s="8">
        <v>0</v>
      </c>
      <c r="M874" s="8">
        <v>0</v>
      </c>
      <c r="N874" s="8">
        <v>0</v>
      </c>
      <c r="O874" s="8">
        <v>3115845.1</v>
      </c>
    </row>
    <row r="875" spans="1:15">
      <c r="A875" s="191">
        <v>44562</v>
      </c>
      <c r="B875" s="181" t="s">
        <v>133</v>
      </c>
      <c r="C875" s="181" t="s">
        <v>689</v>
      </c>
      <c r="D875" s="181" t="str">
        <f t="shared" si="16"/>
        <v>34410</v>
      </c>
      <c r="E875" s="181" t="s">
        <v>15</v>
      </c>
      <c r="F875" s="181" t="s">
        <v>14</v>
      </c>
      <c r="G875" s="181" t="s">
        <v>793</v>
      </c>
      <c r="H875" s="8">
        <v>3101132.98</v>
      </c>
      <c r="I875" s="8">
        <v>29429.82</v>
      </c>
      <c r="J875" s="8">
        <v>0</v>
      </c>
      <c r="K875" s="8">
        <v>-20729.46</v>
      </c>
      <c r="L875" s="8">
        <v>0</v>
      </c>
      <c r="M875" s="8">
        <v>0</v>
      </c>
      <c r="N875" s="8">
        <v>0</v>
      </c>
      <c r="O875" s="8">
        <v>3109833.34</v>
      </c>
    </row>
    <row r="876" spans="1:15">
      <c r="A876" s="191">
        <v>44562</v>
      </c>
      <c r="B876" s="181" t="s">
        <v>133</v>
      </c>
      <c r="C876" s="181" t="s">
        <v>690</v>
      </c>
      <c r="D876" s="181" t="str">
        <f t="shared" si="16"/>
        <v>34410</v>
      </c>
      <c r="E876" s="181" t="s">
        <v>15</v>
      </c>
      <c r="F876" s="181" t="s">
        <v>14</v>
      </c>
      <c r="G876" s="181" t="s">
        <v>793</v>
      </c>
      <c r="H876" s="8">
        <v>399991.57</v>
      </c>
      <c r="I876" s="8">
        <v>6459.1900000000005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406450.76</v>
      </c>
    </row>
    <row r="877" spans="1:15">
      <c r="A877" s="191">
        <v>44593</v>
      </c>
      <c r="B877" s="181" t="s">
        <v>132</v>
      </c>
      <c r="C877" s="181" t="s">
        <v>684</v>
      </c>
      <c r="D877" s="181" t="str">
        <f t="shared" si="16"/>
        <v>34410</v>
      </c>
      <c r="E877" s="181" t="s">
        <v>15</v>
      </c>
      <c r="F877" s="181" t="s">
        <v>14</v>
      </c>
      <c r="G877" s="181" t="s">
        <v>647</v>
      </c>
      <c r="H877" s="8">
        <v>2624655.58</v>
      </c>
      <c r="I877" s="8">
        <v>11221.56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2635877.14</v>
      </c>
    </row>
    <row r="878" spans="1:15">
      <c r="A878" s="191">
        <v>44593</v>
      </c>
      <c r="B878" s="181" t="s">
        <v>132</v>
      </c>
      <c r="C878" s="181" t="s">
        <v>685</v>
      </c>
      <c r="D878" s="181" t="str">
        <f t="shared" si="16"/>
        <v>34410</v>
      </c>
      <c r="E878" s="181" t="s">
        <v>15</v>
      </c>
      <c r="F878" s="181" t="s">
        <v>14</v>
      </c>
      <c r="G878" s="181" t="s">
        <v>647</v>
      </c>
      <c r="H878" s="8">
        <v>6843433.9699999997</v>
      </c>
      <c r="I878" s="8">
        <v>61738.16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6905172.1299999999</v>
      </c>
    </row>
    <row r="879" spans="1:15">
      <c r="A879" s="191">
        <v>44593</v>
      </c>
      <c r="B879" s="181" t="s">
        <v>132</v>
      </c>
      <c r="C879" s="181" t="s">
        <v>686</v>
      </c>
      <c r="D879" s="181" t="str">
        <f t="shared" si="16"/>
        <v>34410</v>
      </c>
      <c r="E879" s="181" t="s">
        <v>15</v>
      </c>
      <c r="F879" s="181" t="s">
        <v>14</v>
      </c>
      <c r="G879" s="181" t="s">
        <v>647</v>
      </c>
      <c r="H879" s="8">
        <v>20540112.649999999</v>
      </c>
      <c r="I879" s="8">
        <v>328410.44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20868523.09</v>
      </c>
    </row>
    <row r="880" spans="1:15">
      <c r="A880" s="191">
        <v>44593</v>
      </c>
      <c r="B880" s="181" t="s">
        <v>132</v>
      </c>
      <c r="C880" s="181" t="s">
        <v>687</v>
      </c>
      <c r="D880" s="181" t="str">
        <f t="shared" si="16"/>
        <v>34410</v>
      </c>
      <c r="E880" s="181" t="s">
        <v>15</v>
      </c>
      <c r="F880" s="181" t="s">
        <v>14</v>
      </c>
      <c r="G880" s="181" t="s">
        <v>647</v>
      </c>
      <c r="H880" s="8">
        <v>935711.76</v>
      </c>
      <c r="I880" s="8">
        <v>7013.14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942724.9</v>
      </c>
    </row>
    <row r="881" spans="1:15">
      <c r="A881" s="191">
        <v>44593</v>
      </c>
      <c r="B881" s="181" t="s">
        <v>132</v>
      </c>
      <c r="C881" s="181" t="s">
        <v>688</v>
      </c>
      <c r="D881" s="181" t="str">
        <f t="shared" si="16"/>
        <v>34410</v>
      </c>
      <c r="E881" s="181" t="s">
        <v>15</v>
      </c>
      <c r="F881" s="181" t="s">
        <v>14</v>
      </c>
      <c r="G881" s="181" t="s">
        <v>647</v>
      </c>
      <c r="H881" s="8">
        <v>27797586.09</v>
      </c>
      <c r="I881" s="8">
        <v>262454.84999999998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28060040.940000001</v>
      </c>
    </row>
    <row r="882" spans="1:15">
      <c r="A882" s="191">
        <v>44593</v>
      </c>
      <c r="B882" s="181" t="s">
        <v>132</v>
      </c>
      <c r="C882" s="181" t="s">
        <v>689</v>
      </c>
      <c r="D882" s="181" t="str">
        <f t="shared" si="16"/>
        <v>34410</v>
      </c>
      <c r="E882" s="181" t="s">
        <v>15</v>
      </c>
      <c r="F882" s="181" t="s">
        <v>14</v>
      </c>
      <c r="G882" s="181" t="s">
        <v>647</v>
      </c>
      <c r="H882" s="8">
        <v>28141907.370000001</v>
      </c>
      <c r="I882" s="8">
        <v>242003.83000000002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28383911.199999999</v>
      </c>
    </row>
    <row r="883" spans="1:15">
      <c r="A883" s="191">
        <v>44593</v>
      </c>
      <c r="B883" s="181" t="s">
        <v>132</v>
      </c>
      <c r="C883" s="181" t="s">
        <v>690</v>
      </c>
      <c r="D883" s="181" t="str">
        <f t="shared" si="16"/>
        <v>34410</v>
      </c>
      <c r="E883" s="181" t="s">
        <v>15</v>
      </c>
      <c r="F883" s="181" t="s">
        <v>14</v>
      </c>
      <c r="G883" s="181" t="s">
        <v>647</v>
      </c>
      <c r="H883" s="8">
        <v>8039886.75</v>
      </c>
      <c r="I883" s="8">
        <v>129645.17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8169531.9199999999</v>
      </c>
    </row>
    <row r="884" spans="1:15">
      <c r="A884" s="191">
        <v>44593</v>
      </c>
      <c r="B884" s="181" t="s">
        <v>132</v>
      </c>
      <c r="C884" s="181" t="s">
        <v>684</v>
      </c>
      <c r="D884" s="181" t="str">
        <f t="shared" si="16"/>
        <v>34410</v>
      </c>
      <c r="E884" s="181" t="s">
        <v>15</v>
      </c>
      <c r="F884" s="181" t="s">
        <v>14</v>
      </c>
      <c r="G884" s="181" t="s">
        <v>793</v>
      </c>
      <c r="H884" s="8">
        <v>154610.39000000001</v>
      </c>
      <c r="I884" s="8">
        <v>2111.81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156722.20000000001</v>
      </c>
    </row>
    <row r="885" spans="1:15">
      <c r="A885" s="191">
        <v>44593</v>
      </c>
      <c r="B885" s="181" t="s">
        <v>132</v>
      </c>
      <c r="C885" s="181" t="s">
        <v>685</v>
      </c>
      <c r="D885" s="181" t="str">
        <f t="shared" si="16"/>
        <v>34410</v>
      </c>
      <c r="E885" s="181" t="s">
        <v>15</v>
      </c>
      <c r="F885" s="181" t="s">
        <v>14</v>
      </c>
      <c r="G885" s="181" t="s">
        <v>793</v>
      </c>
      <c r="H885" s="8">
        <v>-7.2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-7.2</v>
      </c>
    </row>
    <row r="886" spans="1:15">
      <c r="A886" s="191">
        <v>44593</v>
      </c>
      <c r="B886" s="181" t="s">
        <v>132</v>
      </c>
      <c r="C886" s="181" t="s">
        <v>686</v>
      </c>
      <c r="D886" s="181" t="str">
        <f t="shared" si="16"/>
        <v>34410</v>
      </c>
      <c r="E886" s="181" t="s">
        <v>15</v>
      </c>
      <c r="F886" s="181" t="s">
        <v>14</v>
      </c>
      <c r="G886" s="181" t="s">
        <v>793</v>
      </c>
      <c r="H886" s="8">
        <v>1405.64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1405.64</v>
      </c>
    </row>
    <row r="887" spans="1:15">
      <c r="A887" s="191">
        <v>44593</v>
      </c>
      <c r="B887" s="181" t="s">
        <v>132</v>
      </c>
      <c r="C887" s="181" t="s">
        <v>687</v>
      </c>
      <c r="D887" s="181" t="str">
        <f t="shared" si="16"/>
        <v>34410</v>
      </c>
      <c r="E887" s="181" t="s">
        <v>15</v>
      </c>
      <c r="F887" s="181" t="s">
        <v>14</v>
      </c>
      <c r="G887" s="181" t="s">
        <v>793</v>
      </c>
      <c r="H887" s="8">
        <v>143795.13</v>
      </c>
      <c r="I887" s="8">
        <v>852.89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144648.01999999999</v>
      </c>
    </row>
    <row r="888" spans="1:15">
      <c r="A888" s="191">
        <v>44593</v>
      </c>
      <c r="B888" s="181" t="s">
        <v>132</v>
      </c>
      <c r="C888" s="181" t="s">
        <v>688</v>
      </c>
      <c r="D888" s="181" t="str">
        <f t="shared" si="16"/>
        <v>34410</v>
      </c>
      <c r="E888" s="181" t="s">
        <v>15</v>
      </c>
      <c r="F888" s="181" t="s">
        <v>14</v>
      </c>
      <c r="G888" s="181" t="s">
        <v>793</v>
      </c>
      <c r="H888" s="8">
        <v>3115845.1</v>
      </c>
      <c r="I888" s="8">
        <v>31917.9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3147763</v>
      </c>
    </row>
    <row r="889" spans="1:15">
      <c r="A889" s="191">
        <v>44593</v>
      </c>
      <c r="B889" s="181" t="s">
        <v>132</v>
      </c>
      <c r="C889" s="181" t="s">
        <v>689</v>
      </c>
      <c r="D889" s="181" t="str">
        <f t="shared" si="16"/>
        <v>34410</v>
      </c>
      <c r="E889" s="181" t="s">
        <v>15</v>
      </c>
      <c r="F889" s="181" t="s">
        <v>14</v>
      </c>
      <c r="G889" s="181" t="s">
        <v>793</v>
      </c>
      <c r="H889" s="8">
        <v>3109833.34</v>
      </c>
      <c r="I889" s="8">
        <v>29430.79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3139264.13</v>
      </c>
    </row>
    <row r="890" spans="1:15">
      <c r="A890" s="191">
        <v>44593</v>
      </c>
      <c r="B890" s="181" t="s">
        <v>132</v>
      </c>
      <c r="C890" s="181" t="s">
        <v>690</v>
      </c>
      <c r="D890" s="181" t="str">
        <f t="shared" si="16"/>
        <v>34410</v>
      </c>
      <c r="E890" s="181" t="s">
        <v>15</v>
      </c>
      <c r="F890" s="181" t="s">
        <v>14</v>
      </c>
      <c r="G890" s="181" t="s">
        <v>793</v>
      </c>
      <c r="H890" s="8">
        <v>406450.76</v>
      </c>
      <c r="I890" s="8">
        <v>6459.1900000000005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412909.95</v>
      </c>
    </row>
    <row r="891" spans="1:15">
      <c r="A891" s="191">
        <v>44621</v>
      </c>
      <c r="B891" s="181" t="s">
        <v>131</v>
      </c>
      <c r="C891" s="181" t="s">
        <v>684</v>
      </c>
      <c r="D891" s="181" t="str">
        <f t="shared" si="16"/>
        <v>34410</v>
      </c>
      <c r="E891" s="181" t="s">
        <v>15</v>
      </c>
      <c r="F891" s="181" t="s">
        <v>14</v>
      </c>
      <c r="G891" s="181" t="s">
        <v>647</v>
      </c>
      <c r="H891" s="8">
        <v>2635877.14</v>
      </c>
      <c r="I891" s="8">
        <v>11221.56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2647098.7000000002</v>
      </c>
    </row>
    <row r="892" spans="1:15">
      <c r="A892" s="191">
        <v>44621</v>
      </c>
      <c r="B892" s="181" t="s">
        <v>131</v>
      </c>
      <c r="C892" s="181" t="s">
        <v>685</v>
      </c>
      <c r="D892" s="181" t="str">
        <f t="shared" si="16"/>
        <v>34410</v>
      </c>
      <c r="E892" s="181" t="s">
        <v>15</v>
      </c>
      <c r="F892" s="181" t="s">
        <v>14</v>
      </c>
      <c r="G892" s="181" t="s">
        <v>647</v>
      </c>
      <c r="H892" s="8">
        <v>6905172.1299999999</v>
      </c>
      <c r="I892" s="8">
        <v>61738.16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6966910.29</v>
      </c>
    </row>
    <row r="893" spans="1:15">
      <c r="A893" s="191">
        <v>44621</v>
      </c>
      <c r="B893" s="181" t="s">
        <v>131</v>
      </c>
      <c r="C893" s="181" t="s">
        <v>686</v>
      </c>
      <c r="D893" s="181" t="str">
        <f t="shared" si="16"/>
        <v>34410</v>
      </c>
      <c r="E893" s="181" t="s">
        <v>15</v>
      </c>
      <c r="F893" s="181" t="s">
        <v>14</v>
      </c>
      <c r="G893" s="181" t="s">
        <v>647</v>
      </c>
      <c r="H893" s="8">
        <v>20868523.09</v>
      </c>
      <c r="I893" s="8">
        <v>328410.44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21196933.530000001</v>
      </c>
    </row>
    <row r="894" spans="1:15">
      <c r="A894" s="191">
        <v>44621</v>
      </c>
      <c r="B894" s="181" t="s">
        <v>131</v>
      </c>
      <c r="C894" s="181" t="s">
        <v>687</v>
      </c>
      <c r="D894" s="181" t="str">
        <f t="shared" si="16"/>
        <v>34410</v>
      </c>
      <c r="E894" s="181" t="s">
        <v>15</v>
      </c>
      <c r="F894" s="181" t="s">
        <v>14</v>
      </c>
      <c r="G894" s="181" t="s">
        <v>647</v>
      </c>
      <c r="H894" s="8">
        <v>942724.9</v>
      </c>
      <c r="I894" s="8">
        <v>7013.14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949738.04</v>
      </c>
    </row>
    <row r="895" spans="1:15">
      <c r="A895" s="191">
        <v>44621</v>
      </c>
      <c r="B895" s="181" t="s">
        <v>131</v>
      </c>
      <c r="C895" s="181" t="s">
        <v>688</v>
      </c>
      <c r="D895" s="181" t="str">
        <f t="shared" si="16"/>
        <v>34410</v>
      </c>
      <c r="E895" s="181" t="s">
        <v>15</v>
      </c>
      <c r="F895" s="181" t="s">
        <v>14</v>
      </c>
      <c r="G895" s="181" t="s">
        <v>647</v>
      </c>
      <c r="H895" s="8">
        <v>28060040.940000001</v>
      </c>
      <c r="I895" s="8">
        <v>262441.94</v>
      </c>
      <c r="J895" s="8">
        <v>-10000</v>
      </c>
      <c r="K895" s="8">
        <v>0</v>
      </c>
      <c r="L895" s="8">
        <v>0</v>
      </c>
      <c r="M895" s="8">
        <v>0</v>
      </c>
      <c r="N895" s="8">
        <v>0</v>
      </c>
      <c r="O895" s="8">
        <v>28312482.879999999</v>
      </c>
    </row>
    <row r="896" spans="1:15">
      <c r="A896" s="191">
        <v>44621</v>
      </c>
      <c r="B896" s="181" t="s">
        <v>131</v>
      </c>
      <c r="C896" s="181" t="s">
        <v>689</v>
      </c>
      <c r="D896" s="181" t="str">
        <f t="shared" si="16"/>
        <v>34410</v>
      </c>
      <c r="E896" s="181" t="s">
        <v>15</v>
      </c>
      <c r="F896" s="181" t="s">
        <v>14</v>
      </c>
      <c r="G896" s="181" t="s">
        <v>647</v>
      </c>
      <c r="H896" s="8">
        <v>28383911.199999999</v>
      </c>
      <c r="I896" s="8">
        <v>241990.92</v>
      </c>
      <c r="J896" s="8">
        <v>-10000</v>
      </c>
      <c r="K896" s="8">
        <v>0</v>
      </c>
      <c r="L896" s="8">
        <v>0</v>
      </c>
      <c r="M896" s="8">
        <v>0</v>
      </c>
      <c r="N896" s="8">
        <v>0</v>
      </c>
      <c r="O896" s="8">
        <v>28615902.120000001</v>
      </c>
    </row>
    <row r="897" spans="1:15">
      <c r="A897" s="191">
        <v>44621</v>
      </c>
      <c r="B897" s="181" t="s">
        <v>131</v>
      </c>
      <c r="C897" s="181" t="s">
        <v>690</v>
      </c>
      <c r="D897" s="181" t="str">
        <f t="shared" si="16"/>
        <v>34410</v>
      </c>
      <c r="E897" s="181" t="s">
        <v>15</v>
      </c>
      <c r="F897" s="181" t="s">
        <v>14</v>
      </c>
      <c r="G897" s="181" t="s">
        <v>647</v>
      </c>
      <c r="H897" s="8">
        <v>8169531.9199999999</v>
      </c>
      <c r="I897" s="8">
        <v>129645.17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8299177.0899999999</v>
      </c>
    </row>
    <row r="898" spans="1:15">
      <c r="A898" s="191">
        <v>44621</v>
      </c>
      <c r="B898" s="181" t="s">
        <v>131</v>
      </c>
      <c r="C898" s="181" t="s">
        <v>684</v>
      </c>
      <c r="D898" s="181" t="str">
        <f t="shared" ref="D898:D961" si="17">MID(C898,10,5)</f>
        <v>34410</v>
      </c>
      <c r="E898" s="181" t="s">
        <v>15</v>
      </c>
      <c r="F898" s="181" t="s">
        <v>14</v>
      </c>
      <c r="G898" s="181" t="s">
        <v>793</v>
      </c>
      <c r="H898" s="8">
        <v>156722.20000000001</v>
      </c>
      <c r="I898" s="8">
        <v>2111.81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158834.01</v>
      </c>
    </row>
    <row r="899" spans="1:15">
      <c r="A899" s="191">
        <v>44621</v>
      </c>
      <c r="B899" s="181" t="s">
        <v>131</v>
      </c>
      <c r="C899" s="181" t="s">
        <v>685</v>
      </c>
      <c r="D899" s="181" t="str">
        <f t="shared" si="17"/>
        <v>34410</v>
      </c>
      <c r="E899" s="181" t="s">
        <v>15</v>
      </c>
      <c r="F899" s="181" t="s">
        <v>14</v>
      </c>
      <c r="G899" s="181" t="s">
        <v>793</v>
      </c>
      <c r="H899" s="8">
        <v>-7.2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-7.2</v>
      </c>
    </row>
    <row r="900" spans="1:15">
      <c r="A900" s="191">
        <v>44621</v>
      </c>
      <c r="B900" s="181" t="s">
        <v>131</v>
      </c>
      <c r="C900" s="181" t="s">
        <v>686</v>
      </c>
      <c r="D900" s="181" t="str">
        <f t="shared" si="17"/>
        <v>34410</v>
      </c>
      <c r="E900" s="181" t="s">
        <v>15</v>
      </c>
      <c r="F900" s="181" t="s">
        <v>14</v>
      </c>
      <c r="G900" s="181" t="s">
        <v>793</v>
      </c>
      <c r="H900" s="8">
        <v>1405.64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1405.64</v>
      </c>
    </row>
    <row r="901" spans="1:15">
      <c r="A901" s="191">
        <v>44621</v>
      </c>
      <c r="B901" s="181" t="s">
        <v>131</v>
      </c>
      <c r="C901" s="181" t="s">
        <v>687</v>
      </c>
      <c r="D901" s="181" t="str">
        <f t="shared" si="17"/>
        <v>34410</v>
      </c>
      <c r="E901" s="181" t="s">
        <v>15</v>
      </c>
      <c r="F901" s="181" t="s">
        <v>14</v>
      </c>
      <c r="G901" s="181" t="s">
        <v>793</v>
      </c>
      <c r="H901" s="8">
        <v>144648.01999999999</v>
      </c>
      <c r="I901" s="8">
        <v>852.89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145500.91</v>
      </c>
    </row>
    <row r="902" spans="1:15">
      <c r="A902" s="191">
        <v>44621</v>
      </c>
      <c r="B902" s="181" t="s">
        <v>131</v>
      </c>
      <c r="C902" s="181" t="s">
        <v>688</v>
      </c>
      <c r="D902" s="181" t="str">
        <f t="shared" si="17"/>
        <v>34410</v>
      </c>
      <c r="E902" s="181" t="s">
        <v>15</v>
      </c>
      <c r="F902" s="181" t="s">
        <v>14</v>
      </c>
      <c r="G902" s="181" t="s">
        <v>793</v>
      </c>
      <c r="H902" s="8">
        <v>3147763</v>
      </c>
      <c r="I902" s="8">
        <v>31916.33</v>
      </c>
      <c r="J902" s="8">
        <v>0</v>
      </c>
      <c r="K902" s="8">
        <v>-104</v>
      </c>
      <c r="L902" s="8">
        <v>0</v>
      </c>
      <c r="M902" s="8">
        <v>0</v>
      </c>
      <c r="N902" s="8">
        <v>0</v>
      </c>
      <c r="O902" s="8">
        <v>3179575.33</v>
      </c>
    </row>
    <row r="903" spans="1:15">
      <c r="A903" s="191">
        <v>44621</v>
      </c>
      <c r="B903" s="181" t="s">
        <v>131</v>
      </c>
      <c r="C903" s="181" t="s">
        <v>689</v>
      </c>
      <c r="D903" s="181" t="str">
        <f t="shared" si="17"/>
        <v>34410</v>
      </c>
      <c r="E903" s="181" t="s">
        <v>15</v>
      </c>
      <c r="F903" s="181" t="s">
        <v>14</v>
      </c>
      <c r="G903" s="181" t="s">
        <v>793</v>
      </c>
      <c r="H903" s="8">
        <v>3139264.13</v>
      </c>
      <c r="I903" s="8">
        <v>29429.22</v>
      </c>
      <c r="J903" s="8">
        <v>0</v>
      </c>
      <c r="K903" s="8">
        <v>-104</v>
      </c>
      <c r="L903" s="8">
        <v>0</v>
      </c>
      <c r="M903" s="8">
        <v>0</v>
      </c>
      <c r="N903" s="8">
        <v>0</v>
      </c>
      <c r="O903" s="8">
        <v>3168589.35</v>
      </c>
    </row>
    <row r="904" spans="1:15">
      <c r="A904" s="191">
        <v>44621</v>
      </c>
      <c r="B904" s="181" t="s">
        <v>131</v>
      </c>
      <c r="C904" s="181" t="s">
        <v>690</v>
      </c>
      <c r="D904" s="181" t="str">
        <f t="shared" si="17"/>
        <v>34410</v>
      </c>
      <c r="E904" s="181" t="s">
        <v>15</v>
      </c>
      <c r="F904" s="181" t="s">
        <v>14</v>
      </c>
      <c r="G904" s="181" t="s">
        <v>793</v>
      </c>
      <c r="H904" s="8">
        <v>412909.95</v>
      </c>
      <c r="I904" s="8">
        <v>6459.1900000000005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419369.14</v>
      </c>
    </row>
    <row r="905" spans="1:15">
      <c r="A905" s="191">
        <v>44652</v>
      </c>
      <c r="B905" s="181" t="s">
        <v>130</v>
      </c>
      <c r="C905" s="181" t="s">
        <v>684</v>
      </c>
      <c r="D905" s="181" t="str">
        <f t="shared" si="17"/>
        <v>34410</v>
      </c>
      <c r="E905" s="181" t="s">
        <v>15</v>
      </c>
      <c r="F905" s="181" t="s">
        <v>14</v>
      </c>
      <c r="G905" s="181" t="s">
        <v>647</v>
      </c>
      <c r="H905" s="8">
        <v>2647098.7000000002</v>
      </c>
      <c r="I905" s="8">
        <v>11221.56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2658320.2599999998</v>
      </c>
    </row>
    <row r="906" spans="1:15">
      <c r="A906" s="191">
        <v>44652</v>
      </c>
      <c r="B906" s="181" t="s">
        <v>130</v>
      </c>
      <c r="C906" s="181" t="s">
        <v>685</v>
      </c>
      <c r="D906" s="181" t="str">
        <f t="shared" si="17"/>
        <v>34410</v>
      </c>
      <c r="E906" s="181" t="s">
        <v>15</v>
      </c>
      <c r="F906" s="181" t="s">
        <v>14</v>
      </c>
      <c r="G906" s="181" t="s">
        <v>647</v>
      </c>
      <c r="H906" s="8">
        <v>6966910.29</v>
      </c>
      <c r="I906" s="8">
        <v>61738.16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7028648.4500000002</v>
      </c>
    </row>
    <row r="907" spans="1:15">
      <c r="A907" s="191">
        <v>44652</v>
      </c>
      <c r="B907" s="181" t="s">
        <v>130</v>
      </c>
      <c r="C907" s="181" t="s">
        <v>686</v>
      </c>
      <c r="D907" s="181" t="str">
        <f t="shared" si="17"/>
        <v>34410</v>
      </c>
      <c r="E907" s="181" t="s">
        <v>15</v>
      </c>
      <c r="F907" s="181" t="s">
        <v>14</v>
      </c>
      <c r="G907" s="181" t="s">
        <v>647</v>
      </c>
      <c r="H907" s="8">
        <v>21196933.530000001</v>
      </c>
      <c r="I907" s="8">
        <v>328410.44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21525343.969999999</v>
      </c>
    </row>
    <row r="908" spans="1:15">
      <c r="A908" s="191">
        <v>44652</v>
      </c>
      <c r="B908" s="181" t="s">
        <v>130</v>
      </c>
      <c r="C908" s="181" t="s">
        <v>687</v>
      </c>
      <c r="D908" s="181" t="str">
        <f t="shared" si="17"/>
        <v>34410</v>
      </c>
      <c r="E908" s="181" t="s">
        <v>15</v>
      </c>
      <c r="F908" s="181" t="s">
        <v>14</v>
      </c>
      <c r="G908" s="181" t="s">
        <v>647</v>
      </c>
      <c r="H908" s="8">
        <v>949738.04</v>
      </c>
      <c r="I908" s="8">
        <v>7013.14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956751.18</v>
      </c>
    </row>
    <row r="909" spans="1:15">
      <c r="A909" s="191">
        <v>44652</v>
      </c>
      <c r="B909" s="181" t="s">
        <v>130</v>
      </c>
      <c r="C909" s="181" t="s">
        <v>688</v>
      </c>
      <c r="D909" s="181" t="str">
        <f t="shared" si="17"/>
        <v>34410</v>
      </c>
      <c r="E909" s="181" t="s">
        <v>15</v>
      </c>
      <c r="F909" s="181" t="s">
        <v>14</v>
      </c>
      <c r="G909" s="181" t="s">
        <v>647</v>
      </c>
      <c r="H909" s="8">
        <v>28312482.879999999</v>
      </c>
      <c r="I909" s="8">
        <v>255134.12</v>
      </c>
      <c r="J909" s="8">
        <v>-5375162.8799999999</v>
      </c>
      <c r="K909" s="8">
        <v>0</v>
      </c>
      <c r="L909" s="8">
        <v>0</v>
      </c>
      <c r="M909" s="8">
        <v>0</v>
      </c>
      <c r="N909" s="8">
        <v>0</v>
      </c>
      <c r="O909" s="8">
        <v>23192454.120000001</v>
      </c>
    </row>
    <row r="910" spans="1:15">
      <c r="A910" s="191">
        <v>44652</v>
      </c>
      <c r="B910" s="181" t="s">
        <v>130</v>
      </c>
      <c r="C910" s="181" t="s">
        <v>689</v>
      </c>
      <c r="D910" s="181" t="str">
        <f t="shared" si="17"/>
        <v>34410</v>
      </c>
      <c r="E910" s="181" t="s">
        <v>15</v>
      </c>
      <c r="F910" s="181" t="s">
        <v>14</v>
      </c>
      <c r="G910" s="181" t="s">
        <v>647</v>
      </c>
      <c r="H910" s="8">
        <v>28615902.120000001</v>
      </c>
      <c r="I910" s="8">
        <v>241978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28857880.120000001</v>
      </c>
    </row>
    <row r="911" spans="1:15">
      <c r="A911" s="191">
        <v>44652</v>
      </c>
      <c r="B911" s="181" t="s">
        <v>130</v>
      </c>
      <c r="C911" s="181" t="s">
        <v>690</v>
      </c>
      <c r="D911" s="181" t="str">
        <f t="shared" si="17"/>
        <v>34410</v>
      </c>
      <c r="E911" s="181" t="s">
        <v>15</v>
      </c>
      <c r="F911" s="181" t="s">
        <v>14</v>
      </c>
      <c r="G911" s="181" t="s">
        <v>647</v>
      </c>
      <c r="H911" s="8">
        <v>8299177.0899999999</v>
      </c>
      <c r="I911" s="8">
        <v>129645.17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8428822.2599999998</v>
      </c>
    </row>
    <row r="912" spans="1:15">
      <c r="A912" s="191">
        <v>44652</v>
      </c>
      <c r="B912" s="181" t="s">
        <v>130</v>
      </c>
      <c r="C912" s="181" t="s">
        <v>684</v>
      </c>
      <c r="D912" s="181" t="str">
        <f t="shared" si="17"/>
        <v>34410</v>
      </c>
      <c r="E912" s="181" t="s">
        <v>15</v>
      </c>
      <c r="F912" s="181" t="s">
        <v>14</v>
      </c>
      <c r="G912" s="181" t="s">
        <v>793</v>
      </c>
      <c r="H912" s="8">
        <v>158834.01</v>
      </c>
      <c r="I912" s="8">
        <v>2111.81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160945.82</v>
      </c>
    </row>
    <row r="913" spans="1:15">
      <c r="A913" s="191">
        <v>44652</v>
      </c>
      <c r="B913" s="181" t="s">
        <v>130</v>
      </c>
      <c r="C913" s="181" t="s">
        <v>685</v>
      </c>
      <c r="D913" s="181" t="str">
        <f t="shared" si="17"/>
        <v>34410</v>
      </c>
      <c r="E913" s="181" t="s">
        <v>15</v>
      </c>
      <c r="F913" s="181" t="s">
        <v>14</v>
      </c>
      <c r="G913" s="181" t="s">
        <v>793</v>
      </c>
      <c r="H913" s="8">
        <v>-7.2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-7.2</v>
      </c>
    </row>
    <row r="914" spans="1:15">
      <c r="A914" s="191">
        <v>44652</v>
      </c>
      <c r="B914" s="181" t="s">
        <v>130</v>
      </c>
      <c r="C914" s="181" t="s">
        <v>686</v>
      </c>
      <c r="D914" s="181" t="str">
        <f t="shared" si="17"/>
        <v>34410</v>
      </c>
      <c r="E914" s="181" t="s">
        <v>15</v>
      </c>
      <c r="F914" s="181" t="s">
        <v>14</v>
      </c>
      <c r="G914" s="181" t="s">
        <v>793</v>
      </c>
      <c r="H914" s="8">
        <v>1405.64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1405.64</v>
      </c>
    </row>
    <row r="915" spans="1:15">
      <c r="A915" s="191">
        <v>44652</v>
      </c>
      <c r="B915" s="181" t="s">
        <v>130</v>
      </c>
      <c r="C915" s="181" t="s">
        <v>687</v>
      </c>
      <c r="D915" s="181" t="str">
        <f t="shared" si="17"/>
        <v>34410</v>
      </c>
      <c r="E915" s="181" t="s">
        <v>15</v>
      </c>
      <c r="F915" s="181" t="s">
        <v>14</v>
      </c>
      <c r="G915" s="181" t="s">
        <v>793</v>
      </c>
      <c r="H915" s="8">
        <v>145500.91</v>
      </c>
      <c r="I915" s="8">
        <v>852.89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146353.80000000002</v>
      </c>
    </row>
    <row r="916" spans="1:15">
      <c r="A916" s="191">
        <v>44652</v>
      </c>
      <c r="B916" s="181" t="s">
        <v>130</v>
      </c>
      <c r="C916" s="181" t="s">
        <v>688</v>
      </c>
      <c r="D916" s="181" t="str">
        <f t="shared" si="17"/>
        <v>34410</v>
      </c>
      <c r="E916" s="181" t="s">
        <v>15</v>
      </c>
      <c r="F916" s="181" t="s">
        <v>14</v>
      </c>
      <c r="G916" s="181" t="s">
        <v>793</v>
      </c>
      <c r="H916" s="8">
        <v>3179575.33</v>
      </c>
      <c r="I916" s="8">
        <v>31027.600000000002</v>
      </c>
      <c r="J916" s="8">
        <v>0</v>
      </c>
      <c r="K916" s="8">
        <v>-272500</v>
      </c>
      <c r="L916" s="8">
        <v>0</v>
      </c>
      <c r="M916" s="8">
        <v>0</v>
      </c>
      <c r="N916" s="8">
        <v>0</v>
      </c>
      <c r="O916" s="8">
        <v>2938102.93</v>
      </c>
    </row>
    <row r="917" spans="1:15">
      <c r="A917" s="191">
        <v>44652</v>
      </c>
      <c r="B917" s="181" t="s">
        <v>130</v>
      </c>
      <c r="C917" s="181" t="s">
        <v>689</v>
      </c>
      <c r="D917" s="181" t="str">
        <f t="shared" si="17"/>
        <v>34410</v>
      </c>
      <c r="E917" s="181" t="s">
        <v>15</v>
      </c>
      <c r="F917" s="181" t="s">
        <v>14</v>
      </c>
      <c r="G917" s="181" t="s">
        <v>793</v>
      </c>
      <c r="H917" s="8">
        <v>3168589.35</v>
      </c>
      <c r="I917" s="8">
        <v>29427.65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3198017</v>
      </c>
    </row>
    <row r="918" spans="1:15">
      <c r="A918" s="191">
        <v>44652</v>
      </c>
      <c r="B918" s="181" t="s">
        <v>130</v>
      </c>
      <c r="C918" s="181" t="s">
        <v>690</v>
      </c>
      <c r="D918" s="181" t="str">
        <f t="shared" si="17"/>
        <v>34410</v>
      </c>
      <c r="E918" s="181" t="s">
        <v>15</v>
      </c>
      <c r="F918" s="181" t="s">
        <v>14</v>
      </c>
      <c r="G918" s="181" t="s">
        <v>793</v>
      </c>
      <c r="H918" s="8">
        <v>419369.14</v>
      </c>
      <c r="I918" s="8">
        <v>6459.1900000000005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425828.33</v>
      </c>
    </row>
    <row r="919" spans="1:15">
      <c r="A919" s="191">
        <v>44682</v>
      </c>
      <c r="B919" s="181" t="s">
        <v>129</v>
      </c>
      <c r="C919" s="181" t="s">
        <v>684</v>
      </c>
      <c r="D919" s="181" t="str">
        <f t="shared" si="17"/>
        <v>34410</v>
      </c>
      <c r="E919" s="181" t="s">
        <v>15</v>
      </c>
      <c r="F919" s="181" t="s">
        <v>14</v>
      </c>
      <c r="G919" s="181" t="s">
        <v>647</v>
      </c>
      <c r="H919" s="8">
        <v>2658320.2599999998</v>
      </c>
      <c r="I919" s="8">
        <v>11221.56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2669541.8200000003</v>
      </c>
    </row>
    <row r="920" spans="1:15">
      <c r="A920" s="191">
        <v>44682</v>
      </c>
      <c r="B920" s="181" t="s">
        <v>129</v>
      </c>
      <c r="C920" s="181" t="s">
        <v>685</v>
      </c>
      <c r="D920" s="181" t="str">
        <f t="shared" si="17"/>
        <v>34410</v>
      </c>
      <c r="E920" s="181" t="s">
        <v>15</v>
      </c>
      <c r="F920" s="181" t="s">
        <v>14</v>
      </c>
      <c r="G920" s="181" t="s">
        <v>647</v>
      </c>
      <c r="H920" s="8">
        <v>7028648.4500000002</v>
      </c>
      <c r="I920" s="8">
        <v>61738.16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7090386.6100000003</v>
      </c>
    </row>
    <row r="921" spans="1:15">
      <c r="A921" s="191">
        <v>44682</v>
      </c>
      <c r="B921" s="181" t="s">
        <v>129</v>
      </c>
      <c r="C921" s="181" t="s">
        <v>686</v>
      </c>
      <c r="D921" s="181" t="str">
        <f t="shared" si="17"/>
        <v>34410</v>
      </c>
      <c r="E921" s="181" t="s">
        <v>15</v>
      </c>
      <c r="F921" s="181" t="s">
        <v>14</v>
      </c>
      <c r="G921" s="181" t="s">
        <v>647</v>
      </c>
      <c r="H921" s="8">
        <v>21525343.969999999</v>
      </c>
      <c r="I921" s="8">
        <v>328410.44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21853754.41</v>
      </c>
    </row>
    <row r="922" spans="1:15">
      <c r="A922" s="191">
        <v>44682</v>
      </c>
      <c r="B922" s="181" t="s">
        <v>129</v>
      </c>
      <c r="C922" s="181" t="s">
        <v>687</v>
      </c>
      <c r="D922" s="181" t="str">
        <f t="shared" si="17"/>
        <v>34410</v>
      </c>
      <c r="E922" s="181" t="s">
        <v>15</v>
      </c>
      <c r="F922" s="181" t="s">
        <v>14</v>
      </c>
      <c r="G922" s="181" t="s">
        <v>647</v>
      </c>
      <c r="H922" s="8">
        <v>956751.18</v>
      </c>
      <c r="I922" s="8">
        <v>7015.9000000000005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963767.08000000007</v>
      </c>
    </row>
    <row r="923" spans="1:15">
      <c r="A923" s="191">
        <v>44682</v>
      </c>
      <c r="B923" s="181" t="s">
        <v>129</v>
      </c>
      <c r="C923" s="181" t="s">
        <v>688</v>
      </c>
      <c r="D923" s="181" t="str">
        <f t="shared" si="17"/>
        <v>34410</v>
      </c>
      <c r="E923" s="181" t="s">
        <v>15</v>
      </c>
      <c r="F923" s="181" t="s">
        <v>14</v>
      </c>
      <c r="G923" s="181" t="s">
        <v>647</v>
      </c>
      <c r="H923" s="8">
        <v>23192454.120000001</v>
      </c>
      <c r="I923" s="8">
        <v>247839.23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23440293.350000001</v>
      </c>
    </row>
    <row r="924" spans="1:15">
      <c r="A924" s="191">
        <v>44682</v>
      </c>
      <c r="B924" s="181" t="s">
        <v>129</v>
      </c>
      <c r="C924" s="181" t="s">
        <v>689</v>
      </c>
      <c r="D924" s="181" t="str">
        <f t="shared" si="17"/>
        <v>34410</v>
      </c>
      <c r="E924" s="181" t="s">
        <v>15</v>
      </c>
      <c r="F924" s="181" t="s">
        <v>14</v>
      </c>
      <c r="G924" s="181" t="s">
        <v>647</v>
      </c>
      <c r="H924" s="8">
        <v>28857880.120000001</v>
      </c>
      <c r="I924" s="8">
        <v>241978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29099858.120000001</v>
      </c>
    </row>
    <row r="925" spans="1:15">
      <c r="A925" s="191">
        <v>44682</v>
      </c>
      <c r="B925" s="181" t="s">
        <v>129</v>
      </c>
      <c r="C925" s="181" t="s">
        <v>690</v>
      </c>
      <c r="D925" s="181" t="str">
        <f t="shared" si="17"/>
        <v>34410</v>
      </c>
      <c r="E925" s="181" t="s">
        <v>15</v>
      </c>
      <c r="F925" s="181" t="s">
        <v>14</v>
      </c>
      <c r="G925" s="181" t="s">
        <v>647</v>
      </c>
      <c r="H925" s="8">
        <v>8428822.2599999998</v>
      </c>
      <c r="I925" s="8">
        <v>129645.17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8558467.4299999997</v>
      </c>
    </row>
    <row r="926" spans="1:15">
      <c r="A926" s="191">
        <v>44682</v>
      </c>
      <c r="B926" s="181" t="s">
        <v>129</v>
      </c>
      <c r="C926" s="181" t="s">
        <v>684</v>
      </c>
      <c r="D926" s="181" t="str">
        <f t="shared" si="17"/>
        <v>34410</v>
      </c>
      <c r="E926" s="181" t="s">
        <v>15</v>
      </c>
      <c r="F926" s="181" t="s">
        <v>14</v>
      </c>
      <c r="G926" s="181" t="s">
        <v>793</v>
      </c>
      <c r="H926" s="8">
        <v>160945.82</v>
      </c>
      <c r="I926" s="8">
        <v>2111.81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163057.63</v>
      </c>
    </row>
    <row r="927" spans="1:15">
      <c r="A927" s="191">
        <v>44682</v>
      </c>
      <c r="B927" s="181" t="s">
        <v>129</v>
      </c>
      <c r="C927" s="181" t="s">
        <v>685</v>
      </c>
      <c r="D927" s="181" t="str">
        <f t="shared" si="17"/>
        <v>34410</v>
      </c>
      <c r="E927" s="181" t="s">
        <v>15</v>
      </c>
      <c r="F927" s="181" t="s">
        <v>14</v>
      </c>
      <c r="G927" s="181" t="s">
        <v>793</v>
      </c>
      <c r="H927" s="8">
        <v>-7.2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-7.2</v>
      </c>
    </row>
    <row r="928" spans="1:15">
      <c r="A928" s="191">
        <v>44682</v>
      </c>
      <c r="B928" s="181" t="s">
        <v>129</v>
      </c>
      <c r="C928" s="181" t="s">
        <v>686</v>
      </c>
      <c r="D928" s="181" t="str">
        <f t="shared" si="17"/>
        <v>34410</v>
      </c>
      <c r="E928" s="181" t="s">
        <v>15</v>
      </c>
      <c r="F928" s="181" t="s">
        <v>14</v>
      </c>
      <c r="G928" s="181" t="s">
        <v>793</v>
      </c>
      <c r="H928" s="8">
        <v>1405.64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1405.64</v>
      </c>
    </row>
    <row r="929" spans="1:15">
      <c r="A929" s="191">
        <v>44682</v>
      </c>
      <c r="B929" s="181" t="s">
        <v>129</v>
      </c>
      <c r="C929" s="181" t="s">
        <v>687</v>
      </c>
      <c r="D929" s="181" t="str">
        <f t="shared" si="17"/>
        <v>34410</v>
      </c>
      <c r="E929" s="181" t="s">
        <v>15</v>
      </c>
      <c r="F929" s="181" t="s">
        <v>14</v>
      </c>
      <c r="G929" s="181" t="s">
        <v>793</v>
      </c>
      <c r="H929" s="8">
        <v>146353.80000000002</v>
      </c>
      <c r="I929" s="8">
        <v>853.22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147207.01999999999</v>
      </c>
    </row>
    <row r="930" spans="1:15">
      <c r="A930" s="191">
        <v>44682</v>
      </c>
      <c r="B930" s="181" t="s">
        <v>129</v>
      </c>
      <c r="C930" s="181" t="s">
        <v>688</v>
      </c>
      <c r="D930" s="181" t="str">
        <f t="shared" si="17"/>
        <v>34410</v>
      </c>
      <c r="E930" s="181" t="s">
        <v>15</v>
      </c>
      <c r="F930" s="181" t="s">
        <v>14</v>
      </c>
      <c r="G930" s="181" t="s">
        <v>793</v>
      </c>
      <c r="H930" s="8">
        <v>2938102.93</v>
      </c>
      <c r="I930" s="8">
        <v>30140.45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2968243.38</v>
      </c>
    </row>
    <row r="931" spans="1:15">
      <c r="A931" s="191">
        <v>44682</v>
      </c>
      <c r="B931" s="181" t="s">
        <v>129</v>
      </c>
      <c r="C931" s="181" t="s">
        <v>689</v>
      </c>
      <c r="D931" s="181" t="str">
        <f t="shared" si="17"/>
        <v>34410</v>
      </c>
      <c r="E931" s="181" t="s">
        <v>15</v>
      </c>
      <c r="F931" s="181" t="s">
        <v>14</v>
      </c>
      <c r="G931" s="181" t="s">
        <v>793</v>
      </c>
      <c r="H931" s="8">
        <v>3198017</v>
      </c>
      <c r="I931" s="8">
        <v>29427.65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3227444.65</v>
      </c>
    </row>
    <row r="932" spans="1:15">
      <c r="A932" s="191">
        <v>44682</v>
      </c>
      <c r="B932" s="181" t="s">
        <v>129</v>
      </c>
      <c r="C932" s="181" t="s">
        <v>690</v>
      </c>
      <c r="D932" s="181" t="str">
        <f t="shared" si="17"/>
        <v>34410</v>
      </c>
      <c r="E932" s="181" t="s">
        <v>15</v>
      </c>
      <c r="F932" s="181" t="s">
        <v>14</v>
      </c>
      <c r="G932" s="181" t="s">
        <v>793</v>
      </c>
      <c r="H932" s="8">
        <v>425828.33</v>
      </c>
      <c r="I932" s="8">
        <v>6459.1900000000005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432287.52</v>
      </c>
    </row>
    <row r="933" spans="1:15">
      <c r="A933" s="191">
        <v>44713</v>
      </c>
      <c r="B933" s="181" t="s">
        <v>128</v>
      </c>
      <c r="C933" s="181" t="s">
        <v>684</v>
      </c>
      <c r="D933" s="181" t="str">
        <f t="shared" si="17"/>
        <v>34410</v>
      </c>
      <c r="E933" s="181" t="s">
        <v>15</v>
      </c>
      <c r="F933" s="181" t="s">
        <v>14</v>
      </c>
      <c r="G933" s="181" t="s">
        <v>647</v>
      </c>
      <c r="H933" s="8">
        <v>2669541.8200000003</v>
      </c>
      <c r="I933" s="8">
        <v>11221.56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2680763.38</v>
      </c>
    </row>
    <row r="934" spans="1:15">
      <c r="A934" s="191">
        <v>44713</v>
      </c>
      <c r="B934" s="181" t="s">
        <v>128</v>
      </c>
      <c r="C934" s="181" t="s">
        <v>685</v>
      </c>
      <c r="D934" s="181" t="str">
        <f t="shared" si="17"/>
        <v>34410</v>
      </c>
      <c r="E934" s="181" t="s">
        <v>15</v>
      </c>
      <c r="F934" s="181" t="s">
        <v>14</v>
      </c>
      <c r="G934" s="181" t="s">
        <v>647</v>
      </c>
      <c r="H934" s="8">
        <v>7090386.6100000003</v>
      </c>
      <c r="I934" s="8">
        <v>61738.16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7152124.7699999996</v>
      </c>
    </row>
    <row r="935" spans="1:15">
      <c r="A935" s="191">
        <v>44713</v>
      </c>
      <c r="B935" s="181" t="s">
        <v>128</v>
      </c>
      <c r="C935" s="181" t="s">
        <v>686</v>
      </c>
      <c r="D935" s="181" t="str">
        <f t="shared" si="17"/>
        <v>34410</v>
      </c>
      <c r="E935" s="181" t="s">
        <v>15</v>
      </c>
      <c r="F935" s="181" t="s">
        <v>14</v>
      </c>
      <c r="G935" s="181" t="s">
        <v>647</v>
      </c>
      <c r="H935" s="8">
        <v>21853754.41</v>
      </c>
      <c r="I935" s="8">
        <v>328410.44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22182164.850000001</v>
      </c>
    </row>
    <row r="936" spans="1:15">
      <c r="A936" s="191">
        <v>44713</v>
      </c>
      <c r="B936" s="181" t="s">
        <v>128</v>
      </c>
      <c r="C936" s="181" t="s">
        <v>687</v>
      </c>
      <c r="D936" s="181" t="str">
        <f t="shared" si="17"/>
        <v>34410</v>
      </c>
      <c r="E936" s="181" t="s">
        <v>15</v>
      </c>
      <c r="F936" s="181" t="s">
        <v>14</v>
      </c>
      <c r="G936" s="181" t="s">
        <v>647</v>
      </c>
      <c r="H936" s="8">
        <v>963767.08000000007</v>
      </c>
      <c r="I936" s="8">
        <v>7809.32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971576.4</v>
      </c>
    </row>
    <row r="937" spans="1:15">
      <c r="A937" s="191">
        <v>44713</v>
      </c>
      <c r="B937" s="181" t="s">
        <v>128</v>
      </c>
      <c r="C937" s="181" t="s">
        <v>688</v>
      </c>
      <c r="D937" s="181" t="str">
        <f t="shared" si="17"/>
        <v>34410</v>
      </c>
      <c r="E937" s="181" t="s">
        <v>15</v>
      </c>
      <c r="F937" s="181" t="s">
        <v>14</v>
      </c>
      <c r="G937" s="181" t="s">
        <v>647</v>
      </c>
      <c r="H937" s="8">
        <v>23440293.350000001</v>
      </c>
      <c r="I937" s="8">
        <v>247809.05000000002</v>
      </c>
      <c r="J937" s="8">
        <v>-225899.61000000002</v>
      </c>
      <c r="K937" s="8">
        <v>0</v>
      </c>
      <c r="L937" s="8">
        <v>0</v>
      </c>
      <c r="M937" s="8">
        <v>0</v>
      </c>
      <c r="N937" s="8">
        <v>0</v>
      </c>
      <c r="O937" s="8">
        <v>23462202.789999999</v>
      </c>
    </row>
    <row r="938" spans="1:15">
      <c r="A938" s="191">
        <v>44713</v>
      </c>
      <c r="B938" s="181" t="s">
        <v>128</v>
      </c>
      <c r="C938" s="181" t="s">
        <v>689</v>
      </c>
      <c r="D938" s="181" t="str">
        <f t="shared" si="17"/>
        <v>34410</v>
      </c>
      <c r="E938" s="181" t="s">
        <v>15</v>
      </c>
      <c r="F938" s="181" t="s">
        <v>14</v>
      </c>
      <c r="G938" s="181" t="s">
        <v>647</v>
      </c>
      <c r="H938" s="8">
        <v>29099858.120000001</v>
      </c>
      <c r="I938" s="8">
        <v>241978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29341836.120000001</v>
      </c>
    </row>
    <row r="939" spans="1:15">
      <c r="A939" s="191">
        <v>44713</v>
      </c>
      <c r="B939" s="181" t="s">
        <v>128</v>
      </c>
      <c r="C939" s="181" t="s">
        <v>690</v>
      </c>
      <c r="D939" s="181" t="str">
        <f t="shared" si="17"/>
        <v>34410</v>
      </c>
      <c r="E939" s="181" t="s">
        <v>15</v>
      </c>
      <c r="F939" s="181" t="s">
        <v>14</v>
      </c>
      <c r="G939" s="181" t="s">
        <v>647</v>
      </c>
      <c r="H939" s="8">
        <v>8558467.4299999997</v>
      </c>
      <c r="I939" s="8">
        <v>129645.17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8688112.5999999996</v>
      </c>
    </row>
    <row r="940" spans="1:15">
      <c r="A940" s="191">
        <v>44713</v>
      </c>
      <c r="B940" s="181" t="s">
        <v>128</v>
      </c>
      <c r="C940" s="181" t="s">
        <v>684</v>
      </c>
      <c r="D940" s="181" t="str">
        <f t="shared" si="17"/>
        <v>34410</v>
      </c>
      <c r="E940" s="181" t="s">
        <v>15</v>
      </c>
      <c r="F940" s="181" t="s">
        <v>14</v>
      </c>
      <c r="G940" s="181" t="s">
        <v>793</v>
      </c>
      <c r="H940" s="8">
        <v>163057.63</v>
      </c>
      <c r="I940" s="8">
        <v>2111.81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165169.44</v>
      </c>
    </row>
    <row r="941" spans="1:15">
      <c r="A941" s="191">
        <v>44713</v>
      </c>
      <c r="B941" s="181" t="s">
        <v>128</v>
      </c>
      <c r="C941" s="181" t="s">
        <v>685</v>
      </c>
      <c r="D941" s="181" t="str">
        <f t="shared" si="17"/>
        <v>34410</v>
      </c>
      <c r="E941" s="181" t="s">
        <v>15</v>
      </c>
      <c r="F941" s="181" t="s">
        <v>14</v>
      </c>
      <c r="G941" s="181" t="s">
        <v>793</v>
      </c>
      <c r="H941" s="8">
        <v>-7.2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-7.2</v>
      </c>
    </row>
    <row r="942" spans="1:15">
      <c r="A942" s="191">
        <v>44713</v>
      </c>
      <c r="B942" s="181" t="s">
        <v>128</v>
      </c>
      <c r="C942" s="181" t="s">
        <v>686</v>
      </c>
      <c r="D942" s="181" t="str">
        <f t="shared" si="17"/>
        <v>34410</v>
      </c>
      <c r="E942" s="181" t="s">
        <v>15</v>
      </c>
      <c r="F942" s="181" t="s">
        <v>14</v>
      </c>
      <c r="G942" s="181" t="s">
        <v>793</v>
      </c>
      <c r="H942" s="8">
        <v>1405.64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1405.64</v>
      </c>
    </row>
    <row r="943" spans="1:15">
      <c r="A943" s="191">
        <v>44713</v>
      </c>
      <c r="B943" s="181" t="s">
        <v>128</v>
      </c>
      <c r="C943" s="181" t="s">
        <v>687</v>
      </c>
      <c r="D943" s="181" t="str">
        <f t="shared" si="17"/>
        <v>34410</v>
      </c>
      <c r="E943" s="181" t="s">
        <v>15</v>
      </c>
      <c r="F943" s="181" t="s">
        <v>14</v>
      </c>
      <c r="G943" s="181" t="s">
        <v>793</v>
      </c>
      <c r="H943" s="8">
        <v>147207.01999999999</v>
      </c>
      <c r="I943" s="8">
        <v>949.71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148156.73000000001</v>
      </c>
    </row>
    <row r="944" spans="1:15">
      <c r="A944" s="191">
        <v>44713</v>
      </c>
      <c r="B944" s="181" t="s">
        <v>128</v>
      </c>
      <c r="C944" s="181" t="s">
        <v>688</v>
      </c>
      <c r="D944" s="181" t="str">
        <f t="shared" si="17"/>
        <v>34410</v>
      </c>
      <c r="E944" s="181" t="s">
        <v>15</v>
      </c>
      <c r="F944" s="181" t="s">
        <v>14</v>
      </c>
      <c r="G944" s="181" t="s">
        <v>793</v>
      </c>
      <c r="H944" s="8">
        <v>2968243.38</v>
      </c>
      <c r="I944" s="8">
        <v>30136.78</v>
      </c>
      <c r="J944" s="8">
        <v>0</v>
      </c>
      <c r="K944" s="8">
        <v>-15011</v>
      </c>
      <c r="L944" s="8">
        <v>0</v>
      </c>
      <c r="M944" s="8">
        <v>0</v>
      </c>
      <c r="N944" s="8">
        <v>0</v>
      </c>
      <c r="O944" s="8">
        <v>2983369.16</v>
      </c>
    </row>
    <row r="945" spans="1:15">
      <c r="A945" s="191">
        <v>44713</v>
      </c>
      <c r="B945" s="181" t="s">
        <v>128</v>
      </c>
      <c r="C945" s="181" t="s">
        <v>689</v>
      </c>
      <c r="D945" s="181" t="str">
        <f t="shared" si="17"/>
        <v>34410</v>
      </c>
      <c r="E945" s="181" t="s">
        <v>15</v>
      </c>
      <c r="F945" s="181" t="s">
        <v>14</v>
      </c>
      <c r="G945" s="181" t="s">
        <v>793</v>
      </c>
      <c r="H945" s="8">
        <v>3227444.65</v>
      </c>
      <c r="I945" s="8">
        <v>29427.65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3256872.3</v>
      </c>
    </row>
    <row r="946" spans="1:15">
      <c r="A946" s="191">
        <v>44713</v>
      </c>
      <c r="B946" s="181" t="s">
        <v>128</v>
      </c>
      <c r="C946" s="181" t="s">
        <v>690</v>
      </c>
      <c r="D946" s="181" t="str">
        <f t="shared" si="17"/>
        <v>34410</v>
      </c>
      <c r="E946" s="181" t="s">
        <v>15</v>
      </c>
      <c r="F946" s="181" t="s">
        <v>14</v>
      </c>
      <c r="G946" s="181" t="s">
        <v>793</v>
      </c>
      <c r="H946" s="8">
        <v>432287.52</v>
      </c>
      <c r="I946" s="8">
        <v>6459.1900000000005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438746.71</v>
      </c>
    </row>
    <row r="947" spans="1:15">
      <c r="A947" s="191">
        <v>44743</v>
      </c>
      <c r="B947" s="181" t="s">
        <v>127</v>
      </c>
      <c r="C947" s="181" t="s">
        <v>684</v>
      </c>
      <c r="D947" s="181" t="str">
        <f t="shared" si="17"/>
        <v>34410</v>
      </c>
      <c r="E947" s="181" t="s">
        <v>15</v>
      </c>
      <c r="F947" s="181" t="s">
        <v>14</v>
      </c>
      <c r="G947" s="181" t="s">
        <v>647</v>
      </c>
      <c r="H947" s="8">
        <v>2680763.38</v>
      </c>
      <c r="I947" s="8">
        <v>11221.56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2691984.94</v>
      </c>
    </row>
    <row r="948" spans="1:15">
      <c r="A948" s="191">
        <v>44743</v>
      </c>
      <c r="B948" s="181" t="s">
        <v>127</v>
      </c>
      <c r="C948" s="181" t="s">
        <v>685</v>
      </c>
      <c r="D948" s="181" t="str">
        <f t="shared" si="17"/>
        <v>34410</v>
      </c>
      <c r="E948" s="181" t="s">
        <v>15</v>
      </c>
      <c r="F948" s="181" t="s">
        <v>14</v>
      </c>
      <c r="G948" s="181" t="s">
        <v>647</v>
      </c>
      <c r="H948" s="8">
        <v>7152124.7699999996</v>
      </c>
      <c r="I948" s="8">
        <v>61738.16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7213862.9299999997</v>
      </c>
    </row>
    <row r="949" spans="1:15">
      <c r="A949" s="191">
        <v>44743</v>
      </c>
      <c r="B949" s="181" t="s">
        <v>127</v>
      </c>
      <c r="C949" s="181" t="s">
        <v>686</v>
      </c>
      <c r="D949" s="181" t="str">
        <f t="shared" si="17"/>
        <v>34410</v>
      </c>
      <c r="E949" s="181" t="s">
        <v>15</v>
      </c>
      <c r="F949" s="181" t="s">
        <v>14</v>
      </c>
      <c r="G949" s="181" t="s">
        <v>647</v>
      </c>
      <c r="H949" s="8">
        <v>22182164.850000001</v>
      </c>
      <c r="I949" s="8">
        <v>328410.44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22510575.289999999</v>
      </c>
    </row>
    <row r="950" spans="1:15">
      <c r="A950" s="191">
        <v>44743</v>
      </c>
      <c r="B950" s="181" t="s">
        <v>127</v>
      </c>
      <c r="C950" s="181" t="s">
        <v>687</v>
      </c>
      <c r="D950" s="181" t="str">
        <f t="shared" si="17"/>
        <v>34410</v>
      </c>
      <c r="E950" s="181" t="s">
        <v>15</v>
      </c>
      <c r="F950" s="181" t="s">
        <v>14</v>
      </c>
      <c r="G950" s="181" t="s">
        <v>647</v>
      </c>
      <c r="H950" s="8">
        <v>971576.4</v>
      </c>
      <c r="I950" s="8">
        <v>8599.9500000000007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980176.35</v>
      </c>
    </row>
    <row r="951" spans="1:15">
      <c r="A951" s="191">
        <v>44743</v>
      </c>
      <c r="B951" s="181" t="s">
        <v>127</v>
      </c>
      <c r="C951" s="181" t="s">
        <v>688</v>
      </c>
      <c r="D951" s="181" t="str">
        <f t="shared" si="17"/>
        <v>34410</v>
      </c>
      <c r="E951" s="181" t="s">
        <v>15</v>
      </c>
      <c r="F951" s="181" t="s">
        <v>14</v>
      </c>
      <c r="G951" s="181" t="s">
        <v>647</v>
      </c>
      <c r="H951" s="8">
        <v>23462202.789999999</v>
      </c>
      <c r="I951" s="8">
        <v>247778.89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23709981.68</v>
      </c>
    </row>
    <row r="952" spans="1:15">
      <c r="A952" s="191">
        <v>44743</v>
      </c>
      <c r="B952" s="181" t="s">
        <v>127</v>
      </c>
      <c r="C952" s="181" t="s">
        <v>689</v>
      </c>
      <c r="D952" s="181" t="str">
        <f t="shared" si="17"/>
        <v>34410</v>
      </c>
      <c r="E952" s="181" t="s">
        <v>15</v>
      </c>
      <c r="F952" s="181" t="s">
        <v>14</v>
      </c>
      <c r="G952" s="181" t="s">
        <v>647</v>
      </c>
      <c r="H952" s="8">
        <v>29341836.120000001</v>
      </c>
      <c r="I952" s="8">
        <v>241978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29583814.120000001</v>
      </c>
    </row>
    <row r="953" spans="1:15">
      <c r="A953" s="191">
        <v>44743</v>
      </c>
      <c r="B953" s="181" t="s">
        <v>127</v>
      </c>
      <c r="C953" s="181" t="s">
        <v>690</v>
      </c>
      <c r="D953" s="181" t="str">
        <f t="shared" si="17"/>
        <v>34410</v>
      </c>
      <c r="E953" s="181" t="s">
        <v>15</v>
      </c>
      <c r="F953" s="181" t="s">
        <v>14</v>
      </c>
      <c r="G953" s="181" t="s">
        <v>647</v>
      </c>
      <c r="H953" s="8">
        <v>8688112.5999999996</v>
      </c>
      <c r="I953" s="8">
        <v>129645.17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8817757.7699999996</v>
      </c>
    </row>
    <row r="954" spans="1:15">
      <c r="A954" s="191">
        <v>44743</v>
      </c>
      <c r="B954" s="181" t="s">
        <v>127</v>
      </c>
      <c r="C954" s="181" t="s">
        <v>684</v>
      </c>
      <c r="D954" s="181" t="str">
        <f t="shared" si="17"/>
        <v>34410</v>
      </c>
      <c r="E954" s="181" t="s">
        <v>15</v>
      </c>
      <c r="F954" s="181" t="s">
        <v>14</v>
      </c>
      <c r="G954" s="181" t="s">
        <v>793</v>
      </c>
      <c r="H954" s="8">
        <v>165169.44</v>
      </c>
      <c r="I954" s="8">
        <v>2111.81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167281.25</v>
      </c>
    </row>
    <row r="955" spans="1:15">
      <c r="A955" s="191">
        <v>44743</v>
      </c>
      <c r="B955" s="181" t="s">
        <v>127</v>
      </c>
      <c r="C955" s="181" t="s">
        <v>685</v>
      </c>
      <c r="D955" s="181" t="str">
        <f t="shared" si="17"/>
        <v>34410</v>
      </c>
      <c r="E955" s="181" t="s">
        <v>15</v>
      </c>
      <c r="F955" s="181" t="s">
        <v>14</v>
      </c>
      <c r="G955" s="181" t="s">
        <v>793</v>
      </c>
      <c r="H955" s="8">
        <v>-7.2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-7.2</v>
      </c>
    </row>
    <row r="956" spans="1:15">
      <c r="A956" s="191">
        <v>44743</v>
      </c>
      <c r="B956" s="181" t="s">
        <v>127</v>
      </c>
      <c r="C956" s="181" t="s">
        <v>686</v>
      </c>
      <c r="D956" s="181" t="str">
        <f t="shared" si="17"/>
        <v>34410</v>
      </c>
      <c r="E956" s="181" t="s">
        <v>15</v>
      </c>
      <c r="F956" s="181" t="s">
        <v>14</v>
      </c>
      <c r="G956" s="181" t="s">
        <v>793</v>
      </c>
      <c r="H956" s="8">
        <v>1405.64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1405.64</v>
      </c>
    </row>
    <row r="957" spans="1:15">
      <c r="A957" s="191">
        <v>44743</v>
      </c>
      <c r="B957" s="181" t="s">
        <v>127</v>
      </c>
      <c r="C957" s="181" t="s">
        <v>687</v>
      </c>
      <c r="D957" s="181" t="str">
        <f t="shared" si="17"/>
        <v>34410</v>
      </c>
      <c r="E957" s="181" t="s">
        <v>15</v>
      </c>
      <c r="F957" s="181" t="s">
        <v>14</v>
      </c>
      <c r="G957" s="181" t="s">
        <v>793</v>
      </c>
      <c r="H957" s="8">
        <v>148156.73000000001</v>
      </c>
      <c r="I957" s="8">
        <v>1045.8700000000001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149202.6</v>
      </c>
    </row>
    <row r="958" spans="1:15">
      <c r="A958" s="191">
        <v>44743</v>
      </c>
      <c r="B958" s="181" t="s">
        <v>127</v>
      </c>
      <c r="C958" s="181" t="s">
        <v>688</v>
      </c>
      <c r="D958" s="181" t="str">
        <f t="shared" si="17"/>
        <v>34410</v>
      </c>
      <c r="E958" s="181" t="s">
        <v>15</v>
      </c>
      <c r="F958" s="181" t="s">
        <v>14</v>
      </c>
      <c r="G958" s="181" t="s">
        <v>793</v>
      </c>
      <c r="H958" s="8">
        <v>2983369.16</v>
      </c>
      <c r="I958" s="8">
        <v>30133.11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3013502.27</v>
      </c>
    </row>
    <row r="959" spans="1:15">
      <c r="A959" s="191">
        <v>44743</v>
      </c>
      <c r="B959" s="181" t="s">
        <v>127</v>
      </c>
      <c r="C959" s="181" t="s">
        <v>689</v>
      </c>
      <c r="D959" s="181" t="str">
        <f t="shared" si="17"/>
        <v>34410</v>
      </c>
      <c r="E959" s="181" t="s">
        <v>15</v>
      </c>
      <c r="F959" s="181" t="s">
        <v>14</v>
      </c>
      <c r="G959" s="181" t="s">
        <v>793</v>
      </c>
      <c r="H959" s="8">
        <v>3256872.3</v>
      </c>
      <c r="I959" s="8">
        <v>29427.65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3286299.95</v>
      </c>
    </row>
    <row r="960" spans="1:15">
      <c r="A960" s="191">
        <v>44743</v>
      </c>
      <c r="B960" s="181" t="s">
        <v>127</v>
      </c>
      <c r="C960" s="181" t="s">
        <v>690</v>
      </c>
      <c r="D960" s="181" t="str">
        <f t="shared" si="17"/>
        <v>34410</v>
      </c>
      <c r="E960" s="181" t="s">
        <v>15</v>
      </c>
      <c r="F960" s="181" t="s">
        <v>14</v>
      </c>
      <c r="G960" s="181" t="s">
        <v>793</v>
      </c>
      <c r="H960" s="8">
        <v>438746.71</v>
      </c>
      <c r="I960" s="8">
        <v>6459.1900000000005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445205.9</v>
      </c>
    </row>
    <row r="961" spans="1:15">
      <c r="A961" s="191">
        <v>44774</v>
      </c>
      <c r="B961" s="181" t="s">
        <v>126</v>
      </c>
      <c r="C961" s="181" t="s">
        <v>684</v>
      </c>
      <c r="D961" s="181" t="str">
        <f t="shared" si="17"/>
        <v>34410</v>
      </c>
      <c r="E961" s="181" t="s">
        <v>15</v>
      </c>
      <c r="F961" s="181" t="s">
        <v>14</v>
      </c>
      <c r="G961" s="181" t="s">
        <v>647</v>
      </c>
      <c r="H961" s="8">
        <v>2691984.94</v>
      </c>
      <c r="I961" s="8">
        <v>11221.56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2703206.5</v>
      </c>
    </row>
    <row r="962" spans="1:15">
      <c r="A962" s="191">
        <v>44774</v>
      </c>
      <c r="B962" s="181" t="s">
        <v>126</v>
      </c>
      <c r="C962" s="181" t="s">
        <v>685</v>
      </c>
      <c r="D962" s="181" t="str">
        <f t="shared" ref="D962:D1025" si="18">MID(C962,10,5)</f>
        <v>34410</v>
      </c>
      <c r="E962" s="181" t="s">
        <v>15</v>
      </c>
      <c r="F962" s="181" t="s">
        <v>14</v>
      </c>
      <c r="G962" s="181" t="s">
        <v>647</v>
      </c>
      <c r="H962" s="8">
        <v>7213862.9299999997</v>
      </c>
      <c r="I962" s="8">
        <v>61738.16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7275601.0899999999</v>
      </c>
    </row>
    <row r="963" spans="1:15">
      <c r="A963" s="191">
        <v>44774</v>
      </c>
      <c r="B963" s="181" t="s">
        <v>126</v>
      </c>
      <c r="C963" s="181" t="s">
        <v>686</v>
      </c>
      <c r="D963" s="181" t="str">
        <f t="shared" si="18"/>
        <v>34410</v>
      </c>
      <c r="E963" s="181" t="s">
        <v>15</v>
      </c>
      <c r="F963" s="181" t="s">
        <v>14</v>
      </c>
      <c r="G963" s="181" t="s">
        <v>647</v>
      </c>
      <c r="H963" s="8">
        <v>22510575.289999999</v>
      </c>
      <c r="I963" s="8">
        <v>328410.44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22838985.73</v>
      </c>
    </row>
    <row r="964" spans="1:15">
      <c r="A964" s="191">
        <v>44774</v>
      </c>
      <c r="B964" s="181" t="s">
        <v>126</v>
      </c>
      <c r="C964" s="181" t="s">
        <v>687</v>
      </c>
      <c r="D964" s="181" t="str">
        <f t="shared" si="18"/>
        <v>34410</v>
      </c>
      <c r="E964" s="181" t="s">
        <v>15</v>
      </c>
      <c r="F964" s="181" t="s">
        <v>14</v>
      </c>
      <c r="G964" s="181" t="s">
        <v>647</v>
      </c>
      <c r="H964" s="8">
        <v>980176.35</v>
      </c>
      <c r="I964" s="8">
        <v>8599.9500000000007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988776.3</v>
      </c>
    </row>
    <row r="965" spans="1:15">
      <c r="A965" s="191">
        <v>44774</v>
      </c>
      <c r="B965" s="181" t="s">
        <v>126</v>
      </c>
      <c r="C965" s="181" t="s">
        <v>688</v>
      </c>
      <c r="D965" s="181" t="str">
        <f t="shared" si="18"/>
        <v>34410</v>
      </c>
      <c r="E965" s="181" t="s">
        <v>15</v>
      </c>
      <c r="F965" s="181" t="s">
        <v>14</v>
      </c>
      <c r="G965" s="181" t="s">
        <v>647</v>
      </c>
      <c r="H965" s="8">
        <v>23709981.68</v>
      </c>
      <c r="I965" s="8">
        <v>247778.89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23957760.57</v>
      </c>
    </row>
    <row r="966" spans="1:15">
      <c r="A966" s="191">
        <v>44774</v>
      </c>
      <c r="B966" s="181" t="s">
        <v>126</v>
      </c>
      <c r="C966" s="181" t="s">
        <v>689</v>
      </c>
      <c r="D966" s="181" t="str">
        <f t="shared" si="18"/>
        <v>34410</v>
      </c>
      <c r="E966" s="181" t="s">
        <v>15</v>
      </c>
      <c r="F966" s="181" t="s">
        <v>14</v>
      </c>
      <c r="G966" s="181" t="s">
        <v>647</v>
      </c>
      <c r="H966" s="8">
        <v>29583814.120000001</v>
      </c>
      <c r="I966" s="8">
        <v>241978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29825792.120000001</v>
      </c>
    </row>
    <row r="967" spans="1:15">
      <c r="A967" s="191">
        <v>44774</v>
      </c>
      <c r="B967" s="181" t="s">
        <v>126</v>
      </c>
      <c r="C967" s="181" t="s">
        <v>690</v>
      </c>
      <c r="D967" s="181" t="str">
        <f t="shared" si="18"/>
        <v>34410</v>
      </c>
      <c r="E967" s="181" t="s">
        <v>15</v>
      </c>
      <c r="F967" s="181" t="s">
        <v>14</v>
      </c>
      <c r="G967" s="181" t="s">
        <v>647</v>
      </c>
      <c r="H967" s="8">
        <v>8817757.7699999996</v>
      </c>
      <c r="I967" s="8">
        <v>129645.17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8947402.9399999995</v>
      </c>
    </row>
    <row r="968" spans="1:15">
      <c r="A968" s="191">
        <v>44774</v>
      </c>
      <c r="B968" s="181" t="s">
        <v>126</v>
      </c>
      <c r="C968" s="181" t="s">
        <v>684</v>
      </c>
      <c r="D968" s="181" t="str">
        <f t="shared" si="18"/>
        <v>34410</v>
      </c>
      <c r="E968" s="181" t="s">
        <v>15</v>
      </c>
      <c r="F968" s="181" t="s">
        <v>14</v>
      </c>
      <c r="G968" s="181" t="s">
        <v>793</v>
      </c>
      <c r="H968" s="8">
        <v>167281.25</v>
      </c>
      <c r="I968" s="8">
        <v>2111.81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169393.06</v>
      </c>
    </row>
    <row r="969" spans="1:15">
      <c r="A969" s="191">
        <v>44774</v>
      </c>
      <c r="B969" s="181" t="s">
        <v>126</v>
      </c>
      <c r="C969" s="181" t="s">
        <v>685</v>
      </c>
      <c r="D969" s="181" t="str">
        <f t="shared" si="18"/>
        <v>34410</v>
      </c>
      <c r="E969" s="181" t="s">
        <v>15</v>
      </c>
      <c r="F969" s="181" t="s">
        <v>14</v>
      </c>
      <c r="G969" s="181" t="s">
        <v>793</v>
      </c>
      <c r="H969" s="8">
        <v>-7.2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-7.2</v>
      </c>
    </row>
    <row r="970" spans="1:15">
      <c r="A970" s="191">
        <v>44774</v>
      </c>
      <c r="B970" s="181" t="s">
        <v>126</v>
      </c>
      <c r="C970" s="181" t="s">
        <v>686</v>
      </c>
      <c r="D970" s="181" t="str">
        <f t="shared" si="18"/>
        <v>34410</v>
      </c>
      <c r="E970" s="181" t="s">
        <v>15</v>
      </c>
      <c r="F970" s="181" t="s">
        <v>14</v>
      </c>
      <c r="G970" s="181" t="s">
        <v>793</v>
      </c>
      <c r="H970" s="8">
        <v>1405.64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1405.64</v>
      </c>
    </row>
    <row r="971" spans="1:15">
      <c r="A971" s="191">
        <v>44774</v>
      </c>
      <c r="B971" s="181" t="s">
        <v>126</v>
      </c>
      <c r="C971" s="181" t="s">
        <v>687</v>
      </c>
      <c r="D971" s="181" t="str">
        <f t="shared" si="18"/>
        <v>34410</v>
      </c>
      <c r="E971" s="181" t="s">
        <v>15</v>
      </c>
      <c r="F971" s="181" t="s">
        <v>14</v>
      </c>
      <c r="G971" s="181" t="s">
        <v>793</v>
      </c>
      <c r="H971" s="8">
        <v>149202.6</v>
      </c>
      <c r="I971" s="8">
        <v>1045.8700000000001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150248.47</v>
      </c>
    </row>
    <row r="972" spans="1:15">
      <c r="A972" s="191">
        <v>44774</v>
      </c>
      <c r="B972" s="181" t="s">
        <v>126</v>
      </c>
      <c r="C972" s="181" t="s">
        <v>688</v>
      </c>
      <c r="D972" s="181" t="str">
        <f t="shared" si="18"/>
        <v>34410</v>
      </c>
      <c r="E972" s="181" t="s">
        <v>15</v>
      </c>
      <c r="F972" s="181" t="s">
        <v>14</v>
      </c>
      <c r="G972" s="181" t="s">
        <v>793</v>
      </c>
      <c r="H972" s="8">
        <v>3013502.27</v>
      </c>
      <c r="I972" s="8">
        <v>30133.11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3043635.38</v>
      </c>
    </row>
    <row r="973" spans="1:15">
      <c r="A973" s="191">
        <v>44774</v>
      </c>
      <c r="B973" s="181" t="s">
        <v>126</v>
      </c>
      <c r="C973" s="181" t="s">
        <v>689</v>
      </c>
      <c r="D973" s="181" t="str">
        <f t="shared" si="18"/>
        <v>34410</v>
      </c>
      <c r="E973" s="181" t="s">
        <v>15</v>
      </c>
      <c r="F973" s="181" t="s">
        <v>14</v>
      </c>
      <c r="G973" s="181" t="s">
        <v>793</v>
      </c>
      <c r="H973" s="8">
        <v>3286299.95</v>
      </c>
      <c r="I973" s="8">
        <v>29427.65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3315727.6</v>
      </c>
    </row>
    <row r="974" spans="1:15">
      <c r="A974" s="191">
        <v>44774</v>
      </c>
      <c r="B974" s="181" t="s">
        <v>126</v>
      </c>
      <c r="C974" s="181" t="s">
        <v>690</v>
      </c>
      <c r="D974" s="181" t="str">
        <f t="shared" si="18"/>
        <v>34410</v>
      </c>
      <c r="E974" s="181" t="s">
        <v>15</v>
      </c>
      <c r="F974" s="181" t="s">
        <v>14</v>
      </c>
      <c r="G974" s="181" t="s">
        <v>793</v>
      </c>
      <c r="H974" s="8">
        <v>445205.9</v>
      </c>
      <c r="I974" s="8">
        <v>6459.1900000000005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451665.09</v>
      </c>
    </row>
    <row r="975" spans="1:15">
      <c r="A975" s="191">
        <v>44805</v>
      </c>
      <c r="B975" s="181" t="s">
        <v>125</v>
      </c>
      <c r="C975" s="181" t="s">
        <v>684</v>
      </c>
      <c r="D975" s="181" t="str">
        <f t="shared" si="18"/>
        <v>34410</v>
      </c>
      <c r="E975" s="181" t="s">
        <v>15</v>
      </c>
      <c r="F975" s="181" t="s">
        <v>14</v>
      </c>
      <c r="G975" s="181" t="s">
        <v>647</v>
      </c>
      <c r="H975" s="8">
        <v>2703206.5</v>
      </c>
      <c r="I975" s="8">
        <v>11221.56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2714428.06</v>
      </c>
    </row>
    <row r="976" spans="1:15">
      <c r="A976" s="191">
        <v>44805</v>
      </c>
      <c r="B976" s="181" t="s">
        <v>125</v>
      </c>
      <c r="C976" s="181" t="s">
        <v>685</v>
      </c>
      <c r="D976" s="181" t="str">
        <f t="shared" si="18"/>
        <v>34410</v>
      </c>
      <c r="E976" s="181" t="s">
        <v>15</v>
      </c>
      <c r="F976" s="181" t="s">
        <v>14</v>
      </c>
      <c r="G976" s="181" t="s">
        <v>647</v>
      </c>
      <c r="H976" s="8">
        <v>7275601.0899999999</v>
      </c>
      <c r="I976" s="8">
        <v>61738.16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7337339.25</v>
      </c>
    </row>
    <row r="977" spans="1:15">
      <c r="A977" s="191">
        <v>44805</v>
      </c>
      <c r="B977" s="181" t="s">
        <v>125</v>
      </c>
      <c r="C977" s="181" t="s">
        <v>686</v>
      </c>
      <c r="D977" s="181" t="str">
        <f t="shared" si="18"/>
        <v>34410</v>
      </c>
      <c r="E977" s="181" t="s">
        <v>15</v>
      </c>
      <c r="F977" s="181" t="s">
        <v>14</v>
      </c>
      <c r="G977" s="181" t="s">
        <v>647</v>
      </c>
      <c r="H977" s="8">
        <v>22838985.73</v>
      </c>
      <c r="I977" s="8">
        <v>328410.44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23167396.170000002</v>
      </c>
    </row>
    <row r="978" spans="1:15">
      <c r="A978" s="191">
        <v>44805</v>
      </c>
      <c r="B978" s="181" t="s">
        <v>125</v>
      </c>
      <c r="C978" s="181" t="s">
        <v>687</v>
      </c>
      <c r="D978" s="181" t="str">
        <f t="shared" si="18"/>
        <v>34410</v>
      </c>
      <c r="E978" s="181" t="s">
        <v>15</v>
      </c>
      <c r="F978" s="181" t="s">
        <v>14</v>
      </c>
      <c r="G978" s="181" t="s">
        <v>647</v>
      </c>
      <c r="H978" s="8">
        <v>988776.3</v>
      </c>
      <c r="I978" s="8">
        <v>7908.34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996684.64</v>
      </c>
    </row>
    <row r="979" spans="1:15">
      <c r="A979" s="191">
        <v>44805</v>
      </c>
      <c r="B979" s="181" t="s">
        <v>125</v>
      </c>
      <c r="C979" s="181" t="s">
        <v>688</v>
      </c>
      <c r="D979" s="181" t="str">
        <f t="shared" si="18"/>
        <v>34410</v>
      </c>
      <c r="E979" s="181" t="s">
        <v>15</v>
      </c>
      <c r="F979" s="181" t="s">
        <v>14</v>
      </c>
      <c r="G979" s="181" t="s">
        <v>647</v>
      </c>
      <c r="H979" s="8">
        <v>23957760.57</v>
      </c>
      <c r="I979" s="8">
        <v>247778.89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24205539.460000001</v>
      </c>
    </row>
    <row r="980" spans="1:15">
      <c r="A980" s="191">
        <v>44805</v>
      </c>
      <c r="B980" s="181" t="s">
        <v>125</v>
      </c>
      <c r="C980" s="181" t="s">
        <v>689</v>
      </c>
      <c r="D980" s="181" t="str">
        <f t="shared" si="18"/>
        <v>34410</v>
      </c>
      <c r="E980" s="181" t="s">
        <v>15</v>
      </c>
      <c r="F980" s="181" t="s">
        <v>14</v>
      </c>
      <c r="G980" s="181" t="s">
        <v>647</v>
      </c>
      <c r="H980" s="8">
        <v>29825792.120000001</v>
      </c>
      <c r="I980" s="8">
        <v>242656.7</v>
      </c>
      <c r="J980" s="8">
        <v>-10000</v>
      </c>
      <c r="K980" s="8">
        <v>0</v>
      </c>
      <c r="L980" s="8">
        <v>0</v>
      </c>
      <c r="M980" s="8">
        <v>0</v>
      </c>
      <c r="N980" s="8">
        <v>0</v>
      </c>
      <c r="O980" s="8">
        <v>30058448.82</v>
      </c>
    </row>
    <row r="981" spans="1:15">
      <c r="A981" s="191">
        <v>44805</v>
      </c>
      <c r="B981" s="181" t="s">
        <v>125</v>
      </c>
      <c r="C981" s="181" t="s">
        <v>690</v>
      </c>
      <c r="D981" s="181" t="str">
        <f t="shared" si="18"/>
        <v>34410</v>
      </c>
      <c r="E981" s="181" t="s">
        <v>15</v>
      </c>
      <c r="F981" s="181" t="s">
        <v>14</v>
      </c>
      <c r="G981" s="181" t="s">
        <v>647</v>
      </c>
      <c r="H981" s="8">
        <v>8947402.9399999995</v>
      </c>
      <c r="I981" s="8">
        <v>129645.17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9077048.1099999994</v>
      </c>
    </row>
    <row r="982" spans="1:15">
      <c r="A982" s="191">
        <v>44805</v>
      </c>
      <c r="B982" s="181" t="s">
        <v>125</v>
      </c>
      <c r="C982" s="181" t="s">
        <v>684</v>
      </c>
      <c r="D982" s="181" t="str">
        <f t="shared" si="18"/>
        <v>34410</v>
      </c>
      <c r="E982" s="181" t="s">
        <v>15</v>
      </c>
      <c r="F982" s="181" t="s">
        <v>14</v>
      </c>
      <c r="G982" s="181" t="s">
        <v>793</v>
      </c>
      <c r="H982" s="8">
        <v>169393.06</v>
      </c>
      <c r="I982" s="8">
        <v>2111.81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171504.87</v>
      </c>
    </row>
    <row r="983" spans="1:15">
      <c r="A983" s="191">
        <v>44805</v>
      </c>
      <c r="B983" s="181" t="s">
        <v>125</v>
      </c>
      <c r="C983" s="181" t="s">
        <v>685</v>
      </c>
      <c r="D983" s="181" t="str">
        <f t="shared" si="18"/>
        <v>34410</v>
      </c>
      <c r="E983" s="181" t="s">
        <v>15</v>
      </c>
      <c r="F983" s="181" t="s">
        <v>14</v>
      </c>
      <c r="G983" s="181" t="s">
        <v>793</v>
      </c>
      <c r="H983" s="8">
        <v>-7.2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-7.2</v>
      </c>
    </row>
    <row r="984" spans="1:15">
      <c r="A984" s="191">
        <v>44805</v>
      </c>
      <c r="B984" s="181" t="s">
        <v>125</v>
      </c>
      <c r="C984" s="181" t="s">
        <v>686</v>
      </c>
      <c r="D984" s="181" t="str">
        <f t="shared" si="18"/>
        <v>34410</v>
      </c>
      <c r="E984" s="181" t="s">
        <v>15</v>
      </c>
      <c r="F984" s="181" t="s">
        <v>14</v>
      </c>
      <c r="G984" s="181" t="s">
        <v>793</v>
      </c>
      <c r="H984" s="8">
        <v>1405.64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1405.64</v>
      </c>
    </row>
    <row r="985" spans="1:15">
      <c r="A985" s="191">
        <v>44805</v>
      </c>
      <c r="B985" s="181" t="s">
        <v>125</v>
      </c>
      <c r="C985" s="181" t="s">
        <v>687</v>
      </c>
      <c r="D985" s="181" t="str">
        <f t="shared" si="18"/>
        <v>34410</v>
      </c>
      <c r="E985" s="181" t="s">
        <v>15</v>
      </c>
      <c r="F985" s="181" t="s">
        <v>14</v>
      </c>
      <c r="G985" s="181" t="s">
        <v>793</v>
      </c>
      <c r="H985" s="8">
        <v>150248.47</v>
      </c>
      <c r="I985" s="8">
        <v>961.76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151210.23000000001</v>
      </c>
    </row>
    <row r="986" spans="1:15">
      <c r="A986" s="191">
        <v>44805</v>
      </c>
      <c r="B986" s="181" t="s">
        <v>125</v>
      </c>
      <c r="C986" s="181" t="s">
        <v>688</v>
      </c>
      <c r="D986" s="181" t="str">
        <f t="shared" si="18"/>
        <v>34410</v>
      </c>
      <c r="E986" s="181" t="s">
        <v>15</v>
      </c>
      <c r="F986" s="181" t="s">
        <v>14</v>
      </c>
      <c r="G986" s="181" t="s">
        <v>793</v>
      </c>
      <c r="H986" s="8">
        <v>3043635.38</v>
      </c>
      <c r="I986" s="8">
        <v>30133.11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3073768.49</v>
      </c>
    </row>
    <row r="987" spans="1:15">
      <c r="A987" s="191">
        <v>44805</v>
      </c>
      <c r="B987" s="181" t="s">
        <v>125</v>
      </c>
      <c r="C987" s="181" t="s">
        <v>689</v>
      </c>
      <c r="D987" s="181" t="str">
        <f t="shared" si="18"/>
        <v>34410</v>
      </c>
      <c r="E987" s="181" t="s">
        <v>15</v>
      </c>
      <c r="F987" s="181" t="s">
        <v>14</v>
      </c>
      <c r="G987" s="181" t="s">
        <v>793</v>
      </c>
      <c r="H987" s="8">
        <v>3315727.6</v>
      </c>
      <c r="I987" s="8">
        <v>29510.190000000002</v>
      </c>
      <c r="J987" s="8">
        <v>0</v>
      </c>
      <c r="K987" s="8">
        <v>-21800</v>
      </c>
      <c r="L987" s="8">
        <v>0</v>
      </c>
      <c r="M987" s="8">
        <v>0</v>
      </c>
      <c r="N987" s="8">
        <v>0</v>
      </c>
      <c r="O987" s="8">
        <v>3323437.79</v>
      </c>
    </row>
    <row r="988" spans="1:15">
      <c r="A988" s="191">
        <v>44805</v>
      </c>
      <c r="B988" s="181" t="s">
        <v>125</v>
      </c>
      <c r="C988" s="181" t="s">
        <v>690</v>
      </c>
      <c r="D988" s="181" t="str">
        <f t="shared" si="18"/>
        <v>34410</v>
      </c>
      <c r="E988" s="181" t="s">
        <v>15</v>
      </c>
      <c r="F988" s="181" t="s">
        <v>14</v>
      </c>
      <c r="G988" s="181" t="s">
        <v>793</v>
      </c>
      <c r="H988" s="8">
        <v>451665.09</v>
      </c>
      <c r="I988" s="8">
        <v>6459.1900000000005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458124.28</v>
      </c>
    </row>
    <row r="989" spans="1:15">
      <c r="A989" s="191">
        <v>44835</v>
      </c>
      <c r="B989" s="181" t="s">
        <v>124</v>
      </c>
      <c r="C989" s="181" t="s">
        <v>684</v>
      </c>
      <c r="D989" s="181" t="str">
        <f t="shared" si="18"/>
        <v>34410</v>
      </c>
      <c r="E989" s="181" t="s">
        <v>15</v>
      </c>
      <c r="F989" s="181" t="s">
        <v>14</v>
      </c>
      <c r="G989" s="181" t="s">
        <v>647</v>
      </c>
      <c r="H989" s="8">
        <v>2714428.06</v>
      </c>
      <c r="I989" s="8">
        <v>11221.56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2725649.62</v>
      </c>
    </row>
    <row r="990" spans="1:15">
      <c r="A990" s="191">
        <v>44835</v>
      </c>
      <c r="B990" s="181" t="s">
        <v>124</v>
      </c>
      <c r="C990" s="181" t="s">
        <v>685</v>
      </c>
      <c r="D990" s="181" t="str">
        <f t="shared" si="18"/>
        <v>34410</v>
      </c>
      <c r="E990" s="181" t="s">
        <v>15</v>
      </c>
      <c r="F990" s="181" t="s">
        <v>14</v>
      </c>
      <c r="G990" s="181" t="s">
        <v>647</v>
      </c>
      <c r="H990" s="8">
        <v>7337339.25</v>
      </c>
      <c r="I990" s="8">
        <v>61738.16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7399077.4100000001</v>
      </c>
    </row>
    <row r="991" spans="1:15">
      <c r="A991" s="191">
        <v>44835</v>
      </c>
      <c r="B991" s="181" t="s">
        <v>124</v>
      </c>
      <c r="C991" s="181" t="s">
        <v>686</v>
      </c>
      <c r="D991" s="181" t="str">
        <f t="shared" si="18"/>
        <v>34410</v>
      </c>
      <c r="E991" s="181" t="s">
        <v>15</v>
      </c>
      <c r="F991" s="181" t="s">
        <v>14</v>
      </c>
      <c r="G991" s="181" t="s">
        <v>647</v>
      </c>
      <c r="H991" s="8">
        <v>23167396.170000002</v>
      </c>
      <c r="I991" s="8">
        <v>328410.44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23495806.609999999</v>
      </c>
    </row>
    <row r="992" spans="1:15">
      <c r="A992" s="191">
        <v>44835</v>
      </c>
      <c r="B992" s="181" t="s">
        <v>124</v>
      </c>
      <c r="C992" s="181" t="s">
        <v>687</v>
      </c>
      <c r="D992" s="181" t="str">
        <f t="shared" si="18"/>
        <v>34410</v>
      </c>
      <c r="E992" s="181" t="s">
        <v>15</v>
      </c>
      <c r="F992" s="181" t="s">
        <v>14</v>
      </c>
      <c r="G992" s="181" t="s">
        <v>647</v>
      </c>
      <c r="H992" s="8">
        <v>996684.64</v>
      </c>
      <c r="I992" s="8">
        <v>7216.7300000000005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1003901.37</v>
      </c>
    </row>
    <row r="993" spans="1:15">
      <c r="A993" s="191">
        <v>44835</v>
      </c>
      <c r="B993" s="181" t="s">
        <v>124</v>
      </c>
      <c r="C993" s="181" t="s">
        <v>688</v>
      </c>
      <c r="D993" s="181" t="str">
        <f t="shared" si="18"/>
        <v>34410</v>
      </c>
      <c r="E993" s="181" t="s">
        <v>15</v>
      </c>
      <c r="F993" s="181" t="s">
        <v>14</v>
      </c>
      <c r="G993" s="181" t="s">
        <v>647</v>
      </c>
      <c r="H993" s="8">
        <v>24205539.460000001</v>
      </c>
      <c r="I993" s="8">
        <v>247772.44</v>
      </c>
      <c r="J993" s="8">
        <v>-5000</v>
      </c>
      <c r="K993" s="8">
        <v>0</v>
      </c>
      <c r="L993" s="8">
        <v>0</v>
      </c>
      <c r="M993" s="8">
        <v>0</v>
      </c>
      <c r="N993" s="8">
        <v>0</v>
      </c>
      <c r="O993" s="8">
        <v>24448311.899999999</v>
      </c>
    </row>
    <row r="994" spans="1:15">
      <c r="A994" s="191">
        <v>44835</v>
      </c>
      <c r="B994" s="181" t="s">
        <v>124</v>
      </c>
      <c r="C994" s="181" t="s">
        <v>689</v>
      </c>
      <c r="D994" s="181" t="str">
        <f t="shared" si="18"/>
        <v>34410</v>
      </c>
      <c r="E994" s="181" t="s">
        <v>15</v>
      </c>
      <c r="F994" s="181" t="s">
        <v>14</v>
      </c>
      <c r="G994" s="181" t="s">
        <v>647</v>
      </c>
      <c r="H994" s="8">
        <v>30058448.82</v>
      </c>
      <c r="I994" s="8">
        <v>243328.94</v>
      </c>
      <c r="J994" s="8">
        <v>-5000</v>
      </c>
      <c r="K994" s="8">
        <v>0</v>
      </c>
      <c r="L994" s="8">
        <v>0</v>
      </c>
      <c r="M994" s="8">
        <v>0</v>
      </c>
      <c r="N994" s="8">
        <v>0</v>
      </c>
      <c r="O994" s="8">
        <v>30296777.760000002</v>
      </c>
    </row>
    <row r="995" spans="1:15">
      <c r="A995" s="191">
        <v>44835</v>
      </c>
      <c r="B995" s="181" t="s">
        <v>124</v>
      </c>
      <c r="C995" s="181" t="s">
        <v>690</v>
      </c>
      <c r="D995" s="181" t="str">
        <f t="shared" si="18"/>
        <v>34410</v>
      </c>
      <c r="E995" s="181" t="s">
        <v>15</v>
      </c>
      <c r="F995" s="181" t="s">
        <v>14</v>
      </c>
      <c r="G995" s="181" t="s">
        <v>647</v>
      </c>
      <c r="H995" s="8">
        <v>9077048.1099999994</v>
      </c>
      <c r="I995" s="8">
        <v>129645.17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9206693.2799999993</v>
      </c>
    </row>
    <row r="996" spans="1:15">
      <c r="A996" s="191">
        <v>44835</v>
      </c>
      <c r="B996" s="181" t="s">
        <v>124</v>
      </c>
      <c r="C996" s="181" t="s">
        <v>684</v>
      </c>
      <c r="D996" s="181" t="str">
        <f t="shared" si="18"/>
        <v>34410</v>
      </c>
      <c r="E996" s="181" t="s">
        <v>15</v>
      </c>
      <c r="F996" s="181" t="s">
        <v>14</v>
      </c>
      <c r="G996" s="181" t="s">
        <v>793</v>
      </c>
      <c r="H996" s="8">
        <v>171504.87</v>
      </c>
      <c r="I996" s="8">
        <v>2111.81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173616.68</v>
      </c>
    </row>
    <row r="997" spans="1:15">
      <c r="A997" s="191">
        <v>44835</v>
      </c>
      <c r="B997" s="181" t="s">
        <v>124</v>
      </c>
      <c r="C997" s="181" t="s">
        <v>685</v>
      </c>
      <c r="D997" s="181" t="str">
        <f t="shared" si="18"/>
        <v>34410</v>
      </c>
      <c r="E997" s="181" t="s">
        <v>15</v>
      </c>
      <c r="F997" s="181" t="s">
        <v>14</v>
      </c>
      <c r="G997" s="181" t="s">
        <v>793</v>
      </c>
      <c r="H997" s="8">
        <v>-7.2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-7.2</v>
      </c>
    </row>
    <row r="998" spans="1:15">
      <c r="A998" s="191">
        <v>44835</v>
      </c>
      <c r="B998" s="181" t="s">
        <v>124</v>
      </c>
      <c r="C998" s="181" t="s">
        <v>686</v>
      </c>
      <c r="D998" s="181" t="str">
        <f t="shared" si="18"/>
        <v>34410</v>
      </c>
      <c r="E998" s="181" t="s">
        <v>15</v>
      </c>
      <c r="F998" s="181" t="s">
        <v>14</v>
      </c>
      <c r="G998" s="181" t="s">
        <v>793</v>
      </c>
      <c r="H998" s="8">
        <v>1405.64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1405.64</v>
      </c>
    </row>
    <row r="999" spans="1:15">
      <c r="A999" s="191">
        <v>44835</v>
      </c>
      <c r="B999" s="181" t="s">
        <v>124</v>
      </c>
      <c r="C999" s="181" t="s">
        <v>687</v>
      </c>
      <c r="D999" s="181" t="str">
        <f t="shared" si="18"/>
        <v>34410</v>
      </c>
      <c r="E999" s="181" t="s">
        <v>15</v>
      </c>
      <c r="F999" s="181" t="s">
        <v>14</v>
      </c>
      <c r="G999" s="181" t="s">
        <v>793</v>
      </c>
      <c r="H999" s="8">
        <v>151210.23000000001</v>
      </c>
      <c r="I999" s="8">
        <v>877.65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152087.88</v>
      </c>
    </row>
    <row r="1000" spans="1:15">
      <c r="A1000" s="191">
        <v>44835</v>
      </c>
      <c r="B1000" s="181" t="s">
        <v>124</v>
      </c>
      <c r="C1000" s="181" t="s">
        <v>688</v>
      </c>
      <c r="D1000" s="181" t="str">
        <f t="shared" si="18"/>
        <v>34410</v>
      </c>
      <c r="E1000" s="181" t="s">
        <v>15</v>
      </c>
      <c r="F1000" s="181" t="s">
        <v>14</v>
      </c>
      <c r="G1000" s="181" t="s">
        <v>793</v>
      </c>
      <c r="H1000" s="8">
        <v>3073768.49</v>
      </c>
      <c r="I1000" s="8">
        <v>30132.33</v>
      </c>
      <c r="J1000" s="8">
        <v>0</v>
      </c>
      <c r="K1000" s="8">
        <v>-4087.5</v>
      </c>
      <c r="L1000" s="8">
        <v>0</v>
      </c>
      <c r="M1000" s="8">
        <v>0</v>
      </c>
      <c r="N1000" s="8">
        <v>0</v>
      </c>
      <c r="O1000" s="8">
        <v>3099813.32</v>
      </c>
    </row>
    <row r="1001" spans="1:15">
      <c r="A1001" s="191">
        <v>44835</v>
      </c>
      <c r="B1001" s="181" t="s">
        <v>124</v>
      </c>
      <c r="C1001" s="181" t="s">
        <v>689</v>
      </c>
      <c r="D1001" s="181" t="str">
        <f t="shared" si="18"/>
        <v>34410</v>
      </c>
      <c r="E1001" s="181" t="s">
        <v>15</v>
      </c>
      <c r="F1001" s="181" t="s">
        <v>14</v>
      </c>
      <c r="G1001" s="181" t="s">
        <v>793</v>
      </c>
      <c r="H1001" s="8">
        <v>3323437.79</v>
      </c>
      <c r="I1001" s="8">
        <v>29591.940000000002</v>
      </c>
      <c r="J1001" s="8">
        <v>0</v>
      </c>
      <c r="K1001" s="8">
        <v>-4087.5</v>
      </c>
      <c r="L1001" s="8">
        <v>0</v>
      </c>
      <c r="M1001" s="8">
        <v>0</v>
      </c>
      <c r="N1001" s="8">
        <v>0</v>
      </c>
      <c r="O1001" s="8">
        <v>3348942.23</v>
      </c>
    </row>
    <row r="1002" spans="1:15">
      <c r="A1002" s="191">
        <v>44835</v>
      </c>
      <c r="B1002" s="181" t="s">
        <v>124</v>
      </c>
      <c r="C1002" s="181" t="s">
        <v>690</v>
      </c>
      <c r="D1002" s="181" t="str">
        <f t="shared" si="18"/>
        <v>34410</v>
      </c>
      <c r="E1002" s="181" t="s">
        <v>15</v>
      </c>
      <c r="F1002" s="181" t="s">
        <v>14</v>
      </c>
      <c r="G1002" s="181" t="s">
        <v>793</v>
      </c>
      <c r="H1002" s="8">
        <v>458124.28</v>
      </c>
      <c r="I1002" s="8">
        <v>6459.1900000000005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464583.47000000003</v>
      </c>
    </row>
    <row r="1003" spans="1:15">
      <c r="A1003" s="191">
        <v>44866</v>
      </c>
      <c r="B1003" s="181" t="s">
        <v>123</v>
      </c>
      <c r="C1003" s="181" t="s">
        <v>684</v>
      </c>
      <c r="D1003" s="181" t="str">
        <f t="shared" si="18"/>
        <v>34410</v>
      </c>
      <c r="E1003" s="181" t="s">
        <v>15</v>
      </c>
      <c r="F1003" s="181" t="s">
        <v>14</v>
      </c>
      <c r="G1003" s="181" t="s">
        <v>647</v>
      </c>
      <c r="H1003" s="8">
        <v>2725649.62</v>
      </c>
      <c r="I1003" s="8">
        <v>11221.56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2736871.18</v>
      </c>
    </row>
    <row r="1004" spans="1:15">
      <c r="A1004" s="191">
        <v>44866</v>
      </c>
      <c r="B1004" s="181" t="s">
        <v>123</v>
      </c>
      <c r="C1004" s="181" t="s">
        <v>685</v>
      </c>
      <c r="D1004" s="181" t="str">
        <f t="shared" si="18"/>
        <v>34410</v>
      </c>
      <c r="E1004" s="181" t="s">
        <v>15</v>
      </c>
      <c r="F1004" s="181" t="s">
        <v>14</v>
      </c>
      <c r="G1004" s="181" t="s">
        <v>647</v>
      </c>
      <c r="H1004" s="8">
        <v>7399077.4100000001</v>
      </c>
      <c r="I1004" s="8">
        <v>61738.16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7460815.5700000003</v>
      </c>
    </row>
    <row r="1005" spans="1:15">
      <c r="A1005" s="191">
        <v>44866</v>
      </c>
      <c r="B1005" s="181" t="s">
        <v>123</v>
      </c>
      <c r="C1005" s="181" t="s">
        <v>686</v>
      </c>
      <c r="D1005" s="181" t="str">
        <f t="shared" si="18"/>
        <v>34410</v>
      </c>
      <c r="E1005" s="181" t="s">
        <v>15</v>
      </c>
      <c r="F1005" s="181" t="s">
        <v>14</v>
      </c>
      <c r="G1005" s="181" t="s">
        <v>647</v>
      </c>
      <c r="H1005" s="8">
        <v>23495806.609999999</v>
      </c>
      <c r="I1005" s="8">
        <v>328410.44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23824217.050000001</v>
      </c>
    </row>
    <row r="1006" spans="1:15">
      <c r="A1006" s="191">
        <v>44866</v>
      </c>
      <c r="B1006" s="181" t="s">
        <v>123</v>
      </c>
      <c r="C1006" s="181" t="s">
        <v>687</v>
      </c>
      <c r="D1006" s="181" t="str">
        <f t="shared" si="18"/>
        <v>34410</v>
      </c>
      <c r="E1006" s="181" t="s">
        <v>15</v>
      </c>
      <c r="F1006" s="181" t="s">
        <v>14</v>
      </c>
      <c r="G1006" s="181" t="s">
        <v>647</v>
      </c>
      <c r="H1006" s="8">
        <v>1003901.37</v>
      </c>
      <c r="I1006" s="8">
        <v>7216.7300000000005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1011118.1</v>
      </c>
    </row>
    <row r="1007" spans="1:15">
      <c r="A1007" s="191">
        <v>44866</v>
      </c>
      <c r="B1007" s="181" t="s">
        <v>123</v>
      </c>
      <c r="C1007" s="181" t="s">
        <v>688</v>
      </c>
      <c r="D1007" s="181" t="str">
        <f t="shared" si="18"/>
        <v>34410</v>
      </c>
      <c r="E1007" s="181" t="s">
        <v>15</v>
      </c>
      <c r="F1007" s="181" t="s">
        <v>14</v>
      </c>
      <c r="G1007" s="181" t="s">
        <v>647</v>
      </c>
      <c r="H1007" s="8">
        <v>24448311.899999999</v>
      </c>
      <c r="I1007" s="8">
        <v>247765.98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24696077.879999999</v>
      </c>
    </row>
    <row r="1008" spans="1:15">
      <c r="A1008" s="191">
        <v>44866</v>
      </c>
      <c r="B1008" s="181" t="s">
        <v>123</v>
      </c>
      <c r="C1008" s="181" t="s">
        <v>689</v>
      </c>
      <c r="D1008" s="181" t="str">
        <f t="shared" si="18"/>
        <v>34410</v>
      </c>
      <c r="E1008" s="181" t="s">
        <v>15</v>
      </c>
      <c r="F1008" s="181" t="s">
        <v>14</v>
      </c>
      <c r="G1008" s="181" t="s">
        <v>647</v>
      </c>
      <c r="H1008" s="8">
        <v>30296777.760000002</v>
      </c>
      <c r="I1008" s="8">
        <v>243322.48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30540100.239999998</v>
      </c>
    </row>
    <row r="1009" spans="1:15">
      <c r="A1009" s="191">
        <v>44866</v>
      </c>
      <c r="B1009" s="181" t="s">
        <v>123</v>
      </c>
      <c r="C1009" s="181" t="s">
        <v>690</v>
      </c>
      <c r="D1009" s="181" t="str">
        <f t="shared" si="18"/>
        <v>34410</v>
      </c>
      <c r="E1009" s="181" t="s">
        <v>15</v>
      </c>
      <c r="F1009" s="181" t="s">
        <v>14</v>
      </c>
      <c r="G1009" s="181" t="s">
        <v>647</v>
      </c>
      <c r="H1009" s="8">
        <v>9206693.2799999993</v>
      </c>
      <c r="I1009" s="8">
        <v>129645.17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9336338.4499999993</v>
      </c>
    </row>
    <row r="1010" spans="1:15">
      <c r="A1010" s="191">
        <v>44866</v>
      </c>
      <c r="B1010" s="181" t="s">
        <v>123</v>
      </c>
      <c r="C1010" s="181" t="s">
        <v>684</v>
      </c>
      <c r="D1010" s="181" t="str">
        <f t="shared" si="18"/>
        <v>34410</v>
      </c>
      <c r="E1010" s="181" t="s">
        <v>15</v>
      </c>
      <c r="F1010" s="181" t="s">
        <v>14</v>
      </c>
      <c r="G1010" s="181" t="s">
        <v>793</v>
      </c>
      <c r="H1010" s="8">
        <v>173616.68</v>
      </c>
      <c r="I1010" s="8">
        <v>2111.81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175728.49</v>
      </c>
    </row>
    <row r="1011" spans="1:15">
      <c r="A1011" s="191">
        <v>44866</v>
      </c>
      <c r="B1011" s="181" t="s">
        <v>123</v>
      </c>
      <c r="C1011" s="181" t="s">
        <v>685</v>
      </c>
      <c r="D1011" s="181" t="str">
        <f t="shared" si="18"/>
        <v>34410</v>
      </c>
      <c r="E1011" s="181" t="s">
        <v>15</v>
      </c>
      <c r="F1011" s="181" t="s">
        <v>14</v>
      </c>
      <c r="G1011" s="181" t="s">
        <v>793</v>
      </c>
      <c r="H1011" s="8">
        <v>-7.2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-7.2</v>
      </c>
    </row>
    <row r="1012" spans="1:15">
      <c r="A1012" s="191">
        <v>44866</v>
      </c>
      <c r="B1012" s="181" t="s">
        <v>123</v>
      </c>
      <c r="C1012" s="181" t="s">
        <v>686</v>
      </c>
      <c r="D1012" s="181" t="str">
        <f t="shared" si="18"/>
        <v>34410</v>
      </c>
      <c r="E1012" s="181" t="s">
        <v>15</v>
      </c>
      <c r="F1012" s="181" t="s">
        <v>14</v>
      </c>
      <c r="G1012" s="181" t="s">
        <v>793</v>
      </c>
      <c r="H1012" s="8">
        <v>1405.64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1405.64</v>
      </c>
    </row>
    <row r="1013" spans="1:15">
      <c r="A1013" s="191">
        <v>44866</v>
      </c>
      <c r="B1013" s="181" t="s">
        <v>123</v>
      </c>
      <c r="C1013" s="181" t="s">
        <v>687</v>
      </c>
      <c r="D1013" s="181" t="str">
        <f t="shared" si="18"/>
        <v>34410</v>
      </c>
      <c r="E1013" s="181" t="s">
        <v>15</v>
      </c>
      <c r="F1013" s="181" t="s">
        <v>14</v>
      </c>
      <c r="G1013" s="181" t="s">
        <v>793</v>
      </c>
      <c r="H1013" s="8">
        <v>152087.88</v>
      </c>
      <c r="I1013" s="8">
        <v>877.65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152965.53</v>
      </c>
    </row>
    <row r="1014" spans="1:15">
      <c r="A1014" s="191">
        <v>44866</v>
      </c>
      <c r="B1014" s="181" t="s">
        <v>123</v>
      </c>
      <c r="C1014" s="181" t="s">
        <v>688</v>
      </c>
      <c r="D1014" s="181" t="str">
        <f t="shared" si="18"/>
        <v>34410</v>
      </c>
      <c r="E1014" s="181" t="s">
        <v>15</v>
      </c>
      <c r="F1014" s="181" t="s">
        <v>14</v>
      </c>
      <c r="G1014" s="181" t="s">
        <v>793</v>
      </c>
      <c r="H1014" s="8">
        <v>3099813.32</v>
      </c>
      <c r="I1014" s="8">
        <v>30131.54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3129944.86</v>
      </c>
    </row>
    <row r="1015" spans="1:15">
      <c r="A1015" s="191">
        <v>44866</v>
      </c>
      <c r="B1015" s="181" t="s">
        <v>123</v>
      </c>
      <c r="C1015" s="181" t="s">
        <v>689</v>
      </c>
      <c r="D1015" s="181" t="str">
        <f t="shared" si="18"/>
        <v>34410</v>
      </c>
      <c r="E1015" s="181" t="s">
        <v>15</v>
      </c>
      <c r="F1015" s="181" t="s">
        <v>14</v>
      </c>
      <c r="G1015" s="181" t="s">
        <v>793</v>
      </c>
      <c r="H1015" s="8">
        <v>3348942.23</v>
      </c>
      <c r="I1015" s="8">
        <v>29591.15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3378533.38</v>
      </c>
    </row>
    <row r="1016" spans="1:15">
      <c r="A1016" s="191">
        <v>44866</v>
      </c>
      <c r="B1016" s="181" t="s">
        <v>123</v>
      </c>
      <c r="C1016" s="181" t="s">
        <v>690</v>
      </c>
      <c r="D1016" s="181" t="str">
        <f t="shared" si="18"/>
        <v>34410</v>
      </c>
      <c r="E1016" s="181" t="s">
        <v>15</v>
      </c>
      <c r="F1016" s="181" t="s">
        <v>14</v>
      </c>
      <c r="G1016" s="181" t="s">
        <v>793</v>
      </c>
      <c r="H1016" s="8">
        <v>464583.47000000003</v>
      </c>
      <c r="I1016" s="8">
        <v>6459.1900000000005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471042.66000000003</v>
      </c>
    </row>
    <row r="1017" spans="1:15">
      <c r="A1017" s="191">
        <v>44896</v>
      </c>
      <c r="B1017" s="181" t="s">
        <v>122</v>
      </c>
      <c r="C1017" s="181" t="s">
        <v>684</v>
      </c>
      <c r="D1017" s="181" t="str">
        <f t="shared" si="18"/>
        <v>34410</v>
      </c>
      <c r="E1017" s="181" t="s">
        <v>15</v>
      </c>
      <c r="F1017" s="181" t="s">
        <v>14</v>
      </c>
      <c r="G1017" s="181" t="s">
        <v>647</v>
      </c>
      <c r="H1017" s="8">
        <v>2736871.18</v>
      </c>
      <c r="I1017" s="8">
        <v>11221.56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2748092.74</v>
      </c>
    </row>
    <row r="1018" spans="1:15">
      <c r="A1018" s="191">
        <v>44896</v>
      </c>
      <c r="B1018" s="181" t="s">
        <v>122</v>
      </c>
      <c r="C1018" s="181" t="s">
        <v>685</v>
      </c>
      <c r="D1018" s="181" t="str">
        <f t="shared" si="18"/>
        <v>34410</v>
      </c>
      <c r="E1018" s="181" t="s">
        <v>15</v>
      </c>
      <c r="F1018" s="181" t="s">
        <v>14</v>
      </c>
      <c r="G1018" s="181" t="s">
        <v>647</v>
      </c>
      <c r="H1018" s="8">
        <v>7460815.5700000003</v>
      </c>
      <c r="I1018" s="8">
        <v>61738.16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7522553.7300000004</v>
      </c>
    </row>
    <row r="1019" spans="1:15">
      <c r="A1019" s="191">
        <v>44896</v>
      </c>
      <c r="B1019" s="181" t="s">
        <v>122</v>
      </c>
      <c r="C1019" s="181" t="s">
        <v>686</v>
      </c>
      <c r="D1019" s="181" t="str">
        <f t="shared" si="18"/>
        <v>34410</v>
      </c>
      <c r="E1019" s="181" t="s">
        <v>15</v>
      </c>
      <c r="F1019" s="181" t="s">
        <v>14</v>
      </c>
      <c r="G1019" s="181" t="s">
        <v>647</v>
      </c>
      <c r="H1019" s="8">
        <v>23824217.050000001</v>
      </c>
      <c r="I1019" s="8">
        <v>328410.44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24152627.489999998</v>
      </c>
    </row>
    <row r="1020" spans="1:15">
      <c r="A1020" s="191">
        <v>44896</v>
      </c>
      <c r="B1020" s="181" t="s">
        <v>122</v>
      </c>
      <c r="C1020" s="181" t="s">
        <v>687</v>
      </c>
      <c r="D1020" s="181" t="str">
        <f t="shared" si="18"/>
        <v>34410</v>
      </c>
      <c r="E1020" s="181" t="s">
        <v>15</v>
      </c>
      <c r="F1020" s="181" t="s">
        <v>14</v>
      </c>
      <c r="G1020" s="181" t="s">
        <v>647</v>
      </c>
      <c r="H1020" s="8">
        <v>1011118.1</v>
      </c>
      <c r="I1020" s="8">
        <v>7216.7300000000005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1018334.83</v>
      </c>
    </row>
    <row r="1021" spans="1:15">
      <c r="A1021" s="191">
        <v>44896</v>
      </c>
      <c r="B1021" s="181" t="s">
        <v>122</v>
      </c>
      <c r="C1021" s="181" t="s">
        <v>688</v>
      </c>
      <c r="D1021" s="181" t="str">
        <f t="shared" si="18"/>
        <v>34410</v>
      </c>
      <c r="E1021" s="181" t="s">
        <v>15</v>
      </c>
      <c r="F1021" s="181" t="s">
        <v>14</v>
      </c>
      <c r="G1021" s="181" t="s">
        <v>647</v>
      </c>
      <c r="H1021" s="8">
        <v>24696077.879999999</v>
      </c>
      <c r="I1021" s="8">
        <v>243658.38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24939736.260000002</v>
      </c>
    </row>
    <row r="1022" spans="1:15">
      <c r="A1022" s="191">
        <v>44896</v>
      </c>
      <c r="B1022" s="181" t="s">
        <v>122</v>
      </c>
      <c r="C1022" s="181" t="s">
        <v>689</v>
      </c>
      <c r="D1022" s="181" t="str">
        <f t="shared" si="18"/>
        <v>34410</v>
      </c>
      <c r="E1022" s="181" t="s">
        <v>15</v>
      </c>
      <c r="F1022" s="181" t="s">
        <v>14</v>
      </c>
      <c r="G1022" s="181" t="s">
        <v>647</v>
      </c>
      <c r="H1022" s="8">
        <v>30540100.239999998</v>
      </c>
      <c r="I1022" s="8">
        <v>243343.92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30783444.16</v>
      </c>
    </row>
    <row r="1023" spans="1:15">
      <c r="A1023" s="191">
        <v>44896</v>
      </c>
      <c r="B1023" s="181" t="s">
        <v>122</v>
      </c>
      <c r="C1023" s="181" t="s">
        <v>690</v>
      </c>
      <c r="D1023" s="181" t="str">
        <f t="shared" si="18"/>
        <v>34410</v>
      </c>
      <c r="E1023" s="181" t="s">
        <v>15</v>
      </c>
      <c r="F1023" s="181" t="s">
        <v>14</v>
      </c>
      <c r="G1023" s="181" t="s">
        <v>647</v>
      </c>
      <c r="H1023" s="8">
        <v>9336338.4499999993</v>
      </c>
      <c r="I1023" s="8">
        <v>129645.17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9465983.6199999992</v>
      </c>
    </row>
    <row r="1024" spans="1:15">
      <c r="A1024" s="191">
        <v>44896</v>
      </c>
      <c r="B1024" s="181" t="s">
        <v>122</v>
      </c>
      <c r="C1024" s="181" t="s">
        <v>684</v>
      </c>
      <c r="D1024" s="181" t="str">
        <f t="shared" si="18"/>
        <v>34410</v>
      </c>
      <c r="E1024" s="181" t="s">
        <v>15</v>
      </c>
      <c r="F1024" s="181" t="s">
        <v>14</v>
      </c>
      <c r="G1024" s="181" t="s">
        <v>793</v>
      </c>
      <c r="H1024" s="8">
        <v>175728.49</v>
      </c>
      <c r="I1024" s="8">
        <v>2111.81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177840.30000000002</v>
      </c>
    </row>
    <row r="1025" spans="1:15">
      <c r="A1025" s="191">
        <v>44896</v>
      </c>
      <c r="B1025" s="181" t="s">
        <v>122</v>
      </c>
      <c r="C1025" s="181" t="s">
        <v>685</v>
      </c>
      <c r="D1025" s="181" t="str">
        <f t="shared" si="18"/>
        <v>34410</v>
      </c>
      <c r="E1025" s="181" t="s">
        <v>15</v>
      </c>
      <c r="F1025" s="181" t="s">
        <v>14</v>
      </c>
      <c r="G1025" s="181" t="s">
        <v>793</v>
      </c>
      <c r="H1025" s="8">
        <v>-7.2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-7.2</v>
      </c>
    </row>
    <row r="1026" spans="1:15">
      <c r="A1026" s="191">
        <v>44896</v>
      </c>
      <c r="B1026" s="181" t="s">
        <v>122</v>
      </c>
      <c r="C1026" s="181" t="s">
        <v>686</v>
      </c>
      <c r="D1026" s="181" t="str">
        <f t="shared" ref="D1026:D1089" si="19">MID(C1026,10,5)</f>
        <v>34410</v>
      </c>
      <c r="E1026" s="181" t="s">
        <v>15</v>
      </c>
      <c r="F1026" s="181" t="s">
        <v>14</v>
      </c>
      <c r="G1026" s="181" t="s">
        <v>793</v>
      </c>
      <c r="H1026" s="8">
        <v>1405.64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1405.64</v>
      </c>
    </row>
    <row r="1027" spans="1:15">
      <c r="A1027" s="191">
        <v>44896</v>
      </c>
      <c r="B1027" s="181" t="s">
        <v>122</v>
      </c>
      <c r="C1027" s="181" t="s">
        <v>687</v>
      </c>
      <c r="D1027" s="181" t="str">
        <f t="shared" si="19"/>
        <v>34410</v>
      </c>
      <c r="E1027" s="181" t="s">
        <v>15</v>
      </c>
      <c r="F1027" s="181" t="s">
        <v>14</v>
      </c>
      <c r="G1027" s="181" t="s">
        <v>793</v>
      </c>
      <c r="H1027" s="8">
        <v>152965.53</v>
      </c>
      <c r="I1027" s="8">
        <v>877.65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153843.18</v>
      </c>
    </row>
    <row r="1028" spans="1:15">
      <c r="A1028" s="191">
        <v>44896</v>
      </c>
      <c r="B1028" s="181" t="s">
        <v>122</v>
      </c>
      <c r="C1028" s="181" t="s">
        <v>688</v>
      </c>
      <c r="D1028" s="181" t="str">
        <f t="shared" si="19"/>
        <v>34410</v>
      </c>
      <c r="E1028" s="181" t="s">
        <v>15</v>
      </c>
      <c r="F1028" s="181" t="s">
        <v>14</v>
      </c>
      <c r="G1028" s="181" t="s">
        <v>793</v>
      </c>
      <c r="H1028" s="8">
        <v>3129944.86</v>
      </c>
      <c r="I1028" s="8">
        <v>30200.78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3160145.64</v>
      </c>
    </row>
    <row r="1029" spans="1:15">
      <c r="A1029" s="191">
        <v>44896</v>
      </c>
      <c r="B1029" s="181" t="s">
        <v>122</v>
      </c>
      <c r="C1029" s="181" t="s">
        <v>689</v>
      </c>
      <c r="D1029" s="181" t="str">
        <f t="shared" si="19"/>
        <v>34410</v>
      </c>
      <c r="E1029" s="181" t="s">
        <v>15</v>
      </c>
      <c r="F1029" s="181" t="s">
        <v>14</v>
      </c>
      <c r="G1029" s="181" t="s">
        <v>793</v>
      </c>
      <c r="H1029" s="8">
        <v>3378533.38</v>
      </c>
      <c r="I1029" s="8">
        <v>29593.760000000002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3408127.14</v>
      </c>
    </row>
    <row r="1030" spans="1:15">
      <c r="A1030" s="191">
        <v>44896</v>
      </c>
      <c r="B1030" s="181" t="s">
        <v>122</v>
      </c>
      <c r="C1030" s="181" t="s">
        <v>690</v>
      </c>
      <c r="D1030" s="181" t="str">
        <f t="shared" si="19"/>
        <v>34410</v>
      </c>
      <c r="E1030" s="181" t="s">
        <v>15</v>
      </c>
      <c r="F1030" s="181" t="s">
        <v>14</v>
      </c>
      <c r="G1030" s="181" t="s">
        <v>793</v>
      </c>
      <c r="H1030" s="8">
        <v>471042.66000000003</v>
      </c>
      <c r="I1030" s="8">
        <v>6459.1900000000005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477501.85000000003</v>
      </c>
    </row>
    <row r="1031" spans="1:15">
      <c r="A1031" s="191">
        <v>44531</v>
      </c>
      <c r="B1031" s="181" t="s">
        <v>13</v>
      </c>
      <c r="C1031" s="181" t="s">
        <v>691</v>
      </c>
      <c r="D1031" s="181" t="str">
        <f t="shared" si="19"/>
        <v>34451</v>
      </c>
      <c r="E1031" s="181" t="s">
        <v>15</v>
      </c>
      <c r="F1031" s="181" t="s">
        <v>14</v>
      </c>
      <c r="G1031" s="181" t="s">
        <v>647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</row>
    <row r="1032" spans="1:15">
      <c r="A1032" s="191">
        <v>44531</v>
      </c>
      <c r="B1032" s="181" t="s">
        <v>13</v>
      </c>
      <c r="C1032" s="181" t="s">
        <v>692</v>
      </c>
      <c r="D1032" s="181" t="str">
        <f t="shared" si="19"/>
        <v>34451</v>
      </c>
      <c r="E1032" s="181" t="s">
        <v>15</v>
      </c>
      <c r="F1032" s="181" t="s">
        <v>14</v>
      </c>
      <c r="G1032" s="181" t="s">
        <v>647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</row>
    <row r="1033" spans="1:15">
      <c r="A1033" s="191">
        <v>44531</v>
      </c>
      <c r="B1033" s="181" t="s">
        <v>13</v>
      </c>
      <c r="C1033" s="181" t="s">
        <v>693</v>
      </c>
      <c r="D1033" s="181" t="str">
        <f t="shared" si="19"/>
        <v>34451</v>
      </c>
      <c r="E1033" s="181" t="s">
        <v>15</v>
      </c>
      <c r="F1033" s="181" t="s">
        <v>14</v>
      </c>
      <c r="G1033" s="181" t="s">
        <v>647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</row>
    <row r="1034" spans="1:15">
      <c r="A1034" s="191">
        <v>44562</v>
      </c>
      <c r="B1034" s="181" t="s">
        <v>133</v>
      </c>
      <c r="C1034" s="181" t="s">
        <v>691</v>
      </c>
      <c r="D1034" s="181" t="str">
        <f t="shared" si="19"/>
        <v>34451</v>
      </c>
      <c r="E1034" s="181" t="s">
        <v>15</v>
      </c>
      <c r="F1034" s="181" t="s">
        <v>14</v>
      </c>
      <c r="G1034" s="181" t="s">
        <v>647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</row>
    <row r="1035" spans="1:15">
      <c r="A1035" s="191">
        <v>44562</v>
      </c>
      <c r="B1035" s="181" t="s">
        <v>133</v>
      </c>
      <c r="C1035" s="181" t="s">
        <v>692</v>
      </c>
      <c r="D1035" s="181" t="str">
        <f t="shared" si="19"/>
        <v>34451</v>
      </c>
      <c r="E1035" s="181" t="s">
        <v>15</v>
      </c>
      <c r="F1035" s="181" t="s">
        <v>14</v>
      </c>
      <c r="G1035" s="181" t="s">
        <v>647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</row>
    <row r="1036" spans="1:15">
      <c r="A1036" s="191">
        <v>44562</v>
      </c>
      <c r="B1036" s="181" t="s">
        <v>133</v>
      </c>
      <c r="C1036" s="181" t="s">
        <v>693</v>
      </c>
      <c r="D1036" s="181" t="str">
        <f t="shared" si="19"/>
        <v>34451</v>
      </c>
      <c r="E1036" s="181" t="s">
        <v>15</v>
      </c>
      <c r="F1036" s="181" t="s">
        <v>14</v>
      </c>
      <c r="G1036" s="181" t="s">
        <v>647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</row>
    <row r="1037" spans="1:15">
      <c r="A1037" s="191">
        <v>44593</v>
      </c>
      <c r="B1037" s="181" t="s">
        <v>132</v>
      </c>
      <c r="C1037" s="181" t="s">
        <v>691</v>
      </c>
      <c r="D1037" s="181" t="str">
        <f t="shared" si="19"/>
        <v>34451</v>
      </c>
      <c r="E1037" s="181" t="s">
        <v>15</v>
      </c>
      <c r="F1037" s="181" t="s">
        <v>14</v>
      </c>
      <c r="G1037" s="181" t="s">
        <v>647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</row>
    <row r="1038" spans="1:15">
      <c r="A1038" s="191">
        <v>44593</v>
      </c>
      <c r="B1038" s="181" t="s">
        <v>132</v>
      </c>
      <c r="C1038" s="181" t="s">
        <v>692</v>
      </c>
      <c r="D1038" s="181" t="str">
        <f t="shared" si="19"/>
        <v>34451</v>
      </c>
      <c r="E1038" s="181" t="s">
        <v>15</v>
      </c>
      <c r="F1038" s="181" t="s">
        <v>14</v>
      </c>
      <c r="G1038" s="181" t="s">
        <v>647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</row>
    <row r="1039" spans="1:15">
      <c r="A1039" s="191">
        <v>44593</v>
      </c>
      <c r="B1039" s="181" t="s">
        <v>132</v>
      </c>
      <c r="C1039" s="181" t="s">
        <v>693</v>
      </c>
      <c r="D1039" s="181" t="str">
        <f t="shared" si="19"/>
        <v>34451</v>
      </c>
      <c r="E1039" s="181" t="s">
        <v>15</v>
      </c>
      <c r="F1039" s="181" t="s">
        <v>14</v>
      </c>
      <c r="G1039" s="181" t="s">
        <v>647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</row>
    <row r="1040" spans="1:15">
      <c r="A1040" s="191">
        <v>44621</v>
      </c>
      <c r="B1040" s="181" t="s">
        <v>131</v>
      </c>
      <c r="C1040" s="181" t="s">
        <v>691</v>
      </c>
      <c r="D1040" s="181" t="str">
        <f t="shared" si="19"/>
        <v>34451</v>
      </c>
      <c r="E1040" s="181" t="s">
        <v>15</v>
      </c>
      <c r="F1040" s="181" t="s">
        <v>14</v>
      </c>
      <c r="G1040" s="181" t="s">
        <v>647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</row>
    <row r="1041" spans="1:15">
      <c r="A1041" s="191">
        <v>44621</v>
      </c>
      <c r="B1041" s="181" t="s">
        <v>131</v>
      </c>
      <c r="C1041" s="181" t="s">
        <v>692</v>
      </c>
      <c r="D1041" s="181" t="str">
        <f t="shared" si="19"/>
        <v>34451</v>
      </c>
      <c r="E1041" s="181" t="s">
        <v>15</v>
      </c>
      <c r="F1041" s="181" t="s">
        <v>14</v>
      </c>
      <c r="G1041" s="181" t="s">
        <v>647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</row>
    <row r="1042" spans="1:15">
      <c r="A1042" s="191">
        <v>44621</v>
      </c>
      <c r="B1042" s="181" t="s">
        <v>131</v>
      </c>
      <c r="C1042" s="181" t="s">
        <v>693</v>
      </c>
      <c r="D1042" s="181" t="str">
        <f t="shared" si="19"/>
        <v>34451</v>
      </c>
      <c r="E1042" s="181" t="s">
        <v>15</v>
      </c>
      <c r="F1042" s="181" t="s">
        <v>14</v>
      </c>
      <c r="G1042" s="181" t="s">
        <v>647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</row>
    <row r="1043" spans="1:15">
      <c r="A1043" s="191">
        <v>44652</v>
      </c>
      <c r="B1043" s="181" t="s">
        <v>130</v>
      </c>
      <c r="C1043" s="181" t="s">
        <v>691</v>
      </c>
      <c r="D1043" s="181" t="str">
        <f t="shared" si="19"/>
        <v>34451</v>
      </c>
      <c r="E1043" s="181" t="s">
        <v>15</v>
      </c>
      <c r="F1043" s="181" t="s">
        <v>14</v>
      </c>
      <c r="G1043" s="181" t="s">
        <v>647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</row>
    <row r="1044" spans="1:15">
      <c r="A1044" s="191">
        <v>44652</v>
      </c>
      <c r="B1044" s="181" t="s">
        <v>130</v>
      </c>
      <c r="C1044" s="181" t="s">
        <v>692</v>
      </c>
      <c r="D1044" s="181" t="str">
        <f t="shared" si="19"/>
        <v>34451</v>
      </c>
      <c r="E1044" s="181" t="s">
        <v>15</v>
      </c>
      <c r="F1044" s="181" t="s">
        <v>14</v>
      </c>
      <c r="G1044" s="181" t="s">
        <v>647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</row>
    <row r="1045" spans="1:15">
      <c r="A1045" s="191">
        <v>44652</v>
      </c>
      <c r="B1045" s="181" t="s">
        <v>130</v>
      </c>
      <c r="C1045" s="181" t="s">
        <v>693</v>
      </c>
      <c r="D1045" s="181" t="str">
        <f t="shared" si="19"/>
        <v>34451</v>
      </c>
      <c r="E1045" s="181" t="s">
        <v>15</v>
      </c>
      <c r="F1045" s="181" t="s">
        <v>14</v>
      </c>
      <c r="G1045" s="181" t="s">
        <v>647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</row>
    <row r="1046" spans="1:15">
      <c r="A1046" s="191">
        <v>44682</v>
      </c>
      <c r="B1046" s="181" t="s">
        <v>129</v>
      </c>
      <c r="C1046" s="181" t="s">
        <v>691</v>
      </c>
      <c r="D1046" s="181" t="str">
        <f t="shared" si="19"/>
        <v>34451</v>
      </c>
      <c r="E1046" s="181" t="s">
        <v>15</v>
      </c>
      <c r="F1046" s="181" t="s">
        <v>14</v>
      </c>
      <c r="G1046" s="181" t="s">
        <v>647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</row>
    <row r="1047" spans="1:15">
      <c r="A1047" s="191">
        <v>44682</v>
      </c>
      <c r="B1047" s="181" t="s">
        <v>129</v>
      </c>
      <c r="C1047" s="181" t="s">
        <v>692</v>
      </c>
      <c r="D1047" s="181" t="str">
        <f t="shared" si="19"/>
        <v>34451</v>
      </c>
      <c r="E1047" s="181" t="s">
        <v>15</v>
      </c>
      <c r="F1047" s="181" t="s">
        <v>14</v>
      </c>
      <c r="G1047" s="181" t="s">
        <v>647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</row>
    <row r="1048" spans="1:15">
      <c r="A1048" s="191">
        <v>44682</v>
      </c>
      <c r="B1048" s="181" t="s">
        <v>129</v>
      </c>
      <c r="C1048" s="181" t="s">
        <v>693</v>
      </c>
      <c r="D1048" s="181" t="str">
        <f t="shared" si="19"/>
        <v>34451</v>
      </c>
      <c r="E1048" s="181" t="s">
        <v>15</v>
      </c>
      <c r="F1048" s="181" t="s">
        <v>14</v>
      </c>
      <c r="G1048" s="181" t="s">
        <v>647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</row>
    <row r="1049" spans="1:15">
      <c r="A1049" s="191">
        <v>44713</v>
      </c>
      <c r="B1049" s="181" t="s">
        <v>128</v>
      </c>
      <c r="C1049" s="181" t="s">
        <v>691</v>
      </c>
      <c r="D1049" s="181" t="str">
        <f t="shared" si="19"/>
        <v>34451</v>
      </c>
      <c r="E1049" s="181" t="s">
        <v>15</v>
      </c>
      <c r="F1049" s="181" t="s">
        <v>14</v>
      </c>
      <c r="G1049" s="181" t="s">
        <v>647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</row>
    <row r="1050" spans="1:15">
      <c r="A1050" s="191">
        <v>44713</v>
      </c>
      <c r="B1050" s="181" t="s">
        <v>128</v>
      </c>
      <c r="C1050" s="181" t="s">
        <v>692</v>
      </c>
      <c r="D1050" s="181" t="str">
        <f t="shared" si="19"/>
        <v>34451</v>
      </c>
      <c r="E1050" s="181" t="s">
        <v>15</v>
      </c>
      <c r="F1050" s="181" t="s">
        <v>14</v>
      </c>
      <c r="G1050" s="181" t="s">
        <v>647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</row>
    <row r="1051" spans="1:15">
      <c r="A1051" s="191">
        <v>44713</v>
      </c>
      <c r="B1051" s="181" t="s">
        <v>128</v>
      </c>
      <c r="C1051" s="181" t="s">
        <v>693</v>
      </c>
      <c r="D1051" s="181" t="str">
        <f t="shared" si="19"/>
        <v>34451</v>
      </c>
      <c r="E1051" s="181" t="s">
        <v>15</v>
      </c>
      <c r="F1051" s="181" t="s">
        <v>14</v>
      </c>
      <c r="G1051" s="181" t="s">
        <v>647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</row>
    <row r="1052" spans="1:15">
      <c r="A1052" s="191">
        <v>44743</v>
      </c>
      <c r="B1052" s="181" t="s">
        <v>127</v>
      </c>
      <c r="C1052" s="181" t="s">
        <v>691</v>
      </c>
      <c r="D1052" s="181" t="str">
        <f t="shared" si="19"/>
        <v>34451</v>
      </c>
      <c r="E1052" s="181" t="s">
        <v>15</v>
      </c>
      <c r="F1052" s="181" t="s">
        <v>14</v>
      </c>
      <c r="G1052" s="181" t="s">
        <v>647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</row>
    <row r="1053" spans="1:15">
      <c r="A1053" s="191">
        <v>44743</v>
      </c>
      <c r="B1053" s="181" t="s">
        <v>127</v>
      </c>
      <c r="C1053" s="181" t="s">
        <v>692</v>
      </c>
      <c r="D1053" s="181" t="str">
        <f t="shared" si="19"/>
        <v>34451</v>
      </c>
      <c r="E1053" s="181" t="s">
        <v>15</v>
      </c>
      <c r="F1053" s="181" t="s">
        <v>14</v>
      </c>
      <c r="G1053" s="181" t="s">
        <v>647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</row>
    <row r="1054" spans="1:15">
      <c r="A1054" s="191">
        <v>44743</v>
      </c>
      <c r="B1054" s="181" t="s">
        <v>127</v>
      </c>
      <c r="C1054" s="181" t="s">
        <v>693</v>
      </c>
      <c r="D1054" s="181" t="str">
        <f t="shared" si="19"/>
        <v>34451</v>
      </c>
      <c r="E1054" s="181" t="s">
        <v>15</v>
      </c>
      <c r="F1054" s="181" t="s">
        <v>14</v>
      </c>
      <c r="G1054" s="181" t="s">
        <v>647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</row>
    <row r="1055" spans="1:15">
      <c r="A1055" s="191">
        <v>44774</v>
      </c>
      <c r="B1055" s="181" t="s">
        <v>126</v>
      </c>
      <c r="C1055" s="181" t="s">
        <v>691</v>
      </c>
      <c r="D1055" s="181" t="str">
        <f t="shared" si="19"/>
        <v>34451</v>
      </c>
      <c r="E1055" s="181" t="s">
        <v>15</v>
      </c>
      <c r="F1055" s="181" t="s">
        <v>14</v>
      </c>
      <c r="G1055" s="181" t="s">
        <v>647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</row>
    <row r="1056" spans="1:15">
      <c r="A1056" s="191">
        <v>44774</v>
      </c>
      <c r="B1056" s="181" t="s">
        <v>126</v>
      </c>
      <c r="C1056" s="181" t="s">
        <v>692</v>
      </c>
      <c r="D1056" s="181" t="str">
        <f t="shared" si="19"/>
        <v>34451</v>
      </c>
      <c r="E1056" s="181" t="s">
        <v>15</v>
      </c>
      <c r="F1056" s="181" t="s">
        <v>14</v>
      </c>
      <c r="G1056" s="181" t="s">
        <v>647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</row>
    <row r="1057" spans="1:15">
      <c r="A1057" s="191">
        <v>44774</v>
      </c>
      <c r="B1057" s="181" t="s">
        <v>126</v>
      </c>
      <c r="C1057" s="181" t="s">
        <v>693</v>
      </c>
      <c r="D1057" s="181" t="str">
        <f t="shared" si="19"/>
        <v>34451</v>
      </c>
      <c r="E1057" s="181" t="s">
        <v>15</v>
      </c>
      <c r="F1057" s="181" t="s">
        <v>14</v>
      </c>
      <c r="G1057" s="181" t="s">
        <v>647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</row>
    <row r="1058" spans="1:15">
      <c r="A1058" s="191">
        <v>44805</v>
      </c>
      <c r="B1058" s="181" t="s">
        <v>125</v>
      </c>
      <c r="C1058" s="181" t="s">
        <v>691</v>
      </c>
      <c r="D1058" s="181" t="str">
        <f t="shared" si="19"/>
        <v>34451</v>
      </c>
      <c r="E1058" s="181" t="s">
        <v>15</v>
      </c>
      <c r="F1058" s="181" t="s">
        <v>14</v>
      </c>
      <c r="G1058" s="181" t="s">
        <v>647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</row>
    <row r="1059" spans="1:15">
      <c r="A1059" s="191">
        <v>44805</v>
      </c>
      <c r="B1059" s="181" t="s">
        <v>125</v>
      </c>
      <c r="C1059" s="181" t="s">
        <v>692</v>
      </c>
      <c r="D1059" s="181" t="str">
        <f t="shared" si="19"/>
        <v>34451</v>
      </c>
      <c r="E1059" s="181" t="s">
        <v>15</v>
      </c>
      <c r="F1059" s="181" t="s">
        <v>14</v>
      </c>
      <c r="G1059" s="181" t="s">
        <v>647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</row>
    <row r="1060" spans="1:15">
      <c r="A1060" s="191">
        <v>44805</v>
      </c>
      <c r="B1060" s="181" t="s">
        <v>125</v>
      </c>
      <c r="C1060" s="181" t="s">
        <v>693</v>
      </c>
      <c r="D1060" s="181" t="str">
        <f t="shared" si="19"/>
        <v>34451</v>
      </c>
      <c r="E1060" s="181" t="s">
        <v>15</v>
      </c>
      <c r="F1060" s="181" t="s">
        <v>14</v>
      </c>
      <c r="G1060" s="181" t="s">
        <v>647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</row>
    <row r="1061" spans="1:15">
      <c r="A1061" s="191">
        <v>44835</v>
      </c>
      <c r="B1061" s="181" t="s">
        <v>124</v>
      </c>
      <c r="C1061" s="181" t="s">
        <v>691</v>
      </c>
      <c r="D1061" s="181" t="str">
        <f t="shared" si="19"/>
        <v>34451</v>
      </c>
      <c r="E1061" s="181" t="s">
        <v>15</v>
      </c>
      <c r="F1061" s="181" t="s">
        <v>14</v>
      </c>
      <c r="G1061" s="181" t="s">
        <v>647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</row>
    <row r="1062" spans="1:15">
      <c r="A1062" s="191">
        <v>44835</v>
      </c>
      <c r="B1062" s="181" t="s">
        <v>124</v>
      </c>
      <c r="C1062" s="181" t="s">
        <v>692</v>
      </c>
      <c r="D1062" s="181" t="str">
        <f t="shared" si="19"/>
        <v>34451</v>
      </c>
      <c r="E1062" s="181" t="s">
        <v>15</v>
      </c>
      <c r="F1062" s="181" t="s">
        <v>14</v>
      </c>
      <c r="G1062" s="181" t="s">
        <v>647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</row>
    <row r="1063" spans="1:15">
      <c r="A1063" s="191">
        <v>44835</v>
      </c>
      <c r="B1063" s="181" t="s">
        <v>124</v>
      </c>
      <c r="C1063" s="181" t="s">
        <v>693</v>
      </c>
      <c r="D1063" s="181" t="str">
        <f t="shared" si="19"/>
        <v>34451</v>
      </c>
      <c r="E1063" s="181" t="s">
        <v>15</v>
      </c>
      <c r="F1063" s="181" t="s">
        <v>14</v>
      </c>
      <c r="G1063" s="181" t="s">
        <v>647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</row>
    <row r="1064" spans="1:15">
      <c r="A1064" s="191">
        <v>44866</v>
      </c>
      <c r="B1064" s="181" t="s">
        <v>123</v>
      </c>
      <c r="C1064" s="181" t="s">
        <v>691</v>
      </c>
      <c r="D1064" s="181" t="str">
        <f t="shared" si="19"/>
        <v>34451</v>
      </c>
      <c r="E1064" s="181" t="s">
        <v>15</v>
      </c>
      <c r="F1064" s="181" t="s">
        <v>14</v>
      </c>
      <c r="G1064" s="181" t="s">
        <v>647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</row>
    <row r="1065" spans="1:15">
      <c r="A1065" s="191">
        <v>44866</v>
      </c>
      <c r="B1065" s="181" t="s">
        <v>123</v>
      </c>
      <c r="C1065" s="181" t="s">
        <v>692</v>
      </c>
      <c r="D1065" s="181" t="str">
        <f t="shared" si="19"/>
        <v>34451</v>
      </c>
      <c r="E1065" s="181" t="s">
        <v>15</v>
      </c>
      <c r="F1065" s="181" t="s">
        <v>14</v>
      </c>
      <c r="G1065" s="181" t="s">
        <v>647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</row>
    <row r="1066" spans="1:15">
      <c r="A1066" s="191">
        <v>44866</v>
      </c>
      <c r="B1066" s="181" t="s">
        <v>123</v>
      </c>
      <c r="C1066" s="181" t="s">
        <v>693</v>
      </c>
      <c r="D1066" s="181" t="str">
        <f t="shared" si="19"/>
        <v>34451</v>
      </c>
      <c r="E1066" s="181" t="s">
        <v>15</v>
      </c>
      <c r="F1066" s="181" t="s">
        <v>14</v>
      </c>
      <c r="G1066" s="181" t="s">
        <v>647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</row>
    <row r="1067" spans="1:15">
      <c r="A1067" s="191">
        <v>44896</v>
      </c>
      <c r="B1067" s="181" t="s">
        <v>122</v>
      </c>
      <c r="C1067" s="181" t="s">
        <v>691</v>
      </c>
      <c r="D1067" s="181" t="str">
        <f t="shared" si="19"/>
        <v>34451</v>
      </c>
      <c r="E1067" s="181" t="s">
        <v>15</v>
      </c>
      <c r="F1067" s="181" t="s">
        <v>14</v>
      </c>
      <c r="G1067" s="181" t="s">
        <v>647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</row>
    <row r="1068" spans="1:15">
      <c r="A1068" s="191">
        <v>44896</v>
      </c>
      <c r="B1068" s="181" t="s">
        <v>122</v>
      </c>
      <c r="C1068" s="181" t="s">
        <v>692</v>
      </c>
      <c r="D1068" s="181" t="str">
        <f t="shared" si="19"/>
        <v>34451</v>
      </c>
      <c r="E1068" s="181" t="s">
        <v>15</v>
      </c>
      <c r="F1068" s="181" t="s">
        <v>14</v>
      </c>
      <c r="G1068" s="181" t="s">
        <v>647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</row>
    <row r="1069" spans="1:15">
      <c r="A1069" s="191">
        <v>44896</v>
      </c>
      <c r="B1069" s="181" t="s">
        <v>122</v>
      </c>
      <c r="C1069" s="181" t="s">
        <v>693</v>
      </c>
      <c r="D1069" s="181" t="str">
        <f t="shared" si="19"/>
        <v>34451</v>
      </c>
      <c r="E1069" s="181" t="s">
        <v>15</v>
      </c>
      <c r="F1069" s="181" t="s">
        <v>14</v>
      </c>
      <c r="G1069" s="181" t="s">
        <v>647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</row>
    <row r="1070" spans="1:15">
      <c r="A1070" s="191">
        <v>44531</v>
      </c>
      <c r="B1070" s="181" t="s">
        <v>13</v>
      </c>
      <c r="C1070" s="181" t="s">
        <v>694</v>
      </c>
      <c r="D1070" s="181" t="str">
        <f t="shared" si="19"/>
        <v>34500</v>
      </c>
      <c r="E1070" s="181" t="s">
        <v>15</v>
      </c>
      <c r="F1070" s="181" t="s">
        <v>14</v>
      </c>
      <c r="G1070" s="181" t="s">
        <v>647</v>
      </c>
      <c r="H1070" s="8">
        <v>726440.39</v>
      </c>
      <c r="I1070" s="8">
        <v>2917.34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729357.73</v>
      </c>
    </row>
    <row r="1071" spans="1:15">
      <c r="A1071" s="191">
        <v>44531</v>
      </c>
      <c r="B1071" s="181" t="s">
        <v>13</v>
      </c>
      <c r="C1071" s="181" t="s">
        <v>695</v>
      </c>
      <c r="D1071" s="181" t="str">
        <f t="shared" si="19"/>
        <v>34500</v>
      </c>
      <c r="E1071" s="181" t="s">
        <v>15</v>
      </c>
      <c r="F1071" s="181" t="s">
        <v>14</v>
      </c>
      <c r="G1071" s="181" t="s">
        <v>647</v>
      </c>
      <c r="H1071" s="8">
        <v>18856.400000000001</v>
      </c>
      <c r="I1071" s="8">
        <v>233.03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19089.43</v>
      </c>
    </row>
    <row r="1072" spans="1:15">
      <c r="A1072" s="191">
        <v>44531</v>
      </c>
      <c r="B1072" s="181" t="s">
        <v>13</v>
      </c>
      <c r="C1072" s="181" t="s">
        <v>696</v>
      </c>
      <c r="D1072" s="181" t="str">
        <f t="shared" si="19"/>
        <v>34500</v>
      </c>
      <c r="E1072" s="181" t="s">
        <v>15</v>
      </c>
      <c r="F1072" s="181" t="s">
        <v>14</v>
      </c>
      <c r="G1072" s="181" t="s">
        <v>647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</row>
    <row r="1073" spans="1:15">
      <c r="A1073" s="191">
        <v>44531</v>
      </c>
      <c r="B1073" s="181" t="s">
        <v>13</v>
      </c>
      <c r="C1073" s="181" t="s">
        <v>697</v>
      </c>
      <c r="D1073" s="181" t="str">
        <f t="shared" si="19"/>
        <v>34500</v>
      </c>
      <c r="E1073" s="181" t="s">
        <v>15</v>
      </c>
      <c r="F1073" s="181" t="s">
        <v>14</v>
      </c>
      <c r="G1073" s="181" t="s">
        <v>647</v>
      </c>
      <c r="H1073" s="8">
        <v>74609.52</v>
      </c>
      <c r="I1073" s="8">
        <v>1267.6300000000001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75877.150000000009</v>
      </c>
    </row>
    <row r="1074" spans="1:15">
      <c r="A1074" s="191">
        <v>44531</v>
      </c>
      <c r="B1074" s="181" t="s">
        <v>13</v>
      </c>
      <c r="C1074" s="181" t="s">
        <v>698</v>
      </c>
      <c r="D1074" s="181" t="str">
        <f t="shared" si="19"/>
        <v>34500</v>
      </c>
      <c r="E1074" s="181" t="s">
        <v>15</v>
      </c>
      <c r="F1074" s="181" t="s">
        <v>14</v>
      </c>
      <c r="G1074" s="181" t="s">
        <v>647</v>
      </c>
      <c r="H1074" s="8">
        <v>2204132.98</v>
      </c>
      <c r="I1074" s="8">
        <v>18363.080000000002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2222496.06</v>
      </c>
    </row>
    <row r="1075" spans="1:15">
      <c r="A1075" s="191">
        <v>44531</v>
      </c>
      <c r="B1075" s="181" t="s">
        <v>13</v>
      </c>
      <c r="C1075" s="181" t="s">
        <v>699</v>
      </c>
      <c r="D1075" s="181" t="str">
        <f t="shared" si="19"/>
        <v>34500</v>
      </c>
      <c r="E1075" s="181" t="s">
        <v>15</v>
      </c>
      <c r="F1075" s="181" t="s">
        <v>14</v>
      </c>
      <c r="G1075" s="181" t="s">
        <v>647</v>
      </c>
      <c r="H1075" s="8">
        <v>2203182.6800000002</v>
      </c>
      <c r="I1075" s="8">
        <v>18363.080000000002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2221545.7599999998</v>
      </c>
    </row>
    <row r="1076" spans="1:15">
      <c r="A1076" s="191">
        <v>44531</v>
      </c>
      <c r="B1076" s="181" t="s">
        <v>13</v>
      </c>
      <c r="C1076" s="181" t="s">
        <v>700</v>
      </c>
      <c r="D1076" s="181" t="str">
        <f t="shared" si="19"/>
        <v>34500</v>
      </c>
      <c r="E1076" s="181" t="s">
        <v>15</v>
      </c>
      <c r="F1076" s="181" t="s">
        <v>14</v>
      </c>
      <c r="G1076" s="181" t="s">
        <v>647</v>
      </c>
      <c r="H1076" s="8">
        <v>404723.06</v>
      </c>
      <c r="I1076" s="8">
        <v>7691.17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412414.23</v>
      </c>
    </row>
    <row r="1077" spans="1:15">
      <c r="A1077" s="191">
        <v>44531</v>
      </c>
      <c r="B1077" s="181" t="s">
        <v>13</v>
      </c>
      <c r="C1077" s="181" t="s">
        <v>694</v>
      </c>
      <c r="D1077" s="181" t="str">
        <f t="shared" si="19"/>
        <v>34500</v>
      </c>
      <c r="E1077" s="181" t="s">
        <v>15</v>
      </c>
      <c r="F1077" s="181" t="s">
        <v>14</v>
      </c>
      <c r="G1077" s="181" t="s">
        <v>793</v>
      </c>
      <c r="H1077" s="8">
        <v>19374.11</v>
      </c>
      <c r="I1077" s="8">
        <v>173.74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19547.850000000002</v>
      </c>
    </row>
    <row r="1078" spans="1:15">
      <c r="A1078" s="191">
        <v>44531</v>
      </c>
      <c r="B1078" s="181" t="s">
        <v>13</v>
      </c>
      <c r="C1078" s="181" t="s">
        <v>697</v>
      </c>
      <c r="D1078" s="181" t="str">
        <f t="shared" si="19"/>
        <v>34500</v>
      </c>
      <c r="E1078" s="181" t="s">
        <v>15</v>
      </c>
      <c r="F1078" s="181" t="s">
        <v>14</v>
      </c>
      <c r="G1078" s="181" t="s">
        <v>793</v>
      </c>
      <c r="H1078" s="8">
        <v>9073.5400000000009</v>
      </c>
      <c r="I1078" s="8">
        <v>154.16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9227.7000000000007</v>
      </c>
    </row>
    <row r="1079" spans="1:15">
      <c r="A1079" s="191">
        <v>44531</v>
      </c>
      <c r="B1079" s="181" t="s">
        <v>13</v>
      </c>
      <c r="C1079" s="181" t="s">
        <v>698</v>
      </c>
      <c r="D1079" s="181" t="str">
        <f t="shared" si="19"/>
        <v>34500</v>
      </c>
      <c r="E1079" s="181" t="s">
        <v>15</v>
      </c>
      <c r="F1079" s="181" t="s">
        <v>14</v>
      </c>
      <c r="G1079" s="181" t="s">
        <v>793</v>
      </c>
      <c r="H1079" s="8">
        <v>241410.12</v>
      </c>
      <c r="I1079" s="8">
        <v>2233.19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243643.31</v>
      </c>
    </row>
    <row r="1080" spans="1:15">
      <c r="A1080" s="191">
        <v>44531</v>
      </c>
      <c r="B1080" s="181" t="s">
        <v>13</v>
      </c>
      <c r="C1080" s="181" t="s">
        <v>699</v>
      </c>
      <c r="D1080" s="181" t="str">
        <f t="shared" si="19"/>
        <v>34500</v>
      </c>
      <c r="E1080" s="181" t="s">
        <v>15</v>
      </c>
      <c r="F1080" s="181" t="s">
        <v>14</v>
      </c>
      <c r="G1080" s="181" t="s">
        <v>793</v>
      </c>
      <c r="H1080" s="8">
        <v>241294.55000000002</v>
      </c>
      <c r="I1080" s="8">
        <v>2233.19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243527.74</v>
      </c>
    </row>
    <row r="1081" spans="1:15">
      <c r="A1081" s="191">
        <v>44531</v>
      </c>
      <c r="B1081" s="181" t="s">
        <v>13</v>
      </c>
      <c r="C1081" s="181" t="s">
        <v>700</v>
      </c>
      <c r="D1081" s="181" t="str">
        <f t="shared" si="19"/>
        <v>34500</v>
      </c>
      <c r="E1081" s="181" t="s">
        <v>15</v>
      </c>
      <c r="F1081" s="181" t="s">
        <v>14</v>
      </c>
      <c r="G1081" s="181" t="s">
        <v>793</v>
      </c>
      <c r="H1081" s="8">
        <v>15634.02</v>
      </c>
      <c r="I1081" s="8">
        <v>294.78000000000003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15928.800000000001</v>
      </c>
    </row>
    <row r="1082" spans="1:15">
      <c r="A1082" s="191">
        <v>44562</v>
      </c>
      <c r="B1082" s="181" t="s">
        <v>133</v>
      </c>
      <c r="C1082" s="181" t="s">
        <v>694</v>
      </c>
      <c r="D1082" s="181" t="str">
        <f t="shared" si="19"/>
        <v>34500</v>
      </c>
      <c r="E1082" s="181" t="s">
        <v>15</v>
      </c>
      <c r="F1082" s="181" t="s">
        <v>14</v>
      </c>
      <c r="G1082" s="181" t="s">
        <v>647</v>
      </c>
      <c r="H1082" s="8">
        <v>729357.73</v>
      </c>
      <c r="I1082" s="8">
        <v>2917.34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732275.07000000007</v>
      </c>
    </row>
    <row r="1083" spans="1:15">
      <c r="A1083" s="191">
        <v>44562</v>
      </c>
      <c r="B1083" s="181" t="s">
        <v>133</v>
      </c>
      <c r="C1083" s="181" t="s">
        <v>695</v>
      </c>
      <c r="D1083" s="181" t="str">
        <f t="shared" si="19"/>
        <v>34500</v>
      </c>
      <c r="E1083" s="181" t="s">
        <v>15</v>
      </c>
      <c r="F1083" s="181" t="s">
        <v>14</v>
      </c>
      <c r="G1083" s="181" t="s">
        <v>647</v>
      </c>
      <c r="H1083" s="8">
        <v>19089.43</v>
      </c>
      <c r="I1083" s="8">
        <v>233.03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19322.46</v>
      </c>
    </row>
    <row r="1084" spans="1:15">
      <c r="A1084" s="191">
        <v>44562</v>
      </c>
      <c r="B1084" s="181" t="s">
        <v>133</v>
      </c>
      <c r="C1084" s="181" t="s">
        <v>696</v>
      </c>
      <c r="D1084" s="181" t="str">
        <f t="shared" si="19"/>
        <v>34500</v>
      </c>
      <c r="E1084" s="181" t="s">
        <v>15</v>
      </c>
      <c r="F1084" s="181" t="s">
        <v>14</v>
      </c>
      <c r="G1084" s="181" t="s">
        <v>647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</row>
    <row r="1085" spans="1:15">
      <c r="A1085" s="191">
        <v>44562</v>
      </c>
      <c r="B1085" s="181" t="s">
        <v>133</v>
      </c>
      <c r="C1085" s="181" t="s">
        <v>697</v>
      </c>
      <c r="D1085" s="181" t="str">
        <f t="shared" si="19"/>
        <v>34500</v>
      </c>
      <c r="E1085" s="181" t="s">
        <v>15</v>
      </c>
      <c r="F1085" s="181" t="s">
        <v>14</v>
      </c>
      <c r="G1085" s="181" t="s">
        <v>647</v>
      </c>
      <c r="H1085" s="8">
        <v>75877.150000000009</v>
      </c>
      <c r="I1085" s="8">
        <v>1043.47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76920.62</v>
      </c>
    </row>
    <row r="1086" spans="1:15">
      <c r="A1086" s="191">
        <v>44562</v>
      </c>
      <c r="B1086" s="181" t="s">
        <v>133</v>
      </c>
      <c r="C1086" s="181" t="s">
        <v>698</v>
      </c>
      <c r="D1086" s="181" t="str">
        <f t="shared" si="19"/>
        <v>34500</v>
      </c>
      <c r="E1086" s="181" t="s">
        <v>15</v>
      </c>
      <c r="F1086" s="181" t="s">
        <v>14</v>
      </c>
      <c r="G1086" s="181" t="s">
        <v>647</v>
      </c>
      <c r="H1086" s="8">
        <v>2222496.06</v>
      </c>
      <c r="I1086" s="8">
        <v>18363.080000000002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2240859.14</v>
      </c>
    </row>
    <row r="1087" spans="1:15">
      <c r="A1087" s="191">
        <v>44562</v>
      </c>
      <c r="B1087" s="181" t="s">
        <v>133</v>
      </c>
      <c r="C1087" s="181" t="s">
        <v>699</v>
      </c>
      <c r="D1087" s="181" t="str">
        <f t="shared" si="19"/>
        <v>34500</v>
      </c>
      <c r="E1087" s="181" t="s">
        <v>15</v>
      </c>
      <c r="F1087" s="181" t="s">
        <v>14</v>
      </c>
      <c r="G1087" s="181" t="s">
        <v>647</v>
      </c>
      <c r="H1087" s="8">
        <v>2221545.7599999998</v>
      </c>
      <c r="I1087" s="8">
        <v>18363.080000000002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2239908.84</v>
      </c>
    </row>
    <row r="1088" spans="1:15">
      <c r="A1088" s="191">
        <v>44562</v>
      </c>
      <c r="B1088" s="181" t="s">
        <v>133</v>
      </c>
      <c r="C1088" s="181" t="s">
        <v>700</v>
      </c>
      <c r="D1088" s="181" t="str">
        <f t="shared" si="19"/>
        <v>34500</v>
      </c>
      <c r="E1088" s="181" t="s">
        <v>15</v>
      </c>
      <c r="F1088" s="181" t="s">
        <v>14</v>
      </c>
      <c r="G1088" s="181" t="s">
        <v>647</v>
      </c>
      <c r="H1088" s="8">
        <v>412414.23</v>
      </c>
      <c r="I1088" s="8">
        <v>7691.17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420105.4</v>
      </c>
    </row>
    <row r="1089" spans="1:15">
      <c r="A1089" s="191">
        <v>44562</v>
      </c>
      <c r="B1089" s="181" t="s">
        <v>133</v>
      </c>
      <c r="C1089" s="181" t="s">
        <v>694</v>
      </c>
      <c r="D1089" s="181" t="str">
        <f t="shared" si="19"/>
        <v>34500</v>
      </c>
      <c r="E1089" s="181" t="s">
        <v>15</v>
      </c>
      <c r="F1089" s="181" t="s">
        <v>14</v>
      </c>
      <c r="G1089" s="181" t="s">
        <v>793</v>
      </c>
      <c r="H1089" s="8">
        <v>19547.850000000002</v>
      </c>
      <c r="I1089" s="8">
        <v>173.74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19721.59</v>
      </c>
    </row>
    <row r="1090" spans="1:15">
      <c r="A1090" s="191">
        <v>44562</v>
      </c>
      <c r="B1090" s="181" t="s">
        <v>133</v>
      </c>
      <c r="C1090" s="181" t="s">
        <v>697</v>
      </c>
      <c r="D1090" s="181" t="str">
        <f t="shared" ref="D1090:D1153" si="20">MID(C1090,10,5)</f>
        <v>34500</v>
      </c>
      <c r="E1090" s="181" t="s">
        <v>15</v>
      </c>
      <c r="F1090" s="181" t="s">
        <v>14</v>
      </c>
      <c r="G1090" s="181" t="s">
        <v>793</v>
      </c>
      <c r="H1090" s="8">
        <v>9227.7000000000007</v>
      </c>
      <c r="I1090" s="8">
        <v>126.9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9354.6</v>
      </c>
    </row>
    <row r="1091" spans="1:15">
      <c r="A1091" s="191">
        <v>44562</v>
      </c>
      <c r="B1091" s="181" t="s">
        <v>133</v>
      </c>
      <c r="C1091" s="181" t="s">
        <v>698</v>
      </c>
      <c r="D1091" s="181" t="str">
        <f t="shared" si="20"/>
        <v>34500</v>
      </c>
      <c r="E1091" s="181" t="s">
        <v>15</v>
      </c>
      <c r="F1091" s="181" t="s">
        <v>14</v>
      </c>
      <c r="G1091" s="181" t="s">
        <v>793</v>
      </c>
      <c r="H1091" s="8">
        <v>243643.31</v>
      </c>
      <c r="I1091" s="8">
        <v>2233.19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245876.5</v>
      </c>
    </row>
    <row r="1092" spans="1:15">
      <c r="A1092" s="191">
        <v>44562</v>
      </c>
      <c r="B1092" s="181" t="s">
        <v>133</v>
      </c>
      <c r="C1092" s="181" t="s">
        <v>699</v>
      </c>
      <c r="D1092" s="181" t="str">
        <f t="shared" si="20"/>
        <v>34500</v>
      </c>
      <c r="E1092" s="181" t="s">
        <v>15</v>
      </c>
      <c r="F1092" s="181" t="s">
        <v>14</v>
      </c>
      <c r="G1092" s="181" t="s">
        <v>793</v>
      </c>
      <c r="H1092" s="8">
        <v>243527.74</v>
      </c>
      <c r="I1092" s="8">
        <v>2233.19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245760.93</v>
      </c>
    </row>
    <row r="1093" spans="1:15">
      <c r="A1093" s="191">
        <v>44562</v>
      </c>
      <c r="B1093" s="181" t="s">
        <v>133</v>
      </c>
      <c r="C1093" s="181" t="s">
        <v>700</v>
      </c>
      <c r="D1093" s="181" t="str">
        <f t="shared" si="20"/>
        <v>34500</v>
      </c>
      <c r="E1093" s="181" t="s">
        <v>15</v>
      </c>
      <c r="F1093" s="181" t="s">
        <v>14</v>
      </c>
      <c r="G1093" s="181" t="s">
        <v>793</v>
      </c>
      <c r="H1093" s="8">
        <v>15928.800000000001</v>
      </c>
      <c r="I1093" s="8">
        <v>294.78000000000003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16223.58</v>
      </c>
    </row>
    <row r="1094" spans="1:15">
      <c r="A1094" s="191">
        <v>44593</v>
      </c>
      <c r="B1094" s="181" t="s">
        <v>132</v>
      </c>
      <c r="C1094" s="181" t="s">
        <v>694</v>
      </c>
      <c r="D1094" s="181" t="str">
        <f t="shared" si="20"/>
        <v>34500</v>
      </c>
      <c r="E1094" s="181" t="s">
        <v>15</v>
      </c>
      <c r="F1094" s="181" t="s">
        <v>14</v>
      </c>
      <c r="G1094" s="181" t="s">
        <v>647</v>
      </c>
      <c r="H1094" s="8">
        <v>732275.07000000007</v>
      </c>
      <c r="I1094" s="8">
        <v>2917.34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735192.41</v>
      </c>
    </row>
    <row r="1095" spans="1:15">
      <c r="A1095" s="191">
        <v>44593</v>
      </c>
      <c r="B1095" s="181" t="s">
        <v>132</v>
      </c>
      <c r="C1095" s="181" t="s">
        <v>695</v>
      </c>
      <c r="D1095" s="181" t="str">
        <f t="shared" si="20"/>
        <v>34500</v>
      </c>
      <c r="E1095" s="181" t="s">
        <v>15</v>
      </c>
      <c r="F1095" s="181" t="s">
        <v>14</v>
      </c>
      <c r="G1095" s="181" t="s">
        <v>647</v>
      </c>
      <c r="H1095" s="8">
        <v>19322.46</v>
      </c>
      <c r="I1095" s="8">
        <v>233.03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19555.490000000002</v>
      </c>
    </row>
    <row r="1096" spans="1:15">
      <c r="A1096" s="191">
        <v>44593</v>
      </c>
      <c r="B1096" s="181" t="s">
        <v>132</v>
      </c>
      <c r="C1096" s="181" t="s">
        <v>696</v>
      </c>
      <c r="D1096" s="181" t="str">
        <f t="shared" si="20"/>
        <v>34500</v>
      </c>
      <c r="E1096" s="181" t="s">
        <v>15</v>
      </c>
      <c r="F1096" s="181" t="s">
        <v>14</v>
      </c>
      <c r="G1096" s="181" t="s">
        <v>647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</row>
    <row r="1097" spans="1:15">
      <c r="A1097" s="191">
        <v>44593</v>
      </c>
      <c r="B1097" s="181" t="s">
        <v>132</v>
      </c>
      <c r="C1097" s="181" t="s">
        <v>697</v>
      </c>
      <c r="D1097" s="181" t="str">
        <f t="shared" si="20"/>
        <v>34500</v>
      </c>
      <c r="E1097" s="181" t="s">
        <v>15</v>
      </c>
      <c r="F1097" s="181" t="s">
        <v>14</v>
      </c>
      <c r="G1097" s="181" t="s">
        <v>647</v>
      </c>
      <c r="H1097" s="8">
        <v>76920.62</v>
      </c>
      <c r="I1097" s="8">
        <v>819.31000000000006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77739.930000000008</v>
      </c>
    </row>
    <row r="1098" spans="1:15">
      <c r="A1098" s="191">
        <v>44593</v>
      </c>
      <c r="B1098" s="181" t="s">
        <v>132</v>
      </c>
      <c r="C1098" s="181" t="s">
        <v>698</v>
      </c>
      <c r="D1098" s="181" t="str">
        <f t="shared" si="20"/>
        <v>34500</v>
      </c>
      <c r="E1098" s="181" t="s">
        <v>15</v>
      </c>
      <c r="F1098" s="181" t="s">
        <v>14</v>
      </c>
      <c r="G1098" s="181" t="s">
        <v>647</v>
      </c>
      <c r="H1098" s="8">
        <v>2240859.14</v>
      </c>
      <c r="I1098" s="8">
        <v>18363.080000000002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2259222.2200000002</v>
      </c>
    </row>
    <row r="1099" spans="1:15">
      <c r="A1099" s="191">
        <v>44593</v>
      </c>
      <c r="B1099" s="181" t="s">
        <v>132</v>
      </c>
      <c r="C1099" s="181" t="s">
        <v>699</v>
      </c>
      <c r="D1099" s="181" t="str">
        <f t="shared" si="20"/>
        <v>34500</v>
      </c>
      <c r="E1099" s="181" t="s">
        <v>15</v>
      </c>
      <c r="F1099" s="181" t="s">
        <v>14</v>
      </c>
      <c r="G1099" s="181" t="s">
        <v>647</v>
      </c>
      <c r="H1099" s="8">
        <v>2239908.84</v>
      </c>
      <c r="I1099" s="8">
        <v>18363.080000000002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2258271.92</v>
      </c>
    </row>
    <row r="1100" spans="1:15">
      <c r="A1100" s="191">
        <v>44593</v>
      </c>
      <c r="B1100" s="181" t="s">
        <v>132</v>
      </c>
      <c r="C1100" s="181" t="s">
        <v>700</v>
      </c>
      <c r="D1100" s="181" t="str">
        <f t="shared" si="20"/>
        <v>34500</v>
      </c>
      <c r="E1100" s="181" t="s">
        <v>15</v>
      </c>
      <c r="F1100" s="181" t="s">
        <v>14</v>
      </c>
      <c r="G1100" s="181" t="s">
        <v>647</v>
      </c>
      <c r="H1100" s="8">
        <v>420105.4</v>
      </c>
      <c r="I1100" s="8">
        <v>7691.17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427796.57</v>
      </c>
    </row>
    <row r="1101" spans="1:15">
      <c r="A1101" s="191">
        <v>44593</v>
      </c>
      <c r="B1101" s="181" t="s">
        <v>132</v>
      </c>
      <c r="C1101" s="181" t="s">
        <v>694</v>
      </c>
      <c r="D1101" s="181" t="str">
        <f t="shared" si="20"/>
        <v>34500</v>
      </c>
      <c r="E1101" s="181" t="s">
        <v>15</v>
      </c>
      <c r="F1101" s="181" t="s">
        <v>14</v>
      </c>
      <c r="G1101" s="181" t="s">
        <v>793</v>
      </c>
      <c r="H1101" s="8">
        <v>19721.59</v>
      </c>
      <c r="I1101" s="8">
        <v>173.74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19895.330000000002</v>
      </c>
    </row>
    <row r="1102" spans="1:15">
      <c r="A1102" s="191">
        <v>44593</v>
      </c>
      <c r="B1102" s="181" t="s">
        <v>132</v>
      </c>
      <c r="C1102" s="181" t="s">
        <v>697</v>
      </c>
      <c r="D1102" s="181" t="str">
        <f t="shared" si="20"/>
        <v>34500</v>
      </c>
      <c r="E1102" s="181" t="s">
        <v>15</v>
      </c>
      <c r="F1102" s="181" t="s">
        <v>14</v>
      </c>
      <c r="G1102" s="181" t="s">
        <v>793</v>
      </c>
      <c r="H1102" s="8">
        <v>9354.6</v>
      </c>
      <c r="I1102" s="8">
        <v>99.64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9454.24</v>
      </c>
    </row>
    <row r="1103" spans="1:15">
      <c r="A1103" s="191">
        <v>44593</v>
      </c>
      <c r="B1103" s="181" t="s">
        <v>132</v>
      </c>
      <c r="C1103" s="181" t="s">
        <v>698</v>
      </c>
      <c r="D1103" s="181" t="str">
        <f t="shared" si="20"/>
        <v>34500</v>
      </c>
      <c r="E1103" s="181" t="s">
        <v>15</v>
      </c>
      <c r="F1103" s="181" t="s">
        <v>14</v>
      </c>
      <c r="G1103" s="181" t="s">
        <v>793</v>
      </c>
      <c r="H1103" s="8">
        <v>245876.5</v>
      </c>
      <c r="I1103" s="8">
        <v>2233.19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248109.69</v>
      </c>
    </row>
    <row r="1104" spans="1:15">
      <c r="A1104" s="191">
        <v>44593</v>
      </c>
      <c r="B1104" s="181" t="s">
        <v>132</v>
      </c>
      <c r="C1104" s="181" t="s">
        <v>699</v>
      </c>
      <c r="D1104" s="181" t="str">
        <f t="shared" si="20"/>
        <v>34500</v>
      </c>
      <c r="E1104" s="181" t="s">
        <v>15</v>
      </c>
      <c r="F1104" s="181" t="s">
        <v>14</v>
      </c>
      <c r="G1104" s="181" t="s">
        <v>793</v>
      </c>
      <c r="H1104" s="8">
        <v>245760.93</v>
      </c>
      <c r="I1104" s="8">
        <v>2233.19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247994.12</v>
      </c>
    </row>
    <row r="1105" spans="1:15">
      <c r="A1105" s="191">
        <v>44593</v>
      </c>
      <c r="B1105" s="181" t="s">
        <v>132</v>
      </c>
      <c r="C1105" s="181" t="s">
        <v>700</v>
      </c>
      <c r="D1105" s="181" t="str">
        <f t="shared" si="20"/>
        <v>34500</v>
      </c>
      <c r="E1105" s="181" t="s">
        <v>15</v>
      </c>
      <c r="F1105" s="181" t="s">
        <v>14</v>
      </c>
      <c r="G1105" s="181" t="s">
        <v>793</v>
      </c>
      <c r="H1105" s="8">
        <v>16223.58</v>
      </c>
      <c r="I1105" s="8">
        <v>294.78000000000003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16518.36</v>
      </c>
    </row>
    <row r="1106" spans="1:15">
      <c r="A1106" s="191">
        <v>44621</v>
      </c>
      <c r="B1106" s="181" t="s">
        <v>131</v>
      </c>
      <c r="C1106" s="181" t="s">
        <v>694</v>
      </c>
      <c r="D1106" s="181" t="str">
        <f t="shared" si="20"/>
        <v>34500</v>
      </c>
      <c r="E1106" s="181" t="s">
        <v>15</v>
      </c>
      <c r="F1106" s="181" t="s">
        <v>14</v>
      </c>
      <c r="G1106" s="181" t="s">
        <v>647</v>
      </c>
      <c r="H1106" s="8">
        <v>735192.41</v>
      </c>
      <c r="I1106" s="8">
        <v>2917.34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738109.75</v>
      </c>
    </row>
    <row r="1107" spans="1:15">
      <c r="A1107" s="191">
        <v>44621</v>
      </c>
      <c r="B1107" s="181" t="s">
        <v>131</v>
      </c>
      <c r="C1107" s="181" t="s">
        <v>695</v>
      </c>
      <c r="D1107" s="181" t="str">
        <f t="shared" si="20"/>
        <v>34500</v>
      </c>
      <c r="E1107" s="181" t="s">
        <v>15</v>
      </c>
      <c r="F1107" s="181" t="s">
        <v>14</v>
      </c>
      <c r="G1107" s="181" t="s">
        <v>647</v>
      </c>
      <c r="H1107" s="8">
        <v>19555.490000000002</v>
      </c>
      <c r="I1107" s="8">
        <v>233.03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19788.52</v>
      </c>
    </row>
    <row r="1108" spans="1:15">
      <c r="A1108" s="191">
        <v>44621</v>
      </c>
      <c r="B1108" s="181" t="s">
        <v>131</v>
      </c>
      <c r="C1108" s="181" t="s">
        <v>696</v>
      </c>
      <c r="D1108" s="181" t="str">
        <f t="shared" si="20"/>
        <v>34500</v>
      </c>
      <c r="E1108" s="181" t="s">
        <v>15</v>
      </c>
      <c r="F1108" s="181" t="s">
        <v>14</v>
      </c>
      <c r="G1108" s="181" t="s">
        <v>647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</row>
    <row r="1109" spans="1:15">
      <c r="A1109" s="191">
        <v>44621</v>
      </c>
      <c r="B1109" s="181" t="s">
        <v>131</v>
      </c>
      <c r="C1109" s="181" t="s">
        <v>697</v>
      </c>
      <c r="D1109" s="181" t="str">
        <f t="shared" si="20"/>
        <v>34500</v>
      </c>
      <c r="E1109" s="181" t="s">
        <v>15</v>
      </c>
      <c r="F1109" s="181" t="s">
        <v>14</v>
      </c>
      <c r="G1109" s="181" t="s">
        <v>647</v>
      </c>
      <c r="H1109" s="8">
        <v>77739.930000000008</v>
      </c>
      <c r="I1109" s="8">
        <v>819.31000000000006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78559.240000000005</v>
      </c>
    </row>
    <row r="1110" spans="1:15">
      <c r="A1110" s="191">
        <v>44621</v>
      </c>
      <c r="B1110" s="181" t="s">
        <v>131</v>
      </c>
      <c r="C1110" s="181" t="s">
        <v>698</v>
      </c>
      <c r="D1110" s="181" t="str">
        <f t="shared" si="20"/>
        <v>34500</v>
      </c>
      <c r="E1110" s="181" t="s">
        <v>15</v>
      </c>
      <c r="F1110" s="181" t="s">
        <v>14</v>
      </c>
      <c r="G1110" s="181" t="s">
        <v>647</v>
      </c>
      <c r="H1110" s="8">
        <v>2259222.2200000002</v>
      </c>
      <c r="I1110" s="8">
        <v>18363.080000000002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2277585.2999999998</v>
      </c>
    </row>
    <row r="1111" spans="1:15">
      <c r="A1111" s="191">
        <v>44621</v>
      </c>
      <c r="B1111" s="181" t="s">
        <v>131</v>
      </c>
      <c r="C1111" s="181" t="s">
        <v>699</v>
      </c>
      <c r="D1111" s="181" t="str">
        <f t="shared" si="20"/>
        <v>34500</v>
      </c>
      <c r="E1111" s="181" t="s">
        <v>15</v>
      </c>
      <c r="F1111" s="181" t="s">
        <v>14</v>
      </c>
      <c r="G1111" s="181" t="s">
        <v>647</v>
      </c>
      <c r="H1111" s="8">
        <v>2258271.92</v>
      </c>
      <c r="I1111" s="8">
        <v>18363.080000000002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2276635</v>
      </c>
    </row>
    <row r="1112" spans="1:15">
      <c r="A1112" s="191">
        <v>44621</v>
      </c>
      <c r="B1112" s="181" t="s">
        <v>131</v>
      </c>
      <c r="C1112" s="181" t="s">
        <v>700</v>
      </c>
      <c r="D1112" s="181" t="str">
        <f t="shared" si="20"/>
        <v>34500</v>
      </c>
      <c r="E1112" s="181" t="s">
        <v>15</v>
      </c>
      <c r="F1112" s="181" t="s">
        <v>14</v>
      </c>
      <c r="G1112" s="181" t="s">
        <v>647</v>
      </c>
      <c r="H1112" s="8">
        <v>427796.57</v>
      </c>
      <c r="I1112" s="8">
        <v>7691.17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435487.74</v>
      </c>
    </row>
    <row r="1113" spans="1:15">
      <c r="A1113" s="191">
        <v>44621</v>
      </c>
      <c r="B1113" s="181" t="s">
        <v>131</v>
      </c>
      <c r="C1113" s="181" t="s">
        <v>694</v>
      </c>
      <c r="D1113" s="181" t="str">
        <f t="shared" si="20"/>
        <v>34500</v>
      </c>
      <c r="E1113" s="181" t="s">
        <v>15</v>
      </c>
      <c r="F1113" s="181" t="s">
        <v>14</v>
      </c>
      <c r="G1113" s="181" t="s">
        <v>793</v>
      </c>
      <c r="H1113" s="8">
        <v>19895.330000000002</v>
      </c>
      <c r="I1113" s="8">
        <v>173.74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20069.07</v>
      </c>
    </row>
    <row r="1114" spans="1:15">
      <c r="A1114" s="191">
        <v>44621</v>
      </c>
      <c r="B1114" s="181" t="s">
        <v>131</v>
      </c>
      <c r="C1114" s="181" t="s">
        <v>697</v>
      </c>
      <c r="D1114" s="181" t="str">
        <f t="shared" si="20"/>
        <v>34500</v>
      </c>
      <c r="E1114" s="181" t="s">
        <v>15</v>
      </c>
      <c r="F1114" s="181" t="s">
        <v>14</v>
      </c>
      <c r="G1114" s="181" t="s">
        <v>793</v>
      </c>
      <c r="H1114" s="8">
        <v>9454.24</v>
      </c>
      <c r="I1114" s="8">
        <v>99.64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9553.880000000001</v>
      </c>
    </row>
    <row r="1115" spans="1:15">
      <c r="A1115" s="191">
        <v>44621</v>
      </c>
      <c r="B1115" s="181" t="s">
        <v>131</v>
      </c>
      <c r="C1115" s="181" t="s">
        <v>698</v>
      </c>
      <c r="D1115" s="181" t="str">
        <f t="shared" si="20"/>
        <v>34500</v>
      </c>
      <c r="E1115" s="181" t="s">
        <v>15</v>
      </c>
      <c r="F1115" s="181" t="s">
        <v>14</v>
      </c>
      <c r="G1115" s="181" t="s">
        <v>793</v>
      </c>
      <c r="H1115" s="8">
        <v>248109.69</v>
      </c>
      <c r="I1115" s="8">
        <v>2233.19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250342.88</v>
      </c>
    </row>
    <row r="1116" spans="1:15">
      <c r="A1116" s="191">
        <v>44621</v>
      </c>
      <c r="B1116" s="181" t="s">
        <v>131</v>
      </c>
      <c r="C1116" s="181" t="s">
        <v>699</v>
      </c>
      <c r="D1116" s="181" t="str">
        <f t="shared" si="20"/>
        <v>34500</v>
      </c>
      <c r="E1116" s="181" t="s">
        <v>15</v>
      </c>
      <c r="F1116" s="181" t="s">
        <v>14</v>
      </c>
      <c r="G1116" s="181" t="s">
        <v>793</v>
      </c>
      <c r="H1116" s="8">
        <v>247994.12</v>
      </c>
      <c r="I1116" s="8">
        <v>2233.19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250227.31</v>
      </c>
    </row>
    <row r="1117" spans="1:15">
      <c r="A1117" s="191">
        <v>44621</v>
      </c>
      <c r="B1117" s="181" t="s">
        <v>131</v>
      </c>
      <c r="C1117" s="181" t="s">
        <v>700</v>
      </c>
      <c r="D1117" s="181" t="str">
        <f t="shared" si="20"/>
        <v>34500</v>
      </c>
      <c r="E1117" s="181" t="s">
        <v>15</v>
      </c>
      <c r="F1117" s="181" t="s">
        <v>14</v>
      </c>
      <c r="G1117" s="181" t="s">
        <v>793</v>
      </c>
      <c r="H1117" s="8">
        <v>16518.36</v>
      </c>
      <c r="I1117" s="8">
        <v>294.78000000000003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16813.14</v>
      </c>
    </row>
    <row r="1118" spans="1:15">
      <c r="A1118" s="191">
        <v>44652</v>
      </c>
      <c r="B1118" s="181" t="s">
        <v>130</v>
      </c>
      <c r="C1118" s="181" t="s">
        <v>694</v>
      </c>
      <c r="D1118" s="181" t="str">
        <f t="shared" si="20"/>
        <v>34500</v>
      </c>
      <c r="E1118" s="181" t="s">
        <v>15</v>
      </c>
      <c r="F1118" s="181" t="s">
        <v>14</v>
      </c>
      <c r="G1118" s="181" t="s">
        <v>647</v>
      </c>
      <c r="H1118" s="8">
        <v>738109.75</v>
      </c>
      <c r="I1118" s="8">
        <v>2917.34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741027.09</v>
      </c>
    </row>
    <row r="1119" spans="1:15">
      <c r="A1119" s="191">
        <v>44652</v>
      </c>
      <c r="B1119" s="181" t="s">
        <v>130</v>
      </c>
      <c r="C1119" s="181" t="s">
        <v>695</v>
      </c>
      <c r="D1119" s="181" t="str">
        <f t="shared" si="20"/>
        <v>34500</v>
      </c>
      <c r="E1119" s="181" t="s">
        <v>15</v>
      </c>
      <c r="F1119" s="181" t="s">
        <v>14</v>
      </c>
      <c r="G1119" s="181" t="s">
        <v>647</v>
      </c>
      <c r="H1119" s="8">
        <v>19788.52</v>
      </c>
      <c r="I1119" s="8">
        <v>233.03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20021.55</v>
      </c>
    </row>
    <row r="1120" spans="1:15">
      <c r="A1120" s="191">
        <v>44652</v>
      </c>
      <c r="B1120" s="181" t="s">
        <v>130</v>
      </c>
      <c r="C1120" s="181" t="s">
        <v>696</v>
      </c>
      <c r="D1120" s="181" t="str">
        <f t="shared" si="20"/>
        <v>34500</v>
      </c>
      <c r="E1120" s="181" t="s">
        <v>15</v>
      </c>
      <c r="F1120" s="181" t="s">
        <v>14</v>
      </c>
      <c r="G1120" s="181" t="s">
        <v>647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</row>
    <row r="1121" spans="1:15">
      <c r="A1121" s="191">
        <v>44652</v>
      </c>
      <c r="B1121" s="181" t="s">
        <v>130</v>
      </c>
      <c r="C1121" s="181" t="s">
        <v>697</v>
      </c>
      <c r="D1121" s="181" t="str">
        <f t="shared" si="20"/>
        <v>34500</v>
      </c>
      <c r="E1121" s="181" t="s">
        <v>15</v>
      </c>
      <c r="F1121" s="181" t="s">
        <v>14</v>
      </c>
      <c r="G1121" s="181" t="s">
        <v>647</v>
      </c>
      <c r="H1121" s="8">
        <v>78559.240000000005</v>
      </c>
      <c r="I1121" s="8">
        <v>819.31000000000006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79378.55</v>
      </c>
    </row>
    <row r="1122" spans="1:15">
      <c r="A1122" s="191">
        <v>44652</v>
      </c>
      <c r="B1122" s="181" t="s">
        <v>130</v>
      </c>
      <c r="C1122" s="181" t="s">
        <v>698</v>
      </c>
      <c r="D1122" s="181" t="str">
        <f t="shared" si="20"/>
        <v>34500</v>
      </c>
      <c r="E1122" s="181" t="s">
        <v>15</v>
      </c>
      <c r="F1122" s="181" t="s">
        <v>14</v>
      </c>
      <c r="G1122" s="181" t="s">
        <v>647</v>
      </c>
      <c r="H1122" s="8">
        <v>2277585.2999999998</v>
      </c>
      <c r="I1122" s="8">
        <v>18363.080000000002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2295948.38</v>
      </c>
    </row>
    <row r="1123" spans="1:15">
      <c r="A1123" s="191">
        <v>44652</v>
      </c>
      <c r="B1123" s="181" t="s">
        <v>130</v>
      </c>
      <c r="C1123" s="181" t="s">
        <v>699</v>
      </c>
      <c r="D1123" s="181" t="str">
        <f t="shared" si="20"/>
        <v>34500</v>
      </c>
      <c r="E1123" s="181" t="s">
        <v>15</v>
      </c>
      <c r="F1123" s="181" t="s">
        <v>14</v>
      </c>
      <c r="G1123" s="181" t="s">
        <v>647</v>
      </c>
      <c r="H1123" s="8">
        <v>2276635</v>
      </c>
      <c r="I1123" s="8">
        <v>18363.080000000002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2294998.08</v>
      </c>
    </row>
    <row r="1124" spans="1:15">
      <c r="A1124" s="191">
        <v>44652</v>
      </c>
      <c r="B1124" s="181" t="s">
        <v>130</v>
      </c>
      <c r="C1124" s="181" t="s">
        <v>700</v>
      </c>
      <c r="D1124" s="181" t="str">
        <f t="shared" si="20"/>
        <v>34500</v>
      </c>
      <c r="E1124" s="181" t="s">
        <v>15</v>
      </c>
      <c r="F1124" s="181" t="s">
        <v>14</v>
      </c>
      <c r="G1124" s="181" t="s">
        <v>647</v>
      </c>
      <c r="H1124" s="8">
        <v>435487.74</v>
      </c>
      <c r="I1124" s="8">
        <v>7691.17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443178.91000000003</v>
      </c>
    </row>
    <row r="1125" spans="1:15">
      <c r="A1125" s="191">
        <v>44652</v>
      </c>
      <c r="B1125" s="181" t="s">
        <v>130</v>
      </c>
      <c r="C1125" s="181" t="s">
        <v>694</v>
      </c>
      <c r="D1125" s="181" t="str">
        <f t="shared" si="20"/>
        <v>34500</v>
      </c>
      <c r="E1125" s="181" t="s">
        <v>15</v>
      </c>
      <c r="F1125" s="181" t="s">
        <v>14</v>
      </c>
      <c r="G1125" s="181" t="s">
        <v>793</v>
      </c>
      <c r="H1125" s="8">
        <v>20069.07</v>
      </c>
      <c r="I1125" s="8">
        <v>173.74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20242.810000000001</v>
      </c>
    </row>
    <row r="1126" spans="1:15">
      <c r="A1126" s="191">
        <v>44652</v>
      </c>
      <c r="B1126" s="181" t="s">
        <v>130</v>
      </c>
      <c r="C1126" s="181" t="s">
        <v>697</v>
      </c>
      <c r="D1126" s="181" t="str">
        <f t="shared" si="20"/>
        <v>34500</v>
      </c>
      <c r="E1126" s="181" t="s">
        <v>15</v>
      </c>
      <c r="F1126" s="181" t="s">
        <v>14</v>
      </c>
      <c r="G1126" s="181" t="s">
        <v>793</v>
      </c>
      <c r="H1126" s="8">
        <v>9553.880000000001</v>
      </c>
      <c r="I1126" s="8">
        <v>99.64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9653.52</v>
      </c>
    </row>
    <row r="1127" spans="1:15">
      <c r="A1127" s="191">
        <v>44652</v>
      </c>
      <c r="B1127" s="181" t="s">
        <v>130</v>
      </c>
      <c r="C1127" s="181" t="s">
        <v>698</v>
      </c>
      <c r="D1127" s="181" t="str">
        <f t="shared" si="20"/>
        <v>34500</v>
      </c>
      <c r="E1127" s="181" t="s">
        <v>15</v>
      </c>
      <c r="F1127" s="181" t="s">
        <v>14</v>
      </c>
      <c r="G1127" s="181" t="s">
        <v>793</v>
      </c>
      <c r="H1127" s="8">
        <v>250342.88</v>
      </c>
      <c r="I1127" s="8">
        <v>2233.19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252576.07</v>
      </c>
    </row>
    <row r="1128" spans="1:15">
      <c r="A1128" s="191">
        <v>44652</v>
      </c>
      <c r="B1128" s="181" t="s">
        <v>130</v>
      </c>
      <c r="C1128" s="181" t="s">
        <v>699</v>
      </c>
      <c r="D1128" s="181" t="str">
        <f t="shared" si="20"/>
        <v>34500</v>
      </c>
      <c r="E1128" s="181" t="s">
        <v>15</v>
      </c>
      <c r="F1128" s="181" t="s">
        <v>14</v>
      </c>
      <c r="G1128" s="181" t="s">
        <v>793</v>
      </c>
      <c r="H1128" s="8">
        <v>250227.31</v>
      </c>
      <c r="I1128" s="8">
        <v>2233.19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252460.5</v>
      </c>
    </row>
    <row r="1129" spans="1:15">
      <c r="A1129" s="191">
        <v>44652</v>
      </c>
      <c r="B1129" s="181" t="s">
        <v>130</v>
      </c>
      <c r="C1129" s="181" t="s">
        <v>700</v>
      </c>
      <c r="D1129" s="181" t="str">
        <f t="shared" si="20"/>
        <v>34500</v>
      </c>
      <c r="E1129" s="181" t="s">
        <v>15</v>
      </c>
      <c r="F1129" s="181" t="s">
        <v>14</v>
      </c>
      <c r="G1129" s="181" t="s">
        <v>793</v>
      </c>
      <c r="H1129" s="8">
        <v>16813.14</v>
      </c>
      <c r="I1129" s="8">
        <v>294.78000000000003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17107.920000000002</v>
      </c>
    </row>
    <row r="1130" spans="1:15">
      <c r="A1130" s="191">
        <v>44682</v>
      </c>
      <c r="B1130" s="181" t="s">
        <v>129</v>
      </c>
      <c r="C1130" s="181" t="s">
        <v>694</v>
      </c>
      <c r="D1130" s="181" t="str">
        <f t="shared" si="20"/>
        <v>34500</v>
      </c>
      <c r="E1130" s="181" t="s">
        <v>15</v>
      </c>
      <c r="F1130" s="181" t="s">
        <v>14</v>
      </c>
      <c r="G1130" s="181" t="s">
        <v>647</v>
      </c>
      <c r="H1130" s="8">
        <v>741027.09</v>
      </c>
      <c r="I1130" s="8">
        <v>2917.34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743944.43</v>
      </c>
    </row>
    <row r="1131" spans="1:15">
      <c r="A1131" s="191">
        <v>44682</v>
      </c>
      <c r="B1131" s="181" t="s">
        <v>129</v>
      </c>
      <c r="C1131" s="181" t="s">
        <v>695</v>
      </c>
      <c r="D1131" s="181" t="str">
        <f t="shared" si="20"/>
        <v>34500</v>
      </c>
      <c r="E1131" s="181" t="s">
        <v>15</v>
      </c>
      <c r="F1131" s="181" t="s">
        <v>14</v>
      </c>
      <c r="G1131" s="181" t="s">
        <v>647</v>
      </c>
      <c r="H1131" s="8">
        <v>20021.55</v>
      </c>
      <c r="I1131" s="8">
        <v>233.03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20254.580000000002</v>
      </c>
    </row>
    <row r="1132" spans="1:15">
      <c r="A1132" s="191">
        <v>44682</v>
      </c>
      <c r="B1132" s="181" t="s">
        <v>129</v>
      </c>
      <c r="C1132" s="181" t="s">
        <v>696</v>
      </c>
      <c r="D1132" s="181" t="str">
        <f t="shared" si="20"/>
        <v>34500</v>
      </c>
      <c r="E1132" s="181" t="s">
        <v>15</v>
      </c>
      <c r="F1132" s="181" t="s">
        <v>14</v>
      </c>
      <c r="G1132" s="181" t="s">
        <v>647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</row>
    <row r="1133" spans="1:15">
      <c r="A1133" s="191">
        <v>44682</v>
      </c>
      <c r="B1133" s="181" t="s">
        <v>129</v>
      </c>
      <c r="C1133" s="181" t="s">
        <v>697</v>
      </c>
      <c r="D1133" s="181" t="str">
        <f t="shared" si="20"/>
        <v>34500</v>
      </c>
      <c r="E1133" s="181" t="s">
        <v>15</v>
      </c>
      <c r="F1133" s="181" t="s">
        <v>14</v>
      </c>
      <c r="G1133" s="181" t="s">
        <v>647</v>
      </c>
      <c r="H1133" s="8">
        <v>79378.55</v>
      </c>
      <c r="I1133" s="8">
        <v>819.31000000000006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80197.86</v>
      </c>
    </row>
    <row r="1134" spans="1:15">
      <c r="A1134" s="191">
        <v>44682</v>
      </c>
      <c r="B1134" s="181" t="s">
        <v>129</v>
      </c>
      <c r="C1134" s="181" t="s">
        <v>698</v>
      </c>
      <c r="D1134" s="181" t="str">
        <f t="shared" si="20"/>
        <v>34500</v>
      </c>
      <c r="E1134" s="181" t="s">
        <v>15</v>
      </c>
      <c r="F1134" s="181" t="s">
        <v>14</v>
      </c>
      <c r="G1134" s="181" t="s">
        <v>647</v>
      </c>
      <c r="H1134" s="8">
        <v>2295948.38</v>
      </c>
      <c r="I1134" s="8">
        <v>18363.080000000002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2314311.46</v>
      </c>
    </row>
    <row r="1135" spans="1:15">
      <c r="A1135" s="191">
        <v>44682</v>
      </c>
      <c r="B1135" s="181" t="s">
        <v>129</v>
      </c>
      <c r="C1135" s="181" t="s">
        <v>699</v>
      </c>
      <c r="D1135" s="181" t="str">
        <f t="shared" si="20"/>
        <v>34500</v>
      </c>
      <c r="E1135" s="181" t="s">
        <v>15</v>
      </c>
      <c r="F1135" s="181" t="s">
        <v>14</v>
      </c>
      <c r="G1135" s="181" t="s">
        <v>647</v>
      </c>
      <c r="H1135" s="8">
        <v>2294998.08</v>
      </c>
      <c r="I1135" s="8">
        <v>18363.080000000002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2313361.16</v>
      </c>
    </row>
    <row r="1136" spans="1:15">
      <c r="A1136" s="191">
        <v>44682</v>
      </c>
      <c r="B1136" s="181" t="s">
        <v>129</v>
      </c>
      <c r="C1136" s="181" t="s">
        <v>700</v>
      </c>
      <c r="D1136" s="181" t="str">
        <f t="shared" si="20"/>
        <v>34500</v>
      </c>
      <c r="E1136" s="181" t="s">
        <v>15</v>
      </c>
      <c r="F1136" s="181" t="s">
        <v>14</v>
      </c>
      <c r="G1136" s="181" t="s">
        <v>647</v>
      </c>
      <c r="H1136" s="8">
        <v>443178.91000000003</v>
      </c>
      <c r="I1136" s="8">
        <v>7691.17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450870.08</v>
      </c>
    </row>
    <row r="1137" spans="1:15">
      <c r="A1137" s="191">
        <v>44682</v>
      </c>
      <c r="B1137" s="181" t="s">
        <v>129</v>
      </c>
      <c r="C1137" s="181" t="s">
        <v>694</v>
      </c>
      <c r="D1137" s="181" t="str">
        <f t="shared" si="20"/>
        <v>34500</v>
      </c>
      <c r="E1137" s="181" t="s">
        <v>15</v>
      </c>
      <c r="F1137" s="181" t="s">
        <v>14</v>
      </c>
      <c r="G1137" s="181" t="s">
        <v>793</v>
      </c>
      <c r="H1137" s="8">
        <v>20242.810000000001</v>
      </c>
      <c r="I1137" s="8">
        <v>173.74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20416.55</v>
      </c>
    </row>
    <row r="1138" spans="1:15">
      <c r="A1138" s="191">
        <v>44682</v>
      </c>
      <c r="B1138" s="181" t="s">
        <v>129</v>
      </c>
      <c r="C1138" s="181" t="s">
        <v>697</v>
      </c>
      <c r="D1138" s="181" t="str">
        <f t="shared" si="20"/>
        <v>34500</v>
      </c>
      <c r="E1138" s="181" t="s">
        <v>15</v>
      </c>
      <c r="F1138" s="181" t="s">
        <v>14</v>
      </c>
      <c r="G1138" s="181" t="s">
        <v>793</v>
      </c>
      <c r="H1138" s="8">
        <v>9653.52</v>
      </c>
      <c r="I1138" s="8">
        <v>99.64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9753.16</v>
      </c>
    </row>
    <row r="1139" spans="1:15">
      <c r="A1139" s="191">
        <v>44682</v>
      </c>
      <c r="B1139" s="181" t="s">
        <v>129</v>
      </c>
      <c r="C1139" s="181" t="s">
        <v>698</v>
      </c>
      <c r="D1139" s="181" t="str">
        <f t="shared" si="20"/>
        <v>34500</v>
      </c>
      <c r="E1139" s="181" t="s">
        <v>15</v>
      </c>
      <c r="F1139" s="181" t="s">
        <v>14</v>
      </c>
      <c r="G1139" s="181" t="s">
        <v>793</v>
      </c>
      <c r="H1139" s="8">
        <v>252576.07</v>
      </c>
      <c r="I1139" s="8">
        <v>2233.19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254809.26</v>
      </c>
    </row>
    <row r="1140" spans="1:15">
      <c r="A1140" s="191">
        <v>44682</v>
      </c>
      <c r="B1140" s="181" t="s">
        <v>129</v>
      </c>
      <c r="C1140" s="181" t="s">
        <v>699</v>
      </c>
      <c r="D1140" s="181" t="str">
        <f t="shared" si="20"/>
        <v>34500</v>
      </c>
      <c r="E1140" s="181" t="s">
        <v>15</v>
      </c>
      <c r="F1140" s="181" t="s">
        <v>14</v>
      </c>
      <c r="G1140" s="181" t="s">
        <v>793</v>
      </c>
      <c r="H1140" s="8">
        <v>252460.5</v>
      </c>
      <c r="I1140" s="8">
        <v>2233.19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254693.69</v>
      </c>
    </row>
    <row r="1141" spans="1:15">
      <c r="A1141" s="191">
        <v>44682</v>
      </c>
      <c r="B1141" s="181" t="s">
        <v>129</v>
      </c>
      <c r="C1141" s="181" t="s">
        <v>700</v>
      </c>
      <c r="D1141" s="181" t="str">
        <f t="shared" si="20"/>
        <v>34500</v>
      </c>
      <c r="E1141" s="181" t="s">
        <v>15</v>
      </c>
      <c r="F1141" s="181" t="s">
        <v>14</v>
      </c>
      <c r="G1141" s="181" t="s">
        <v>793</v>
      </c>
      <c r="H1141" s="8">
        <v>17107.920000000002</v>
      </c>
      <c r="I1141" s="8">
        <v>294.78000000000003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17402.7</v>
      </c>
    </row>
    <row r="1142" spans="1:15">
      <c r="A1142" s="191">
        <v>44713</v>
      </c>
      <c r="B1142" s="181" t="s">
        <v>128</v>
      </c>
      <c r="C1142" s="181" t="s">
        <v>694</v>
      </c>
      <c r="D1142" s="181" t="str">
        <f t="shared" si="20"/>
        <v>34500</v>
      </c>
      <c r="E1142" s="181" t="s">
        <v>15</v>
      </c>
      <c r="F1142" s="181" t="s">
        <v>14</v>
      </c>
      <c r="G1142" s="181" t="s">
        <v>647</v>
      </c>
      <c r="H1142" s="8">
        <v>743944.43</v>
      </c>
      <c r="I1142" s="8">
        <v>2917.34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746861.77</v>
      </c>
    </row>
    <row r="1143" spans="1:15">
      <c r="A1143" s="191">
        <v>44713</v>
      </c>
      <c r="B1143" s="181" t="s">
        <v>128</v>
      </c>
      <c r="C1143" s="181" t="s">
        <v>695</v>
      </c>
      <c r="D1143" s="181" t="str">
        <f t="shared" si="20"/>
        <v>34500</v>
      </c>
      <c r="E1143" s="181" t="s">
        <v>15</v>
      </c>
      <c r="F1143" s="181" t="s">
        <v>14</v>
      </c>
      <c r="G1143" s="181" t="s">
        <v>647</v>
      </c>
      <c r="H1143" s="8">
        <v>20254.580000000002</v>
      </c>
      <c r="I1143" s="8">
        <v>233.03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20487.61</v>
      </c>
    </row>
    <row r="1144" spans="1:15">
      <c r="A1144" s="191">
        <v>44713</v>
      </c>
      <c r="B1144" s="181" t="s">
        <v>128</v>
      </c>
      <c r="C1144" s="181" t="s">
        <v>696</v>
      </c>
      <c r="D1144" s="181" t="str">
        <f t="shared" si="20"/>
        <v>34500</v>
      </c>
      <c r="E1144" s="181" t="s">
        <v>15</v>
      </c>
      <c r="F1144" s="181" t="s">
        <v>14</v>
      </c>
      <c r="G1144" s="181" t="s">
        <v>647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</row>
    <row r="1145" spans="1:15">
      <c r="A1145" s="191">
        <v>44713</v>
      </c>
      <c r="B1145" s="181" t="s">
        <v>128</v>
      </c>
      <c r="C1145" s="181" t="s">
        <v>697</v>
      </c>
      <c r="D1145" s="181" t="str">
        <f t="shared" si="20"/>
        <v>34500</v>
      </c>
      <c r="E1145" s="181" t="s">
        <v>15</v>
      </c>
      <c r="F1145" s="181" t="s">
        <v>14</v>
      </c>
      <c r="G1145" s="181" t="s">
        <v>647</v>
      </c>
      <c r="H1145" s="8">
        <v>80197.86</v>
      </c>
      <c r="I1145" s="8">
        <v>819.31000000000006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81017.17</v>
      </c>
    </row>
    <row r="1146" spans="1:15">
      <c r="A1146" s="191">
        <v>44713</v>
      </c>
      <c r="B1146" s="181" t="s">
        <v>128</v>
      </c>
      <c r="C1146" s="181" t="s">
        <v>698</v>
      </c>
      <c r="D1146" s="181" t="str">
        <f t="shared" si="20"/>
        <v>34500</v>
      </c>
      <c r="E1146" s="181" t="s">
        <v>15</v>
      </c>
      <c r="F1146" s="181" t="s">
        <v>14</v>
      </c>
      <c r="G1146" s="181" t="s">
        <v>647</v>
      </c>
      <c r="H1146" s="8">
        <v>2314311.46</v>
      </c>
      <c r="I1146" s="8">
        <v>18363.080000000002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2332674.54</v>
      </c>
    </row>
    <row r="1147" spans="1:15">
      <c r="A1147" s="191">
        <v>44713</v>
      </c>
      <c r="B1147" s="181" t="s">
        <v>128</v>
      </c>
      <c r="C1147" s="181" t="s">
        <v>699</v>
      </c>
      <c r="D1147" s="181" t="str">
        <f t="shared" si="20"/>
        <v>34500</v>
      </c>
      <c r="E1147" s="181" t="s">
        <v>15</v>
      </c>
      <c r="F1147" s="181" t="s">
        <v>14</v>
      </c>
      <c r="G1147" s="181" t="s">
        <v>647</v>
      </c>
      <c r="H1147" s="8">
        <v>2313361.16</v>
      </c>
      <c r="I1147" s="8">
        <v>18363.080000000002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2331724.2400000002</v>
      </c>
    </row>
    <row r="1148" spans="1:15">
      <c r="A1148" s="191">
        <v>44713</v>
      </c>
      <c r="B1148" s="181" t="s">
        <v>128</v>
      </c>
      <c r="C1148" s="181" t="s">
        <v>700</v>
      </c>
      <c r="D1148" s="181" t="str">
        <f t="shared" si="20"/>
        <v>34500</v>
      </c>
      <c r="E1148" s="181" t="s">
        <v>15</v>
      </c>
      <c r="F1148" s="181" t="s">
        <v>14</v>
      </c>
      <c r="G1148" s="181" t="s">
        <v>647</v>
      </c>
      <c r="H1148" s="8">
        <v>450870.08</v>
      </c>
      <c r="I1148" s="8">
        <v>7691.17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458561.25</v>
      </c>
    </row>
    <row r="1149" spans="1:15">
      <c r="A1149" s="191">
        <v>44713</v>
      </c>
      <c r="B1149" s="181" t="s">
        <v>128</v>
      </c>
      <c r="C1149" s="181" t="s">
        <v>694</v>
      </c>
      <c r="D1149" s="181" t="str">
        <f t="shared" si="20"/>
        <v>34500</v>
      </c>
      <c r="E1149" s="181" t="s">
        <v>15</v>
      </c>
      <c r="F1149" s="181" t="s">
        <v>14</v>
      </c>
      <c r="G1149" s="181" t="s">
        <v>793</v>
      </c>
      <c r="H1149" s="8">
        <v>20416.55</v>
      </c>
      <c r="I1149" s="8">
        <v>173.74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20590.29</v>
      </c>
    </row>
    <row r="1150" spans="1:15">
      <c r="A1150" s="191">
        <v>44713</v>
      </c>
      <c r="B1150" s="181" t="s">
        <v>128</v>
      </c>
      <c r="C1150" s="181" t="s">
        <v>697</v>
      </c>
      <c r="D1150" s="181" t="str">
        <f t="shared" si="20"/>
        <v>34500</v>
      </c>
      <c r="E1150" s="181" t="s">
        <v>15</v>
      </c>
      <c r="F1150" s="181" t="s">
        <v>14</v>
      </c>
      <c r="G1150" s="181" t="s">
        <v>793</v>
      </c>
      <c r="H1150" s="8">
        <v>9753.16</v>
      </c>
      <c r="I1150" s="8">
        <v>99.64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9852.8000000000011</v>
      </c>
    </row>
    <row r="1151" spans="1:15">
      <c r="A1151" s="191">
        <v>44713</v>
      </c>
      <c r="B1151" s="181" t="s">
        <v>128</v>
      </c>
      <c r="C1151" s="181" t="s">
        <v>698</v>
      </c>
      <c r="D1151" s="181" t="str">
        <f t="shared" si="20"/>
        <v>34500</v>
      </c>
      <c r="E1151" s="181" t="s">
        <v>15</v>
      </c>
      <c r="F1151" s="181" t="s">
        <v>14</v>
      </c>
      <c r="G1151" s="181" t="s">
        <v>793</v>
      </c>
      <c r="H1151" s="8">
        <v>254809.26</v>
      </c>
      <c r="I1151" s="8">
        <v>2233.19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257042.45</v>
      </c>
    </row>
    <row r="1152" spans="1:15">
      <c r="A1152" s="191">
        <v>44713</v>
      </c>
      <c r="B1152" s="181" t="s">
        <v>128</v>
      </c>
      <c r="C1152" s="181" t="s">
        <v>699</v>
      </c>
      <c r="D1152" s="181" t="str">
        <f t="shared" si="20"/>
        <v>34500</v>
      </c>
      <c r="E1152" s="181" t="s">
        <v>15</v>
      </c>
      <c r="F1152" s="181" t="s">
        <v>14</v>
      </c>
      <c r="G1152" s="181" t="s">
        <v>793</v>
      </c>
      <c r="H1152" s="8">
        <v>254693.69</v>
      </c>
      <c r="I1152" s="8">
        <v>2233.19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256926.88</v>
      </c>
    </row>
    <row r="1153" spans="1:15">
      <c r="A1153" s="191">
        <v>44713</v>
      </c>
      <c r="B1153" s="181" t="s">
        <v>128</v>
      </c>
      <c r="C1153" s="181" t="s">
        <v>700</v>
      </c>
      <c r="D1153" s="181" t="str">
        <f t="shared" si="20"/>
        <v>34500</v>
      </c>
      <c r="E1153" s="181" t="s">
        <v>15</v>
      </c>
      <c r="F1153" s="181" t="s">
        <v>14</v>
      </c>
      <c r="G1153" s="181" t="s">
        <v>793</v>
      </c>
      <c r="H1153" s="8">
        <v>17402.7</v>
      </c>
      <c r="I1153" s="8">
        <v>294.78000000000003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17697.48</v>
      </c>
    </row>
    <row r="1154" spans="1:15">
      <c r="A1154" s="191">
        <v>44743</v>
      </c>
      <c r="B1154" s="181" t="s">
        <v>127</v>
      </c>
      <c r="C1154" s="181" t="s">
        <v>694</v>
      </c>
      <c r="D1154" s="181" t="str">
        <f t="shared" ref="D1154:D1217" si="21">MID(C1154,10,5)</f>
        <v>34500</v>
      </c>
      <c r="E1154" s="181" t="s">
        <v>15</v>
      </c>
      <c r="F1154" s="181" t="s">
        <v>14</v>
      </c>
      <c r="G1154" s="181" t="s">
        <v>647</v>
      </c>
      <c r="H1154" s="8">
        <v>746861.77</v>
      </c>
      <c r="I1154" s="8">
        <v>2917.34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749779.11</v>
      </c>
    </row>
    <row r="1155" spans="1:15">
      <c r="A1155" s="191">
        <v>44743</v>
      </c>
      <c r="B1155" s="181" t="s">
        <v>127</v>
      </c>
      <c r="C1155" s="181" t="s">
        <v>695</v>
      </c>
      <c r="D1155" s="181" t="str">
        <f t="shared" si="21"/>
        <v>34500</v>
      </c>
      <c r="E1155" s="181" t="s">
        <v>15</v>
      </c>
      <c r="F1155" s="181" t="s">
        <v>14</v>
      </c>
      <c r="G1155" s="181" t="s">
        <v>647</v>
      </c>
      <c r="H1155" s="8">
        <v>20487.61</v>
      </c>
      <c r="I1155" s="8">
        <v>233.03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20720.64</v>
      </c>
    </row>
    <row r="1156" spans="1:15">
      <c r="A1156" s="191">
        <v>44743</v>
      </c>
      <c r="B1156" s="181" t="s">
        <v>127</v>
      </c>
      <c r="C1156" s="181" t="s">
        <v>696</v>
      </c>
      <c r="D1156" s="181" t="str">
        <f t="shared" si="21"/>
        <v>34500</v>
      </c>
      <c r="E1156" s="181" t="s">
        <v>15</v>
      </c>
      <c r="F1156" s="181" t="s">
        <v>14</v>
      </c>
      <c r="G1156" s="181" t="s">
        <v>647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</row>
    <row r="1157" spans="1:15">
      <c r="A1157" s="191">
        <v>44743</v>
      </c>
      <c r="B1157" s="181" t="s">
        <v>127</v>
      </c>
      <c r="C1157" s="181" t="s">
        <v>697</v>
      </c>
      <c r="D1157" s="181" t="str">
        <f t="shared" si="21"/>
        <v>34500</v>
      </c>
      <c r="E1157" s="181" t="s">
        <v>15</v>
      </c>
      <c r="F1157" s="181" t="s">
        <v>14</v>
      </c>
      <c r="G1157" s="181" t="s">
        <v>647</v>
      </c>
      <c r="H1157" s="8">
        <v>81017.17</v>
      </c>
      <c r="I1157" s="8">
        <v>819.31000000000006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81836.479999999996</v>
      </c>
    </row>
    <row r="1158" spans="1:15">
      <c r="A1158" s="191">
        <v>44743</v>
      </c>
      <c r="B1158" s="181" t="s">
        <v>127</v>
      </c>
      <c r="C1158" s="181" t="s">
        <v>698</v>
      </c>
      <c r="D1158" s="181" t="str">
        <f t="shared" si="21"/>
        <v>34500</v>
      </c>
      <c r="E1158" s="181" t="s">
        <v>15</v>
      </c>
      <c r="F1158" s="181" t="s">
        <v>14</v>
      </c>
      <c r="G1158" s="181" t="s">
        <v>647</v>
      </c>
      <c r="H1158" s="8">
        <v>2332674.54</v>
      </c>
      <c r="I1158" s="8">
        <v>18440.939999999999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2351115.48</v>
      </c>
    </row>
    <row r="1159" spans="1:15">
      <c r="A1159" s="191">
        <v>44743</v>
      </c>
      <c r="B1159" s="181" t="s">
        <v>127</v>
      </c>
      <c r="C1159" s="181" t="s">
        <v>699</v>
      </c>
      <c r="D1159" s="181" t="str">
        <f t="shared" si="21"/>
        <v>34500</v>
      </c>
      <c r="E1159" s="181" t="s">
        <v>15</v>
      </c>
      <c r="F1159" s="181" t="s">
        <v>14</v>
      </c>
      <c r="G1159" s="181" t="s">
        <v>647</v>
      </c>
      <c r="H1159" s="8">
        <v>2331724.2400000002</v>
      </c>
      <c r="I1159" s="8">
        <v>18440.939999999999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2350165.1800000002</v>
      </c>
    </row>
    <row r="1160" spans="1:15">
      <c r="A1160" s="191">
        <v>44743</v>
      </c>
      <c r="B1160" s="181" t="s">
        <v>127</v>
      </c>
      <c r="C1160" s="181" t="s">
        <v>700</v>
      </c>
      <c r="D1160" s="181" t="str">
        <f t="shared" si="21"/>
        <v>34500</v>
      </c>
      <c r="E1160" s="181" t="s">
        <v>15</v>
      </c>
      <c r="F1160" s="181" t="s">
        <v>14</v>
      </c>
      <c r="G1160" s="181" t="s">
        <v>647</v>
      </c>
      <c r="H1160" s="8">
        <v>458561.25</v>
      </c>
      <c r="I1160" s="8">
        <v>7691.17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466252.42</v>
      </c>
    </row>
    <row r="1161" spans="1:15">
      <c r="A1161" s="191">
        <v>44743</v>
      </c>
      <c r="B1161" s="181" t="s">
        <v>127</v>
      </c>
      <c r="C1161" s="181" t="s">
        <v>694</v>
      </c>
      <c r="D1161" s="181" t="str">
        <f t="shared" si="21"/>
        <v>34500</v>
      </c>
      <c r="E1161" s="181" t="s">
        <v>15</v>
      </c>
      <c r="F1161" s="181" t="s">
        <v>14</v>
      </c>
      <c r="G1161" s="181" t="s">
        <v>793</v>
      </c>
      <c r="H1161" s="8">
        <v>20590.29</v>
      </c>
      <c r="I1161" s="8">
        <v>173.74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20764.03</v>
      </c>
    </row>
    <row r="1162" spans="1:15">
      <c r="A1162" s="191">
        <v>44743</v>
      </c>
      <c r="B1162" s="181" t="s">
        <v>127</v>
      </c>
      <c r="C1162" s="181" t="s">
        <v>697</v>
      </c>
      <c r="D1162" s="181" t="str">
        <f t="shared" si="21"/>
        <v>34500</v>
      </c>
      <c r="E1162" s="181" t="s">
        <v>15</v>
      </c>
      <c r="F1162" s="181" t="s">
        <v>14</v>
      </c>
      <c r="G1162" s="181" t="s">
        <v>793</v>
      </c>
      <c r="H1162" s="8">
        <v>9852.8000000000011</v>
      </c>
      <c r="I1162" s="8">
        <v>99.64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9952.44</v>
      </c>
    </row>
    <row r="1163" spans="1:15">
      <c r="A1163" s="191">
        <v>44743</v>
      </c>
      <c r="B1163" s="181" t="s">
        <v>127</v>
      </c>
      <c r="C1163" s="181" t="s">
        <v>698</v>
      </c>
      <c r="D1163" s="181" t="str">
        <f t="shared" si="21"/>
        <v>34500</v>
      </c>
      <c r="E1163" s="181" t="s">
        <v>15</v>
      </c>
      <c r="F1163" s="181" t="s">
        <v>14</v>
      </c>
      <c r="G1163" s="181" t="s">
        <v>793</v>
      </c>
      <c r="H1163" s="8">
        <v>257042.45</v>
      </c>
      <c r="I1163" s="8">
        <v>2242.66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259285.11000000002</v>
      </c>
    </row>
    <row r="1164" spans="1:15">
      <c r="A1164" s="191">
        <v>44743</v>
      </c>
      <c r="B1164" s="181" t="s">
        <v>127</v>
      </c>
      <c r="C1164" s="181" t="s">
        <v>699</v>
      </c>
      <c r="D1164" s="181" t="str">
        <f t="shared" si="21"/>
        <v>34500</v>
      </c>
      <c r="E1164" s="181" t="s">
        <v>15</v>
      </c>
      <c r="F1164" s="181" t="s">
        <v>14</v>
      </c>
      <c r="G1164" s="181" t="s">
        <v>793</v>
      </c>
      <c r="H1164" s="8">
        <v>256926.88</v>
      </c>
      <c r="I1164" s="8">
        <v>2242.66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259169.54</v>
      </c>
    </row>
    <row r="1165" spans="1:15">
      <c r="A1165" s="191">
        <v>44743</v>
      </c>
      <c r="B1165" s="181" t="s">
        <v>127</v>
      </c>
      <c r="C1165" s="181" t="s">
        <v>700</v>
      </c>
      <c r="D1165" s="181" t="str">
        <f t="shared" si="21"/>
        <v>34500</v>
      </c>
      <c r="E1165" s="181" t="s">
        <v>15</v>
      </c>
      <c r="F1165" s="181" t="s">
        <v>14</v>
      </c>
      <c r="G1165" s="181" t="s">
        <v>793</v>
      </c>
      <c r="H1165" s="8">
        <v>17697.48</v>
      </c>
      <c r="I1165" s="8">
        <v>294.78000000000003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17992.260000000002</v>
      </c>
    </row>
    <row r="1166" spans="1:15">
      <c r="A1166" s="191">
        <v>44774</v>
      </c>
      <c r="B1166" s="181" t="s">
        <v>126</v>
      </c>
      <c r="C1166" s="181" t="s">
        <v>694</v>
      </c>
      <c r="D1166" s="181" t="str">
        <f t="shared" si="21"/>
        <v>34500</v>
      </c>
      <c r="E1166" s="181" t="s">
        <v>15</v>
      </c>
      <c r="F1166" s="181" t="s">
        <v>14</v>
      </c>
      <c r="G1166" s="181" t="s">
        <v>647</v>
      </c>
      <c r="H1166" s="8">
        <v>749779.11</v>
      </c>
      <c r="I1166" s="8">
        <v>2917.34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752696.45000000007</v>
      </c>
    </row>
    <row r="1167" spans="1:15">
      <c r="A1167" s="191">
        <v>44774</v>
      </c>
      <c r="B1167" s="181" t="s">
        <v>126</v>
      </c>
      <c r="C1167" s="181" t="s">
        <v>695</v>
      </c>
      <c r="D1167" s="181" t="str">
        <f t="shared" si="21"/>
        <v>34500</v>
      </c>
      <c r="E1167" s="181" t="s">
        <v>15</v>
      </c>
      <c r="F1167" s="181" t="s">
        <v>14</v>
      </c>
      <c r="G1167" s="181" t="s">
        <v>647</v>
      </c>
      <c r="H1167" s="8">
        <v>20720.64</v>
      </c>
      <c r="I1167" s="8">
        <v>233.03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20953.670000000002</v>
      </c>
    </row>
    <row r="1168" spans="1:15">
      <c r="A1168" s="191">
        <v>44774</v>
      </c>
      <c r="B1168" s="181" t="s">
        <v>126</v>
      </c>
      <c r="C1168" s="181" t="s">
        <v>696</v>
      </c>
      <c r="D1168" s="181" t="str">
        <f t="shared" si="21"/>
        <v>34500</v>
      </c>
      <c r="E1168" s="181" t="s">
        <v>15</v>
      </c>
      <c r="F1168" s="181" t="s">
        <v>14</v>
      </c>
      <c r="G1168" s="181" t="s">
        <v>647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</row>
    <row r="1169" spans="1:15">
      <c r="A1169" s="191">
        <v>44774</v>
      </c>
      <c r="B1169" s="181" t="s">
        <v>126</v>
      </c>
      <c r="C1169" s="181" t="s">
        <v>697</v>
      </c>
      <c r="D1169" s="181" t="str">
        <f t="shared" si="21"/>
        <v>34500</v>
      </c>
      <c r="E1169" s="181" t="s">
        <v>15</v>
      </c>
      <c r="F1169" s="181" t="s">
        <v>14</v>
      </c>
      <c r="G1169" s="181" t="s">
        <v>647</v>
      </c>
      <c r="H1169" s="8">
        <v>81836.479999999996</v>
      </c>
      <c r="I1169" s="8">
        <v>819.31000000000006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82655.790000000008</v>
      </c>
    </row>
    <row r="1170" spans="1:15">
      <c r="A1170" s="191">
        <v>44774</v>
      </c>
      <c r="B1170" s="181" t="s">
        <v>126</v>
      </c>
      <c r="C1170" s="181" t="s">
        <v>698</v>
      </c>
      <c r="D1170" s="181" t="str">
        <f t="shared" si="21"/>
        <v>34500</v>
      </c>
      <c r="E1170" s="181" t="s">
        <v>15</v>
      </c>
      <c r="F1170" s="181" t="s">
        <v>14</v>
      </c>
      <c r="G1170" s="181" t="s">
        <v>647</v>
      </c>
      <c r="H1170" s="8">
        <v>2351115.48</v>
      </c>
      <c r="I1170" s="8">
        <v>18518.78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2369634.2599999998</v>
      </c>
    </row>
    <row r="1171" spans="1:15">
      <c r="A1171" s="191">
        <v>44774</v>
      </c>
      <c r="B1171" s="181" t="s">
        <v>126</v>
      </c>
      <c r="C1171" s="181" t="s">
        <v>699</v>
      </c>
      <c r="D1171" s="181" t="str">
        <f t="shared" si="21"/>
        <v>34500</v>
      </c>
      <c r="E1171" s="181" t="s">
        <v>15</v>
      </c>
      <c r="F1171" s="181" t="s">
        <v>14</v>
      </c>
      <c r="G1171" s="181" t="s">
        <v>647</v>
      </c>
      <c r="H1171" s="8">
        <v>2350165.1800000002</v>
      </c>
      <c r="I1171" s="8">
        <v>18518.78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2368683.96</v>
      </c>
    </row>
    <row r="1172" spans="1:15">
      <c r="A1172" s="191">
        <v>44774</v>
      </c>
      <c r="B1172" s="181" t="s">
        <v>126</v>
      </c>
      <c r="C1172" s="181" t="s">
        <v>700</v>
      </c>
      <c r="D1172" s="181" t="str">
        <f t="shared" si="21"/>
        <v>34500</v>
      </c>
      <c r="E1172" s="181" t="s">
        <v>15</v>
      </c>
      <c r="F1172" s="181" t="s">
        <v>14</v>
      </c>
      <c r="G1172" s="181" t="s">
        <v>647</v>
      </c>
      <c r="H1172" s="8">
        <v>466252.42</v>
      </c>
      <c r="I1172" s="8">
        <v>7691.17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473943.59</v>
      </c>
    </row>
    <row r="1173" spans="1:15">
      <c r="A1173" s="191">
        <v>44774</v>
      </c>
      <c r="B1173" s="181" t="s">
        <v>126</v>
      </c>
      <c r="C1173" s="181" t="s">
        <v>694</v>
      </c>
      <c r="D1173" s="181" t="str">
        <f t="shared" si="21"/>
        <v>34500</v>
      </c>
      <c r="E1173" s="181" t="s">
        <v>15</v>
      </c>
      <c r="F1173" s="181" t="s">
        <v>14</v>
      </c>
      <c r="G1173" s="181" t="s">
        <v>793</v>
      </c>
      <c r="H1173" s="8">
        <v>20764.03</v>
      </c>
      <c r="I1173" s="8">
        <v>173.74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20937.77</v>
      </c>
    </row>
    <row r="1174" spans="1:15">
      <c r="A1174" s="191">
        <v>44774</v>
      </c>
      <c r="B1174" s="181" t="s">
        <v>126</v>
      </c>
      <c r="C1174" s="181" t="s">
        <v>697</v>
      </c>
      <c r="D1174" s="181" t="str">
        <f t="shared" si="21"/>
        <v>34500</v>
      </c>
      <c r="E1174" s="181" t="s">
        <v>15</v>
      </c>
      <c r="F1174" s="181" t="s">
        <v>14</v>
      </c>
      <c r="G1174" s="181" t="s">
        <v>793</v>
      </c>
      <c r="H1174" s="8">
        <v>9952.44</v>
      </c>
      <c r="I1174" s="8">
        <v>99.64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10052.08</v>
      </c>
    </row>
    <row r="1175" spans="1:15">
      <c r="A1175" s="191">
        <v>44774</v>
      </c>
      <c r="B1175" s="181" t="s">
        <v>126</v>
      </c>
      <c r="C1175" s="181" t="s">
        <v>698</v>
      </c>
      <c r="D1175" s="181" t="str">
        <f t="shared" si="21"/>
        <v>34500</v>
      </c>
      <c r="E1175" s="181" t="s">
        <v>15</v>
      </c>
      <c r="F1175" s="181" t="s">
        <v>14</v>
      </c>
      <c r="G1175" s="181" t="s">
        <v>793</v>
      </c>
      <c r="H1175" s="8">
        <v>259285.11000000002</v>
      </c>
      <c r="I1175" s="8">
        <v>2252.12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261537.23</v>
      </c>
    </row>
    <row r="1176" spans="1:15">
      <c r="A1176" s="191">
        <v>44774</v>
      </c>
      <c r="B1176" s="181" t="s">
        <v>126</v>
      </c>
      <c r="C1176" s="181" t="s">
        <v>699</v>
      </c>
      <c r="D1176" s="181" t="str">
        <f t="shared" si="21"/>
        <v>34500</v>
      </c>
      <c r="E1176" s="181" t="s">
        <v>15</v>
      </c>
      <c r="F1176" s="181" t="s">
        <v>14</v>
      </c>
      <c r="G1176" s="181" t="s">
        <v>793</v>
      </c>
      <c r="H1176" s="8">
        <v>259169.54</v>
      </c>
      <c r="I1176" s="8">
        <v>2252.12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261421.66</v>
      </c>
    </row>
    <row r="1177" spans="1:15">
      <c r="A1177" s="191">
        <v>44774</v>
      </c>
      <c r="B1177" s="181" t="s">
        <v>126</v>
      </c>
      <c r="C1177" s="181" t="s">
        <v>700</v>
      </c>
      <c r="D1177" s="181" t="str">
        <f t="shared" si="21"/>
        <v>34500</v>
      </c>
      <c r="E1177" s="181" t="s">
        <v>15</v>
      </c>
      <c r="F1177" s="181" t="s">
        <v>14</v>
      </c>
      <c r="G1177" s="181" t="s">
        <v>793</v>
      </c>
      <c r="H1177" s="8">
        <v>17992.260000000002</v>
      </c>
      <c r="I1177" s="8">
        <v>294.78000000000003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18287.04</v>
      </c>
    </row>
    <row r="1178" spans="1:15">
      <c r="A1178" s="191">
        <v>44805</v>
      </c>
      <c r="B1178" s="181" t="s">
        <v>125</v>
      </c>
      <c r="C1178" s="181" t="s">
        <v>694</v>
      </c>
      <c r="D1178" s="181" t="str">
        <f t="shared" si="21"/>
        <v>34500</v>
      </c>
      <c r="E1178" s="181" t="s">
        <v>15</v>
      </c>
      <c r="F1178" s="181" t="s">
        <v>14</v>
      </c>
      <c r="G1178" s="181" t="s">
        <v>647</v>
      </c>
      <c r="H1178" s="8">
        <v>752696.45000000007</v>
      </c>
      <c r="I1178" s="8">
        <v>2917.34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755613.79</v>
      </c>
    </row>
    <row r="1179" spans="1:15">
      <c r="A1179" s="191">
        <v>44805</v>
      </c>
      <c r="B1179" s="181" t="s">
        <v>125</v>
      </c>
      <c r="C1179" s="181" t="s">
        <v>695</v>
      </c>
      <c r="D1179" s="181" t="str">
        <f t="shared" si="21"/>
        <v>34500</v>
      </c>
      <c r="E1179" s="181" t="s">
        <v>15</v>
      </c>
      <c r="F1179" s="181" t="s">
        <v>14</v>
      </c>
      <c r="G1179" s="181" t="s">
        <v>647</v>
      </c>
      <c r="H1179" s="8">
        <v>20953.670000000002</v>
      </c>
      <c r="I1179" s="8">
        <v>233.03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21186.7</v>
      </c>
    </row>
    <row r="1180" spans="1:15">
      <c r="A1180" s="191">
        <v>44805</v>
      </c>
      <c r="B1180" s="181" t="s">
        <v>125</v>
      </c>
      <c r="C1180" s="181" t="s">
        <v>696</v>
      </c>
      <c r="D1180" s="181" t="str">
        <f t="shared" si="21"/>
        <v>34500</v>
      </c>
      <c r="E1180" s="181" t="s">
        <v>15</v>
      </c>
      <c r="F1180" s="181" t="s">
        <v>14</v>
      </c>
      <c r="G1180" s="181" t="s">
        <v>647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</row>
    <row r="1181" spans="1:15">
      <c r="A1181" s="191">
        <v>44805</v>
      </c>
      <c r="B1181" s="181" t="s">
        <v>125</v>
      </c>
      <c r="C1181" s="181" t="s">
        <v>697</v>
      </c>
      <c r="D1181" s="181" t="str">
        <f t="shared" si="21"/>
        <v>34500</v>
      </c>
      <c r="E1181" s="181" t="s">
        <v>15</v>
      </c>
      <c r="F1181" s="181" t="s">
        <v>14</v>
      </c>
      <c r="G1181" s="181" t="s">
        <v>647</v>
      </c>
      <c r="H1181" s="8">
        <v>82655.790000000008</v>
      </c>
      <c r="I1181" s="8">
        <v>819.31000000000006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83475.100000000006</v>
      </c>
    </row>
    <row r="1182" spans="1:15">
      <c r="A1182" s="191">
        <v>44805</v>
      </c>
      <c r="B1182" s="181" t="s">
        <v>125</v>
      </c>
      <c r="C1182" s="181" t="s">
        <v>698</v>
      </c>
      <c r="D1182" s="181" t="str">
        <f t="shared" si="21"/>
        <v>34500</v>
      </c>
      <c r="E1182" s="181" t="s">
        <v>15</v>
      </c>
      <c r="F1182" s="181" t="s">
        <v>14</v>
      </c>
      <c r="G1182" s="181" t="s">
        <v>647</v>
      </c>
      <c r="H1182" s="8">
        <v>2369634.2599999998</v>
      </c>
      <c r="I1182" s="8">
        <v>18505.87</v>
      </c>
      <c r="J1182" s="8">
        <v>-10000</v>
      </c>
      <c r="K1182" s="8">
        <v>0</v>
      </c>
      <c r="L1182" s="8">
        <v>0</v>
      </c>
      <c r="M1182" s="8">
        <v>0</v>
      </c>
      <c r="N1182" s="8">
        <v>0</v>
      </c>
      <c r="O1182" s="8">
        <v>2378140.13</v>
      </c>
    </row>
    <row r="1183" spans="1:15">
      <c r="A1183" s="191">
        <v>44805</v>
      </c>
      <c r="B1183" s="181" t="s">
        <v>125</v>
      </c>
      <c r="C1183" s="181" t="s">
        <v>699</v>
      </c>
      <c r="D1183" s="181" t="str">
        <f t="shared" si="21"/>
        <v>34500</v>
      </c>
      <c r="E1183" s="181" t="s">
        <v>15</v>
      </c>
      <c r="F1183" s="181" t="s">
        <v>14</v>
      </c>
      <c r="G1183" s="181" t="s">
        <v>647</v>
      </c>
      <c r="H1183" s="8">
        <v>2368683.96</v>
      </c>
      <c r="I1183" s="8">
        <v>18505.87</v>
      </c>
      <c r="J1183" s="8">
        <v>-10000</v>
      </c>
      <c r="K1183" s="8">
        <v>0</v>
      </c>
      <c r="L1183" s="8">
        <v>0</v>
      </c>
      <c r="M1183" s="8">
        <v>0</v>
      </c>
      <c r="N1183" s="8">
        <v>0</v>
      </c>
      <c r="O1183" s="8">
        <v>2377189.83</v>
      </c>
    </row>
    <row r="1184" spans="1:15">
      <c r="A1184" s="191">
        <v>44805</v>
      </c>
      <c r="B1184" s="181" t="s">
        <v>125</v>
      </c>
      <c r="C1184" s="181" t="s">
        <v>700</v>
      </c>
      <c r="D1184" s="181" t="str">
        <f t="shared" si="21"/>
        <v>34500</v>
      </c>
      <c r="E1184" s="181" t="s">
        <v>15</v>
      </c>
      <c r="F1184" s="181" t="s">
        <v>14</v>
      </c>
      <c r="G1184" s="181" t="s">
        <v>647</v>
      </c>
      <c r="H1184" s="8">
        <v>473943.59</v>
      </c>
      <c r="I1184" s="8">
        <v>7691.17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481634.76</v>
      </c>
    </row>
    <row r="1185" spans="1:15">
      <c r="A1185" s="191">
        <v>44805</v>
      </c>
      <c r="B1185" s="181" t="s">
        <v>125</v>
      </c>
      <c r="C1185" s="181" t="s">
        <v>694</v>
      </c>
      <c r="D1185" s="181" t="str">
        <f t="shared" si="21"/>
        <v>34500</v>
      </c>
      <c r="E1185" s="181" t="s">
        <v>15</v>
      </c>
      <c r="F1185" s="181" t="s">
        <v>14</v>
      </c>
      <c r="G1185" s="181" t="s">
        <v>793</v>
      </c>
      <c r="H1185" s="8">
        <v>20937.77</v>
      </c>
      <c r="I1185" s="8">
        <v>173.74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21111.510000000002</v>
      </c>
    </row>
    <row r="1186" spans="1:15">
      <c r="A1186" s="191">
        <v>44805</v>
      </c>
      <c r="B1186" s="181" t="s">
        <v>125</v>
      </c>
      <c r="C1186" s="181" t="s">
        <v>697</v>
      </c>
      <c r="D1186" s="181" t="str">
        <f t="shared" si="21"/>
        <v>34500</v>
      </c>
      <c r="E1186" s="181" t="s">
        <v>15</v>
      </c>
      <c r="F1186" s="181" t="s">
        <v>14</v>
      </c>
      <c r="G1186" s="181" t="s">
        <v>793</v>
      </c>
      <c r="H1186" s="8">
        <v>10052.08</v>
      </c>
      <c r="I1186" s="8">
        <v>99.64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10151.719999999999</v>
      </c>
    </row>
    <row r="1187" spans="1:15">
      <c r="A1187" s="191">
        <v>44805</v>
      </c>
      <c r="B1187" s="181" t="s">
        <v>125</v>
      </c>
      <c r="C1187" s="181" t="s">
        <v>698</v>
      </c>
      <c r="D1187" s="181" t="str">
        <f t="shared" si="21"/>
        <v>34500</v>
      </c>
      <c r="E1187" s="181" t="s">
        <v>15</v>
      </c>
      <c r="F1187" s="181" t="s">
        <v>14</v>
      </c>
      <c r="G1187" s="181" t="s">
        <v>793</v>
      </c>
      <c r="H1187" s="8">
        <v>261537.23</v>
      </c>
      <c r="I1187" s="8">
        <v>2250.5500000000002</v>
      </c>
      <c r="J1187" s="8">
        <v>0</v>
      </c>
      <c r="K1187" s="8">
        <v>-5450</v>
      </c>
      <c r="L1187" s="8">
        <v>0</v>
      </c>
      <c r="M1187" s="8">
        <v>0</v>
      </c>
      <c r="N1187" s="8">
        <v>0</v>
      </c>
      <c r="O1187" s="8">
        <v>258337.78</v>
      </c>
    </row>
    <row r="1188" spans="1:15">
      <c r="A1188" s="191">
        <v>44805</v>
      </c>
      <c r="B1188" s="181" t="s">
        <v>125</v>
      </c>
      <c r="C1188" s="181" t="s">
        <v>699</v>
      </c>
      <c r="D1188" s="181" t="str">
        <f t="shared" si="21"/>
        <v>34500</v>
      </c>
      <c r="E1188" s="181" t="s">
        <v>15</v>
      </c>
      <c r="F1188" s="181" t="s">
        <v>14</v>
      </c>
      <c r="G1188" s="181" t="s">
        <v>793</v>
      </c>
      <c r="H1188" s="8">
        <v>261421.66</v>
      </c>
      <c r="I1188" s="8">
        <v>2250.5500000000002</v>
      </c>
      <c r="J1188" s="8">
        <v>0</v>
      </c>
      <c r="K1188" s="8">
        <v>-5450</v>
      </c>
      <c r="L1188" s="8">
        <v>0</v>
      </c>
      <c r="M1188" s="8">
        <v>0</v>
      </c>
      <c r="N1188" s="8">
        <v>0</v>
      </c>
      <c r="O1188" s="8">
        <v>258222.21</v>
      </c>
    </row>
    <row r="1189" spans="1:15">
      <c r="A1189" s="191">
        <v>44805</v>
      </c>
      <c r="B1189" s="181" t="s">
        <v>125</v>
      </c>
      <c r="C1189" s="181" t="s">
        <v>700</v>
      </c>
      <c r="D1189" s="181" t="str">
        <f t="shared" si="21"/>
        <v>34500</v>
      </c>
      <c r="E1189" s="181" t="s">
        <v>15</v>
      </c>
      <c r="F1189" s="181" t="s">
        <v>14</v>
      </c>
      <c r="G1189" s="181" t="s">
        <v>793</v>
      </c>
      <c r="H1189" s="8">
        <v>18287.04</v>
      </c>
      <c r="I1189" s="8">
        <v>294.78000000000003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18581.82</v>
      </c>
    </row>
    <row r="1190" spans="1:15">
      <c r="A1190" s="191">
        <v>44835</v>
      </c>
      <c r="B1190" s="181" t="s">
        <v>124</v>
      </c>
      <c r="C1190" s="181" t="s">
        <v>694</v>
      </c>
      <c r="D1190" s="181" t="str">
        <f t="shared" si="21"/>
        <v>34500</v>
      </c>
      <c r="E1190" s="181" t="s">
        <v>15</v>
      </c>
      <c r="F1190" s="181" t="s">
        <v>14</v>
      </c>
      <c r="G1190" s="181" t="s">
        <v>647</v>
      </c>
      <c r="H1190" s="8">
        <v>755613.79</v>
      </c>
      <c r="I1190" s="8">
        <v>2917.34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758531.13</v>
      </c>
    </row>
    <row r="1191" spans="1:15">
      <c r="A1191" s="191">
        <v>44835</v>
      </c>
      <c r="B1191" s="181" t="s">
        <v>124</v>
      </c>
      <c r="C1191" s="181" t="s">
        <v>695</v>
      </c>
      <c r="D1191" s="181" t="str">
        <f t="shared" si="21"/>
        <v>34500</v>
      </c>
      <c r="E1191" s="181" t="s">
        <v>15</v>
      </c>
      <c r="F1191" s="181" t="s">
        <v>14</v>
      </c>
      <c r="G1191" s="181" t="s">
        <v>647</v>
      </c>
      <c r="H1191" s="8">
        <v>21186.7</v>
      </c>
      <c r="I1191" s="8">
        <v>233.03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21419.73</v>
      </c>
    </row>
    <row r="1192" spans="1:15">
      <c r="A1192" s="191">
        <v>44835</v>
      </c>
      <c r="B1192" s="181" t="s">
        <v>124</v>
      </c>
      <c r="C1192" s="181" t="s">
        <v>696</v>
      </c>
      <c r="D1192" s="181" t="str">
        <f t="shared" si="21"/>
        <v>34500</v>
      </c>
      <c r="E1192" s="181" t="s">
        <v>15</v>
      </c>
      <c r="F1192" s="181" t="s">
        <v>14</v>
      </c>
      <c r="G1192" s="181" t="s">
        <v>647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</row>
    <row r="1193" spans="1:15">
      <c r="A1193" s="191">
        <v>44835</v>
      </c>
      <c r="B1193" s="181" t="s">
        <v>124</v>
      </c>
      <c r="C1193" s="181" t="s">
        <v>697</v>
      </c>
      <c r="D1193" s="181" t="str">
        <f t="shared" si="21"/>
        <v>34500</v>
      </c>
      <c r="E1193" s="181" t="s">
        <v>15</v>
      </c>
      <c r="F1193" s="181" t="s">
        <v>14</v>
      </c>
      <c r="G1193" s="181" t="s">
        <v>647</v>
      </c>
      <c r="H1193" s="8">
        <v>83475.100000000006</v>
      </c>
      <c r="I1193" s="8">
        <v>819.31000000000006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84294.41</v>
      </c>
    </row>
    <row r="1194" spans="1:15">
      <c r="A1194" s="191">
        <v>44835</v>
      </c>
      <c r="B1194" s="181" t="s">
        <v>124</v>
      </c>
      <c r="C1194" s="181" t="s">
        <v>698</v>
      </c>
      <c r="D1194" s="181" t="str">
        <f t="shared" si="21"/>
        <v>34500</v>
      </c>
      <c r="E1194" s="181" t="s">
        <v>15</v>
      </c>
      <c r="F1194" s="181" t="s">
        <v>14</v>
      </c>
      <c r="G1194" s="181" t="s">
        <v>647</v>
      </c>
      <c r="H1194" s="8">
        <v>2378140.13</v>
      </c>
      <c r="I1194" s="8">
        <v>18492.95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2396633.08</v>
      </c>
    </row>
    <row r="1195" spans="1:15">
      <c r="A1195" s="191">
        <v>44835</v>
      </c>
      <c r="B1195" s="181" t="s">
        <v>124</v>
      </c>
      <c r="C1195" s="181" t="s">
        <v>699</v>
      </c>
      <c r="D1195" s="181" t="str">
        <f t="shared" si="21"/>
        <v>34500</v>
      </c>
      <c r="E1195" s="181" t="s">
        <v>15</v>
      </c>
      <c r="F1195" s="181" t="s">
        <v>14</v>
      </c>
      <c r="G1195" s="181" t="s">
        <v>647</v>
      </c>
      <c r="H1195" s="8">
        <v>2377189.83</v>
      </c>
      <c r="I1195" s="8">
        <v>18492.95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2395682.7800000003</v>
      </c>
    </row>
    <row r="1196" spans="1:15">
      <c r="A1196" s="191">
        <v>44835</v>
      </c>
      <c r="B1196" s="181" t="s">
        <v>124</v>
      </c>
      <c r="C1196" s="181" t="s">
        <v>700</v>
      </c>
      <c r="D1196" s="181" t="str">
        <f t="shared" si="21"/>
        <v>34500</v>
      </c>
      <c r="E1196" s="181" t="s">
        <v>15</v>
      </c>
      <c r="F1196" s="181" t="s">
        <v>14</v>
      </c>
      <c r="G1196" s="181" t="s">
        <v>647</v>
      </c>
      <c r="H1196" s="8">
        <v>481634.76</v>
      </c>
      <c r="I1196" s="8">
        <v>7691.17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489325.93</v>
      </c>
    </row>
    <row r="1197" spans="1:15">
      <c r="A1197" s="191">
        <v>44835</v>
      </c>
      <c r="B1197" s="181" t="s">
        <v>124</v>
      </c>
      <c r="C1197" s="181" t="s">
        <v>694</v>
      </c>
      <c r="D1197" s="181" t="str">
        <f t="shared" si="21"/>
        <v>34500</v>
      </c>
      <c r="E1197" s="181" t="s">
        <v>15</v>
      </c>
      <c r="F1197" s="181" t="s">
        <v>14</v>
      </c>
      <c r="G1197" s="181" t="s">
        <v>793</v>
      </c>
      <c r="H1197" s="8">
        <v>21111.510000000002</v>
      </c>
      <c r="I1197" s="8">
        <v>173.74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21285.25</v>
      </c>
    </row>
    <row r="1198" spans="1:15">
      <c r="A1198" s="191">
        <v>44835</v>
      </c>
      <c r="B1198" s="181" t="s">
        <v>124</v>
      </c>
      <c r="C1198" s="181" t="s">
        <v>697</v>
      </c>
      <c r="D1198" s="181" t="str">
        <f t="shared" si="21"/>
        <v>34500</v>
      </c>
      <c r="E1198" s="181" t="s">
        <v>15</v>
      </c>
      <c r="F1198" s="181" t="s">
        <v>14</v>
      </c>
      <c r="G1198" s="181" t="s">
        <v>793</v>
      </c>
      <c r="H1198" s="8">
        <v>10151.719999999999</v>
      </c>
      <c r="I1198" s="8">
        <v>99.64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10251.36</v>
      </c>
    </row>
    <row r="1199" spans="1:15">
      <c r="A1199" s="191">
        <v>44835</v>
      </c>
      <c r="B1199" s="181" t="s">
        <v>124</v>
      </c>
      <c r="C1199" s="181" t="s">
        <v>698</v>
      </c>
      <c r="D1199" s="181" t="str">
        <f t="shared" si="21"/>
        <v>34500</v>
      </c>
      <c r="E1199" s="181" t="s">
        <v>15</v>
      </c>
      <c r="F1199" s="181" t="s">
        <v>14</v>
      </c>
      <c r="G1199" s="181" t="s">
        <v>793</v>
      </c>
      <c r="H1199" s="8">
        <v>258337.78</v>
      </c>
      <c r="I1199" s="8">
        <v>2248.98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260586.76</v>
      </c>
    </row>
    <row r="1200" spans="1:15">
      <c r="A1200" s="191">
        <v>44835</v>
      </c>
      <c r="B1200" s="181" t="s">
        <v>124</v>
      </c>
      <c r="C1200" s="181" t="s">
        <v>699</v>
      </c>
      <c r="D1200" s="181" t="str">
        <f t="shared" si="21"/>
        <v>34500</v>
      </c>
      <c r="E1200" s="181" t="s">
        <v>15</v>
      </c>
      <c r="F1200" s="181" t="s">
        <v>14</v>
      </c>
      <c r="G1200" s="181" t="s">
        <v>793</v>
      </c>
      <c r="H1200" s="8">
        <v>258222.21</v>
      </c>
      <c r="I1200" s="8">
        <v>2248.98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260471.19</v>
      </c>
    </row>
    <row r="1201" spans="1:15">
      <c r="A1201" s="191">
        <v>44835</v>
      </c>
      <c r="B1201" s="181" t="s">
        <v>124</v>
      </c>
      <c r="C1201" s="181" t="s">
        <v>700</v>
      </c>
      <c r="D1201" s="181" t="str">
        <f t="shared" si="21"/>
        <v>34500</v>
      </c>
      <c r="E1201" s="181" t="s">
        <v>15</v>
      </c>
      <c r="F1201" s="181" t="s">
        <v>14</v>
      </c>
      <c r="G1201" s="181" t="s">
        <v>793</v>
      </c>
      <c r="H1201" s="8">
        <v>18581.82</v>
      </c>
      <c r="I1201" s="8">
        <v>294.78000000000003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18876.600000000002</v>
      </c>
    </row>
    <row r="1202" spans="1:15">
      <c r="A1202" s="191">
        <v>44866</v>
      </c>
      <c r="B1202" s="181" t="s">
        <v>123</v>
      </c>
      <c r="C1202" s="181" t="s">
        <v>694</v>
      </c>
      <c r="D1202" s="181" t="str">
        <f t="shared" si="21"/>
        <v>34500</v>
      </c>
      <c r="E1202" s="181" t="s">
        <v>15</v>
      </c>
      <c r="F1202" s="181" t="s">
        <v>14</v>
      </c>
      <c r="G1202" s="181" t="s">
        <v>647</v>
      </c>
      <c r="H1202" s="8">
        <v>758531.13</v>
      </c>
      <c r="I1202" s="8">
        <v>2917.34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761448.47</v>
      </c>
    </row>
    <row r="1203" spans="1:15">
      <c r="A1203" s="191">
        <v>44866</v>
      </c>
      <c r="B1203" s="181" t="s">
        <v>123</v>
      </c>
      <c r="C1203" s="181" t="s">
        <v>695</v>
      </c>
      <c r="D1203" s="181" t="str">
        <f t="shared" si="21"/>
        <v>34500</v>
      </c>
      <c r="E1203" s="181" t="s">
        <v>15</v>
      </c>
      <c r="F1203" s="181" t="s">
        <v>14</v>
      </c>
      <c r="G1203" s="181" t="s">
        <v>647</v>
      </c>
      <c r="H1203" s="8">
        <v>21419.73</v>
      </c>
      <c r="I1203" s="8">
        <v>233.03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21652.760000000002</v>
      </c>
    </row>
    <row r="1204" spans="1:15">
      <c r="A1204" s="191">
        <v>44866</v>
      </c>
      <c r="B1204" s="181" t="s">
        <v>123</v>
      </c>
      <c r="C1204" s="181" t="s">
        <v>696</v>
      </c>
      <c r="D1204" s="181" t="str">
        <f t="shared" si="21"/>
        <v>34500</v>
      </c>
      <c r="E1204" s="181" t="s">
        <v>15</v>
      </c>
      <c r="F1204" s="181" t="s">
        <v>14</v>
      </c>
      <c r="G1204" s="181" t="s">
        <v>647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</row>
    <row r="1205" spans="1:15">
      <c r="A1205" s="191">
        <v>44866</v>
      </c>
      <c r="B1205" s="181" t="s">
        <v>123</v>
      </c>
      <c r="C1205" s="181" t="s">
        <v>697</v>
      </c>
      <c r="D1205" s="181" t="str">
        <f t="shared" si="21"/>
        <v>34500</v>
      </c>
      <c r="E1205" s="181" t="s">
        <v>15</v>
      </c>
      <c r="F1205" s="181" t="s">
        <v>14</v>
      </c>
      <c r="G1205" s="181" t="s">
        <v>647</v>
      </c>
      <c r="H1205" s="8">
        <v>84294.41</v>
      </c>
      <c r="I1205" s="8">
        <v>819.31000000000006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85113.72</v>
      </c>
    </row>
    <row r="1206" spans="1:15">
      <c r="A1206" s="191">
        <v>44866</v>
      </c>
      <c r="B1206" s="181" t="s">
        <v>123</v>
      </c>
      <c r="C1206" s="181" t="s">
        <v>698</v>
      </c>
      <c r="D1206" s="181" t="str">
        <f t="shared" si="21"/>
        <v>34500</v>
      </c>
      <c r="E1206" s="181" t="s">
        <v>15</v>
      </c>
      <c r="F1206" s="181" t="s">
        <v>14</v>
      </c>
      <c r="G1206" s="181" t="s">
        <v>647</v>
      </c>
      <c r="H1206" s="8">
        <v>2396633.08</v>
      </c>
      <c r="I1206" s="8">
        <v>18492.95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2415126.0300000003</v>
      </c>
    </row>
    <row r="1207" spans="1:15">
      <c r="A1207" s="191">
        <v>44866</v>
      </c>
      <c r="B1207" s="181" t="s">
        <v>123</v>
      </c>
      <c r="C1207" s="181" t="s">
        <v>699</v>
      </c>
      <c r="D1207" s="181" t="str">
        <f t="shared" si="21"/>
        <v>34500</v>
      </c>
      <c r="E1207" s="181" t="s">
        <v>15</v>
      </c>
      <c r="F1207" s="181" t="s">
        <v>14</v>
      </c>
      <c r="G1207" s="181" t="s">
        <v>647</v>
      </c>
      <c r="H1207" s="8">
        <v>2395682.7800000003</v>
      </c>
      <c r="I1207" s="8">
        <v>18492.95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2414175.73</v>
      </c>
    </row>
    <row r="1208" spans="1:15">
      <c r="A1208" s="191">
        <v>44866</v>
      </c>
      <c r="B1208" s="181" t="s">
        <v>123</v>
      </c>
      <c r="C1208" s="181" t="s">
        <v>700</v>
      </c>
      <c r="D1208" s="181" t="str">
        <f t="shared" si="21"/>
        <v>34500</v>
      </c>
      <c r="E1208" s="181" t="s">
        <v>15</v>
      </c>
      <c r="F1208" s="181" t="s">
        <v>14</v>
      </c>
      <c r="G1208" s="181" t="s">
        <v>647</v>
      </c>
      <c r="H1208" s="8">
        <v>489325.93</v>
      </c>
      <c r="I1208" s="8">
        <v>7691.17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497017.10000000003</v>
      </c>
    </row>
    <row r="1209" spans="1:15">
      <c r="A1209" s="191">
        <v>44866</v>
      </c>
      <c r="B1209" s="181" t="s">
        <v>123</v>
      </c>
      <c r="C1209" s="181" t="s">
        <v>694</v>
      </c>
      <c r="D1209" s="181" t="str">
        <f t="shared" si="21"/>
        <v>34500</v>
      </c>
      <c r="E1209" s="181" t="s">
        <v>15</v>
      </c>
      <c r="F1209" s="181" t="s">
        <v>14</v>
      </c>
      <c r="G1209" s="181" t="s">
        <v>793</v>
      </c>
      <c r="H1209" s="8">
        <v>21285.25</v>
      </c>
      <c r="I1209" s="8">
        <v>173.74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21458.99</v>
      </c>
    </row>
    <row r="1210" spans="1:15">
      <c r="A1210" s="191">
        <v>44866</v>
      </c>
      <c r="B1210" s="181" t="s">
        <v>123</v>
      </c>
      <c r="C1210" s="181" t="s">
        <v>697</v>
      </c>
      <c r="D1210" s="181" t="str">
        <f t="shared" si="21"/>
        <v>34500</v>
      </c>
      <c r="E1210" s="181" t="s">
        <v>15</v>
      </c>
      <c r="F1210" s="181" t="s">
        <v>14</v>
      </c>
      <c r="G1210" s="181" t="s">
        <v>793</v>
      </c>
      <c r="H1210" s="8">
        <v>10251.36</v>
      </c>
      <c r="I1210" s="8">
        <v>99.64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10351</v>
      </c>
    </row>
    <row r="1211" spans="1:15">
      <c r="A1211" s="191">
        <v>44866</v>
      </c>
      <c r="B1211" s="181" t="s">
        <v>123</v>
      </c>
      <c r="C1211" s="181" t="s">
        <v>698</v>
      </c>
      <c r="D1211" s="181" t="str">
        <f t="shared" si="21"/>
        <v>34500</v>
      </c>
      <c r="E1211" s="181" t="s">
        <v>15</v>
      </c>
      <c r="F1211" s="181" t="s">
        <v>14</v>
      </c>
      <c r="G1211" s="181" t="s">
        <v>793</v>
      </c>
      <c r="H1211" s="8">
        <v>260586.76</v>
      </c>
      <c r="I1211" s="8">
        <v>2248.98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262835.74</v>
      </c>
    </row>
    <row r="1212" spans="1:15">
      <c r="A1212" s="191">
        <v>44866</v>
      </c>
      <c r="B1212" s="181" t="s">
        <v>123</v>
      </c>
      <c r="C1212" s="181" t="s">
        <v>699</v>
      </c>
      <c r="D1212" s="181" t="str">
        <f t="shared" si="21"/>
        <v>34500</v>
      </c>
      <c r="E1212" s="181" t="s">
        <v>15</v>
      </c>
      <c r="F1212" s="181" t="s">
        <v>14</v>
      </c>
      <c r="G1212" s="181" t="s">
        <v>793</v>
      </c>
      <c r="H1212" s="8">
        <v>260471.19</v>
      </c>
      <c r="I1212" s="8">
        <v>2248.98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262720.17</v>
      </c>
    </row>
    <row r="1213" spans="1:15">
      <c r="A1213" s="191">
        <v>44866</v>
      </c>
      <c r="B1213" s="181" t="s">
        <v>123</v>
      </c>
      <c r="C1213" s="181" t="s">
        <v>700</v>
      </c>
      <c r="D1213" s="181" t="str">
        <f t="shared" si="21"/>
        <v>34500</v>
      </c>
      <c r="E1213" s="181" t="s">
        <v>15</v>
      </c>
      <c r="F1213" s="181" t="s">
        <v>14</v>
      </c>
      <c r="G1213" s="181" t="s">
        <v>793</v>
      </c>
      <c r="H1213" s="8">
        <v>18876.600000000002</v>
      </c>
      <c r="I1213" s="8">
        <v>294.78000000000003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19171.38</v>
      </c>
    </row>
    <row r="1214" spans="1:15">
      <c r="A1214" s="191">
        <v>44896</v>
      </c>
      <c r="B1214" s="181" t="s">
        <v>122</v>
      </c>
      <c r="C1214" s="181" t="s">
        <v>694</v>
      </c>
      <c r="D1214" s="181" t="str">
        <f t="shared" si="21"/>
        <v>34500</v>
      </c>
      <c r="E1214" s="181" t="s">
        <v>15</v>
      </c>
      <c r="F1214" s="181" t="s">
        <v>14</v>
      </c>
      <c r="G1214" s="181" t="s">
        <v>647</v>
      </c>
      <c r="H1214" s="8">
        <v>761448.47</v>
      </c>
      <c r="I1214" s="8">
        <v>2917.34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764365.81</v>
      </c>
    </row>
    <row r="1215" spans="1:15">
      <c r="A1215" s="191">
        <v>44896</v>
      </c>
      <c r="B1215" s="181" t="s">
        <v>122</v>
      </c>
      <c r="C1215" s="181" t="s">
        <v>695</v>
      </c>
      <c r="D1215" s="181" t="str">
        <f t="shared" si="21"/>
        <v>34500</v>
      </c>
      <c r="E1215" s="181" t="s">
        <v>15</v>
      </c>
      <c r="F1215" s="181" t="s">
        <v>14</v>
      </c>
      <c r="G1215" s="181" t="s">
        <v>647</v>
      </c>
      <c r="H1215" s="8">
        <v>21652.760000000002</v>
      </c>
      <c r="I1215" s="8">
        <v>233.03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21885.79</v>
      </c>
    </row>
    <row r="1216" spans="1:15">
      <c r="A1216" s="191">
        <v>44896</v>
      </c>
      <c r="B1216" s="181" t="s">
        <v>122</v>
      </c>
      <c r="C1216" s="181" t="s">
        <v>696</v>
      </c>
      <c r="D1216" s="181" t="str">
        <f t="shared" si="21"/>
        <v>34500</v>
      </c>
      <c r="E1216" s="181" t="s">
        <v>15</v>
      </c>
      <c r="F1216" s="181" t="s">
        <v>14</v>
      </c>
      <c r="G1216" s="181" t="s">
        <v>647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</row>
    <row r="1217" spans="1:15">
      <c r="A1217" s="191">
        <v>44896</v>
      </c>
      <c r="B1217" s="181" t="s">
        <v>122</v>
      </c>
      <c r="C1217" s="181" t="s">
        <v>697</v>
      </c>
      <c r="D1217" s="181" t="str">
        <f t="shared" si="21"/>
        <v>34500</v>
      </c>
      <c r="E1217" s="181" t="s">
        <v>15</v>
      </c>
      <c r="F1217" s="181" t="s">
        <v>14</v>
      </c>
      <c r="G1217" s="181" t="s">
        <v>647</v>
      </c>
      <c r="H1217" s="8">
        <v>85113.72</v>
      </c>
      <c r="I1217" s="8">
        <v>819.31000000000006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85933.03</v>
      </c>
    </row>
    <row r="1218" spans="1:15">
      <c r="A1218" s="191">
        <v>44896</v>
      </c>
      <c r="B1218" s="181" t="s">
        <v>122</v>
      </c>
      <c r="C1218" s="181" t="s">
        <v>698</v>
      </c>
      <c r="D1218" s="181" t="str">
        <f t="shared" ref="D1218:D1281" si="22">MID(C1218,10,5)</f>
        <v>34500</v>
      </c>
      <c r="E1218" s="181" t="s">
        <v>15</v>
      </c>
      <c r="F1218" s="181" t="s">
        <v>14</v>
      </c>
      <c r="G1218" s="181" t="s">
        <v>647</v>
      </c>
      <c r="H1218" s="8">
        <v>2415126.0300000003</v>
      </c>
      <c r="I1218" s="8">
        <v>18492.95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2433618.98</v>
      </c>
    </row>
    <row r="1219" spans="1:15">
      <c r="A1219" s="191">
        <v>44896</v>
      </c>
      <c r="B1219" s="181" t="s">
        <v>122</v>
      </c>
      <c r="C1219" s="181" t="s">
        <v>699</v>
      </c>
      <c r="D1219" s="181" t="str">
        <f t="shared" si="22"/>
        <v>34500</v>
      </c>
      <c r="E1219" s="181" t="s">
        <v>15</v>
      </c>
      <c r="F1219" s="181" t="s">
        <v>14</v>
      </c>
      <c r="G1219" s="181" t="s">
        <v>647</v>
      </c>
      <c r="H1219" s="8">
        <v>2414175.73</v>
      </c>
      <c r="I1219" s="8">
        <v>18492.95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2432668.6800000002</v>
      </c>
    </row>
    <row r="1220" spans="1:15">
      <c r="A1220" s="191">
        <v>44896</v>
      </c>
      <c r="B1220" s="181" t="s">
        <v>122</v>
      </c>
      <c r="C1220" s="181" t="s">
        <v>700</v>
      </c>
      <c r="D1220" s="181" t="str">
        <f t="shared" si="22"/>
        <v>34500</v>
      </c>
      <c r="E1220" s="181" t="s">
        <v>15</v>
      </c>
      <c r="F1220" s="181" t="s">
        <v>14</v>
      </c>
      <c r="G1220" s="181" t="s">
        <v>647</v>
      </c>
      <c r="H1220" s="8">
        <v>497017.10000000003</v>
      </c>
      <c r="I1220" s="8">
        <v>7691.17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504708.27</v>
      </c>
    </row>
    <row r="1221" spans="1:15">
      <c r="A1221" s="191">
        <v>44896</v>
      </c>
      <c r="B1221" s="181" t="s">
        <v>122</v>
      </c>
      <c r="C1221" s="181" t="s">
        <v>694</v>
      </c>
      <c r="D1221" s="181" t="str">
        <f t="shared" si="22"/>
        <v>34500</v>
      </c>
      <c r="E1221" s="181" t="s">
        <v>15</v>
      </c>
      <c r="F1221" s="181" t="s">
        <v>14</v>
      </c>
      <c r="G1221" s="181" t="s">
        <v>793</v>
      </c>
      <c r="H1221" s="8">
        <v>21458.99</v>
      </c>
      <c r="I1221" s="8">
        <v>173.74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21632.73</v>
      </c>
    </row>
    <row r="1222" spans="1:15">
      <c r="A1222" s="191">
        <v>44896</v>
      </c>
      <c r="B1222" s="181" t="s">
        <v>122</v>
      </c>
      <c r="C1222" s="181" t="s">
        <v>697</v>
      </c>
      <c r="D1222" s="181" t="str">
        <f t="shared" si="22"/>
        <v>34500</v>
      </c>
      <c r="E1222" s="181" t="s">
        <v>15</v>
      </c>
      <c r="F1222" s="181" t="s">
        <v>14</v>
      </c>
      <c r="G1222" s="181" t="s">
        <v>793</v>
      </c>
      <c r="H1222" s="8">
        <v>10351</v>
      </c>
      <c r="I1222" s="8">
        <v>99.64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10450.64</v>
      </c>
    </row>
    <row r="1223" spans="1:15">
      <c r="A1223" s="191">
        <v>44896</v>
      </c>
      <c r="B1223" s="181" t="s">
        <v>122</v>
      </c>
      <c r="C1223" s="181" t="s">
        <v>698</v>
      </c>
      <c r="D1223" s="181" t="str">
        <f t="shared" si="22"/>
        <v>34500</v>
      </c>
      <c r="E1223" s="181" t="s">
        <v>15</v>
      </c>
      <c r="F1223" s="181" t="s">
        <v>14</v>
      </c>
      <c r="G1223" s="181" t="s">
        <v>793</v>
      </c>
      <c r="H1223" s="8">
        <v>262835.74</v>
      </c>
      <c r="I1223" s="8">
        <v>2248.98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265084.72000000003</v>
      </c>
    </row>
    <row r="1224" spans="1:15">
      <c r="A1224" s="191">
        <v>44896</v>
      </c>
      <c r="B1224" s="181" t="s">
        <v>122</v>
      </c>
      <c r="C1224" s="181" t="s">
        <v>699</v>
      </c>
      <c r="D1224" s="181" t="str">
        <f t="shared" si="22"/>
        <v>34500</v>
      </c>
      <c r="E1224" s="181" t="s">
        <v>15</v>
      </c>
      <c r="F1224" s="181" t="s">
        <v>14</v>
      </c>
      <c r="G1224" s="181" t="s">
        <v>793</v>
      </c>
      <c r="H1224" s="8">
        <v>262720.17</v>
      </c>
      <c r="I1224" s="8">
        <v>2248.98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264969.15000000002</v>
      </c>
    </row>
    <row r="1225" spans="1:15">
      <c r="A1225" s="191">
        <v>44896</v>
      </c>
      <c r="B1225" s="181" t="s">
        <v>122</v>
      </c>
      <c r="C1225" s="181" t="s">
        <v>700</v>
      </c>
      <c r="D1225" s="181" t="str">
        <f t="shared" si="22"/>
        <v>34500</v>
      </c>
      <c r="E1225" s="181" t="s">
        <v>15</v>
      </c>
      <c r="F1225" s="181" t="s">
        <v>14</v>
      </c>
      <c r="G1225" s="181" t="s">
        <v>793</v>
      </c>
      <c r="H1225" s="8">
        <v>19171.38</v>
      </c>
      <c r="I1225" s="8">
        <v>294.78000000000003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19466.16</v>
      </c>
    </row>
    <row r="1226" spans="1:15">
      <c r="A1226" s="191">
        <v>44531</v>
      </c>
      <c r="B1226" s="181" t="s">
        <v>13</v>
      </c>
      <c r="C1226" s="181" t="s">
        <v>701</v>
      </c>
      <c r="D1226" s="181" t="str">
        <f t="shared" si="22"/>
        <v>34600</v>
      </c>
      <c r="E1226" s="181" t="s">
        <v>15</v>
      </c>
      <c r="F1226" s="181" t="s">
        <v>14</v>
      </c>
      <c r="G1226" s="181" t="s">
        <v>647</v>
      </c>
      <c r="H1226" s="8">
        <v>131973.94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131973.94</v>
      </c>
    </row>
    <row r="1227" spans="1:15">
      <c r="A1227" s="191">
        <v>44531</v>
      </c>
      <c r="B1227" s="181" t="s">
        <v>13</v>
      </c>
      <c r="C1227" s="181" t="s">
        <v>702</v>
      </c>
      <c r="D1227" s="181" t="str">
        <f t="shared" si="22"/>
        <v>34600</v>
      </c>
      <c r="E1227" s="181" t="s">
        <v>15</v>
      </c>
      <c r="F1227" s="181" t="s">
        <v>14</v>
      </c>
      <c r="G1227" s="181" t="s">
        <v>647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</row>
    <row r="1228" spans="1:15">
      <c r="A1228" s="191">
        <v>44531</v>
      </c>
      <c r="B1228" s="181" t="s">
        <v>13</v>
      </c>
      <c r="C1228" s="181" t="s">
        <v>703</v>
      </c>
      <c r="D1228" s="181" t="str">
        <f t="shared" si="22"/>
        <v>34600</v>
      </c>
      <c r="E1228" s="181" t="s">
        <v>15</v>
      </c>
      <c r="F1228" s="181" t="s">
        <v>14</v>
      </c>
      <c r="G1228" s="181" t="s">
        <v>647</v>
      </c>
      <c r="H1228" s="8">
        <v>268989.73</v>
      </c>
      <c r="I1228" s="8">
        <v>6416.28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275406.01</v>
      </c>
    </row>
    <row r="1229" spans="1:15">
      <c r="A1229" s="191">
        <v>44531</v>
      </c>
      <c r="B1229" s="181" t="s">
        <v>13</v>
      </c>
      <c r="C1229" s="181" t="s">
        <v>704</v>
      </c>
      <c r="D1229" s="181" t="str">
        <f t="shared" si="22"/>
        <v>34600</v>
      </c>
      <c r="E1229" s="181" t="s">
        <v>15</v>
      </c>
      <c r="F1229" s="181" t="s">
        <v>14</v>
      </c>
      <c r="G1229" s="181" t="s">
        <v>647</v>
      </c>
      <c r="H1229" s="8">
        <v>281.62</v>
      </c>
      <c r="I1229" s="8">
        <v>10.040000000000001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291.66000000000003</v>
      </c>
    </row>
    <row r="1230" spans="1:15">
      <c r="A1230" s="191">
        <v>44531</v>
      </c>
      <c r="B1230" s="181" t="s">
        <v>13</v>
      </c>
      <c r="C1230" s="181" t="s">
        <v>705</v>
      </c>
      <c r="D1230" s="181" t="str">
        <f t="shared" si="22"/>
        <v>34600</v>
      </c>
      <c r="E1230" s="181" t="s">
        <v>15</v>
      </c>
      <c r="F1230" s="181" t="s">
        <v>14</v>
      </c>
      <c r="G1230" s="181" t="s">
        <v>647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</row>
    <row r="1231" spans="1:15">
      <c r="A1231" s="191">
        <v>44531</v>
      </c>
      <c r="B1231" s="181" t="s">
        <v>13</v>
      </c>
      <c r="C1231" s="181" t="s">
        <v>706</v>
      </c>
      <c r="D1231" s="181" t="str">
        <f t="shared" si="22"/>
        <v>34600</v>
      </c>
      <c r="E1231" s="181" t="s">
        <v>15</v>
      </c>
      <c r="F1231" s="181" t="s">
        <v>14</v>
      </c>
      <c r="G1231" s="181" t="s">
        <v>647</v>
      </c>
      <c r="H1231" s="8">
        <v>11403.31</v>
      </c>
      <c r="I1231" s="8">
        <v>230.37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11633.68</v>
      </c>
    </row>
    <row r="1232" spans="1:15">
      <c r="A1232" s="191">
        <v>44531</v>
      </c>
      <c r="B1232" s="181" t="s">
        <v>13</v>
      </c>
      <c r="C1232" s="181" t="s">
        <v>703</v>
      </c>
      <c r="D1232" s="181" t="str">
        <f t="shared" si="22"/>
        <v>34600</v>
      </c>
      <c r="E1232" s="181" t="s">
        <v>15</v>
      </c>
      <c r="F1232" s="181" t="s">
        <v>14</v>
      </c>
      <c r="G1232" s="181" t="s">
        <v>793</v>
      </c>
      <c r="H1232" s="8">
        <v>31014.32</v>
      </c>
      <c r="I1232" s="8">
        <v>780.30000000000007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31794.62</v>
      </c>
    </row>
    <row r="1233" spans="1:15">
      <c r="A1233" s="191">
        <v>44531</v>
      </c>
      <c r="B1233" s="181" t="s">
        <v>13</v>
      </c>
      <c r="C1233" s="181" t="s">
        <v>704</v>
      </c>
      <c r="D1233" s="181" t="str">
        <f t="shared" si="22"/>
        <v>34600</v>
      </c>
      <c r="E1233" s="181" t="s">
        <v>15</v>
      </c>
      <c r="F1233" s="181" t="s">
        <v>14</v>
      </c>
      <c r="G1233" s="181" t="s">
        <v>793</v>
      </c>
      <c r="H1233" s="8">
        <v>34.230000000000004</v>
      </c>
      <c r="I1233" s="8">
        <v>1.22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35.450000000000003</v>
      </c>
    </row>
    <row r="1234" spans="1:15">
      <c r="A1234" s="191">
        <v>44531</v>
      </c>
      <c r="B1234" s="181" t="s">
        <v>13</v>
      </c>
      <c r="C1234" s="181" t="s">
        <v>706</v>
      </c>
      <c r="D1234" s="181" t="str">
        <f t="shared" si="22"/>
        <v>34600</v>
      </c>
      <c r="E1234" s="181" t="s">
        <v>15</v>
      </c>
      <c r="F1234" s="181" t="s">
        <v>14</v>
      </c>
      <c r="G1234" s="181" t="s">
        <v>793</v>
      </c>
      <c r="H1234" s="8">
        <v>464.31</v>
      </c>
      <c r="I1234" s="8">
        <v>9.3800000000000008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473.69</v>
      </c>
    </row>
    <row r="1235" spans="1:15">
      <c r="A1235" s="191">
        <v>44562</v>
      </c>
      <c r="B1235" s="181" t="s">
        <v>133</v>
      </c>
      <c r="C1235" s="181" t="s">
        <v>701</v>
      </c>
      <c r="D1235" s="181" t="str">
        <f t="shared" si="22"/>
        <v>34600</v>
      </c>
      <c r="E1235" s="181" t="s">
        <v>15</v>
      </c>
      <c r="F1235" s="181" t="s">
        <v>14</v>
      </c>
      <c r="G1235" s="181" t="s">
        <v>647</v>
      </c>
      <c r="H1235" s="8">
        <v>131973.94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131973.94</v>
      </c>
    </row>
    <row r="1236" spans="1:15">
      <c r="A1236" s="191">
        <v>44562</v>
      </c>
      <c r="B1236" s="181" t="s">
        <v>133</v>
      </c>
      <c r="C1236" s="181" t="s">
        <v>702</v>
      </c>
      <c r="D1236" s="181" t="str">
        <f t="shared" si="22"/>
        <v>34600</v>
      </c>
      <c r="E1236" s="181" t="s">
        <v>15</v>
      </c>
      <c r="F1236" s="181" t="s">
        <v>14</v>
      </c>
      <c r="G1236" s="181" t="s">
        <v>647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</row>
    <row r="1237" spans="1:15">
      <c r="A1237" s="191">
        <v>44562</v>
      </c>
      <c r="B1237" s="181" t="s">
        <v>133</v>
      </c>
      <c r="C1237" s="181" t="s">
        <v>703</v>
      </c>
      <c r="D1237" s="181" t="str">
        <f t="shared" si="22"/>
        <v>34600</v>
      </c>
      <c r="E1237" s="181" t="s">
        <v>15</v>
      </c>
      <c r="F1237" s="181" t="s">
        <v>14</v>
      </c>
      <c r="G1237" s="181" t="s">
        <v>647</v>
      </c>
      <c r="H1237" s="8">
        <v>275406.01</v>
      </c>
      <c r="I1237" s="8">
        <v>6416.28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281822.28999999998</v>
      </c>
    </row>
    <row r="1238" spans="1:15">
      <c r="A1238" s="191">
        <v>44562</v>
      </c>
      <c r="B1238" s="181" t="s">
        <v>133</v>
      </c>
      <c r="C1238" s="181" t="s">
        <v>704</v>
      </c>
      <c r="D1238" s="181" t="str">
        <f t="shared" si="22"/>
        <v>34600</v>
      </c>
      <c r="E1238" s="181" t="s">
        <v>15</v>
      </c>
      <c r="F1238" s="181" t="s">
        <v>14</v>
      </c>
      <c r="G1238" s="181" t="s">
        <v>647</v>
      </c>
      <c r="H1238" s="8">
        <v>291.66000000000003</v>
      </c>
      <c r="I1238" s="8">
        <v>10.040000000000001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301.7</v>
      </c>
    </row>
    <row r="1239" spans="1:15">
      <c r="A1239" s="191">
        <v>44562</v>
      </c>
      <c r="B1239" s="181" t="s">
        <v>133</v>
      </c>
      <c r="C1239" s="181" t="s">
        <v>705</v>
      </c>
      <c r="D1239" s="181" t="str">
        <f t="shared" si="22"/>
        <v>34600</v>
      </c>
      <c r="E1239" s="181" t="s">
        <v>15</v>
      </c>
      <c r="F1239" s="181" t="s">
        <v>14</v>
      </c>
      <c r="G1239" s="181" t="s">
        <v>647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</row>
    <row r="1240" spans="1:15">
      <c r="A1240" s="191">
        <v>44562</v>
      </c>
      <c r="B1240" s="181" t="s">
        <v>133</v>
      </c>
      <c r="C1240" s="181" t="s">
        <v>706</v>
      </c>
      <c r="D1240" s="181" t="str">
        <f t="shared" si="22"/>
        <v>34600</v>
      </c>
      <c r="E1240" s="181" t="s">
        <v>15</v>
      </c>
      <c r="F1240" s="181" t="s">
        <v>14</v>
      </c>
      <c r="G1240" s="181" t="s">
        <v>647</v>
      </c>
      <c r="H1240" s="8">
        <v>11633.68</v>
      </c>
      <c r="I1240" s="8">
        <v>230.37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11864.050000000001</v>
      </c>
    </row>
    <row r="1241" spans="1:15">
      <c r="A1241" s="191">
        <v>44562</v>
      </c>
      <c r="B1241" s="181" t="s">
        <v>133</v>
      </c>
      <c r="C1241" s="181" t="s">
        <v>703</v>
      </c>
      <c r="D1241" s="181" t="str">
        <f t="shared" si="22"/>
        <v>34600</v>
      </c>
      <c r="E1241" s="181" t="s">
        <v>15</v>
      </c>
      <c r="F1241" s="181" t="s">
        <v>14</v>
      </c>
      <c r="G1241" s="181" t="s">
        <v>793</v>
      </c>
      <c r="H1241" s="8">
        <v>31794.62</v>
      </c>
      <c r="I1241" s="8">
        <v>780.30000000000007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32574.920000000002</v>
      </c>
    </row>
    <row r="1242" spans="1:15">
      <c r="A1242" s="191">
        <v>44562</v>
      </c>
      <c r="B1242" s="181" t="s">
        <v>133</v>
      </c>
      <c r="C1242" s="181" t="s">
        <v>704</v>
      </c>
      <c r="D1242" s="181" t="str">
        <f t="shared" si="22"/>
        <v>34600</v>
      </c>
      <c r="E1242" s="181" t="s">
        <v>15</v>
      </c>
      <c r="F1242" s="181" t="s">
        <v>14</v>
      </c>
      <c r="G1242" s="181" t="s">
        <v>793</v>
      </c>
      <c r="H1242" s="8">
        <v>35.450000000000003</v>
      </c>
      <c r="I1242" s="8">
        <v>1.22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36.67</v>
      </c>
    </row>
    <row r="1243" spans="1:15">
      <c r="A1243" s="191">
        <v>44562</v>
      </c>
      <c r="B1243" s="181" t="s">
        <v>133</v>
      </c>
      <c r="C1243" s="181" t="s">
        <v>706</v>
      </c>
      <c r="D1243" s="181" t="str">
        <f t="shared" si="22"/>
        <v>34600</v>
      </c>
      <c r="E1243" s="181" t="s">
        <v>15</v>
      </c>
      <c r="F1243" s="181" t="s">
        <v>14</v>
      </c>
      <c r="G1243" s="181" t="s">
        <v>793</v>
      </c>
      <c r="H1243" s="8">
        <v>473.69</v>
      </c>
      <c r="I1243" s="8">
        <v>9.3800000000000008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483.07</v>
      </c>
    </row>
    <row r="1244" spans="1:15">
      <c r="A1244" s="191">
        <v>44593</v>
      </c>
      <c r="B1244" s="181" t="s">
        <v>132</v>
      </c>
      <c r="C1244" s="181" t="s">
        <v>701</v>
      </c>
      <c r="D1244" s="181" t="str">
        <f t="shared" si="22"/>
        <v>34600</v>
      </c>
      <c r="E1244" s="181" t="s">
        <v>15</v>
      </c>
      <c r="F1244" s="181" t="s">
        <v>14</v>
      </c>
      <c r="G1244" s="181" t="s">
        <v>647</v>
      </c>
      <c r="H1244" s="8">
        <v>131973.94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131973.94</v>
      </c>
    </row>
    <row r="1245" spans="1:15">
      <c r="A1245" s="191">
        <v>44593</v>
      </c>
      <c r="B1245" s="181" t="s">
        <v>132</v>
      </c>
      <c r="C1245" s="181" t="s">
        <v>702</v>
      </c>
      <c r="D1245" s="181" t="str">
        <f t="shared" si="22"/>
        <v>34600</v>
      </c>
      <c r="E1245" s="181" t="s">
        <v>15</v>
      </c>
      <c r="F1245" s="181" t="s">
        <v>14</v>
      </c>
      <c r="G1245" s="181" t="s">
        <v>647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</row>
    <row r="1246" spans="1:15">
      <c r="A1246" s="191">
        <v>44593</v>
      </c>
      <c r="B1246" s="181" t="s">
        <v>132</v>
      </c>
      <c r="C1246" s="181" t="s">
        <v>703</v>
      </c>
      <c r="D1246" s="181" t="str">
        <f t="shared" si="22"/>
        <v>34600</v>
      </c>
      <c r="E1246" s="181" t="s">
        <v>15</v>
      </c>
      <c r="F1246" s="181" t="s">
        <v>14</v>
      </c>
      <c r="G1246" s="181" t="s">
        <v>647</v>
      </c>
      <c r="H1246" s="8">
        <v>281822.28999999998</v>
      </c>
      <c r="I1246" s="8">
        <v>6416.28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288238.57</v>
      </c>
    </row>
    <row r="1247" spans="1:15">
      <c r="A1247" s="191">
        <v>44593</v>
      </c>
      <c r="B1247" s="181" t="s">
        <v>132</v>
      </c>
      <c r="C1247" s="181" t="s">
        <v>704</v>
      </c>
      <c r="D1247" s="181" t="str">
        <f t="shared" si="22"/>
        <v>34600</v>
      </c>
      <c r="E1247" s="181" t="s">
        <v>15</v>
      </c>
      <c r="F1247" s="181" t="s">
        <v>14</v>
      </c>
      <c r="G1247" s="181" t="s">
        <v>647</v>
      </c>
      <c r="H1247" s="8">
        <v>301.7</v>
      </c>
      <c r="I1247" s="8">
        <v>10.040000000000001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311.74</v>
      </c>
    </row>
    <row r="1248" spans="1:15">
      <c r="A1248" s="191">
        <v>44593</v>
      </c>
      <c r="B1248" s="181" t="s">
        <v>132</v>
      </c>
      <c r="C1248" s="181" t="s">
        <v>705</v>
      </c>
      <c r="D1248" s="181" t="str">
        <f t="shared" si="22"/>
        <v>34600</v>
      </c>
      <c r="E1248" s="181" t="s">
        <v>15</v>
      </c>
      <c r="F1248" s="181" t="s">
        <v>14</v>
      </c>
      <c r="G1248" s="181" t="s">
        <v>647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</row>
    <row r="1249" spans="1:15">
      <c r="A1249" s="191">
        <v>44593</v>
      </c>
      <c r="B1249" s="181" t="s">
        <v>132</v>
      </c>
      <c r="C1249" s="181" t="s">
        <v>706</v>
      </c>
      <c r="D1249" s="181" t="str">
        <f t="shared" si="22"/>
        <v>34600</v>
      </c>
      <c r="E1249" s="181" t="s">
        <v>15</v>
      </c>
      <c r="F1249" s="181" t="s">
        <v>14</v>
      </c>
      <c r="G1249" s="181" t="s">
        <v>647</v>
      </c>
      <c r="H1249" s="8">
        <v>11864.050000000001</v>
      </c>
      <c r="I1249" s="8">
        <v>230.37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12094.42</v>
      </c>
    </row>
    <row r="1250" spans="1:15">
      <c r="A1250" s="191">
        <v>44593</v>
      </c>
      <c r="B1250" s="181" t="s">
        <v>132</v>
      </c>
      <c r="C1250" s="181" t="s">
        <v>703</v>
      </c>
      <c r="D1250" s="181" t="str">
        <f t="shared" si="22"/>
        <v>34600</v>
      </c>
      <c r="E1250" s="181" t="s">
        <v>15</v>
      </c>
      <c r="F1250" s="181" t="s">
        <v>14</v>
      </c>
      <c r="G1250" s="181" t="s">
        <v>793</v>
      </c>
      <c r="H1250" s="8">
        <v>32574.920000000002</v>
      </c>
      <c r="I1250" s="8">
        <v>780.30000000000007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33355.22</v>
      </c>
    </row>
    <row r="1251" spans="1:15">
      <c r="A1251" s="191">
        <v>44593</v>
      </c>
      <c r="B1251" s="181" t="s">
        <v>132</v>
      </c>
      <c r="C1251" s="181" t="s">
        <v>704</v>
      </c>
      <c r="D1251" s="181" t="str">
        <f t="shared" si="22"/>
        <v>34600</v>
      </c>
      <c r="E1251" s="181" t="s">
        <v>15</v>
      </c>
      <c r="F1251" s="181" t="s">
        <v>14</v>
      </c>
      <c r="G1251" s="181" t="s">
        <v>793</v>
      </c>
      <c r="H1251" s="8">
        <v>36.67</v>
      </c>
      <c r="I1251" s="8">
        <v>1.22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37.89</v>
      </c>
    </row>
    <row r="1252" spans="1:15">
      <c r="A1252" s="191">
        <v>44593</v>
      </c>
      <c r="B1252" s="181" t="s">
        <v>132</v>
      </c>
      <c r="C1252" s="181" t="s">
        <v>706</v>
      </c>
      <c r="D1252" s="181" t="str">
        <f t="shared" si="22"/>
        <v>34600</v>
      </c>
      <c r="E1252" s="181" t="s">
        <v>15</v>
      </c>
      <c r="F1252" s="181" t="s">
        <v>14</v>
      </c>
      <c r="G1252" s="181" t="s">
        <v>793</v>
      </c>
      <c r="H1252" s="8">
        <v>483.07</v>
      </c>
      <c r="I1252" s="8">
        <v>9.3800000000000008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492.45</v>
      </c>
    </row>
    <row r="1253" spans="1:15">
      <c r="A1253" s="191">
        <v>44621</v>
      </c>
      <c r="B1253" s="181" t="s">
        <v>131</v>
      </c>
      <c r="C1253" s="181" t="s">
        <v>701</v>
      </c>
      <c r="D1253" s="181" t="str">
        <f t="shared" si="22"/>
        <v>34600</v>
      </c>
      <c r="E1253" s="181" t="s">
        <v>15</v>
      </c>
      <c r="F1253" s="181" t="s">
        <v>14</v>
      </c>
      <c r="G1253" s="181" t="s">
        <v>647</v>
      </c>
      <c r="H1253" s="8">
        <v>131973.94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131973.94</v>
      </c>
    </row>
    <row r="1254" spans="1:15">
      <c r="A1254" s="191">
        <v>44621</v>
      </c>
      <c r="B1254" s="181" t="s">
        <v>131</v>
      </c>
      <c r="C1254" s="181" t="s">
        <v>702</v>
      </c>
      <c r="D1254" s="181" t="str">
        <f t="shared" si="22"/>
        <v>34600</v>
      </c>
      <c r="E1254" s="181" t="s">
        <v>15</v>
      </c>
      <c r="F1254" s="181" t="s">
        <v>14</v>
      </c>
      <c r="G1254" s="181" t="s">
        <v>647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</row>
    <row r="1255" spans="1:15">
      <c r="A1255" s="191">
        <v>44621</v>
      </c>
      <c r="B1255" s="181" t="s">
        <v>131</v>
      </c>
      <c r="C1255" s="181" t="s">
        <v>703</v>
      </c>
      <c r="D1255" s="181" t="str">
        <f t="shared" si="22"/>
        <v>34600</v>
      </c>
      <c r="E1255" s="181" t="s">
        <v>15</v>
      </c>
      <c r="F1255" s="181" t="s">
        <v>14</v>
      </c>
      <c r="G1255" s="181" t="s">
        <v>647</v>
      </c>
      <c r="H1255" s="8">
        <v>288238.57</v>
      </c>
      <c r="I1255" s="8">
        <v>6416.28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294654.85000000003</v>
      </c>
    </row>
    <row r="1256" spans="1:15">
      <c r="A1256" s="191">
        <v>44621</v>
      </c>
      <c r="B1256" s="181" t="s">
        <v>131</v>
      </c>
      <c r="C1256" s="181" t="s">
        <v>704</v>
      </c>
      <c r="D1256" s="181" t="str">
        <f t="shared" si="22"/>
        <v>34600</v>
      </c>
      <c r="E1256" s="181" t="s">
        <v>15</v>
      </c>
      <c r="F1256" s="181" t="s">
        <v>14</v>
      </c>
      <c r="G1256" s="181" t="s">
        <v>647</v>
      </c>
      <c r="H1256" s="8">
        <v>311.74</v>
      </c>
      <c r="I1256" s="8">
        <v>10.040000000000001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321.78000000000003</v>
      </c>
    </row>
    <row r="1257" spans="1:15">
      <c r="A1257" s="191">
        <v>44621</v>
      </c>
      <c r="B1257" s="181" t="s">
        <v>131</v>
      </c>
      <c r="C1257" s="181" t="s">
        <v>705</v>
      </c>
      <c r="D1257" s="181" t="str">
        <f t="shared" si="22"/>
        <v>34600</v>
      </c>
      <c r="E1257" s="181" t="s">
        <v>15</v>
      </c>
      <c r="F1257" s="181" t="s">
        <v>14</v>
      </c>
      <c r="G1257" s="181" t="s">
        <v>647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</row>
    <row r="1258" spans="1:15">
      <c r="A1258" s="191">
        <v>44621</v>
      </c>
      <c r="B1258" s="181" t="s">
        <v>131</v>
      </c>
      <c r="C1258" s="181" t="s">
        <v>706</v>
      </c>
      <c r="D1258" s="181" t="str">
        <f t="shared" si="22"/>
        <v>34600</v>
      </c>
      <c r="E1258" s="181" t="s">
        <v>15</v>
      </c>
      <c r="F1258" s="181" t="s">
        <v>14</v>
      </c>
      <c r="G1258" s="181" t="s">
        <v>647</v>
      </c>
      <c r="H1258" s="8">
        <v>12094.42</v>
      </c>
      <c r="I1258" s="8">
        <v>230.37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12324.79</v>
      </c>
    </row>
    <row r="1259" spans="1:15">
      <c r="A1259" s="191">
        <v>44621</v>
      </c>
      <c r="B1259" s="181" t="s">
        <v>131</v>
      </c>
      <c r="C1259" s="181" t="s">
        <v>703</v>
      </c>
      <c r="D1259" s="181" t="str">
        <f t="shared" si="22"/>
        <v>34600</v>
      </c>
      <c r="E1259" s="181" t="s">
        <v>15</v>
      </c>
      <c r="F1259" s="181" t="s">
        <v>14</v>
      </c>
      <c r="G1259" s="181" t="s">
        <v>793</v>
      </c>
      <c r="H1259" s="8">
        <v>33355.22</v>
      </c>
      <c r="I1259" s="8">
        <v>780.30000000000007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34135.520000000004</v>
      </c>
    </row>
    <row r="1260" spans="1:15">
      <c r="A1260" s="191">
        <v>44621</v>
      </c>
      <c r="B1260" s="181" t="s">
        <v>131</v>
      </c>
      <c r="C1260" s="181" t="s">
        <v>704</v>
      </c>
      <c r="D1260" s="181" t="str">
        <f t="shared" si="22"/>
        <v>34600</v>
      </c>
      <c r="E1260" s="181" t="s">
        <v>15</v>
      </c>
      <c r="F1260" s="181" t="s">
        <v>14</v>
      </c>
      <c r="G1260" s="181" t="s">
        <v>793</v>
      </c>
      <c r="H1260" s="8">
        <v>37.89</v>
      </c>
      <c r="I1260" s="8">
        <v>1.22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39.11</v>
      </c>
    </row>
    <row r="1261" spans="1:15">
      <c r="A1261" s="191">
        <v>44621</v>
      </c>
      <c r="B1261" s="181" t="s">
        <v>131</v>
      </c>
      <c r="C1261" s="181" t="s">
        <v>706</v>
      </c>
      <c r="D1261" s="181" t="str">
        <f t="shared" si="22"/>
        <v>34600</v>
      </c>
      <c r="E1261" s="181" t="s">
        <v>15</v>
      </c>
      <c r="F1261" s="181" t="s">
        <v>14</v>
      </c>
      <c r="G1261" s="181" t="s">
        <v>793</v>
      </c>
      <c r="H1261" s="8">
        <v>492.45</v>
      </c>
      <c r="I1261" s="8">
        <v>9.3800000000000008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501.83</v>
      </c>
    </row>
    <row r="1262" spans="1:15">
      <c r="A1262" s="191">
        <v>44652</v>
      </c>
      <c r="B1262" s="181" t="s">
        <v>130</v>
      </c>
      <c r="C1262" s="181" t="s">
        <v>701</v>
      </c>
      <c r="D1262" s="181" t="str">
        <f t="shared" si="22"/>
        <v>34600</v>
      </c>
      <c r="E1262" s="181" t="s">
        <v>15</v>
      </c>
      <c r="F1262" s="181" t="s">
        <v>14</v>
      </c>
      <c r="G1262" s="181" t="s">
        <v>647</v>
      </c>
      <c r="H1262" s="8">
        <v>131973.94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131973.94</v>
      </c>
    </row>
    <row r="1263" spans="1:15">
      <c r="A1263" s="191">
        <v>44652</v>
      </c>
      <c r="B1263" s="181" t="s">
        <v>130</v>
      </c>
      <c r="C1263" s="181" t="s">
        <v>702</v>
      </c>
      <c r="D1263" s="181" t="str">
        <f t="shared" si="22"/>
        <v>34600</v>
      </c>
      <c r="E1263" s="181" t="s">
        <v>15</v>
      </c>
      <c r="F1263" s="181" t="s">
        <v>14</v>
      </c>
      <c r="G1263" s="181" t="s">
        <v>647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</row>
    <row r="1264" spans="1:15">
      <c r="A1264" s="191">
        <v>44652</v>
      </c>
      <c r="B1264" s="181" t="s">
        <v>130</v>
      </c>
      <c r="C1264" s="181" t="s">
        <v>703</v>
      </c>
      <c r="D1264" s="181" t="str">
        <f t="shared" si="22"/>
        <v>34600</v>
      </c>
      <c r="E1264" s="181" t="s">
        <v>15</v>
      </c>
      <c r="F1264" s="181" t="s">
        <v>14</v>
      </c>
      <c r="G1264" s="181" t="s">
        <v>647</v>
      </c>
      <c r="H1264" s="8">
        <v>294654.85000000003</v>
      </c>
      <c r="I1264" s="8">
        <v>6416.28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301071.13</v>
      </c>
    </row>
    <row r="1265" spans="1:15">
      <c r="A1265" s="191">
        <v>44652</v>
      </c>
      <c r="B1265" s="181" t="s">
        <v>130</v>
      </c>
      <c r="C1265" s="181" t="s">
        <v>704</v>
      </c>
      <c r="D1265" s="181" t="str">
        <f t="shared" si="22"/>
        <v>34600</v>
      </c>
      <c r="E1265" s="181" t="s">
        <v>15</v>
      </c>
      <c r="F1265" s="181" t="s">
        <v>14</v>
      </c>
      <c r="G1265" s="181" t="s">
        <v>647</v>
      </c>
      <c r="H1265" s="8">
        <v>321.78000000000003</v>
      </c>
      <c r="I1265" s="8">
        <v>10.040000000000001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331.82</v>
      </c>
    </row>
    <row r="1266" spans="1:15">
      <c r="A1266" s="191">
        <v>44652</v>
      </c>
      <c r="B1266" s="181" t="s">
        <v>130</v>
      </c>
      <c r="C1266" s="181" t="s">
        <v>705</v>
      </c>
      <c r="D1266" s="181" t="str">
        <f t="shared" si="22"/>
        <v>34600</v>
      </c>
      <c r="E1266" s="181" t="s">
        <v>15</v>
      </c>
      <c r="F1266" s="181" t="s">
        <v>14</v>
      </c>
      <c r="G1266" s="181" t="s">
        <v>647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</row>
    <row r="1267" spans="1:15">
      <c r="A1267" s="191">
        <v>44652</v>
      </c>
      <c r="B1267" s="181" t="s">
        <v>130</v>
      </c>
      <c r="C1267" s="181" t="s">
        <v>706</v>
      </c>
      <c r="D1267" s="181" t="str">
        <f t="shared" si="22"/>
        <v>34600</v>
      </c>
      <c r="E1267" s="181" t="s">
        <v>15</v>
      </c>
      <c r="F1267" s="181" t="s">
        <v>14</v>
      </c>
      <c r="G1267" s="181" t="s">
        <v>647</v>
      </c>
      <c r="H1267" s="8">
        <v>12324.79</v>
      </c>
      <c r="I1267" s="8">
        <v>230.37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12555.16</v>
      </c>
    </row>
    <row r="1268" spans="1:15">
      <c r="A1268" s="191">
        <v>44652</v>
      </c>
      <c r="B1268" s="181" t="s">
        <v>130</v>
      </c>
      <c r="C1268" s="181" t="s">
        <v>703</v>
      </c>
      <c r="D1268" s="181" t="str">
        <f t="shared" si="22"/>
        <v>34600</v>
      </c>
      <c r="E1268" s="181" t="s">
        <v>15</v>
      </c>
      <c r="F1268" s="181" t="s">
        <v>14</v>
      </c>
      <c r="G1268" s="181" t="s">
        <v>793</v>
      </c>
      <c r="H1268" s="8">
        <v>34135.520000000004</v>
      </c>
      <c r="I1268" s="8">
        <v>780.30000000000007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34915.82</v>
      </c>
    </row>
    <row r="1269" spans="1:15">
      <c r="A1269" s="191">
        <v>44652</v>
      </c>
      <c r="B1269" s="181" t="s">
        <v>130</v>
      </c>
      <c r="C1269" s="181" t="s">
        <v>704</v>
      </c>
      <c r="D1269" s="181" t="str">
        <f t="shared" si="22"/>
        <v>34600</v>
      </c>
      <c r="E1269" s="181" t="s">
        <v>15</v>
      </c>
      <c r="F1269" s="181" t="s">
        <v>14</v>
      </c>
      <c r="G1269" s="181" t="s">
        <v>793</v>
      </c>
      <c r="H1269" s="8">
        <v>39.11</v>
      </c>
      <c r="I1269" s="8">
        <v>1.22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40.33</v>
      </c>
    </row>
    <row r="1270" spans="1:15">
      <c r="A1270" s="191">
        <v>44652</v>
      </c>
      <c r="B1270" s="181" t="s">
        <v>130</v>
      </c>
      <c r="C1270" s="181" t="s">
        <v>706</v>
      </c>
      <c r="D1270" s="181" t="str">
        <f t="shared" si="22"/>
        <v>34600</v>
      </c>
      <c r="E1270" s="181" t="s">
        <v>15</v>
      </c>
      <c r="F1270" s="181" t="s">
        <v>14</v>
      </c>
      <c r="G1270" s="181" t="s">
        <v>793</v>
      </c>
      <c r="H1270" s="8">
        <v>501.83</v>
      </c>
      <c r="I1270" s="8">
        <v>9.3800000000000008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511.21000000000004</v>
      </c>
    </row>
    <row r="1271" spans="1:15">
      <c r="A1271" s="191">
        <v>44682</v>
      </c>
      <c r="B1271" s="181" t="s">
        <v>129</v>
      </c>
      <c r="C1271" s="181" t="s">
        <v>701</v>
      </c>
      <c r="D1271" s="181" t="str">
        <f t="shared" si="22"/>
        <v>34600</v>
      </c>
      <c r="E1271" s="181" t="s">
        <v>15</v>
      </c>
      <c r="F1271" s="181" t="s">
        <v>14</v>
      </c>
      <c r="G1271" s="181" t="s">
        <v>647</v>
      </c>
      <c r="H1271" s="8">
        <v>131973.94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131973.94</v>
      </c>
    </row>
    <row r="1272" spans="1:15">
      <c r="A1272" s="191">
        <v>44682</v>
      </c>
      <c r="B1272" s="181" t="s">
        <v>129</v>
      </c>
      <c r="C1272" s="181" t="s">
        <v>702</v>
      </c>
      <c r="D1272" s="181" t="str">
        <f t="shared" si="22"/>
        <v>34600</v>
      </c>
      <c r="E1272" s="181" t="s">
        <v>15</v>
      </c>
      <c r="F1272" s="181" t="s">
        <v>14</v>
      </c>
      <c r="G1272" s="181" t="s">
        <v>647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</row>
    <row r="1273" spans="1:15">
      <c r="A1273" s="191">
        <v>44682</v>
      </c>
      <c r="B1273" s="181" t="s">
        <v>129</v>
      </c>
      <c r="C1273" s="181" t="s">
        <v>703</v>
      </c>
      <c r="D1273" s="181" t="str">
        <f t="shared" si="22"/>
        <v>34600</v>
      </c>
      <c r="E1273" s="181" t="s">
        <v>15</v>
      </c>
      <c r="F1273" s="181" t="s">
        <v>14</v>
      </c>
      <c r="G1273" s="181" t="s">
        <v>647</v>
      </c>
      <c r="H1273" s="8">
        <v>301071.13</v>
      </c>
      <c r="I1273" s="8">
        <v>6416.28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307487.41000000003</v>
      </c>
    </row>
    <row r="1274" spans="1:15">
      <c r="A1274" s="191">
        <v>44682</v>
      </c>
      <c r="B1274" s="181" t="s">
        <v>129</v>
      </c>
      <c r="C1274" s="181" t="s">
        <v>704</v>
      </c>
      <c r="D1274" s="181" t="str">
        <f t="shared" si="22"/>
        <v>34600</v>
      </c>
      <c r="E1274" s="181" t="s">
        <v>15</v>
      </c>
      <c r="F1274" s="181" t="s">
        <v>14</v>
      </c>
      <c r="G1274" s="181" t="s">
        <v>647</v>
      </c>
      <c r="H1274" s="8">
        <v>331.82</v>
      </c>
      <c r="I1274" s="8">
        <v>10.040000000000001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341.86</v>
      </c>
    </row>
    <row r="1275" spans="1:15">
      <c r="A1275" s="191">
        <v>44682</v>
      </c>
      <c r="B1275" s="181" t="s">
        <v>129</v>
      </c>
      <c r="C1275" s="181" t="s">
        <v>705</v>
      </c>
      <c r="D1275" s="181" t="str">
        <f t="shared" si="22"/>
        <v>34600</v>
      </c>
      <c r="E1275" s="181" t="s">
        <v>15</v>
      </c>
      <c r="F1275" s="181" t="s">
        <v>14</v>
      </c>
      <c r="G1275" s="181" t="s">
        <v>647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</row>
    <row r="1276" spans="1:15">
      <c r="A1276" s="191">
        <v>44682</v>
      </c>
      <c r="B1276" s="181" t="s">
        <v>129</v>
      </c>
      <c r="C1276" s="181" t="s">
        <v>706</v>
      </c>
      <c r="D1276" s="181" t="str">
        <f t="shared" si="22"/>
        <v>34600</v>
      </c>
      <c r="E1276" s="181" t="s">
        <v>15</v>
      </c>
      <c r="F1276" s="181" t="s">
        <v>14</v>
      </c>
      <c r="G1276" s="181" t="s">
        <v>647</v>
      </c>
      <c r="H1276" s="8">
        <v>12555.16</v>
      </c>
      <c r="I1276" s="8">
        <v>230.37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12785.53</v>
      </c>
    </row>
    <row r="1277" spans="1:15">
      <c r="A1277" s="191">
        <v>44682</v>
      </c>
      <c r="B1277" s="181" t="s">
        <v>129</v>
      </c>
      <c r="C1277" s="181" t="s">
        <v>703</v>
      </c>
      <c r="D1277" s="181" t="str">
        <f t="shared" si="22"/>
        <v>34600</v>
      </c>
      <c r="E1277" s="181" t="s">
        <v>15</v>
      </c>
      <c r="F1277" s="181" t="s">
        <v>14</v>
      </c>
      <c r="G1277" s="181" t="s">
        <v>793</v>
      </c>
      <c r="H1277" s="8">
        <v>34915.82</v>
      </c>
      <c r="I1277" s="8">
        <v>780.30000000000007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35696.120000000003</v>
      </c>
    </row>
    <row r="1278" spans="1:15">
      <c r="A1278" s="191">
        <v>44682</v>
      </c>
      <c r="B1278" s="181" t="s">
        <v>129</v>
      </c>
      <c r="C1278" s="181" t="s">
        <v>704</v>
      </c>
      <c r="D1278" s="181" t="str">
        <f t="shared" si="22"/>
        <v>34600</v>
      </c>
      <c r="E1278" s="181" t="s">
        <v>15</v>
      </c>
      <c r="F1278" s="181" t="s">
        <v>14</v>
      </c>
      <c r="G1278" s="181" t="s">
        <v>793</v>
      </c>
      <c r="H1278" s="8">
        <v>40.33</v>
      </c>
      <c r="I1278" s="8">
        <v>1.22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41.550000000000004</v>
      </c>
    </row>
    <row r="1279" spans="1:15">
      <c r="A1279" s="191">
        <v>44682</v>
      </c>
      <c r="B1279" s="181" t="s">
        <v>129</v>
      </c>
      <c r="C1279" s="181" t="s">
        <v>706</v>
      </c>
      <c r="D1279" s="181" t="str">
        <f t="shared" si="22"/>
        <v>34600</v>
      </c>
      <c r="E1279" s="181" t="s">
        <v>15</v>
      </c>
      <c r="F1279" s="181" t="s">
        <v>14</v>
      </c>
      <c r="G1279" s="181" t="s">
        <v>793</v>
      </c>
      <c r="H1279" s="8">
        <v>511.21000000000004</v>
      </c>
      <c r="I1279" s="8">
        <v>9.3800000000000008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520.59</v>
      </c>
    </row>
    <row r="1280" spans="1:15">
      <c r="A1280" s="191">
        <v>44713</v>
      </c>
      <c r="B1280" s="181" t="s">
        <v>128</v>
      </c>
      <c r="C1280" s="181" t="s">
        <v>701</v>
      </c>
      <c r="D1280" s="181" t="str">
        <f t="shared" si="22"/>
        <v>34600</v>
      </c>
      <c r="E1280" s="181" t="s">
        <v>15</v>
      </c>
      <c r="F1280" s="181" t="s">
        <v>14</v>
      </c>
      <c r="G1280" s="181" t="s">
        <v>647</v>
      </c>
      <c r="H1280" s="8">
        <v>131973.94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131973.94</v>
      </c>
    </row>
    <row r="1281" spans="1:15">
      <c r="A1281" s="191">
        <v>44713</v>
      </c>
      <c r="B1281" s="181" t="s">
        <v>128</v>
      </c>
      <c r="C1281" s="181" t="s">
        <v>702</v>
      </c>
      <c r="D1281" s="181" t="str">
        <f t="shared" si="22"/>
        <v>34600</v>
      </c>
      <c r="E1281" s="181" t="s">
        <v>15</v>
      </c>
      <c r="F1281" s="181" t="s">
        <v>14</v>
      </c>
      <c r="G1281" s="181" t="s">
        <v>647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</row>
    <row r="1282" spans="1:15">
      <c r="A1282" s="191">
        <v>44713</v>
      </c>
      <c r="B1282" s="181" t="s">
        <v>128</v>
      </c>
      <c r="C1282" s="181" t="s">
        <v>703</v>
      </c>
      <c r="D1282" s="181" t="str">
        <f t="shared" ref="D1282:D1345" si="23">MID(C1282,10,5)</f>
        <v>34600</v>
      </c>
      <c r="E1282" s="181" t="s">
        <v>15</v>
      </c>
      <c r="F1282" s="181" t="s">
        <v>14</v>
      </c>
      <c r="G1282" s="181" t="s">
        <v>647</v>
      </c>
      <c r="H1282" s="8">
        <v>307487.41000000003</v>
      </c>
      <c r="I1282" s="8">
        <v>6416.28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313903.69</v>
      </c>
    </row>
    <row r="1283" spans="1:15">
      <c r="A1283" s="191">
        <v>44713</v>
      </c>
      <c r="B1283" s="181" t="s">
        <v>128</v>
      </c>
      <c r="C1283" s="181" t="s">
        <v>704</v>
      </c>
      <c r="D1283" s="181" t="str">
        <f t="shared" si="23"/>
        <v>34600</v>
      </c>
      <c r="E1283" s="181" t="s">
        <v>15</v>
      </c>
      <c r="F1283" s="181" t="s">
        <v>14</v>
      </c>
      <c r="G1283" s="181" t="s">
        <v>647</v>
      </c>
      <c r="H1283" s="8">
        <v>341.86</v>
      </c>
      <c r="I1283" s="8">
        <v>10.040000000000001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351.90000000000003</v>
      </c>
    </row>
    <row r="1284" spans="1:15">
      <c r="A1284" s="191">
        <v>44713</v>
      </c>
      <c r="B1284" s="181" t="s">
        <v>128</v>
      </c>
      <c r="C1284" s="181" t="s">
        <v>705</v>
      </c>
      <c r="D1284" s="181" t="str">
        <f t="shared" si="23"/>
        <v>34600</v>
      </c>
      <c r="E1284" s="181" t="s">
        <v>15</v>
      </c>
      <c r="F1284" s="181" t="s">
        <v>14</v>
      </c>
      <c r="G1284" s="181" t="s">
        <v>647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</row>
    <row r="1285" spans="1:15">
      <c r="A1285" s="191">
        <v>44713</v>
      </c>
      <c r="B1285" s="181" t="s">
        <v>128</v>
      </c>
      <c r="C1285" s="181" t="s">
        <v>706</v>
      </c>
      <c r="D1285" s="181" t="str">
        <f t="shared" si="23"/>
        <v>34600</v>
      </c>
      <c r="E1285" s="181" t="s">
        <v>15</v>
      </c>
      <c r="F1285" s="181" t="s">
        <v>14</v>
      </c>
      <c r="G1285" s="181" t="s">
        <v>647</v>
      </c>
      <c r="H1285" s="8">
        <v>12785.53</v>
      </c>
      <c r="I1285" s="8">
        <v>230.37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13015.9</v>
      </c>
    </row>
    <row r="1286" spans="1:15">
      <c r="A1286" s="191">
        <v>44713</v>
      </c>
      <c r="B1286" s="181" t="s">
        <v>128</v>
      </c>
      <c r="C1286" s="181" t="s">
        <v>703</v>
      </c>
      <c r="D1286" s="181" t="str">
        <f t="shared" si="23"/>
        <v>34600</v>
      </c>
      <c r="E1286" s="181" t="s">
        <v>15</v>
      </c>
      <c r="F1286" s="181" t="s">
        <v>14</v>
      </c>
      <c r="G1286" s="181" t="s">
        <v>793</v>
      </c>
      <c r="H1286" s="8">
        <v>35696.120000000003</v>
      </c>
      <c r="I1286" s="8">
        <v>780.30000000000007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36476.42</v>
      </c>
    </row>
    <row r="1287" spans="1:15">
      <c r="A1287" s="191">
        <v>44713</v>
      </c>
      <c r="B1287" s="181" t="s">
        <v>128</v>
      </c>
      <c r="C1287" s="181" t="s">
        <v>704</v>
      </c>
      <c r="D1287" s="181" t="str">
        <f t="shared" si="23"/>
        <v>34600</v>
      </c>
      <c r="E1287" s="181" t="s">
        <v>15</v>
      </c>
      <c r="F1287" s="181" t="s">
        <v>14</v>
      </c>
      <c r="G1287" s="181" t="s">
        <v>793</v>
      </c>
      <c r="H1287" s="8">
        <v>41.550000000000004</v>
      </c>
      <c r="I1287" s="8">
        <v>1.22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42.77</v>
      </c>
    </row>
    <row r="1288" spans="1:15">
      <c r="A1288" s="191">
        <v>44713</v>
      </c>
      <c r="B1288" s="181" t="s">
        <v>128</v>
      </c>
      <c r="C1288" s="181" t="s">
        <v>706</v>
      </c>
      <c r="D1288" s="181" t="str">
        <f t="shared" si="23"/>
        <v>34600</v>
      </c>
      <c r="E1288" s="181" t="s">
        <v>15</v>
      </c>
      <c r="F1288" s="181" t="s">
        <v>14</v>
      </c>
      <c r="G1288" s="181" t="s">
        <v>793</v>
      </c>
      <c r="H1288" s="8">
        <v>520.59</v>
      </c>
      <c r="I1288" s="8">
        <v>9.3800000000000008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529.97</v>
      </c>
    </row>
    <row r="1289" spans="1:15">
      <c r="A1289" s="191">
        <v>44743</v>
      </c>
      <c r="B1289" s="181" t="s">
        <v>127</v>
      </c>
      <c r="C1289" s="181" t="s">
        <v>701</v>
      </c>
      <c r="D1289" s="181" t="str">
        <f t="shared" si="23"/>
        <v>34600</v>
      </c>
      <c r="E1289" s="181" t="s">
        <v>15</v>
      </c>
      <c r="F1289" s="181" t="s">
        <v>14</v>
      </c>
      <c r="G1289" s="181" t="s">
        <v>647</v>
      </c>
      <c r="H1289" s="8">
        <v>131973.94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131973.94</v>
      </c>
    </row>
    <row r="1290" spans="1:15">
      <c r="A1290" s="191">
        <v>44743</v>
      </c>
      <c r="B1290" s="181" t="s">
        <v>127</v>
      </c>
      <c r="C1290" s="181" t="s">
        <v>702</v>
      </c>
      <c r="D1290" s="181" t="str">
        <f t="shared" si="23"/>
        <v>34600</v>
      </c>
      <c r="E1290" s="181" t="s">
        <v>15</v>
      </c>
      <c r="F1290" s="181" t="s">
        <v>14</v>
      </c>
      <c r="G1290" s="181" t="s">
        <v>647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</row>
    <row r="1291" spans="1:15">
      <c r="A1291" s="191">
        <v>44743</v>
      </c>
      <c r="B1291" s="181" t="s">
        <v>127</v>
      </c>
      <c r="C1291" s="181" t="s">
        <v>703</v>
      </c>
      <c r="D1291" s="181" t="str">
        <f t="shared" si="23"/>
        <v>34600</v>
      </c>
      <c r="E1291" s="181" t="s">
        <v>15</v>
      </c>
      <c r="F1291" s="181" t="s">
        <v>14</v>
      </c>
      <c r="G1291" s="181" t="s">
        <v>647</v>
      </c>
      <c r="H1291" s="8">
        <v>313903.69</v>
      </c>
      <c r="I1291" s="8">
        <v>6442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320345.69</v>
      </c>
    </row>
    <row r="1292" spans="1:15">
      <c r="A1292" s="191">
        <v>44743</v>
      </c>
      <c r="B1292" s="181" t="s">
        <v>127</v>
      </c>
      <c r="C1292" s="181" t="s">
        <v>704</v>
      </c>
      <c r="D1292" s="181" t="str">
        <f t="shared" si="23"/>
        <v>34600</v>
      </c>
      <c r="E1292" s="181" t="s">
        <v>15</v>
      </c>
      <c r="F1292" s="181" t="s">
        <v>14</v>
      </c>
      <c r="G1292" s="181" t="s">
        <v>647</v>
      </c>
      <c r="H1292" s="8">
        <v>351.90000000000003</v>
      </c>
      <c r="I1292" s="8">
        <v>10.040000000000001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361.94</v>
      </c>
    </row>
    <row r="1293" spans="1:15">
      <c r="A1293" s="191">
        <v>44743</v>
      </c>
      <c r="B1293" s="181" t="s">
        <v>127</v>
      </c>
      <c r="C1293" s="181" t="s">
        <v>705</v>
      </c>
      <c r="D1293" s="181" t="str">
        <f t="shared" si="23"/>
        <v>34600</v>
      </c>
      <c r="E1293" s="181" t="s">
        <v>15</v>
      </c>
      <c r="F1293" s="181" t="s">
        <v>14</v>
      </c>
      <c r="G1293" s="181" t="s">
        <v>647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</row>
    <row r="1294" spans="1:15">
      <c r="A1294" s="191">
        <v>44743</v>
      </c>
      <c r="B1294" s="181" t="s">
        <v>127</v>
      </c>
      <c r="C1294" s="181" t="s">
        <v>706</v>
      </c>
      <c r="D1294" s="181" t="str">
        <f t="shared" si="23"/>
        <v>34600</v>
      </c>
      <c r="E1294" s="181" t="s">
        <v>15</v>
      </c>
      <c r="F1294" s="181" t="s">
        <v>14</v>
      </c>
      <c r="G1294" s="181" t="s">
        <v>647</v>
      </c>
      <c r="H1294" s="8">
        <v>13015.9</v>
      </c>
      <c r="I1294" s="8">
        <v>230.37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13246.27</v>
      </c>
    </row>
    <row r="1295" spans="1:15">
      <c r="A1295" s="191">
        <v>44743</v>
      </c>
      <c r="B1295" s="181" t="s">
        <v>127</v>
      </c>
      <c r="C1295" s="181" t="s">
        <v>703</v>
      </c>
      <c r="D1295" s="181" t="str">
        <f t="shared" si="23"/>
        <v>34600</v>
      </c>
      <c r="E1295" s="181" t="s">
        <v>15</v>
      </c>
      <c r="F1295" s="181" t="s">
        <v>14</v>
      </c>
      <c r="G1295" s="181" t="s">
        <v>793</v>
      </c>
      <c r="H1295" s="8">
        <v>36476.42</v>
      </c>
      <c r="I1295" s="8">
        <v>783.43000000000006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37259.85</v>
      </c>
    </row>
    <row r="1296" spans="1:15">
      <c r="A1296" s="191">
        <v>44743</v>
      </c>
      <c r="B1296" s="181" t="s">
        <v>127</v>
      </c>
      <c r="C1296" s="181" t="s">
        <v>704</v>
      </c>
      <c r="D1296" s="181" t="str">
        <f t="shared" si="23"/>
        <v>34600</v>
      </c>
      <c r="E1296" s="181" t="s">
        <v>15</v>
      </c>
      <c r="F1296" s="181" t="s">
        <v>14</v>
      </c>
      <c r="G1296" s="181" t="s">
        <v>793</v>
      </c>
      <c r="H1296" s="8">
        <v>42.77</v>
      </c>
      <c r="I1296" s="8">
        <v>1.22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43.99</v>
      </c>
    </row>
    <row r="1297" spans="1:15">
      <c r="A1297" s="191">
        <v>44743</v>
      </c>
      <c r="B1297" s="181" t="s">
        <v>127</v>
      </c>
      <c r="C1297" s="181" t="s">
        <v>706</v>
      </c>
      <c r="D1297" s="181" t="str">
        <f t="shared" si="23"/>
        <v>34600</v>
      </c>
      <c r="E1297" s="181" t="s">
        <v>15</v>
      </c>
      <c r="F1297" s="181" t="s">
        <v>14</v>
      </c>
      <c r="G1297" s="181" t="s">
        <v>793</v>
      </c>
      <c r="H1297" s="8">
        <v>529.97</v>
      </c>
      <c r="I1297" s="8">
        <v>9.3800000000000008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539.35</v>
      </c>
    </row>
    <row r="1298" spans="1:15">
      <c r="A1298" s="191">
        <v>44774</v>
      </c>
      <c r="B1298" s="181" t="s">
        <v>126</v>
      </c>
      <c r="C1298" s="181" t="s">
        <v>701</v>
      </c>
      <c r="D1298" s="181" t="str">
        <f t="shared" si="23"/>
        <v>34600</v>
      </c>
      <c r="E1298" s="181" t="s">
        <v>15</v>
      </c>
      <c r="F1298" s="181" t="s">
        <v>14</v>
      </c>
      <c r="G1298" s="181" t="s">
        <v>647</v>
      </c>
      <c r="H1298" s="8">
        <v>131973.94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131973.94</v>
      </c>
    </row>
    <row r="1299" spans="1:15">
      <c r="A1299" s="191">
        <v>44774</v>
      </c>
      <c r="B1299" s="181" t="s">
        <v>126</v>
      </c>
      <c r="C1299" s="181" t="s">
        <v>702</v>
      </c>
      <c r="D1299" s="181" t="str">
        <f t="shared" si="23"/>
        <v>34600</v>
      </c>
      <c r="E1299" s="181" t="s">
        <v>15</v>
      </c>
      <c r="F1299" s="181" t="s">
        <v>14</v>
      </c>
      <c r="G1299" s="181" t="s">
        <v>647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</row>
    <row r="1300" spans="1:15">
      <c r="A1300" s="191">
        <v>44774</v>
      </c>
      <c r="B1300" s="181" t="s">
        <v>126</v>
      </c>
      <c r="C1300" s="181" t="s">
        <v>703</v>
      </c>
      <c r="D1300" s="181" t="str">
        <f t="shared" si="23"/>
        <v>34600</v>
      </c>
      <c r="E1300" s="181" t="s">
        <v>15</v>
      </c>
      <c r="F1300" s="181" t="s">
        <v>14</v>
      </c>
      <c r="G1300" s="181" t="s">
        <v>647</v>
      </c>
      <c r="H1300" s="8">
        <v>320345.69</v>
      </c>
      <c r="I1300" s="8">
        <v>6467.71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326813.40000000002</v>
      </c>
    </row>
    <row r="1301" spans="1:15">
      <c r="A1301" s="191">
        <v>44774</v>
      </c>
      <c r="B1301" s="181" t="s">
        <v>126</v>
      </c>
      <c r="C1301" s="181" t="s">
        <v>704</v>
      </c>
      <c r="D1301" s="181" t="str">
        <f t="shared" si="23"/>
        <v>34600</v>
      </c>
      <c r="E1301" s="181" t="s">
        <v>15</v>
      </c>
      <c r="F1301" s="181" t="s">
        <v>14</v>
      </c>
      <c r="G1301" s="181" t="s">
        <v>647</v>
      </c>
      <c r="H1301" s="8">
        <v>361.94</v>
      </c>
      <c r="I1301" s="8">
        <v>10.040000000000001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371.98</v>
      </c>
    </row>
    <row r="1302" spans="1:15">
      <c r="A1302" s="191">
        <v>44774</v>
      </c>
      <c r="B1302" s="181" t="s">
        <v>126</v>
      </c>
      <c r="C1302" s="181" t="s">
        <v>705</v>
      </c>
      <c r="D1302" s="181" t="str">
        <f t="shared" si="23"/>
        <v>34600</v>
      </c>
      <c r="E1302" s="181" t="s">
        <v>15</v>
      </c>
      <c r="F1302" s="181" t="s">
        <v>14</v>
      </c>
      <c r="G1302" s="181" t="s">
        <v>647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</row>
    <row r="1303" spans="1:15">
      <c r="A1303" s="191">
        <v>44774</v>
      </c>
      <c r="B1303" s="181" t="s">
        <v>126</v>
      </c>
      <c r="C1303" s="181" t="s">
        <v>706</v>
      </c>
      <c r="D1303" s="181" t="str">
        <f t="shared" si="23"/>
        <v>34600</v>
      </c>
      <c r="E1303" s="181" t="s">
        <v>15</v>
      </c>
      <c r="F1303" s="181" t="s">
        <v>14</v>
      </c>
      <c r="G1303" s="181" t="s">
        <v>647</v>
      </c>
      <c r="H1303" s="8">
        <v>13246.27</v>
      </c>
      <c r="I1303" s="8">
        <v>230.37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13476.64</v>
      </c>
    </row>
    <row r="1304" spans="1:15">
      <c r="A1304" s="191">
        <v>44774</v>
      </c>
      <c r="B1304" s="181" t="s">
        <v>126</v>
      </c>
      <c r="C1304" s="181" t="s">
        <v>703</v>
      </c>
      <c r="D1304" s="181" t="str">
        <f t="shared" si="23"/>
        <v>34600</v>
      </c>
      <c r="E1304" s="181" t="s">
        <v>15</v>
      </c>
      <c r="F1304" s="181" t="s">
        <v>14</v>
      </c>
      <c r="G1304" s="181" t="s">
        <v>793</v>
      </c>
      <c r="H1304" s="8">
        <v>37259.85</v>
      </c>
      <c r="I1304" s="8">
        <v>786.56000000000006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38046.410000000003</v>
      </c>
    </row>
    <row r="1305" spans="1:15">
      <c r="A1305" s="191">
        <v>44774</v>
      </c>
      <c r="B1305" s="181" t="s">
        <v>126</v>
      </c>
      <c r="C1305" s="181" t="s">
        <v>704</v>
      </c>
      <c r="D1305" s="181" t="str">
        <f t="shared" si="23"/>
        <v>34600</v>
      </c>
      <c r="E1305" s="181" t="s">
        <v>15</v>
      </c>
      <c r="F1305" s="181" t="s">
        <v>14</v>
      </c>
      <c r="G1305" s="181" t="s">
        <v>793</v>
      </c>
      <c r="H1305" s="8">
        <v>43.99</v>
      </c>
      <c r="I1305" s="8">
        <v>1.22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45.21</v>
      </c>
    </row>
    <row r="1306" spans="1:15">
      <c r="A1306" s="191">
        <v>44774</v>
      </c>
      <c r="B1306" s="181" t="s">
        <v>126</v>
      </c>
      <c r="C1306" s="181" t="s">
        <v>706</v>
      </c>
      <c r="D1306" s="181" t="str">
        <f t="shared" si="23"/>
        <v>34600</v>
      </c>
      <c r="E1306" s="181" t="s">
        <v>15</v>
      </c>
      <c r="F1306" s="181" t="s">
        <v>14</v>
      </c>
      <c r="G1306" s="181" t="s">
        <v>793</v>
      </c>
      <c r="H1306" s="8">
        <v>539.35</v>
      </c>
      <c r="I1306" s="8">
        <v>9.3800000000000008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548.73</v>
      </c>
    </row>
    <row r="1307" spans="1:15">
      <c r="A1307" s="191">
        <v>44805</v>
      </c>
      <c r="B1307" s="181" t="s">
        <v>125</v>
      </c>
      <c r="C1307" s="181" t="s">
        <v>701</v>
      </c>
      <c r="D1307" s="181" t="str">
        <f t="shared" si="23"/>
        <v>34600</v>
      </c>
      <c r="E1307" s="181" t="s">
        <v>15</v>
      </c>
      <c r="F1307" s="181" t="s">
        <v>14</v>
      </c>
      <c r="G1307" s="181" t="s">
        <v>647</v>
      </c>
      <c r="H1307" s="8">
        <v>131973.94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131973.94</v>
      </c>
    </row>
    <row r="1308" spans="1:15">
      <c r="A1308" s="191">
        <v>44805</v>
      </c>
      <c r="B1308" s="181" t="s">
        <v>125</v>
      </c>
      <c r="C1308" s="181" t="s">
        <v>702</v>
      </c>
      <c r="D1308" s="181" t="str">
        <f t="shared" si="23"/>
        <v>34600</v>
      </c>
      <c r="E1308" s="181" t="s">
        <v>15</v>
      </c>
      <c r="F1308" s="181" t="s">
        <v>14</v>
      </c>
      <c r="G1308" s="181" t="s">
        <v>647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</row>
    <row r="1309" spans="1:15">
      <c r="A1309" s="191">
        <v>44805</v>
      </c>
      <c r="B1309" s="181" t="s">
        <v>125</v>
      </c>
      <c r="C1309" s="181" t="s">
        <v>703</v>
      </c>
      <c r="D1309" s="181" t="str">
        <f t="shared" si="23"/>
        <v>34600</v>
      </c>
      <c r="E1309" s="181" t="s">
        <v>15</v>
      </c>
      <c r="F1309" s="181" t="s">
        <v>14</v>
      </c>
      <c r="G1309" s="181" t="s">
        <v>647</v>
      </c>
      <c r="H1309" s="8">
        <v>326813.40000000002</v>
      </c>
      <c r="I1309" s="8">
        <v>6467.71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333281.11</v>
      </c>
    </row>
    <row r="1310" spans="1:15">
      <c r="A1310" s="191">
        <v>44805</v>
      </c>
      <c r="B1310" s="181" t="s">
        <v>125</v>
      </c>
      <c r="C1310" s="181" t="s">
        <v>704</v>
      </c>
      <c r="D1310" s="181" t="str">
        <f t="shared" si="23"/>
        <v>34600</v>
      </c>
      <c r="E1310" s="181" t="s">
        <v>15</v>
      </c>
      <c r="F1310" s="181" t="s">
        <v>14</v>
      </c>
      <c r="G1310" s="181" t="s">
        <v>647</v>
      </c>
      <c r="H1310" s="8">
        <v>371.98</v>
      </c>
      <c r="I1310" s="8">
        <v>10.040000000000001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382.02</v>
      </c>
    </row>
    <row r="1311" spans="1:15">
      <c r="A1311" s="191">
        <v>44805</v>
      </c>
      <c r="B1311" s="181" t="s">
        <v>125</v>
      </c>
      <c r="C1311" s="181" t="s">
        <v>705</v>
      </c>
      <c r="D1311" s="181" t="str">
        <f t="shared" si="23"/>
        <v>34600</v>
      </c>
      <c r="E1311" s="181" t="s">
        <v>15</v>
      </c>
      <c r="F1311" s="181" t="s">
        <v>14</v>
      </c>
      <c r="G1311" s="181" t="s">
        <v>647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</row>
    <row r="1312" spans="1:15">
      <c r="A1312" s="191">
        <v>44805</v>
      </c>
      <c r="B1312" s="181" t="s">
        <v>125</v>
      </c>
      <c r="C1312" s="181" t="s">
        <v>706</v>
      </c>
      <c r="D1312" s="181" t="str">
        <f t="shared" si="23"/>
        <v>34600</v>
      </c>
      <c r="E1312" s="181" t="s">
        <v>15</v>
      </c>
      <c r="F1312" s="181" t="s">
        <v>14</v>
      </c>
      <c r="G1312" s="181" t="s">
        <v>647</v>
      </c>
      <c r="H1312" s="8">
        <v>13476.64</v>
      </c>
      <c r="I1312" s="8">
        <v>230.37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13707.01</v>
      </c>
    </row>
    <row r="1313" spans="1:15">
      <c r="A1313" s="191">
        <v>44805</v>
      </c>
      <c r="B1313" s="181" t="s">
        <v>125</v>
      </c>
      <c r="C1313" s="181" t="s">
        <v>703</v>
      </c>
      <c r="D1313" s="181" t="str">
        <f t="shared" si="23"/>
        <v>34600</v>
      </c>
      <c r="E1313" s="181" t="s">
        <v>15</v>
      </c>
      <c r="F1313" s="181" t="s">
        <v>14</v>
      </c>
      <c r="G1313" s="181" t="s">
        <v>793</v>
      </c>
      <c r="H1313" s="8">
        <v>38046.410000000003</v>
      </c>
      <c r="I1313" s="8">
        <v>786.56000000000006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38832.97</v>
      </c>
    </row>
    <row r="1314" spans="1:15">
      <c r="A1314" s="191">
        <v>44805</v>
      </c>
      <c r="B1314" s="181" t="s">
        <v>125</v>
      </c>
      <c r="C1314" s="181" t="s">
        <v>704</v>
      </c>
      <c r="D1314" s="181" t="str">
        <f t="shared" si="23"/>
        <v>34600</v>
      </c>
      <c r="E1314" s="181" t="s">
        <v>15</v>
      </c>
      <c r="F1314" s="181" t="s">
        <v>14</v>
      </c>
      <c r="G1314" s="181" t="s">
        <v>793</v>
      </c>
      <c r="H1314" s="8">
        <v>45.21</v>
      </c>
      <c r="I1314" s="8">
        <v>1.22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46.43</v>
      </c>
    </row>
    <row r="1315" spans="1:15">
      <c r="A1315" s="191">
        <v>44805</v>
      </c>
      <c r="B1315" s="181" t="s">
        <v>125</v>
      </c>
      <c r="C1315" s="181" t="s">
        <v>706</v>
      </c>
      <c r="D1315" s="181" t="str">
        <f t="shared" si="23"/>
        <v>34600</v>
      </c>
      <c r="E1315" s="181" t="s">
        <v>15</v>
      </c>
      <c r="F1315" s="181" t="s">
        <v>14</v>
      </c>
      <c r="G1315" s="181" t="s">
        <v>793</v>
      </c>
      <c r="H1315" s="8">
        <v>548.73</v>
      </c>
      <c r="I1315" s="8">
        <v>9.3800000000000008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558.11</v>
      </c>
    </row>
    <row r="1316" spans="1:15">
      <c r="A1316" s="191">
        <v>44835</v>
      </c>
      <c r="B1316" s="181" t="s">
        <v>124</v>
      </c>
      <c r="C1316" s="181" t="s">
        <v>701</v>
      </c>
      <c r="D1316" s="181" t="str">
        <f t="shared" si="23"/>
        <v>34600</v>
      </c>
      <c r="E1316" s="181" t="s">
        <v>15</v>
      </c>
      <c r="F1316" s="181" t="s">
        <v>14</v>
      </c>
      <c r="G1316" s="181" t="s">
        <v>647</v>
      </c>
      <c r="H1316" s="8">
        <v>131973.94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131973.94</v>
      </c>
    </row>
    <row r="1317" spans="1:15">
      <c r="A1317" s="191">
        <v>44835</v>
      </c>
      <c r="B1317" s="181" t="s">
        <v>124</v>
      </c>
      <c r="C1317" s="181" t="s">
        <v>702</v>
      </c>
      <c r="D1317" s="181" t="str">
        <f t="shared" si="23"/>
        <v>34600</v>
      </c>
      <c r="E1317" s="181" t="s">
        <v>15</v>
      </c>
      <c r="F1317" s="181" t="s">
        <v>14</v>
      </c>
      <c r="G1317" s="181" t="s">
        <v>647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</row>
    <row r="1318" spans="1:15">
      <c r="A1318" s="191">
        <v>44835</v>
      </c>
      <c r="B1318" s="181" t="s">
        <v>124</v>
      </c>
      <c r="C1318" s="181" t="s">
        <v>703</v>
      </c>
      <c r="D1318" s="181" t="str">
        <f t="shared" si="23"/>
        <v>34600</v>
      </c>
      <c r="E1318" s="181" t="s">
        <v>15</v>
      </c>
      <c r="F1318" s="181" t="s">
        <v>14</v>
      </c>
      <c r="G1318" s="181" t="s">
        <v>647</v>
      </c>
      <c r="H1318" s="8">
        <v>333281.11</v>
      </c>
      <c r="I1318" s="8">
        <v>6442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339723.11</v>
      </c>
    </row>
    <row r="1319" spans="1:15">
      <c r="A1319" s="191">
        <v>44835</v>
      </c>
      <c r="B1319" s="181" t="s">
        <v>124</v>
      </c>
      <c r="C1319" s="181" t="s">
        <v>704</v>
      </c>
      <c r="D1319" s="181" t="str">
        <f t="shared" si="23"/>
        <v>34600</v>
      </c>
      <c r="E1319" s="181" t="s">
        <v>15</v>
      </c>
      <c r="F1319" s="181" t="s">
        <v>14</v>
      </c>
      <c r="G1319" s="181" t="s">
        <v>647</v>
      </c>
      <c r="H1319" s="8">
        <v>382.02</v>
      </c>
      <c r="I1319" s="8">
        <v>10.040000000000001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392.06</v>
      </c>
    </row>
    <row r="1320" spans="1:15">
      <c r="A1320" s="191">
        <v>44835</v>
      </c>
      <c r="B1320" s="181" t="s">
        <v>124</v>
      </c>
      <c r="C1320" s="181" t="s">
        <v>705</v>
      </c>
      <c r="D1320" s="181" t="str">
        <f t="shared" si="23"/>
        <v>34600</v>
      </c>
      <c r="E1320" s="181" t="s">
        <v>15</v>
      </c>
      <c r="F1320" s="181" t="s">
        <v>14</v>
      </c>
      <c r="G1320" s="181" t="s">
        <v>647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</row>
    <row r="1321" spans="1:15">
      <c r="A1321" s="191">
        <v>44835</v>
      </c>
      <c r="B1321" s="181" t="s">
        <v>124</v>
      </c>
      <c r="C1321" s="181" t="s">
        <v>706</v>
      </c>
      <c r="D1321" s="181" t="str">
        <f t="shared" si="23"/>
        <v>34600</v>
      </c>
      <c r="E1321" s="181" t="s">
        <v>15</v>
      </c>
      <c r="F1321" s="181" t="s">
        <v>14</v>
      </c>
      <c r="G1321" s="181" t="s">
        <v>647</v>
      </c>
      <c r="H1321" s="8">
        <v>13707.01</v>
      </c>
      <c r="I1321" s="8">
        <v>230.37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13937.380000000001</v>
      </c>
    </row>
    <row r="1322" spans="1:15">
      <c r="A1322" s="191">
        <v>44835</v>
      </c>
      <c r="B1322" s="181" t="s">
        <v>124</v>
      </c>
      <c r="C1322" s="181" t="s">
        <v>703</v>
      </c>
      <c r="D1322" s="181" t="str">
        <f t="shared" si="23"/>
        <v>34600</v>
      </c>
      <c r="E1322" s="181" t="s">
        <v>15</v>
      </c>
      <c r="F1322" s="181" t="s">
        <v>14</v>
      </c>
      <c r="G1322" s="181" t="s">
        <v>793</v>
      </c>
      <c r="H1322" s="8">
        <v>38832.97</v>
      </c>
      <c r="I1322" s="8">
        <v>783.43000000000006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39616.400000000001</v>
      </c>
    </row>
    <row r="1323" spans="1:15">
      <c r="A1323" s="191">
        <v>44835</v>
      </c>
      <c r="B1323" s="181" t="s">
        <v>124</v>
      </c>
      <c r="C1323" s="181" t="s">
        <v>704</v>
      </c>
      <c r="D1323" s="181" t="str">
        <f t="shared" si="23"/>
        <v>34600</v>
      </c>
      <c r="E1323" s="181" t="s">
        <v>15</v>
      </c>
      <c r="F1323" s="181" t="s">
        <v>14</v>
      </c>
      <c r="G1323" s="181" t="s">
        <v>793</v>
      </c>
      <c r="H1323" s="8">
        <v>46.43</v>
      </c>
      <c r="I1323" s="8">
        <v>1.22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47.65</v>
      </c>
    </row>
    <row r="1324" spans="1:15">
      <c r="A1324" s="191">
        <v>44835</v>
      </c>
      <c r="B1324" s="181" t="s">
        <v>124</v>
      </c>
      <c r="C1324" s="181" t="s">
        <v>706</v>
      </c>
      <c r="D1324" s="181" t="str">
        <f t="shared" si="23"/>
        <v>34600</v>
      </c>
      <c r="E1324" s="181" t="s">
        <v>15</v>
      </c>
      <c r="F1324" s="181" t="s">
        <v>14</v>
      </c>
      <c r="G1324" s="181" t="s">
        <v>793</v>
      </c>
      <c r="H1324" s="8">
        <v>558.11</v>
      </c>
      <c r="I1324" s="8">
        <v>9.3800000000000008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567.49</v>
      </c>
    </row>
    <row r="1325" spans="1:15">
      <c r="A1325" s="191">
        <v>44866</v>
      </c>
      <c r="B1325" s="181" t="s">
        <v>123</v>
      </c>
      <c r="C1325" s="181" t="s">
        <v>701</v>
      </c>
      <c r="D1325" s="181" t="str">
        <f t="shared" si="23"/>
        <v>34600</v>
      </c>
      <c r="E1325" s="181" t="s">
        <v>15</v>
      </c>
      <c r="F1325" s="181" t="s">
        <v>14</v>
      </c>
      <c r="G1325" s="181" t="s">
        <v>647</v>
      </c>
      <c r="H1325" s="8">
        <v>131973.94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131973.94</v>
      </c>
    </row>
    <row r="1326" spans="1:15">
      <c r="A1326" s="191">
        <v>44866</v>
      </c>
      <c r="B1326" s="181" t="s">
        <v>123</v>
      </c>
      <c r="C1326" s="181" t="s">
        <v>702</v>
      </c>
      <c r="D1326" s="181" t="str">
        <f t="shared" si="23"/>
        <v>34600</v>
      </c>
      <c r="E1326" s="181" t="s">
        <v>15</v>
      </c>
      <c r="F1326" s="181" t="s">
        <v>14</v>
      </c>
      <c r="G1326" s="181" t="s">
        <v>647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</row>
    <row r="1327" spans="1:15">
      <c r="A1327" s="191">
        <v>44866</v>
      </c>
      <c r="B1327" s="181" t="s">
        <v>123</v>
      </c>
      <c r="C1327" s="181" t="s">
        <v>703</v>
      </c>
      <c r="D1327" s="181" t="str">
        <f t="shared" si="23"/>
        <v>34600</v>
      </c>
      <c r="E1327" s="181" t="s">
        <v>15</v>
      </c>
      <c r="F1327" s="181" t="s">
        <v>14</v>
      </c>
      <c r="G1327" s="181" t="s">
        <v>647</v>
      </c>
      <c r="H1327" s="8">
        <v>339723.11</v>
      </c>
      <c r="I1327" s="8">
        <v>6416.28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346139.39</v>
      </c>
    </row>
    <row r="1328" spans="1:15">
      <c r="A1328" s="191">
        <v>44866</v>
      </c>
      <c r="B1328" s="181" t="s">
        <v>123</v>
      </c>
      <c r="C1328" s="181" t="s">
        <v>704</v>
      </c>
      <c r="D1328" s="181" t="str">
        <f t="shared" si="23"/>
        <v>34600</v>
      </c>
      <c r="E1328" s="181" t="s">
        <v>15</v>
      </c>
      <c r="F1328" s="181" t="s">
        <v>14</v>
      </c>
      <c r="G1328" s="181" t="s">
        <v>647</v>
      </c>
      <c r="H1328" s="8">
        <v>392.06</v>
      </c>
      <c r="I1328" s="8">
        <v>10.040000000000001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402.1</v>
      </c>
    </row>
    <row r="1329" spans="1:15">
      <c r="A1329" s="191">
        <v>44866</v>
      </c>
      <c r="B1329" s="181" t="s">
        <v>123</v>
      </c>
      <c r="C1329" s="181" t="s">
        <v>705</v>
      </c>
      <c r="D1329" s="181" t="str">
        <f t="shared" si="23"/>
        <v>34600</v>
      </c>
      <c r="E1329" s="181" t="s">
        <v>15</v>
      </c>
      <c r="F1329" s="181" t="s">
        <v>14</v>
      </c>
      <c r="G1329" s="181" t="s">
        <v>647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</row>
    <row r="1330" spans="1:15">
      <c r="A1330" s="191">
        <v>44866</v>
      </c>
      <c r="B1330" s="181" t="s">
        <v>123</v>
      </c>
      <c r="C1330" s="181" t="s">
        <v>706</v>
      </c>
      <c r="D1330" s="181" t="str">
        <f t="shared" si="23"/>
        <v>34600</v>
      </c>
      <c r="E1330" s="181" t="s">
        <v>15</v>
      </c>
      <c r="F1330" s="181" t="s">
        <v>14</v>
      </c>
      <c r="G1330" s="181" t="s">
        <v>647</v>
      </c>
      <c r="H1330" s="8">
        <v>13937.380000000001</v>
      </c>
      <c r="I1330" s="8">
        <v>230.37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14167.75</v>
      </c>
    </row>
    <row r="1331" spans="1:15">
      <c r="A1331" s="191">
        <v>44866</v>
      </c>
      <c r="B1331" s="181" t="s">
        <v>123</v>
      </c>
      <c r="C1331" s="181" t="s">
        <v>703</v>
      </c>
      <c r="D1331" s="181" t="str">
        <f t="shared" si="23"/>
        <v>34600</v>
      </c>
      <c r="E1331" s="181" t="s">
        <v>15</v>
      </c>
      <c r="F1331" s="181" t="s">
        <v>14</v>
      </c>
      <c r="G1331" s="181" t="s">
        <v>793</v>
      </c>
      <c r="H1331" s="8">
        <v>39616.400000000001</v>
      </c>
      <c r="I1331" s="8">
        <v>780.30000000000007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40396.700000000004</v>
      </c>
    </row>
    <row r="1332" spans="1:15">
      <c r="A1332" s="191">
        <v>44866</v>
      </c>
      <c r="B1332" s="181" t="s">
        <v>123</v>
      </c>
      <c r="C1332" s="181" t="s">
        <v>704</v>
      </c>
      <c r="D1332" s="181" t="str">
        <f t="shared" si="23"/>
        <v>34600</v>
      </c>
      <c r="E1332" s="181" t="s">
        <v>15</v>
      </c>
      <c r="F1332" s="181" t="s">
        <v>14</v>
      </c>
      <c r="G1332" s="181" t="s">
        <v>793</v>
      </c>
      <c r="H1332" s="8">
        <v>47.65</v>
      </c>
      <c r="I1332" s="8">
        <v>1.22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48.870000000000005</v>
      </c>
    </row>
    <row r="1333" spans="1:15">
      <c r="A1333" s="191">
        <v>44866</v>
      </c>
      <c r="B1333" s="181" t="s">
        <v>123</v>
      </c>
      <c r="C1333" s="181" t="s">
        <v>706</v>
      </c>
      <c r="D1333" s="181" t="str">
        <f t="shared" si="23"/>
        <v>34600</v>
      </c>
      <c r="E1333" s="181" t="s">
        <v>15</v>
      </c>
      <c r="F1333" s="181" t="s">
        <v>14</v>
      </c>
      <c r="G1333" s="181" t="s">
        <v>793</v>
      </c>
      <c r="H1333" s="8">
        <v>567.49</v>
      </c>
      <c r="I1333" s="8">
        <v>9.3800000000000008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576.87</v>
      </c>
    </row>
    <row r="1334" spans="1:15">
      <c r="A1334" s="191">
        <v>44896</v>
      </c>
      <c r="B1334" s="181" t="s">
        <v>122</v>
      </c>
      <c r="C1334" s="181" t="s">
        <v>701</v>
      </c>
      <c r="D1334" s="181" t="str">
        <f t="shared" si="23"/>
        <v>34600</v>
      </c>
      <c r="E1334" s="181" t="s">
        <v>15</v>
      </c>
      <c r="F1334" s="181" t="s">
        <v>14</v>
      </c>
      <c r="G1334" s="181" t="s">
        <v>647</v>
      </c>
      <c r="H1334" s="8">
        <v>131973.94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131973.94</v>
      </c>
    </row>
    <row r="1335" spans="1:15">
      <c r="A1335" s="191">
        <v>44896</v>
      </c>
      <c r="B1335" s="181" t="s">
        <v>122</v>
      </c>
      <c r="C1335" s="181" t="s">
        <v>702</v>
      </c>
      <c r="D1335" s="181" t="str">
        <f t="shared" si="23"/>
        <v>34600</v>
      </c>
      <c r="E1335" s="181" t="s">
        <v>15</v>
      </c>
      <c r="F1335" s="181" t="s">
        <v>14</v>
      </c>
      <c r="G1335" s="181" t="s">
        <v>647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</row>
    <row r="1336" spans="1:15">
      <c r="A1336" s="191">
        <v>44896</v>
      </c>
      <c r="B1336" s="181" t="s">
        <v>122</v>
      </c>
      <c r="C1336" s="181" t="s">
        <v>703</v>
      </c>
      <c r="D1336" s="181" t="str">
        <f t="shared" si="23"/>
        <v>34600</v>
      </c>
      <c r="E1336" s="181" t="s">
        <v>15</v>
      </c>
      <c r="F1336" s="181" t="s">
        <v>14</v>
      </c>
      <c r="G1336" s="181" t="s">
        <v>647</v>
      </c>
      <c r="H1336" s="8">
        <v>346139.39</v>
      </c>
      <c r="I1336" s="8">
        <v>6416.28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352555.67</v>
      </c>
    </row>
    <row r="1337" spans="1:15">
      <c r="A1337" s="191">
        <v>44896</v>
      </c>
      <c r="B1337" s="181" t="s">
        <v>122</v>
      </c>
      <c r="C1337" s="181" t="s">
        <v>704</v>
      </c>
      <c r="D1337" s="181" t="str">
        <f t="shared" si="23"/>
        <v>34600</v>
      </c>
      <c r="E1337" s="181" t="s">
        <v>15</v>
      </c>
      <c r="F1337" s="181" t="s">
        <v>14</v>
      </c>
      <c r="G1337" s="181" t="s">
        <v>647</v>
      </c>
      <c r="H1337" s="8">
        <v>402.1</v>
      </c>
      <c r="I1337" s="8">
        <v>10.040000000000001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412.14</v>
      </c>
    </row>
    <row r="1338" spans="1:15">
      <c r="A1338" s="191">
        <v>44896</v>
      </c>
      <c r="B1338" s="181" t="s">
        <v>122</v>
      </c>
      <c r="C1338" s="181" t="s">
        <v>705</v>
      </c>
      <c r="D1338" s="181" t="str">
        <f t="shared" si="23"/>
        <v>34600</v>
      </c>
      <c r="E1338" s="181" t="s">
        <v>15</v>
      </c>
      <c r="F1338" s="181" t="s">
        <v>14</v>
      </c>
      <c r="G1338" s="181" t="s">
        <v>647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</row>
    <row r="1339" spans="1:15">
      <c r="A1339" s="191">
        <v>44896</v>
      </c>
      <c r="B1339" s="181" t="s">
        <v>122</v>
      </c>
      <c r="C1339" s="181" t="s">
        <v>706</v>
      </c>
      <c r="D1339" s="181" t="str">
        <f t="shared" si="23"/>
        <v>34600</v>
      </c>
      <c r="E1339" s="181" t="s">
        <v>15</v>
      </c>
      <c r="F1339" s="181" t="s">
        <v>14</v>
      </c>
      <c r="G1339" s="181" t="s">
        <v>647</v>
      </c>
      <c r="H1339" s="8">
        <v>14167.75</v>
      </c>
      <c r="I1339" s="8">
        <v>230.37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14398.12</v>
      </c>
    </row>
    <row r="1340" spans="1:15">
      <c r="A1340" s="191">
        <v>44896</v>
      </c>
      <c r="B1340" s="181" t="s">
        <v>122</v>
      </c>
      <c r="C1340" s="181" t="s">
        <v>703</v>
      </c>
      <c r="D1340" s="181" t="str">
        <f t="shared" si="23"/>
        <v>34600</v>
      </c>
      <c r="E1340" s="181" t="s">
        <v>15</v>
      </c>
      <c r="F1340" s="181" t="s">
        <v>14</v>
      </c>
      <c r="G1340" s="181" t="s">
        <v>793</v>
      </c>
      <c r="H1340" s="8">
        <v>40396.700000000004</v>
      </c>
      <c r="I1340" s="8">
        <v>780.30000000000007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41177</v>
      </c>
    </row>
    <row r="1341" spans="1:15">
      <c r="A1341" s="191">
        <v>44896</v>
      </c>
      <c r="B1341" s="181" t="s">
        <v>122</v>
      </c>
      <c r="C1341" s="181" t="s">
        <v>704</v>
      </c>
      <c r="D1341" s="181" t="str">
        <f t="shared" si="23"/>
        <v>34600</v>
      </c>
      <c r="E1341" s="181" t="s">
        <v>15</v>
      </c>
      <c r="F1341" s="181" t="s">
        <v>14</v>
      </c>
      <c r="G1341" s="181" t="s">
        <v>793</v>
      </c>
      <c r="H1341" s="8">
        <v>48.870000000000005</v>
      </c>
      <c r="I1341" s="8">
        <v>1.22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50.09</v>
      </c>
    </row>
    <row r="1342" spans="1:15">
      <c r="A1342" s="191">
        <v>44896</v>
      </c>
      <c r="B1342" s="181" t="s">
        <v>122</v>
      </c>
      <c r="C1342" s="181" t="s">
        <v>706</v>
      </c>
      <c r="D1342" s="181" t="str">
        <f t="shared" si="23"/>
        <v>34600</v>
      </c>
      <c r="E1342" s="181" t="s">
        <v>15</v>
      </c>
      <c r="F1342" s="181" t="s">
        <v>14</v>
      </c>
      <c r="G1342" s="181" t="s">
        <v>793</v>
      </c>
      <c r="H1342" s="8">
        <v>576.87</v>
      </c>
      <c r="I1342" s="8">
        <v>9.3800000000000008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586.25</v>
      </c>
    </row>
    <row r="1343" spans="1:15">
      <c r="A1343" s="191">
        <v>44531</v>
      </c>
      <c r="B1343" s="181" t="s">
        <v>13</v>
      </c>
      <c r="C1343" s="181" t="s">
        <v>805</v>
      </c>
      <c r="D1343" s="181" t="str">
        <f t="shared" si="23"/>
        <v>35001</v>
      </c>
      <c r="E1343" s="181" t="s">
        <v>15</v>
      </c>
      <c r="F1343" s="181" t="s">
        <v>14</v>
      </c>
      <c r="G1343" s="181" t="s">
        <v>801</v>
      </c>
      <c r="H1343" s="8">
        <v>-10341.969999999999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-10341.969999999999</v>
      </c>
    </row>
    <row r="1344" spans="1:15">
      <c r="A1344" s="191">
        <v>44562</v>
      </c>
      <c r="B1344" s="181" t="s">
        <v>133</v>
      </c>
      <c r="C1344" s="181" t="s">
        <v>805</v>
      </c>
      <c r="D1344" s="181" t="str">
        <f t="shared" si="23"/>
        <v>35001</v>
      </c>
      <c r="E1344" s="181" t="s">
        <v>15</v>
      </c>
      <c r="F1344" s="181" t="s">
        <v>14</v>
      </c>
      <c r="G1344" s="181" t="s">
        <v>801</v>
      </c>
      <c r="H1344" s="8">
        <v>-10341.969999999999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-10341.969999999999</v>
      </c>
    </row>
    <row r="1345" spans="1:15">
      <c r="A1345" s="191">
        <v>44593</v>
      </c>
      <c r="B1345" s="181" t="s">
        <v>132</v>
      </c>
      <c r="C1345" s="181" t="s">
        <v>805</v>
      </c>
      <c r="D1345" s="181" t="str">
        <f t="shared" si="23"/>
        <v>35001</v>
      </c>
      <c r="E1345" s="181" t="s">
        <v>15</v>
      </c>
      <c r="F1345" s="181" t="s">
        <v>14</v>
      </c>
      <c r="G1345" s="181" t="s">
        <v>801</v>
      </c>
      <c r="H1345" s="8">
        <v>-10341.969999999999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-10341.969999999999</v>
      </c>
    </row>
    <row r="1346" spans="1:15">
      <c r="A1346" s="191">
        <v>44621</v>
      </c>
      <c r="B1346" s="181" t="s">
        <v>131</v>
      </c>
      <c r="C1346" s="181" t="s">
        <v>805</v>
      </c>
      <c r="D1346" s="181" t="str">
        <f t="shared" ref="D1346:D1409" si="24">MID(C1346,10,5)</f>
        <v>35001</v>
      </c>
      <c r="E1346" s="181" t="s">
        <v>15</v>
      </c>
      <c r="F1346" s="181" t="s">
        <v>14</v>
      </c>
      <c r="G1346" s="181" t="s">
        <v>801</v>
      </c>
      <c r="H1346" s="8">
        <v>-10341.969999999999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-10341.969999999999</v>
      </c>
    </row>
    <row r="1347" spans="1:15">
      <c r="A1347" s="191">
        <v>44652</v>
      </c>
      <c r="B1347" s="181" t="s">
        <v>130</v>
      </c>
      <c r="C1347" s="181" t="s">
        <v>805</v>
      </c>
      <c r="D1347" s="181" t="str">
        <f t="shared" si="24"/>
        <v>35001</v>
      </c>
      <c r="E1347" s="181" t="s">
        <v>15</v>
      </c>
      <c r="F1347" s="181" t="s">
        <v>14</v>
      </c>
      <c r="G1347" s="181" t="s">
        <v>801</v>
      </c>
      <c r="H1347" s="8">
        <v>-10341.969999999999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-10341.969999999999</v>
      </c>
    </row>
    <row r="1348" spans="1:15">
      <c r="A1348" s="191">
        <v>44682</v>
      </c>
      <c r="B1348" s="181" t="s">
        <v>129</v>
      </c>
      <c r="C1348" s="181" t="s">
        <v>805</v>
      </c>
      <c r="D1348" s="181" t="str">
        <f t="shared" si="24"/>
        <v>35001</v>
      </c>
      <c r="E1348" s="181" t="s">
        <v>15</v>
      </c>
      <c r="F1348" s="181" t="s">
        <v>14</v>
      </c>
      <c r="G1348" s="181" t="s">
        <v>801</v>
      </c>
      <c r="H1348" s="8">
        <v>-10341.969999999999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-10341.969999999999</v>
      </c>
    </row>
    <row r="1349" spans="1:15">
      <c r="A1349" s="191">
        <v>44713</v>
      </c>
      <c r="B1349" s="181" t="s">
        <v>128</v>
      </c>
      <c r="C1349" s="181" t="s">
        <v>805</v>
      </c>
      <c r="D1349" s="181" t="str">
        <f t="shared" si="24"/>
        <v>35001</v>
      </c>
      <c r="E1349" s="181" t="s">
        <v>15</v>
      </c>
      <c r="F1349" s="181" t="s">
        <v>14</v>
      </c>
      <c r="G1349" s="181" t="s">
        <v>801</v>
      </c>
      <c r="H1349" s="8">
        <v>-10341.969999999999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-10341.969999999999</v>
      </c>
    </row>
    <row r="1350" spans="1:15">
      <c r="A1350" s="191">
        <v>44743</v>
      </c>
      <c r="B1350" s="181" t="s">
        <v>127</v>
      </c>
      <c r="C1350" s="181" t="s">
        <v>805</v>
      </c>
      <c r="D1350" s="181" t="str">
        <f t="shared" si="24"/>
        <v>35001</v>
      </c>
      <c r="E1350" s="181" t="s">
        <v>15</v>
      </c>
      <c r="F1350" s="181" t="s">
        <v>14</v>
      </c>
      <c r="G1350" s="181" t="s">
        <v>801</v>
      </c>
      <c r="H1350" s="8">
        <v>-10341.969999999999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-10341.969999999999</v>
      </c>
    </row>
    <row r="1351" spans="1:15">
      <c r="A1351" s="191">
        <v>44774</v>
      </c>
      <c r="B1351" s="181" t="s">
        <v>126</v>
      </c>
      <c r="C1351" s="181" t="s">
        <v>805</v>
      </c>
      <c r="D1351" s="181" t="str">
        <f t="shared" si="24"/>
        <v>35001</v>
      </c>
      <c r="E1351" s="181" t="s">
        <v>15</v>
      </c>
      <c r="F1351" s="181" t="s">
        <v>14</v>
      </c>
      <c r="G1351" s="181" t="s">
        <v>801</v>
      </c>
      <c r="H1351" s="8">
        <v>-10341.969999999999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-10341.969999999999</v>
      </c>
    </row>
    <row r="1352" spans="1:15">
      <c r="A1352" s="191">
        <v>44805</v>
      </c>
      <c r="B1352" s="181" t="s">
        <v>125</v>
      </c>
      <c r="C1352" s="181" t="s">
        <v>805</v>
      </c>
      <c r="D1352" s="181" t="str">
        <f t="shared" si="24"/>
        <v>35001</v>
      </c>
      <c r="E1352" s="181" t="s">
        <v>15</v>
      </c>
      <c r="F1352" s="181" t="s">
        <v>14</v>
      </c>
      <c r="G1352" s="181" t="s">
        <v>801</v>
      </c>
      <c r="H1352" s="8">
        <v>-10341.969999999999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-10341.969999999999</v>
      </c>
    </row>
    <row r="1353" spans="1:15">
      <c r="A1353" s="191">
        <v>44835</v>
      </c>
      <c r="B1353" s="181" t="s">
        <v>124</v>
      </c>
      <c r="C1353" s="181" t="s">
        <v>805</v>
      </c>
      <c r="D1353" s="181" t="str">
        <f t="shared" si="24"/>
        <v>35001</v>
      </c>
      <c r="E1353" s="181" t="s">
        <v>15</v>
      </c>
      <c r="F1353" s="181" t="s">
        <v>14</v>
      </c>
      <c r="G1353" s="181" t="s">
        <v>801</v>
      </c>
      <c r="H1353" s="8">
        <v>-10341.969999999999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-10341.969999999999</v>
      </c>
    </row>
    <row r="1354" spans="1:15">
      <c r="A1354" s="191">
        <v>44866</v>
      </c>
      <c r="B1354" s="181" t="s">
        <v>123</v>
      </c>
      <c r="C1354" s="181" t="s">
        <v>805</v>
      </c>
      <c r="D1354" s="181" t="str">
        <f t="shared" si="24"/>
        <v>35001</v>
      </c>
      <c r="E1354" s="181" t="s">
        <v>15</v>
      </c>
      <c r="F1354" s="181" t="s">
        <v>14</v>
      </c>
      <c r="G1354" s="181" t="s">
        <v>801</v>
      </c>
      <c r="H1354" s="8">
        <v>-10341.969999999999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-10341.969999999999</v>
      </c>
    </row>
    <row r="1355" spans="1:15">
      <c r="A1355" s="191">
        <v>44896</v>
      </c>
      <c r="B1355" s="181" t="s">
        <v>122</v>
      </c>
      <c r="C1355" s="181" t="s">
        <v>805</v>
      </c>
      <c r="D1355" s="181" t="str">
        <f t="shared" si="24"/>
        <v>35001</v>
      </c>
      <c r="E1355" s="181" t="s">
        <v>15</v>
      </c>
      <c r="F1355" s="181" t="s">
        <v>14</v>
      </c>
      <c r="G1355" s="181" t="s">
        <v>801</v>
      </c>
      <c r="H1355" s="8">
        <v>-10341.969999999999</v>
      </c>
      <c r="I1355" s="8">
        <v>0</v>
      </c>
      <c r="J1355" s="8">
        <v>0</v>
      </c>
      <c r="K1355" s="8">
        <v>0</v>
      </c>
      <c r="L1355" s="8">
        <v>0</v>
      </c>
      <c r="M1355" s="8">
        <v>27.14</v>
      </c>
      <c r="N1355" s="8">
        <v>0</v>
      </c>
      <c r="O1355" s="8">
        <v>-10314.83</v>
      </c>
    </row>
    <row r="1356" spans="1:15">
      <c r="A1356" s="191">
        <v>44531</v>
      </c>
      <c r="B1356" s="181" t="s">
        <v>13</v>
      </c>
      <c r="C1356" s="181" t="s">
        <v>806</v>
      </c>
      <c r="D1356" s="181" t="str">
        <f t="shared" si="24"/>
        <v>35002</v>
      </c>
      <c r="E1356" s="181" t="s">
        <v>15</v>
      </c>
      <c r="F1356" s="181" t="s">
        <v>14</v>
      </c>
      <c r="G1356" s="181" t="s">
        <v>801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</row>
    <row r="1357" spans="1:15">
      <c r="A1357" s="191">
        <v>44531</v>
      </c>
      <c r="B1357" s="181" t="s">
        <v>13</v>
      </c>
      <c r="C1357" s="181" t="s">
        <v>807</v>
      </c>
      <c r="D1357" s="181" t="str">
        <f t="shared" si="24"/>
        <v>35002</v>
      </c>
      <c r="E1357" s="181" t="s">
        <v>15</v>
      </c>
      <c r="F1357" s="181" t="s">
        <v>14</v>
      </c>
      <c r="G1357" s="181" t="s">
        <v>801</v>
      </c>
      <c r="H1357" s="8">
        <v>-17462.240000000002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-17462.240000000002</v>
      </c>
    </row>
    <row r="1358" spans="1:15">
      <c r="A1358" s="191">
        <v>44562</v>
      </c>
      <c r="B1358" s="181" t="s">
        <v>133</v>
      </c>
      <c r="C1358" s="181" t="s">
        <v>806</v>
      </c>
      <c r="D1358" s="181" t="str">
        <f t="shared" si="24"/>
        <v>35002</v>
      </c>
      <c r="E1358" s="181" t="s">
        <v>15</v>
      </c>
      <c r="F1358" s="181" t="s">
        <v>14</v>
      </c>
      <c r="G1358" s="181" t="s">
        <v>801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</row>
    <row r="1359" spans="1:15">
      <c r="A1359" s="191">
        <v>44562</v>
      </c>
      <c r="B1359" s="181" t="s">
        <v>133</v>
      </c>
      <c r="C1359" s="181" t="s">
        <v>807</v>
      </c>
      <c r="D1359" s="181" t="str">
        <f t="shared" si="24"/>
        <v>35002</v>
      </c>
      <c r="E1359" s="181" t="s">
        <v>15</v>
      </c>
      <c r="F1359" s="181" t="s">
        <v>14</v>
      </c>
      <c r="G1359" s="181" t="s">
        <v>801</v>
      </c>
      <c r="H1359" s="8">
        <v>-17462.240000000002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-17462.240000000002</v>
      </c>
    </row>
    <row r="1360" spans="1:15">
      <c r="A1360" s="191">
        <v>44593</v>
      </c>
      <c r="B1360" s="181" t="s">
        <v>132</v>
      </c>
      <c r="C1360" s="181" t="s">
        <v>806</v>
      </c>
      <c r="D1360" s="181" t="str">
        <f t="shared" si="24"/>
        <v>35002</v>
      </c>
      <c r="E1360" s="181" t="s">
        <v>15</v>
      </c>
      <c r="F1360" s="181" t="s">
        <v>14</v>
      </c>
      <c r="G1360" s="181" t="s">
        <v>801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</row>
    <row r="1361" spans="1:15">
      <c r="A1361" s="191">
        <v>44593</v>
      </c>
      <c r="B1361" s="181" t="s">
        <v>132</v>
      </c>
      <c r="C1361" s="181" t="s">
        <v>807</v>
      </c>
      <c r="D1361" s="181" t="str">
        <f t="shared" si="24"/>
        <v>35002</v>
      </c>
      <c r="E1361" s="181" t="s">
        <v>15</v>
      </c>
      <c r="F1361" s="181" t="s">
        <v>14</v>
      </c>
      <c r="G1361" s="181" t="s">
        <v>801</v>
      </c>
      <c r="H1361" s="8">
        <v>-17462.240000000002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-17462.240000000002</v>
      </c>
    </row>
    <row r="1362" spans="1:15">
      <c r="A1362" s="191">
        <v>44621</v>
      </c>
      <c r="B1362" s="181" t="s">
        <v>131</v>
      </c>
      <c r="C1362" s="181" t="s">
        <v>806</v>
      </c>
      <c r="D1362" s="181" t="str">
        <f t="shared" si="24"/>
        <v>35002</v>
      </c>
      <c r="E1362" s="181" t="s">
        <v>15</v>
      </c>
      <c r="F1362" s="181" t="s">
        <v>14</v>
      </c>
      <c r="G1362" s="181" t="s">
        <v>801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</row>
    <row r="1363" spans="1:15">
      <c r="A1363" s="191">
        <v>44621</v>
      </c>
      <c r="B1363" s="181" t="s">
        <v>131</v>
      </c>
      <c r="C1363" s="181" t="s">
        <v>807</v>
      </c>
      <c r="D1363" s="181" t="str">
        <f t="shared" si="24"/>
        <v>35002</v>
      </c>
      <c r="E1363" s="181" t="s">
        <v>15</v>
      </c>
      <c r="F1363" s="181" t="s">
        <v>14</v>
      </c>
      <c r="G1363" s="181" t="s">
        <v>801</v>
      </c>
      <c r="H1363" s="8">
        <v>-17462.240000000002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-17462.240000000002</v>
      </c>
    </row>
    <row r="1364" spans="1:15">
      <c r="A1364" s="191">
        <v>44652</v>
      </c>
      <c r="B1364" s="181" t="s">
        <v>130</v>
      </c>
      <c r="C1364" s="181" t="s">
        <v>806</v>
      </c>
      <c r="D1364" s="181" t="str">
        <f t="shared" si="24"/>
        <v>35002</v>
      </c>
      <c r="E1364" s="181" t="s">
        <v>15</v>
      </c>
      <c r="F1364" s="181" t="s">
        <v>14</v>
      </c>
      <c r="G1364" s="181" t="s">
        <v>801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</row>
    <row r="1365" spans="1:15">
      <c r="A1365" s="191">
        <v>44652</v>
      </c>
      <c r="B1365" s="181" t="s">
        <v>130</v>
      </c>
      <c r="C1365" s="181" t="s">
        <v>807</v>
      </c>
      <c r="D1365" s="181" t="str">
        <f t="shared" si="24"/>
        <v>35002</v>
      </c>
      <c r="E1365" s="181" t="s">
        <v>15</v>
      </c>
      <c r="F1365" s="181" t="s">
        <v>14</v>
      </c>
      <c r="G1365" s="181" t="s">
        <v>801</v>
      </c>
      <c r="H1365" s="8">
        <v>-17462.240000000002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-17462.240000000002</v>
      </c>
    </row>
    <row r="1366" spans="1:15">
      <c r="A1366" s="191">
        <v>44682</v>
      </c>
      <c r="B1366" s="181" t="s">
        <v>129</v>
      </c>
      <c r="C1366" s="181" t="s">
        <v>806</v>
      </c>
      <c r="D1366" s="181" t="str">
        <f t="shared" si="24"/>
        <v>35002</v>
      </c>
      <c r="E1366" s="181" t="s">
        <v>15</v>
      </c>
      <c r="F1366" s="181" t="s">
        <v>14</v>
      </c>
      <c r="G1366" s="181" t="s">
        <v>801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</row>
    <row r="1367" spans="1:15">
      <c r="A1367" s="191">
        <v>44682</v>
      </c>
      <c r="B1367" s="181" t="s">
        <v>129</v>
      </c>
      <c r="C1367" s="181" t="s">
        <v>807</v>
      </c>
      <c r="D1367" s="181" t="str">
        <f t="shared" si="24"/>
        <v>35002</v>
      </c>
      <c r="E1367" s="181" t="s">
        <v>15</v>
      </c>
      <c r="F1367" s="181" t="s">
        <v>14</v>
      </c>
      <c r="G1367" s="181" t="s">
        <v>801</v>
      </c>
      <c r="H1367" s="8">
        <v>-17462.240000000002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-17462.240000000002</v>
      </c>
    </row>
    <row r="1368" spans="1:15">
      <c r="A1368" s="191">
        <v>44713</v>
      </c>
      <c r="B1368" s="181" t="s">
        <v>128</v>
      </c>
      <c r="C1368" s="181" t="s">
        <v>806</v>
      </c>
      <c r="D1368" s="181" t="str">
        <f t="shared" si="24"/>
        <v>35002</v>
      </c>
      <c r="E1368" s="181" t="s">
        <v>15</v>
      </c>
      <c r="F1368" s="181" t="s">
        <v>14</v>
      </c>
      <c r="G1368" s="181" t="s">
        <v>801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</row>
    <row r="1369" spans="1:15">
      <c r="A1369" s="191">
        <v>44713</v>
      </c>
      <c r="B1369" s="181" t="s">
        <v>128</v>
      </c>
      <c r="C1369" s="181" t="s">
        <v>807</v>
      </c>
      <c r="D1369" s="181" t="str">
        <f t="shared" si="24"/>
        <v>35002</v>
      </c>
      <c r="E1369" s="181" t="s">
        <v>15</v>
      </c>
      <c r="F1369" s="181" t="s">
        <v>14</v>
      </c>
      <c r="G1369" s="181" t="s">
        <v>801</v>
      </c>
      <c r="H1369" s="8">
        <v>-17462.240000000002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-17462.240000000002</v>
      </c>
    </row>
    <row r="1370" spans="1:15">
      <c r="A1370" s="191">
        <v>44743</v>
      </c>
      <c r="B1370" s="181" t="s">
        <v>127</v>
      </c>
      <c r="C1370" s="181" t="s">
        <v>806</v>
      </c>
      <c r="D1370" s="181" t="str">
        <f t="shared" si="24"/>
        <v>35002</v>
      </c>
      <c r="E1370" s="181" t="s">
        <v>15</v>
      </c>
      <c r="F1370" s="181" t="s">
        <v>14</v>
      </c>
      <c r="G1370" s="181" t="s">
        <v>801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</row>
    <row r="1371" spans="1:15">
      <c r="A1371" s="191">
        <v>44743</v>
      </c>
      <c r="B1371" s="181" t="s">
        <v>127</v>
      </c>
      <c r="C1371" s="181" t="s">
        <v>807</v>
      </c>
      <c r="D1371" s="181" t="str">
        <f t="shared" si="24"/>
        <v>35002</v>
      </c>
      <c r="E1371" s="181" t="s">
        <v>15</v>
      </c>
      <c r="F1371" s="181" t="s">
        <v>14</v>
      </c>
      <c r="G1371" s="181" t="s">
        <v>801</v>
      </c>
      <c r="H1371" s="8">
        <v>-17462.240000000002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-17462.240000000002</v>
      </c>
    </row>
    <row r="1372" spans="1:15">
      <c r="A1372" s="191">
        <v>44774</v>
      </c>
      <c r="B1372" s="181" t="s">
        <v>126</v>
      </c>
      <c r="C1372" s="181" t="s">
        <v>806</v>
      </c>
      <c r="D1372" s="181" t="str">
        <f t="shared" si="24"/>
        <v>35002</v>
      </c>
      <c r="E1372" s="181" t="s">
        <v>15</v>
      </c>
      <c r="F1372" s="181" t="s">
        <v>14</v>
      </c>
      <c r="G1372" s="181" t="s">
        <v>801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</row>
    <row r="1373" spans="1:15">
      <c r="A1373" s="191">
        <v>44774</v>
      </c>
      <c r="B1373" s="181" t="s">
        <v>126</v>
      </c>
      <c r="C1373" s="181" t="s">
        <v>807</v>
      </c>
      <c r="D1373" s="181" t="str">
        <f t="shared" si="24"/>
        <v>35002</v>
      </c>
      <c r="E1373" s="181" t="s">
        <v>15</v>
      </c>
      <c r="F1373" s="181" t="s">
        <v>14</v>
      </c>
      <c r="G1373" s="181" t="s">
        <v>801</v>
      </c>
      <c r="H1373" s="8">
        <v>-17462.240000000002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-17462.240000000002</v>
      </c>
    </row>
    <row r="1374" spans="1:15">
      <c r="A1374" s="191">
        <v>44805</v>
      </c>
      <c r="B1374" s="181" t="s">
        <v>125</v>
      </c>
      <c r="C1374" s="181" t="s">
        <v>806</v>
      </c>
      <c r="D1374" s="181" t="str">
        <f t="shared" si="24"/>
        <v>35002</v>
      </c>
      <c r="E1374" s="181" t="s">
        <v>15</v>
      </c>
      <c r="F1374" s="181" t="s">
        <v>14</v>
      </c>
      <c r="G1374" s="181" t="s">
        <v>801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</row>
    <row r="1375" spans="1:15">
      <c r="A1375" s="191">
        <v>44805</v>
      </c>
      <c r="B1375" s="181" t="s">
        <v>125</v>
      </c>
      <c r="C1375" s="181" t="s">
        <v>807</v>
      </c>
      <c r="D1375" s="181" t="str">
        <f t="shared" si="24"/>
        <v>35002</v>
      </c>
      <c r="E1375" s="181" t="s">
        <v>15</v>
      </c>
      <c r="F1375" s="181" t="s">
        <v>14</v>
      </c>
      <c r="G1375" s="181" t="s">
        <v>801</v>
      </c>
      <c r="H1375" s="8">
        <v>-17462.240000000002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-17462.240000000002</v>
      </c>
    </row>
    <row r="1376" spans="1:15">
      <c r="A1376" s="191">
        <v>44835</v>
      </c>
      <c r="B1376" s="181" t="s">
        <v>124</v>
      </c>
      <c r="C1376" s="181" t="s">
        <v>806</v>
      </c>
      <c r="D1376" s="181" t="str">
        <f t="shared" si="24"/>
        <v>35002</v>
      </c>
      <c r="E1376" s="181" t="s">
        <v>15</v>
      </c>
      <c r="F1376" s="181" t="s">
        <v>14</v>
      </c>
      <c r="G1376" s="181" t="s">
        <v>801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</row>
    <row r="1377" spans="1:15">
      <c r="A1377" s="191">
        <v>44835</v>
      </c>
      <c r="B1377" s="181" t="s">
        <v>124</v>
      </c>
      <c r="C1377" s="181" t="s">
        <v>807</v>
      </c>
      <c r="D1377" s="181" t="str">
        <f t="shared" si="24"/>
        <v>35002</v>
      </c>
      <c r="E1377" s="181" t="s">
        <v>15</v>
      </c>
      <c r="F1377" s="181" t="s">
        <v>14</v>
      </c>
      <c r="G1377" s="181" t="s">
        <v>801</v>
      </c>
      <c r="H1377" s="8">
        <v>-17462.240000000002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-17462.240000000002</v>
      </c>
    </row>
    <row r="1378" spans="1:15">
      <c r="A1378" s="191">
        <v>44866</v>
      </c>
      <c r="B1378" s="181" t="s">
        <v>123</v>
      </c>
      <c r="C1378" s="181" t="s">
        <v>806</v>
      </c>
      <c r="D1378" s="181" t="str">
        <f t="shared" si="24"/>
        <v>35002</v>
      </c>
      <c r="E1378" s="181" t="s">
        <v>15</v>
      </c>
      <c r="F1378" s="181" t="s">
        <v>14</v>
      </c>
      <c r="G1378" s="181" t="s">
        <v>801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</row>
    <row r="1379" spans="1:15">
      <c r="A1379" s="191">
        <v>44866</v>
      </c>
      <c r="B1379" s="181" t="s">
        <v>123</v>
      </c>
      <c r="C1379" s="181" t="s">
        <v>807</v>
      </c>
      <c r="D1379" s="181" t="str">
        <f t="shared" si="24"/>
        <v>35002</v>
      </c>
      <c r="E1379" s="181" t="s">
        <v>15</v>
      </c>
      <c r="F1379" s="181" t="s">
        <v>14</v>
      </c>
      <c r="G1379" s="181" t="s">
        <v>801</v>
      </c>
      <c r="H1379" s="8">
        <v>-17462.240000000002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-17462.240000000002</v>
      </c>
    </row>
    <row r="1380" spans="1:15">
      <c r="A1380" s="191">
        <v>44896</v>
      </c>
      <c r="B1380" s="181" t="s">
        <v>122</v>
      </c>
      <c r="C1380" s="181" t="s">
        <v>806</v>
      </c>
      <c r="D1380" s="181" t="str">
        <f t="shared" si="24"/>
        <v>35002</v>
      </c>
      <c r="E1380" s="181" t="s">
        <v>15</v>
      </c>
      <c r="F1380" s="181" t="s">
        <v>14</v>
      </c>
      <c r="G1380" s="181" t="s">
        <v>801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</row>
    <row r="1381" spans="1:15">
      <c r="A1381" s="191">
        <v>44896</v>
      </c>
      <c r="B1381" s="181" t="s">
        <v>122</v>
      </c>
      <c r="C1381" s="181" t="s">
        <v>807</v>
      </c>
      <c r="D1381" s="181" t="str">
        <f t="shared" si="24"/>
        <v>35002</v>
      </c>
      <c r="E1381" s="181" t="s">
        <v>15</v>
      </c>
      <c r="F1381" s="181" t="s">
        <v>14</v>
      </c>
      <c r="G1381" s="181" t="s">
        <v>801</v>
      </c>
      <c r="H1381" s="8">
        <v>-17462.240000000002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-17462.240000000002</v>
      </c>
    </row>
    <row r="1382" spans="1:15">
      <c r="A1382" s="191">
        <v>44531</v>
      </c>
      <c r="B1382" s="181" t="s">
        <v>13</v>
      </c>
      <c r="C1382" s="181" t="s">
        <v>707</v>
      </c>
      <c r="D1382" s="181" t="str">
        <f t="shared" si="24"/>
        <v>35200</v>
      </c>
      <c r="E1382" s="181" t="s">
        <v>15</v>
      </c>
      <c r="F1382" s="181" t="s">
        <v>14</v>
      </c>
      <c r="G1382" s="181" t="s">
        <v>647</v>
      </c>
      <c r="H1382" s="8">
        <v>1940697.37</v>
      </c>
      <c r="I1382" s="8">
        <v>12169.37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1952866.74</v>
      </c>
    </row>
    <row r="1383" spans="1:15">
      <c r="A1383" s="191">
        <v>44531</v>
      </c>
      <c r="B1383" s="181" t="s">
        <v>13</v>
      </c>
      <c r="C1383" s="181" t="s">
        <v>707</v>
      </c>
      <c r="D1383" s="181" t="str">
        <f t="shared" si="24"/>
        <v>35200</v>
      </c>
      <c r="E1383" s="181" t="s">
        <v>15</v>
      </c>
      <c r="F1383" s="181" t="s">
        <v>14</v>
      </c>
      <c r="G1383" s="181" t="s">
        <v>793</v>
      </c>
      <c r="H1383" s="8">
        <v>60488.72</v>
      </c>
      <c r="I1383" s="8">
        <v>626.36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61115.08</v>
      </c>
    </row>
    <row r="1384" spans="1:15">
      <c r="A1384" s="191">
        <v>44562</v>
      </c>
      <c r="B1384" s="181" t="s">
        <v>133</v>
      </c>
      <c r="C1384" s="181" t="s">
        <v>707</v>
      </c>
      <c r="D1384" s="181" t="str">
        <f t="shared" si="24"/>
        <v>35200</v>
      </c>
      <c r="E1384" s="181" t="s">
        <v>15</v>
      </c>
      <c r="F1384" s="181" t="s">
        <v>14</v>
      </c>
      <c r="G1384" s="181" t="s">
        <v>647</v>
      </c>
      <c r="H1384" s="8">
        <v>1952866.74</v>
      </c>
      <c r="I1384" s="8">
        <v>12169.37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1965036.1099999999</v>
      </c>
    </row>
    <row r="1385" spans="1:15">
      <c r="A1385" s="191">
        <v>44562</v>
      </c>
      <c r="B1385" s="181" t="s">
        <v>133</v>
      </c>
      <c r="C1385" s="181" t="s">
        <v>707</v>
      </c>
      <c r="D1385" s="181" t="str">
        <f t="shared" si="24"/>
        <v>35200</v>
      </c>
      <c r="E1385" s="181" t="s">
        <v>15</v>
      </c>
      <c r="F1385" s="181" t="s">
        <v>14</v>
      </c>
      <c r="G1385" s="181" t="s">
        <v>793</v>
      </c>
      <c r="H1385" s="8">
        <v>61115.08</v>
      </c>
      <c r="I1385" s="8">
        <v>626.36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61741.440000000002</v>
      </c>
    </row>
    <row r="1386" spans="1:15">
      <c r="A1386" s="191">
        <v>44593</v>
      </c>
      <c r="B1386" s="181" t="s">
        <v>132</v>
      </c>
      <c r="C1386" s="181" t="s">
        <v>707</v>
      </c>
      <c r="D1386" s="181" t="str">
        <f t="shared" si="24"/>
        <v>35200</v>
      </c>
      <c r="E1386" s="181" t="s">
        <v>15</v>
      </c>
      <c r="F1386" s="181" t="s">
        <v>14</v>
      </c>
      <c r="G1386" s="181" t="s">
        <v>647</v>
      </c>
      <c r="H1386" s="8">
        <v>1965036.1099999999</v>
      </c>
      <c r="I1386" s="8">
        <v>12169.37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1977205.48</v>
      </c>
    </row>
    <row r="1387" spans="1:15">
      <c r="A1387" s="191">
        <v>44593</v>
      </c>
      <c r="B1387" s="181" t="s">
        <v>132</v>
      </c>
      <c r="C1387" s="181" t="s">
        <v>707</v>
      </c>
      <c r="D1387" s="181" t="str">
        <f t="shared" si="24"/>
        <v>35200</v>
      </c>
      <c r="E1387" s="181" t="s">
        <v>15</v>
      </c>
      <c r="F1387" s="181" t="s">
        <v>14</v>
      </c>
      <c r="G1387" s="181" t="s">
        <v>793</v>
      </c>
      <c r="H1387" s="8">
        <v>61741.440000000002</v>
      </c>
      <c r="I1387" s="8">
        <v>626.36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62367.8</v>
      </c>
    </row>
    <row r="1388" spans="1:15">
      <c r="A1388" s="191">
        <v>44621</v>
      </c>
      <c r="B1388" s="181" t="s">
        <v>131</v>
      </c>
      <c r="C1388" s="181" t="s">
        <v>707</v>
      </c>
      <c r="D1388" s="181" t="str">
        <f t="shared" si="24"/>
        <v>35200</v>
      </c>
      <c r="E1388" s="181" t="s">
        <v>15</v>
      </c>
      <c r="F1388" s="181" t="s">
        <v>14</v>
      </c>
      <c r="G1388" s="181" t="s">
        <v>647</v>
      </c>
      <c r="H1388" s="8">
        <v>1977205.48</v>
      </c>
      <c r="I1388" s="8">
        <v>12169.37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1989374.85</v>
      </c>
    </row>
    <row r="1389" spans="1:15">
      <c r="A1389" s="191">
        <v>44621</v>
      </c>
      <c r="B1389" s="181" t="s">
        <v>131</v>
      </c>
      <c r="C1389" s="181" t="s">
        <v>707</v>
      </c>
      <c r="D1389" s="181" t="str">
        <f t="shared" si="24"/>
        <v>35200</v>
      </c>
      <c r="E1389" s="181" t="s">
        <v>15</v>
      </c>
      <c r="F1389" s="181" t="s">
        <v>14</v>
      </c>
      <c r="G1389" s="181" t="s">
        <v>793</v>
      </c>
      <c r="H1389" s="8">
        <v>62367.8</v>
      </c>
      <c r="I1389" s="8">
        <v>626.36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62994.16</v>
      </c>
    </row>
    <row r="1390" spans="1:15">
      <c r="A1390" s="191">
        <v>44652</v>
      </c>
      <c r="B1390" s="181" t="s">
        <v>130</v>
      </c>
      <c r="C1390" s="181" t="s">
        <v>707</v>
      </c>
      <c r="D1390" s="181" t="str">
        <f t="shared" si="24"/>
        <v>35200</v>
      </c>
      <c r="E1390" s="181" t="s">
        <v>15</v>
      </c>
      <c r="F1390" s="181" t="s">
        <v>14</v>
      </c>
      <c r="G1390" s="181" t="s">
        <v>647</v>
      </c>
      <c r="H1390" s="8">
        <v>1989374.85</v>
      </c>
      <c r="I1390" s="8">
        <v>12169.37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2001544.22</v>
      </c>
    </row>
    <row r="1391" spans="1:15">
      <c r="A1391" s="191">
        <v>44652</v>
      </c>
      <c r="B1391" s="181" t="s">
        <v>130</v>
      </c>
      <c r="C1391" s="181" t="s">
        <v>707</v>
      </c>
      <c r="D1391" s="181" t="str">
        <f t="shared" si="24"/>
        <v>35200</v>
      </c>
      <c r="E1391" s="181" t="s">
        <v>15</v>
      </c>
      <c r="F1391" s="181" t="s">
        <v>14</v>
      </c>
      <c r="G1391" s="181" t="s">
        <v>793</v>
      </c>
      <c r="H1391" s="8">
        <v>62994.16</v>
      </c>
      <c r="I1391" s="8">
        <v>626.36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63620.520000000004</v>
      </c>
    </row>
    <row r="1392" spans="1:15">
      <c r="A1392" s="191">
        <v>44682</v>
      </c>
      <c r="B1392" s="181" t="s">
        <v>129</v>
      </c>
      <c r="C1392" s="181" t="s">
        <v>707</v>
      </c>
      <c r="D1392" s="181" t="str">
        <f t="shared" si="24"/>
        <v>35200</v>
      </c>
      <c r="E1392" s="181" t="s">
        <v>15</v>
      </c>
      <c r="F1392" s="181" t="s">
        <v>14</v>
      </c>
      <c r="G1392" s="181" t="s">
        <v>647</v>
      </c>
      <c r="H1392" s="8">
        <v>2001544.22</v>
      </c>
      <c r="I1392" s="8">
        <v>12169.37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2013713.59</v>
      </c>
    </row>
    <row r="1393" spans="1:15">
      <c r="A1393" s="191">
        <v>44682</v>
      </c>
      <c r="B1393" s="181" t="s">
        <v>129</v>
      </c>
      <c r="C1393" s="181" t="s">
        <v>707</v>
      </c>
      <c r="D1393" s="181" t="str">
        <f t="shared" si="24"/>
        <v>35200</v>
      </c>
      <c r="E1393" s="181" t="s">
        <v>15</v>
      </c>
      <c r="F1393" s="181" t="s">
        <v>14</v>
      </c>
      <c r="G1393" s="181" t="s">
        <v>793</v>
      </c>
      <c r="H1393" s="8">
        <v>63620.520000000004</v>
      </c>
      <c r="I1393" s="8">
        <v>626.36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64246.880000000005</v>
      </c>
    </row>
    <row r="1394" spans="1:15">
      <c r="A1394" s="191">
        <v>44713</v>
      </c>
      <c r="B1394" s="181" t="s">
        <v>128</v>
      </c>
      <c r="C1394" s="181" t="s">
        <v>707</v>
      </c>
      <c r="D1394" s="181" t="str">
        <f t="shared" si="24"/>
        <v>35200</v>
      </c>
      <c r="E1394" s="181" t="s">
        <v>15</v>
      </c>
      <c r="F1394" s="181" t="s">
        <v>14</v>
      </c>
      <c r="G1394" s="181" t="s">
        <v>647</v>
      </c>
      <c r="H1394" s="8">
        <v>2013713.59</v>
      </c>
      <c r="I1394" s="8">
        <v>12169.37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2025882.96</v>
      </c>
    </row>
    <row r="1395" spans="1:15">
      <c r="A1395" s="191">
        <v>44713</v>
      </c>
      <c r="B1395" s="181" t="s">
        <v>128</v>
      </c>
      <c r="C1395" s="181" t="s">
        <v>707</v>
      </c>
      <c r="D1395" s="181" t="str">
        <f t="shared" si="24"/>
        <v>35200</v>
      </c>
      <c r="E1395" s="181" t="s">
        <v>15</v>
      </c>
      <c r="F1395" s="181" t="s">
        <v>14</v>
      </c>
      <c r="G1395" s="181" t="s">
        <v>793</v>
      </c>
      <c r="H1395" s="8">
        <v>64246.880000000005</v>
      </c>
      <c r="I1395" s="8">
        <v>626.36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64873.24</v>
      </c>
    </row>
    <row r="1396" spans="1:15">
      <c r="A1396" s="191">
        <v>44743</v>
      </c>
      <c r="B1396" s="181" t="s">
        <v>127</v>
      </c>
      <c r="C1396" s="181" t="s">
        <v>707</v>
      </c>
      <c r="D1396" s="181" t="str">
        <f t="shared" si="24"/>
        <v>35200</v>
      </c>
      <c r="E1396" s="181" t="s">
        <v>15</v>
      </c>
      <c r="F1396" s="181" t="s">
        <v>14</v>
      </c>
      <c r="G1396" s="181" t="s">
        <v>647</v>
      </c>
      <c r="H1396" s="8">
        <v>2025882.96</v>
      </c>
      <c r="I1396" s="8">
        <v>12169.37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2038052.33</v>
      </c>
    </row>
    <row r="1397" spans="1:15">
      <c r="A1397" s="191">
        <v>44743</v>
      </c>
      <c r="B1397" s="181" t="s">
        <v>127</v>
      </c>
      <c r="C1397" s="181" t="s">
        <v>707</v>
      </c>
      <c r="D1397" s="181" t="str">
        <f t="shared" si="24"/>
        <v>35200</v>
      </c>
      <c r="E1397" s="181" t="s">
        <v>15</v>
      </c>
      <c r="F1397" s="181" t="s">
        <v>14</v>
      </c>
      <c r="G1397" s="181" t="s">
        <v>793</v>
      </c>
      <c r="H1397" s="8">
        <v>64873.24</v>
      </c>
      <c r="I1397" s="8">
        <v>626.36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65499.6</v>
      </c>
    </row>
    <row r="1398" spans="1:15">
      <c r="A1398" s="191">
        <v>44774</v>
      </c>
      <c r="B1398" s="181" t="s">
        <v>126</v>
      </c>
      <c r="C1398" s="181" t="s">
        <v>707</v>
      </c>
      <c r="D1398" s="181" t="str">
        <f t="shared" si="24"/>
        <v>35200</v>
      </c>
      <c r="E1398" s="181" t="s">
        <v>15</v>
      </c>
      <c r="F1398" s="181" t="s">
        <v>14</v>
      </c>
      <c r="G1398" s="181" t="s">
        <v>647</v>
      </c>
      <c r="H1398" s="8">
        <v>2038052.33</v>
      </c>
      <c r="I1398" s="8">
        <v>12169.37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2050221.7</v>
      </c>
    </row>
    <row r="1399" spans="1:15">
      <c r="A1399" s="191">
        <v>44774</v>
      </c>
      <c r="B1399" s="181" t="s">
        <v>126</v>
      </c>
      <c r="C1399" s="181" t="s">
        <v>707</v>
      </c>
      <c r="D1399" s="181" t="str">
        <f t="shared" si="24"/>
        <v>35200</v>
      </c>
      <c r="E1399" s="181" t="s">
        <v>15</v>
      </c>
      <c r="F1399" s="181" t="s">
        <v>14</v>
      </c>
      <c r="G1399" s="181" t="s">
        <v>793</v>
      </c>
      <c r="H1399" s="8">
        <v>65499.6</v>
      </c>
      <c r="I1399" s="8">
        <v>626.36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66125.960000000006</v>
      </c>
    </row>
    <row r="1400" spans="1:15">
      <c r="A1400" s="191">
        <v>44805</v>
      </c>
      <c r="B1400" s="181" t="s">
        <v>125</v>
      </c>
      <c r="C1400" s="181" t="s">
        <v>707</v>
      </c>
      <c r="D1400" s="181" t="str">
        <f t="shared" si="24"/>
        <v>35200</v>
      </c>
      <c r="E1400" s="181" t="s">
        <v>15</v>
      </c>
      <c r="F1400" s="181" t="s">
        <v>14</v>
      </c>
      <c r="G1400" s="181" t="s">
        <v>647</v>
      </c>
      <c r="H1400" s="8">
        <v>2050221.7</v>
      </c>
      <c r="I1400" s="8">
        <v>12169.37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2062391.07</v>
      </c>
    </row>
    <row r="1401" spans="1:15">
      <c r="A1401" s="191">
        <v>44805</v>
      </c>
      <c r="B1401" s="181" t="s">
        <v>125</v>
      </c>
      <c r="C1401" s="181" t="s">
        <v>707</v>
      </c>
      <c r="D1401" s="181" t="str">
        <f t="shared" si="24"/>
        <v>35200</v>
      </c>
      <c r="E1401" s="181" t="s">
        <v>15</v>
      </c>
      <c r="F1401" s="181" t="s">
        <v>14</v>
      </c>
      <c r="G1401" s="181" t="s">
        <v>793</v>
      </c>
      <c r="H1401" s="8">
        <v>66125.960000000006</v>
      </c>
      <c r="I1401" s="8">
        <v>626.36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66752.320000000007</v>
      </c>
    </row>
    <row r="1402" spans="1:15">
      <c r="A1402" s="191">
        <v>44835</v>
      </c>
      <c r="B1402" s="181" t="s">
        <v>124</v>
      </c>
      <c r="C1402" s="181" t="s">
        <v>707</v>
      </c>
      <c r="D1402" s="181" t="str">
        <f t="shared" si="24"/>
        <v>35200</v>
      </c>
      <c r="E1402" s="181" t="s">
        <v>15</v>
      </c>
      <c r="F1402" s="181" t="s">
        <v>14</v>
      </c>
      <c r="G1402" s="181" t="s">
        <v>647</v>
      </c>
      <c r="H1402" s="8">
        <v>2062391.07</v>
      </c>
      <c r="I1402" s="8">
        <v>12169.37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2074560.44</v>
      </c>
    </row>
    <row r="1403" spans="1:15">
      <c r="A1403" s="191">
        <v>44835</v>
      </c>
      <c r="B1403" s="181" t="s">
        <v>124</v>
      </c>
      <c r="C1403" s="181" t="s">
        <v>707</v>
      </c>
      <c r="D1403" s="181" t="str">
        <f t="shared" si="24"/>
        <v>35200</v>
      </c>
      <c r="E1403" s="181" t="s">
        <v>15</v>
      </c>
      <c r="F1403" s="181" t="s">
        <v>14</v>
      </c>
      <c r="G1403" s="181" t="s">
        <v>793</v>
      </c>
      <c r="H1403" s="8">
        <v>66752.320000000007</v>
      </c>
      <c r="I1403" s="8">
        <v>626.36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67378.680000000008</v>
      </c>
    </row>
    <row r="1404" spans="1:15">
      <c r="A1404" s="191">
        <v>44866</v>
      </c>
      <c r="B1404" s="181" t="s">
        <v>123</v>
      </c>
      <c r="C1404" s="181" t="s">
        <v>707</v>
      </c>
      <c r="D1404" s="181" t="str">
        <f t="shared" si="24"/>
        <v>35200</v>
      </c>
      <c r="E1404" s="181" t="s">
        <v>15</v>
      </c>
      <c r="F1404" s="181" t="s">
        <v>14</v>
      </c>
      <c r="G1404" s="181" t="s">
        <v>647</v>
      </c>
      <c r="H1404" s="8">
        <v>2074560.44</v>
      </c>
      <c r="I1404" s="8">
        <v>12182.23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2086742.67</v>
      </c>
    </row>
    <row r="1405" spans="1:15">
      <c r="A1405" s="191">
        <v>44866</v>
      </c>
      <c r="B1405" s="181" t="s">
        <v>123</v>
      </c>
      <c r="C1405" s="181" t="s">
        <v>707</v>
      </c>
      <c r="D1405" s="181" t="str">
        <f t="shared" si="24"/>
        <v>35200</v>
      </c>
      <c r="E1405" s="181" t="s">
        <v>15</v>
      </c>
      <c r="F1405" s="181" t="s">
        <v>14</v>
      </c>
      <c r="G1405" s="181" t="s">
        <v>793</v>
      </c>
      <c r="H1405" s="8">
        <v>67378.680000000008</v>
      </c>
      <c r="I1405" s="8">
        <v>627.03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68005.710000000006</v>
      </c>
    </row>
    <row r="1406" spans="1:15">
      <c r="A1406" s="191">
        <v>44896</v>
      </c>
      <c r="B1406" s="181" t="s">
        <v>122</v>
      </c>
      <c r="C1406" s="181" t="s">
        <v>707</v>
      </c>
      <c r="D1406" s="181" t="str">
        <f t="shared" si="24"/>
        <v>35200</v>
      </c>
      <c r="E1406" s="181" t="s">
        <v>15</v>
      </c>
      <c r="F1406" s="181" t="s">
        <v>14</v>
      </c>
      <c r="G1406" s="181" t="s">
        <v>647</v>
      </c>
      <c r="H1406" s="8">
        <v>2086742.67</v>
      </c>
      <c r="I1406" s="8">
        <v>12397.09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2099139.7599999998</v>
      </c>
    </row>
    <row r="1407" spans="1:15">
      <c r="A1407" s="191">
        <v>44896</v>
      </c>
      <c r="B1407" s="181" t="s">
        <v>122</v>
      </c>
      <c r="C1407" s="181" t="s">
        <v>707</v>
      </c>
      <c r="D1407" s="181" t="str">
        <f t="shared" si="24"/>
        <v>35200</v>
      </c>
      <c r="E1407" s="181" t="s">
        <v>15</v>
      </c>
      <c r="F1407" s="181" t="s">
        <v>14</v>
      </c>
      <c r="G1407" s="181" t="s">
        <v>793</v>
      </c>
      <c r="H1407" s="8">
        <v>68005.710000000006</v>
      </c>
      <c r="I1407" s="8">
        <v>638.09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68643.8</v>
      </c>
    </row>
    <row r="1408" spans="1:15">
      <c r="A1408" s="191">
        <v>44531</v>
      </c>
      <c r="B1408" s="181" t="s">
        <v>13</v>
      </c>
      <c r="C1408" s="181" t="s">
        <v>808</v>
      </c>
      <c r="D1408" s="181" t="str">
        <f t="shared" si="24"/>
        <v>35259</v>
      </c>
      <c r="E1408" s="181" t="s">
        <v>15</v>
      </c>
      <c r="F1408" s="181" t="s">
        <v>14</v>
      </c>
      <c r="G1408" s="181" t="s">
        <v>801</v>
      </c>
      <c r="H1408" s="8">
        <v>-868440.24</v>
      </c>
      <c r="I1408" s="8">
        <v>2409.41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-866030.83000000007</v>
      </c>
    </row>
    <row r="1409" spans="1:15">
      <c r="A1409" s="191">
        <v>44562</v>
      </c>
      <c r="B1409" s="181" t="s">
        <v>133</v>
      </c>
      <c r="C1409" s="181" t="s">
        <v>808</v>
      </c>
      <c r="D1409" s="181" t="str">
        <f t="shared" si="24"/>
        <v>35259</v>
      </c>
      <c r="E1409" s="181" t="s">
        <v>15</v>
      </c>
      <c r="F1409" s="181" t="s">
        <v>14</v>
      </c>
      <c r="G1409" s="181" t="s">
        <v>801</v>
      </c>
      <c r="H1409" s="8">
        <v>-866030.83000000007</v>
      </c>
      <c r="I1409" s="8">
        <v>2409.41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-863621.42</v>
      </c>
    </row>
    <row r="1410" spans="1:15">
      <c r="A1410" s="191">
        <v>44593</v>
      </c>
      <c r="B1410" s="181" t="s">
        <v>132</v>
      </c>
      <c r="C1410" s="181" t="s">
        <v>808</v>
      </c>
      <c r="D1410" s="181" t="str">
        <f t="shared" ref="D1410:D1458" si="25">MID(C1410,10,5)</f>
        <v>35259</v>
      </c>
      <c r="E1410" s="181" t="s">
        <v>15</v>
      </c>
      <c r="F1410" s="181" t="s">
        <v>14</v>
      </c>
      <c r="G1410" s="181" t="s">
        <v>801</v>
      </c>
      <c r="H1410" s="8">
        <v>-863621.42</v>
      </c>
      <c r="I1410" s="8">
        <v>2409.41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-861212.01</v>
      </c>
    </row>
    <row r="1411" spans="1:15">
      <c r="A1411" s="191">
        <v>44621</v>
      </c>
      <c r="B1411" s="181" t="s">
        <v>131</v>
      </c>
      <c r="C1411" s="181" t="s">
        <v>808</v>
      </c>
      <c r="D1411" s="181" t="str">
        <f t="shared" si="25"/>
        <v>35259</v>
      </c>
      <c r="E1411" s="181" t="s">
        <v>15</v>
      </c>
      <c r="F1411" s="181" t="s">
        <v>14</v>
      </c>
      <c r="G1411" s="181" t="s">
        <v>801</v>
      </c>
      <c r="H1411" s="8">
        <v>-861212.01</v>
      </c>
      <c r="I1411" s="8">
        <v>2409.41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-858802.6</v>
      </c>
    </row>
    <row r="1412" spans="1:15">
      <c r="A1412" s="191">
        <v>44652</v>
      </c>
      <c r="B1412" s="181" t="s">
        <v>130</v>
      </c>
      <c r="C1412" s="181" t="s">
        <v>808</v>
      </c>
      <c r="D1412" s="181" t="str">
        <f t="shared" si="25"/>
        <v>35259</v>
      </c>
      <c r="E1412" s="181" t="s">
        <v>15</v>
      </c>
      <c r="F1412" s="181" t="s">
        <v>14</v>
      </c>
      <c r="G1412" s="181" t="s">
        <v>801</v>
      </c>
      <c r="H1412" s="8">
        <v>-858802.6</v>
      </c>
      <c r="I1412" s="8">
        <v>2409.41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-856393.19000000006</v>
      </c>
    </row>
    <row r="1413" spans="1:15">
      <c r="A1413" s="191">
        <v>44682</v>
      </c>
      <c r="B1413" s="181" t="s">
        <v>129</v>
      </c>
      <c r="C1413" s="181" t="s">
        <v>808</v>
      </c>
      <c r="D1413" s="181" t="str">
        <f t="shared" si="25"/>
        <v>35259</v>
      </c>
      <c r="E1413" s="181" t="s">
        <v>15</v>
      </c>
      <c r="F1413" s="181" t="s">
        <v>14</v>
      </c>
      <c r="G1413" s="181" t="s">
        <v>801</v>
      </c>
      <c r="H1413" s="8">
        <v>-856393.19000000006</v>
      </c>
      <c r="I1413" s="8">
        <v>2409.41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-853983.78</v>
      </c>
    </row>
    <row r="1414" spans="1:15">
      <c r="A1414" s="191">
        <v>44713</v>
      </c>
      <c r="B1414" s="181" t="s">
        <v>128</v>
      </c>
      <c r="C1414" s="181" t="s">
        <v>808</v>
      </c>
      <c r="D1414" s="181" t="str">
        <f t="shared" si="25"/>
        <v>35259</v>
      </c>
      <c r="E1414" s="181" t="s">
        <v>15</v>
      </c>
      <c r="F1414" s="181" t="s">
        <v>14</v>
      </c>
      <c r="G1414" s="181" t="s">
        <v>801</v>
      </c>
      <c r="H1414" s="8">
        <v>-853983.78</v>
      </c>
      <c r="I1414" s="8">
        <v>2409.41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-851574.37</v>
      </c>
    </row>
    <row r="1415" spans="1:15">
      <c r="A1415" s="191">
        <v>44743</v>
      </c>
      <c r="B1415" s="181" t="s">
        <v>127</v>
      </c>
      <c r="C1415" s="181" t="s">
        <v>808</v>
      </c>
      <c r="D1415" s="181" t="str">
        <f t="shared" si="25"/>
        <v>35259</v>
      </c>
      <c r="E1415" s="181" t="s">
        <v>15</v>
      </c>
      <c r="F1415" s="181" t="s">
        <v>14</v>
      </c>
      <c r="G1415" s="181" t="s">
        <v>801</v>
      </c>
      <c r="H1415" s="8">
        <v>-851574.37</v>
      </c>
      <c r="I1415" s="8">
        <v>2409.41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-849164.96</v>
      </c>
    </row>
    <row r="1416" spans="1:15">
      <c r="A1416" s="191">
        <v>44774</v>
      </c>
      <c r="B1416" s="181" t="s">
        <v>126</v>
      </c>
      <c r="C1416" s="181" t="s">
        <v>808</v>
      </c>
      <c r="D1416" s="181" t="str">
        <f t="shared" si="25"/>
        <v>35259</v>
      </c>
      <c r="E1416" s="181" t="s">
        <v>15</v>
      </c>
      <c r="F1416" s="181" t="s">
        <v>14</v>
      </c>
      <c r="G1416" s="181" t="s">
        <v>801</v>
      </c>
      <c r="H1416" s="8">
        <v>-849164.96</v>
      </c>
      <c r="I1416" s="8">
        <v>2409.41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-846755.55</v>
      </c>
    </row>
    <row r="1417" spans="1:15">
      <c r="A1417" s="191">
        <v>44805</v>
      </c>
      <c r="B1417" s="181" t="s">
        <v>125</v>
      </c>
      <c r="C1417" s="181" t="s">
        <v>808</v>
      </c>
      <c r="D1417" s="181" t="str">
        <f t="shared" si="25"/>
        <v>35259</v>
      </c>
      <c r="E1417" s="181" t="s">
        <v>15</v>
      </c>
      <c r="F1417" s="181" t="s">
        <v>14</v>
      </c>
      <c r="G1417" s="181" t="s">
        <v>801</v>
      </c>
      <c r="H1417" s="8">
        <v>-846755.55</v>
      </c>
      <c r="I1417" s="8">
        <v>2409.41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-844346.14</v>
      </c>
    </row>
    <row r="1418" spans="1:15">
      <c r="A1418" s="191">
        <v>44835</v>
      </c>
      <c r="B1418" s="181" t="s">
        <v>124</v>
      </c>
      <c r="C1418" s="181" t="s">
        <v>808</v>
      </c>
      <c r="D1418" s="181" t="str">
        <f t="shared" si="25"/>
        <v>35259</v>
      </c>
      <c r="E1418" s="181" t="s">
        <v>15</v>
      </c>
      <c r="F1418" s="181" t="s">
        <v>14</v>
      </c>
      <c r="G1418" s="181" t="s">
        <v>801</v>
      </c>
      <c r="H1418" s="8">
        <v>-844346.14</v>
      </c>
      <c r="I1418" s="8">
        <v>2409.41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-841936.73</v>
      </c>
    </row>
    <row r="1419" spans="1:15">
      <c r="A1419" s="191">
        <v>44866</v>
      </c>
      <c r="B1419" s="181" t="s">
        <v>123</v>
      </c>
      <c r="C1419" s="181" t="s">
        <v>808</v>
      </c>
      <c r="D1419" s="181" t="str">
        <f t="shared" si="25"/>
        <v>35259</v>
      </c>
      <c r="E1419" s="181" t="s">
        <v>15</v>
      </c>
      <c r="F1419" s="181" t="s">
        <v>14</v>
      </c>
      <c r="G1419" s="181" t="s">
        <v>801</v>
      </c>
      <c r="H1419" s="8">
        <v>-841936.73</v>
      </c>
      <c r="I1419" s="8">
        <v>2409.41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-839527.32000000007</v>
      </c>
    </row>
    <row r="1420" spans="1:15">
      <c r="A1420" s="191">
        <v>44896</v>
      </c>
      <c r="B1420" s="181" t="s">
        <v>122</v>
      </c>
      <c r="C1420" s="181" t="s">
        <v>808</v>
      </c>
      <c r="D1420" s="181" t="str">
        <f t="shared" si="25"/>
        <v>35259</v>
      </c>
      <c r="E1420" s="181" t="s">
        <v>15</v>
      </c>
      <c r="F1420" s="181" t="s">
        <v>14</v>
      </c>
      <c r="G1420" s="181" t="s">
        <v>801</v>
      </c>
      <c r="H1420" s="8">
        <v>-839527.32000000007</v>
      </c>
      <c r="I1420" s="8">
        <v>2409.41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-837117.91</v>
      </c>
    </row>
    <row r="1421" spans="1:15">
      <c r="A1421" s="191">
        <v>44531</v>
      </c>
      <c r="B1421" s="181" t="s">
        <v>13</v>
      </c>
      <c r="C1421" s="181" t="s">
        <v>708</v>
      </c>
      <c r="D1421" s="181" t="str">
        <f t="shared" si="25"/>
        <v>35300</v>
      </c>
      <c r="E1421" s="181" t="s">
        <v>15</v>
      </c>
      <c r="F1421" s="181" t="s">
        <v>14</v>
      </c>
      <c r="G1421" s="181" t="s">
        <v>647</v>
      </c>
      <c r="H1421" s="8">
        <v>273.19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273.19</v>
      </c>
    </row>
    <row r="1422" spans="1:15">
      <c r="A1422" s="191">
        <v>44531</v>
      </c>
      <c r="B1422" s="181" t="s">
        <v>13</v>
      </c>
      <c r="C1422" s="181" t="s">
        <v>709</v>
      </c>
      <c r="D1422" s="181" t="str">
        <f t="shared" si="25"/>
        <v>35300</v>
      </c>
      <c r="E1422" s="181" t="s">
        <v>15</v>
      </c>
      <c r="F1422" s="181" t="s">
        <v>14</v>
      </c>
      <c r="G1422" s="181" t="s">
        <v>647</v>
      </c>
      <c r="H1422" s="8">
        <v>29803469.550000001</v>
      </c>
      <c r="I1422" s="8">
        <v>118515.43000000001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29921984.98</v>
      </c>
    </row>
    <row r="1423" spans="1:15">
      <c r="A1423" s="191">
        <v>44531</v>
      </c>
      <c r="B1423" s="181" t="s">
        <v>13</v>
      </c>
      <c r="C1423" s="181" t="s">
        <v>708</v>
      </c>
      <c r="D1423" s="181" t="str">
        <f t="shared" si="25"/>
        <v>35300</v>
      </c>
      <c r="E1423" s="181" t="s">
        <v>15</v>
      </c>
      <c r="F1423" s="181" t="s">
        <v>14</v>
      </c>
      <c r="G1423" s="181" t="s">
        <v>793</v>
      </c>
      <c r="H1423" s="8">
        <v>18.990000000000002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18.990000000000002</v>
      </c>
    </row>
    <row r="1424" spans="1:15">
      <c r="A1424" s="191">
        <v>44531</v>
      </c>
      <c r="B1424" s="181" t="s">
        <v>13</v>
      </c>
      <c r="C1424" s="181" t="s">
        <v>709</v>
      </c>
      <c r="D1424" s="181" t="str">
        <f t="shared" si="25"/>
        <v>35300</v>
      </c>
      <c r="E1424" s="181" t="s">
        <v>15</v>
      </c>
      <c r="F1424" s="181" t="s">
        <v>14</v>
      </c>
      <c r="G1424" s="181" t="s">
        <v>793</v>
      </c>
      <c r="H1424" s="8">
        <v>1132663.97</v>
      </c>
      <c r="I1424" s="8">
        <v>14699.59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1147363.56</v>
      </c>
    </row>
    <row r="1425" spans="1:15">
      <c r="A1425" s="191">
        <v>44562</v>
      </c>
      <c r="B1425" s="181" t="s">
        <v>133</v>
      </c>
      <c r="C1425" s="181" t="s">
        <v>708</v>
      </c>
      <c r="D1425" s="181" t="str">
        <f t="shared" si="25"/>
        <v>35300</v>
      </c>
      <c r="E1425" s="181" t="s">
        <v>15</v>
      </c>
      <c r="F1425" s="181" t="s">
        <v>14</v>
      </c>
      <c r="G1425" s="181" t="s">
        <v>647</v>
      </c>
      <c r="H1425" s="8">
        <v>273.19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273.19</v>
      </c>
    </row>
    <row r="1426" spans="1:15">
      <c r="A1426" s="191">
        <v>44562</v>
      </c>
      <c r="B1426" s="181" t="s">
        <v>133</v>
      </c>
      <c r="C1426" s="181" t="s">
        <v>709</v>
      </c>
      <c r="D1426" s="181" t="str">
        <f t="shared" si="25"/>
        <v>35300</v>
      </c>
      <c r="E1426" s="181" t="s">
        <v>15</v>
      </c>
      <c r="F1426" s="181" t="s">
        <v>14</v>
      </c>
      <c r="G1426" s="181" t="s">
        <v>647</v>
      </c>
      <c r="H1426" s="8">
        <v>29921984.98</v>
      </c>
      <c r="I1426" s="8">
        <v>118341.97</v>
      </c>
      <c r="J1426" s="8">
        <v>-125460.01000000001</v>
      </c>
      <c r="K1426" s="8">
        <v>0</v>
      </c>
      <c r="L1426" s="8">
        <v>0</v>
      </c>
      <c r="M1426" s="8">
        <v>0</v>
      </c>
      <c r="N1426" s="8">
        <v>0</v>
      </c>
      <c r="O1426" s="8">
        <v>29914866.940000001</v>
      </c>
    </row>
    <row r="1427" spans="1:15">
      <c r="A1427" s="191">
        <v>44562</v>
      </c>
      <c r="B1427" s="181" t="s">
        <v>133</v>
      </c>
      <c r="C1427" s="181" t="s">
        <v>708</v>
      </c>
      <c r="D1427" s="181" t="str">
        <f t="shared" si="25"/>
        <v>35300</v>
      </c>
      <c r="E1427" s="181" t="s">
        <v>15</v>
      </c>
      <c r="F1427" s="181" t="s">
        <v>14</v>
      </c>
      <c r="G1427" s="181" t="s">
        <v>793</v>
      </c>
      <c r="H1427" s="8">
        <v>18.990000000000002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18.990000000000002</v>
      </c>
    </row>
    <row r="1428" spans="1:15">
      <c r="A1428" s="191">
        <v>44562</v>
      </c>
      <c r="B1428" s="181" t="s">
        <v>133</v>
      </c>
      <c r="C1428" s="181" t="s">
        <v>709</v>
      </c>
      <c r="D1428" s="181" t="str">
        <f t="shared" si="25"/>
        <v>35300</v>
      </c>
      <c r="E1428" s="181" t="s">
        <v>15</v>
      </c>
      <c r="F1428" s="181" t="s">
        <v>14</v>
      </c>
      <c r="G1428" s="181" t="s">
        <v>793</v>
      </c>
      <c r="H1428" s="8">
        <v>1147363.56</v>
      </c>
      <c r="I1428" s="8">
        <v>14678.07</v>
      </c>
      <c r="J1428" s="8">
        <v>0</v>
      </c>
      <c r="K1428" s="8">
        <v>-292052.93</v>
      </c>
      <c r="L1428" s="8">
        <v>0</v>
      </c>
      <c r="M1428" s="8">
        <v>0</v>
      </c>
      <c r="N1428" s="8">
        <v>0</v>
      </c>
      <c r="O1428" s="8">
        <v>869988.70000000007</v>
      </c>
    </row>
    <row r="1429" spans="1:15">
      <c r="A1429" s="191">
        <v>44593</v>
      </c>
      <c r="B1429" s="181" t="s">
        <v>132</v>
      </c>
      <c r="C1429" s="181" t="s">
        <v>708</v>
      </c>
      <c r="D1429" s="181" t="str">
        <f t="shared" si="25"/>
        <v>35300</v>
      </c>
      <c r="E1429" s="181" t="s">
        <v>15</v>
      </c>
      <c r="F1429" s="181" t="s">
        <v>14</v>
      </c>
      <c r="G1429" s="181" t="s">
        <v>647</v>
      </c>
      <c r="H1429" s="8">
        <v>273.19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273.19</v>
      </c>
    </row>
    <row r="1430" spans="1:15">
      <c r="A1430" s="191">
        <v>44593</v>
      </c>
      <c r="B1430" s="181" t="s">
        <v>132</v>
      </c>
      <c r="C1430" s="181" t="s">
        <v>709</v>
      </c>
      <c r="D1430" s="181" t="str">
        <f t="shared" si="25"/>
        <v>35300</v>
      </c>
      <c r="E1430" s="181" t="s">
        <v>15</v>
      </c>
      <c r="F1430" s="181" t="s">
        <v>14</v>
      </c>
      <c r="G1430" s="181" t="s">
        <v>647</v>
      </c>
      <c r="H1430" s="8">
        <v>29914866.940000001</v>
      </c>
      <c r="I1430" s="8">
        <v>118108.72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30032975.66</v>
      </c>
    </row>
    <row r="1431" spans="1:15">
      <c r="A1431" s="191">
        <v>44593</v>
      </c>
      <c r="B1431" s="181" t="s">
        <v>132</v>
      </c>
      <c r="C1431" s="181" t="s">
        <v>708</v>
      </c>
      <c r="D1431" s="181" t="str">
        <f t="shared" si="25"/>
        <v>35300</v>
      </c>
      <c r="E1431" s="181" t="s">
        <v>15</v>
      </c>
      <c r="F1431" s="181" t="s">
        <v>14</v>
      </c>
      <c r="G1431" s="181" t="s">
        <v>793</v>
      </c>
      <c r="H1431" s="8">
        <v>18.990000000000002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18.990000000000002</v>
      </c>
    </row>
    <row r="1432" spans="1:15">
      <c r="A1432" s="191">
        <v>44593</v>
      </c>
      <c r="B1432" s="181" t="s">
        <v>132</v>
      </c>
      <c r="C1432" s="181" t="s">
        <v>709</v>
      </c>
      <c r="D1432" s="181" t="str">
        <f t="shared" si="25"/>
        <v>35300</v>
      </c>
      <c r="E1432" s="181" t="s">
        <v>15</v>
      </c>
      <c r="F1432" s="181" t="s">
        <v>14</v>
      </c>
      <c r="G1432" s="181" t="s">
        <v>793</v>
      </c>
      <c r="H1432" s="8">
        <v>869988.70000000007</v>
      </c>
      <c r="I1432" s="8">
        <v>14649.14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884637.84</v>
      </c>
    </row>
    <row r="1433" spans="1:15">
      <c r="A1433" s="191">
        <v>44621</v>
      </c>
      <c r="B1433" s="181" t="s">
        <v>131</v>
      </c>
      <c r="C1433" s="181" t="s">
        <v>708</v>
      </c>
      <c r="D1433" s="181" t="str">
        <f t="shared" si="25"/>
        <v>35300</v>
      </c>
      <c r="E1433" s="181" t="s">
        <v>15</v>
      </c>
      <c r="F1433" s="181" t="s">
        <v>14</v>
      </c>
      <c r="G1433" s="181" t="s">
        <v>647</v>
      </c>
      <c r="H1433" s="8">
        <v>273.19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273.19</v>
      </c>
    </row>
    <row r="1434" spans="1:15">
      <c r="A1434" s="191">
        <v>44621</v>
      </c>
      <c r="B1434" s="181" t="s">
        <v>131</v>
      </c>
      <c r="C1434" s="181" t="s">
        <v>709</v>
      </c>
      <c r="D1434" s="181" t="str">
        <f t="shared" si="25"/>
        <v>35300</v>
      </c>
      <c r="E1434" s="181" t="s">
        <v>15</v>
      </c>
      <c r="F1434" s="181" t="s">
        <v>14</v>
      </c>
      <c r="G1434" s="181" t="s">
        <v>647</v>
      </c>
      <c r="H1434" s="8">
        <v>30032975.66</v>
      </c>
      <c r="I1434" s="8">
        <v>118116.43000000001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30151092.09</v>
      </c>
    </row>
    <row r="1435" spans="1:15">
      <c r="A1435" s="191">
        <v>44621</v>
      </c>
      <c r="B1435" s="181" t="s">
        <v>131</v>
      </c>
      <c r="C1435" s="181" t="s">
        <v>708</v>
      </c>
      <c r="D1435" s="181" t="str">
        <f t="shared" si="25"/>
        <v>35300</v>
      </c>
      <c r="E1435" s="181" t="s">
        <v>15</v>
      </c>
      <c r="F1435" s="181" t="s">
        <v>14</v>
      </c>
      <c r="G1435" s="181" t="s">
        <v>793</v>
      </c>
      <c r="H1435" s="8">
        <v>18.990000000000002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18.990000000000002</v>
      </c>
    </row>
    <row r="1436" spans="1:15">
      <c r="A1436" s="191">
        <v>44621</v>
      </c>
      <c r="B1436" s="181" t="s">
        <v>131</v>
      </c>
      <c r="C1436" s="181" t="s">
        <v>709</v>
      </c>
      <c r="D1436" s="181" t="str">
        <f t="shared" si="25"/>
        <v>35300</v>
      </c>
      <c r="E1436" s="181" t="s">
        <v>15</v>
      </c>
      <c r="F1436" s="181" t="s">
        <v>14</v>
      </c>
      <c r="G1436" s="181" t="s">
        <v>793</v>
      </c>
      <c r="H1436" s="8">
        <v>884637.84</v>
      </c>
      <c r="I1436" s="8">
        <v>14650.1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899287.94000000006</v>
      </c>
    </row>
    <row r="1437" spans="1:15">
      <c r="A1437" s="191">
        <v>44652</v>
      </c>
      <c r="B1437" s="181" t="s">
        <v>130</v>
      </c>
      <c r="C1437" s="181" t="s">
        <v>708</v>
      </c>
      <c r="D1437" s="181" t="str">
        <f t="shared" si="25"/>
        <v>35300</v>
      </c>
      <c r="E1437" s="181" t="s">
        <v>15</v>
      </c>
      <c r="F1437" s="181" t="s">
        <v>14</v>
      </c>
      <c r="G1437" s="181" t="s">
        <v>647</v>
      </c>
      <c r="H1437" s="8">
        <v>273.19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273.19</v>
      </c>
    </row>
    <row r="1438" spans="1:15">
      <c r="A1438" s="191">
        <v>44652</v>
      </c>
      <c r="B1438" s="181" t="s">
        <v>130</v>
      </c>
      <c r="C1438" s="181" t="s">
        <v>709</v>
      </c>
      <c r="D1438" s="181" t="str">
        <f t="shared" si="25"/>
        <v>35300</v>
      </c>
      <c r="E1438" s="181" t="s">
        <v>15</v>
      </c>
      <c r="F1438" s="181" t="s">
        <v>14</v>
      </c>
      <c r="G1438" s="181" t="s">
        <v>647</v>
      </c>
      <c r="H1438" s="8">
        <v>30151092.09</v>
      </c>
      <c r="I1438" s="8">
        <v>119703.2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30270795.289999999</v>
      </c>
    </row>
    <row r="1439" spans="1:15">
      <c r="A1439" s="191">
        <v>44652</v>
      </c>
      <c r="B1439" s="181" t="s">
        <v>130</v>
      </c>
      <c r="C1439" s="181" t="s">
        <v>708</v>
      </c>
      <c r="D1439" s="181" t="str">
        <f t="shared" si="25"/>
        <v>35300</v>
      </c>
      <c r="E1439" s="181" t="s">
        <v>15</v>
      </c>
      <c r="F1439" s="181" t="s">
        <v>14</v>
      </c>
      <c r="G1439" s="181" t="s">
        <v>793</v>
      </c>
      <c r="H1439" s="8">
        <v>18.990000000000002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18.990000000000002</v>
      </c>
    </row>
    <row r="1440" spans="1:15">
      <c r="A1440" s="191">
        <v>44652</v>
      </c>
      <c r="B1440" s="181" t="s">
        <v>130</v>
      </c>
      <c r="C1440" s="181" t="s">
        <v>709</v>
      </c>
      <c r="D1440" s="181" t="str">
        <f t="shared" si="25"/>
        <v>35300</v>
      </c>
      <c r="E1440" s="181" t="s">
        <v>15</v>
      </c>
      <c r="F1440" s="181" t="s">
        <v>14</v>
      </c>
      <c r="G1440" s="181" t="s">
        <v>793</v>
      </c>
      <c r="H1440" s="8">
        <v>899287.94000000006</v>
      </c>
      <c r="I1440" s="8">
        <v>14846.91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914134.85</v>
      </c>
    </row>
    <row r="1441" spans="1:15">
      <c r="A1441" s="191">
        <v>44682</v>
      </c>
      <c r="B1441" s="181" t="s">
        <v>129</v>
      </c>
      <c r="C1441" s="181" t="s">
        <v>708</v>
      </c>
      <c r="D1441" s="181" t="str">
        <f t="shared" si="25"/>
        <v>35300</v>
      </c>
      <c r="E1441" s="181" t="s">
        <v>15</v>
      </c>
      <c r="F1441" s="181" t="s">
        <v>14</v>
      </c>
      <c r="G1441" s="181" t="s">
        <v>647</v>
      </c>
      <c r="H1441" s="8">
        <v>273.19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273.19</v>
      </c>
    </row>
    <row r="1442" spans="1:15">
      <c r="A1442" s="191">
        <v>44682</v>
      </c>
      <c r="B1442" s="181" t="s">
        <v>129</v>
      </c>
      <c r="C1442" s="181" t="s">
        <v>709</v>
      </c>
      <c r="D1442" s="181" t="str">
        <f t="shared" si="25"/>
        <v>35300</v>
      </c>
      <c r="E1442" s="181" t="s">
        <v>15</v>
      </c>
      <c r="F1442" s="181" t="s">
        <v>14</v>
      </c>
      <c r="G1442" s="181" t="s">
        <v>647</v>
      </c>
      <c r="H1442" s="8">
        <v>30270795.289999999</v>
      </c>
      <c r="I1442" s="8">
        <v>121442.32</v>
      </c>
      <c r="J1442" s="8">
        <v>0</v>
      </c>
      <c r="K1442" s="8">
        <v>0</v>
      </c>
      <c r="L1442" s="8">
        <v>0</v>
      </c>
      <c r="M1442" s="8">
        <v>3886.12</v>
      </c>
      <c r="N1442" s="8">
        <v>0</v>
      </c>
      <c r="O1442" s="8">
        <v>30396123.73</v>
      </c>
    </row>
    <row r="1443" spans="1:15">
      <c r="A1443" s="191">
        <v>44682</v>
      </c>
      <c r="B1443" s="181" t="s">
        <v>129</v>
      </c>
      <c r="C1443" s="181" t="s">
        <v>708</v>
      </c>
      <c r="D1443" s="181" t="str">
        <f t="shared" si="25"/>
        <v>35300</v>
      </c>
      <c r="E1443" s="181" t="s">
        <v>15</v>
      </c>
      <c r="F1443" s="181" t="s">
        <v>14</v>
      </c>
      <c r="G1443" s="181" t="s">
        <v>793</v>
      </c>
      <c r="H1443" s="8">
        <v>18.990000000000002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18.990000000000002</v>
      </c>
    </row>
    <row r="1444" spans="1:15">
      <c r="A1444" s="191">
        <v>44682</v>
      </c>
      <c r="B1444" s="181" t="s">
        <v>129</v>
      </c>
      <c r="C1444" s="181" t="s">
        <v>709</v>
      </c>
      <c r="D1444" s="181" t="str">
        <f t="shared" si="25"/>
        <v>35300</v>
      </c>
      <c r="E1444" s="181" t="s">
        <v>15</v>
      </c>
      <c r="F1444" s="181" t="s">
        <v>14</v>
      </c>
      <c r="G1444" s="181" t="s">
        <v>793</v>
      </c>
      <c r="H1444" s="8">
        <v>914134.85</v>
      </c>
      <c r="I1444" s="8">
        <v>15062.61</v>
      </c>
      <c r="J1444" s="8">
        <v>0</v>
      </c>
      <c r="K1444" s="8">
        <v>0</v>
      </c>
      <c r="L1444" s="8">
        <v>0</v>
      </c>
      <c r="M1444" s="8">
        <v>227.16</v>
      </c>
      <c r="N1444" s="8">
        <v>0</v>
      </c>
      <c r="O1444" s="8">
        <v>929424.62</v>
      </c>
    </row>
    <row r="1445" spans="1:15">
      <c r="A1445" s="191">
        <v>44713</v>
      </c>
      <c r="B1445" s="181" t="s">
        <v>128</v>
      </c>
      <c r="C1445" s="181" t="s">
        <v>708</v>
      </c>
      <c r="D1445" s="181" t="str">
        <f t="shared" si="25"/>
        <v>35300</v>
      </c>
      <c r="E1445" s="181" t="s">
        <v>15</v>
      </c>
      <c r="F1445" s="181" t="s">
        <v>14</v>
      </c>
      <c r="G1445" s="181" t="s">
        <v>647</v>
      </c>
      <c r="H1445" s="8">
        <v>273.19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273.19</v>
      </c>
    </row>
    <row r="1446" spans="1:15">
      <c r="A1446" s="191">
        <v>44713</v>
      </c>
      <c r="B1446" s="181" t="s">
        <v>128</v>
      </c>
      <c r="C1446" s="181" t="s">
        <v>709</v>
      </c>
      <c r="D1446" s="181" t="str">
        <f t="shared" si="25"/>
        <v>35300</v>
      </c>
      <c r="E1446" s="181" t="s">
        <v>15</v>
      </c>
      <c r="F1446" s="181" t="s">
        <v>14</v>
      </c>
      <c r="G1446" s="181" t="s">
        <v>647</v>
      </c>
      <c r="H1446" s="8">
        <v>30396123.73</v>
      </c>
      <c r="I1446" s="8">
        <v>121654.82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30517778.550000001</v>
      </c>
    </row>
    <row r="1447" spans="1:15">
      <c r="A1447" s="191">
        <v>44713</v>
      </c>
      <c r="B1447" s="181" t="s">
        <v>128</v>
      </c>
      <c r="C1447" s="181" t="s">
        <v>708</v>
      </c>
      <c r="D1447" s="181" t="str">
        <f t="shared" si="25"/>
        <v>35300</v>
      </c>
      <c r="E1447" s="181" t="s">
        <v>15</v>
      </c>
      <c r="F1447" s="181" t="s">
        <v>14</v>
      </c>
      <c r="G1447" s="181" t="s">
        <v>793</v>
      </c>
      <c r="H1447" s="8">
        <v>18.990000000000002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18.990000000000002</v>
      </c>
    </row>
    <row r="1448" spans="1:15">
      <c r="A1448" s="191">
        <v>44713</v>
      </c>
      <c r="B1448" s="181" t="s">
        <v>128</v>
      </c>
      <c r="C1448" s="181" t="s">
        <v>709</v>
      </c>
      <c r="D1448" s="181" t="str">
        <f t="shared" si="25"/>
        <v>35300</v>
      </c>
      <c r="E1448" s="181" t="s">
        <v>15</v>
      </c>
      <c r="F1448" s="181" t="s">
        <v>14</v>
      </c>
      <c r="G1448" s="181" t="s">
        <v>793</v>
      </c>
      <c r="H1448" s="8">
        <v>929424.62</v>
      </c>
      <c r="I1448" s="8">
        <v>15088.970000000001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944513.59</v>
      </c>
    </row>
    <row r="1449" spans="1:15">
      <c r="A1449" s="191">
        <v>44743</v>
      </c>
      <c r="B1449" s="181" t="s">
        <v>127</v>
      </c>
      <c r="C1449" s="181" t="s">
        <v>708</v>
      </c>
      <c r="D1449" s="181" t="str">
        <f t="shared" si="25"/>
        <v>35300</v>
      </c>
      <c r="E1449" s="181" t="s">
        <v>15</v>
      </c>
      <c r="F1449" s="181" t="s">
        <v>14</v>
      </c>
      <c r="G1449" s="181" t="s">
        <v>647</v>
      </c>
      <c r="H1449" s="8">
        <v>273.19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273.19</v>
      </c>
    </row>
    <row r="1450" spans="1:15">
      <c r="A1450" s="191">
        <v>44743</v>
      </c>
      <c r="B1450" s="181" t="s">
        <v>127</v>
      </c>
      <c r="C1450" s="181" t="s">
        <v>709</v>
      </c>
      <c r="D1450" s="181" t="str">
        <f t="shared" si="25"/>
        <v>35300</v>
      </c>
      <c r="E1450" s="181" t="s">
        <v>15</v>
      </c>
      <c r="F1450" s="181" t="s">
        <v>14</v>
      </c>
      <c r="G1450" s="181" t="s">
        <v>647</v>
      </c>
      <c r="H1450" s="8">
        <v>30517778.550000001</v>
      </c>
      <c r="I1450" s="8">
        <v>121734.13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30639512.68</v>
      </c>
    </row>
    <row r="1451" spans="1:15">
      <c r="A1451" s="191">
        <v>44743</v>
      </c>
      <c r="B1451" s="181" t="s">
        <v>127</v>
      </c>
      <c r="C1451" s="181" t="s">
        <v>708</v>
      </c>
      <c r="D1451" s="181" t="str">
        <f t="shared" si="25"/>
        <v>35300</v>
      </c>
      <c r="E1451" s="181" t="s">
        <v>15</v>
      </c>
      <c r="F1451" s="181" t="s">
        <v>14</v>
      </c>
      <c r="G1451" s="181" t="s">
        <v>793</v>
      </c>
      <c r="H1451" s="8">
        <v>18.990000000000002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18.990000000000002</v>
      </c>
    </row>
    <row r="1452" spans="1:15">
      <c r="A1452" s="191">
        <v>44743</v>
      </c>
      <c r="B1452" s="181" t="s">
        <v>127</v>
      </c>
      <c r="C1452" s="181" t="s">
        <v>709</v>
      </c>
      <c r="D1452" s="181" t="str">
        <f t="shared" si="25"/>
        <v>35300</v>
      </c>
      <c r="E1452" s="181" t="s">
        <v>15</v>
      </c>
      <c r="F1452" s="181" t="s">
        <v>14</v>
      </c>
      <c r="G1452" s="181" t="s">
        <v>793</v>
      </c>
      <c r="H1452" s="8">
        <v>944513.59</v>
      </c>
      <c r="I1452" s="8">
        <v>15098.81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959612.4</v>
      </c>
    </row>
    <row r="1453" spans="1:15">
      <c r="A1453" s="191">
        <v>44774</v>
      </c>
      <c r="B1453" s="181" t="s">
        <v>126</v>
      </c>
      <c r="C1453" s="181" t="s">
        <v>708</v>
      </c>
      <c r="D1453" s="181" t="str">
        <f t="shared" si="25"/>
        <v>35300</v>
      </c>
      <c r="E1453" s="181" t="s">
        <v>15</v>
      </c>
      <c r="F1453" s="181" t="s">
        <v>14</v>
      </c>
      <c r="G1453" s="181" t="s">
        <v>647</v>
      </c>
      <c r="H1453" s="8">
        <v>273.19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273.19</v>
      </c>
    </row>
    <row r="1454" spans="1:15">
      <c r="A1454" s="191">
        <v>44774</v>
      </c>
      <c r="B1454" s="181" t="s">
        <v>126</v>
      </c>
      <c r="C1454" s="181" t="s">
        <v>709</v>
      </c>
      <c r="D1454" s="181" t="str">
        <f t="shared" si="25"/>
        <v>35300</v>
      </c>
      <c r="E1454" s="181" t="s">
        <v>15</v>
      </c>
      <c r="F1454" s="181" t="s">
        <v>14</v>
      </c>
      <c r="G1454" s="181" t="s">
        <v>647</v>
      </c>
      <c r="H1454" s="8">
        <v>30639512.68</v>
      </c>
      <c r="I1454" s="8">
        <v>121751.67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30761264.350000001</v>
      </c>
    </row>
    <row r="1455" spans="1:15">
      <c r="A1455" s="191">
        <v>44774</v>
      </c>
      <c r="B1455" s="181" t="s">
        <v>126</v>
      </c>
      <c r="C1455" s="181" t="s">
        <v>708</v>
      </c>
      <c r="D1455" s="181" t="str">
        <f t="shared" si="25"/>
        <v>35300</v>
      </c>
      <c r="E1455" s="181" t="s">
        <v>15</v>
      </c>
      <c r="F1455" s="181" t="s">
        <v>14</v>
      </c>
      <c r="G1455" s="181" t="s">
        <v>793</v>
      </c>
      <c r="H1455" s="8">
        <v>18.990000000000002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18.990000000000002</v>
      </c>
    </row>
    <row r="1456" spans="1:15">
      <c r="A1456" s="191">
        <v>44774</v>
      </c>
      <c r="B1456" s="181" t="s">
        <v>126</v>
      </c>
      <c r="C1456" s="181" t="s">
        <v>709</v>
      </c>
      <c r="D1456" s="181" t="str">
        <f t="shared" si="25"/>
        <v>35300</v>
      </c>
      <c r="E1456" s="181" t="s">
        <v>15</v>
      </c>
      <c r="F1456" s="181" t="s">
        <v>14</v>
      </c>
      <c r="G1456" s="181" t="s">
        <v>793</v>
      </c>
      <c r="H1456" s="8">
        <v>959612.4</v>
      </c>
      <c r="I1456" s="8">
        <v>15100.98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974713.38</v>
      </c>
    </row>
    <row r="1457" spans="1:15">
      <c r="A1457" s="191">
        <v>44805</v>
      </c>
      <c r="B1457" s="181" t="s">
        <v>125</v>
      </c>
      <c r="C1457" s="181" t="s">
        <v>708</v>
      </c>
      <c r="D1457" s="181" t="str">
        <f t="shared" si="25"/>
        <v>35300</v>
      </c>
      <c r="E1457" s="181" t="s">
        <v>15</v>
      </c>
      <c r="F1457" s="181" t="s">
        <v>14</v>
      </c>
      <c r="G1457" s="181" t="s">
        <v>647</v>
      </c>
      <c r="H1457" s="8">
        <v>273.19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273.19</v>
      </c>
    </row>
    <row r="1458" spans="1:15">
      <c r="A1458" s="191">
        <v>44805</v>
      </c>
      <c r="B1458" s="181" t="s">
        <v>125</v>
      </c>
      <c r="C1458" s="181" t="s">
        <v>709</v>
      </c>
      <c r="D1458" s="181" t="str">
        <f t="shared" si="25"/>
        <v>35300</v>
      </c>
      <c r="E1458" s="181" t="s">
        <v>15</v>
      </c>
      <c r="F1458" s="181" t="s">
        <v>14</v>
      </c>
      <c r="G1458" s="181" t="s">
        <v>647</v>
      </c>
      <c r="H1458" s="8">
        <v>30761264.350000001</v>
      </c>
      <c r="I1458" s="8">
        <v>121718.89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30882983.239999998</v>
      </c>
    </row>
    <row r="1459" spans="1:15">
      <c r="A1459" s="191">
        <v>44531</v>
      </c>
      <c r="B1459" s="181" t="s">
        <v>13</v>
      </c>
      <c r="C1459" s="181" t="s">
        <v>823</v>
      </c>
      <c r="D1459" s="181" t="str">
        <f>MID(C1459,8,5)</f>
        <v>35300</v>
      </c>
      <c r="E1459" s="181" t="s">
        <v>15</v>
      </c>
      <c r="F1459" s="181" t="s">
        <v>14</v>
      </c>
      <c r="G1459" s="181" t="s">
        <v>647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</row>
    <row r="1460" spans="1:15">
      <c r="A1460" s="191">
        <v>44562</v>
      </c>
      <c r="B1460" s="181" t="s">
        <v>133</v>
      </c>
      <c r="C1460" s="181" t="s">
        <v>823</v>
      </c>
      <c r="D1460" s="181" t="str">
        <f>MID(C1460,8,5)</f>
        <v>35300</v>
      </c>
      <c r="E1460" s="181" t="s">
        <v>15</v>
      </c>
      <c r="F1460" s="181" t="s">
        <v>14</v>
      </c>
      <c r="G1460" s="181" t="s">
        <v>647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</row>
    <row r="1461" spans="1:15">
      <c r="A1461" s="191">
        <v>44593</v>
      </c>
      <c r="B1461" s="181" t="s">
        <v>132</v>
      </c>
      <c r="C1461" s="181" t="s">
        <v>823</v>
      </c>
      <c r="D1461" s="181" t="str">
        <f>MID(C1461,8,5)</f>
        <v>35300</v>
      </c>
      <c r="E1461" s="181" t="s">
        <v>15</v>
      </c>
      <c r="F1461" s="181" t="s">
        <v>14</v>
      </c>
      <c r="G1461" s="181" t="s">
        <v>647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</row>
    <row r="1462" spans="1:15">
      <c r="A1462" s="191">
        <v>44621</v>
      </c>
      <c r="B1462" s="181" t="s">
        <v>131</v>
      </c>
      <c r="C1462" s="181" t="s">
        <v>823</v>
      </c>
      <c r="D1462" s="181" t="str">
        <f>MID(C1462,8,5)</f>
        <v>35300</v>
      </c>
      <c r="E1462" s="181" t="s">
        <v>15</v>
      </c>
      <c r="F1462" s="181" t="s">
        <v>14</v>
      </c>
      <c r="G1462" s="181" t="s">
        <v>647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</row>
    <row r="1463" spans="1:15">
      <c r="A1463" s="191">
        <v>44652</v>
      </c>
      <c r="B1463" s="181" t="s">
        <v>130</v>
      </c>
      <c r="C1463" s="181" t="s">
        <v>823</v>
      </c>
      <c r="D1463" s="181" t="str">
        <f>MID(C1463,8,5)</f>
        <v>35300</v>
      </c>
      <c r="E1463" s="181" t="s">
        <v>15</v>
      </c>
      <c r="F1463" s="181" t="s">
        <v>14</v>
      </c>
      <c r="G1463" s="181" t="s">
        <v>647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</row>
    <row r="1464" spans="1:15">
      <c r="A1464" s="191">
        <v>44805</v>
      </c>
      <c r="B1464" s="181" t="s">
        <v>125</v>
      </c>
      <c r="C1464" s="181" t="s">
        <v>708</v>
      </c>
      <c r="D1464" s="181" t="str">
        <f>MID(C1464,10,5)</f>
        <v>35300</v>
      </c>
      <c r="E1464" s="181" t="s">
        <v>15</v>
      </c>
      <c r="F1464" s="181" t="s">
        <v>14</v>
      </c>
      <c r="G1464" s="181" t="s">
        <v>793</v>
      </c>
      <c r="H1464" s="8">
        <v>18.990000000000002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18.990000000000002</v>
      </c>
    </row>
    <row r="1465" spans="1:15">
      <c r="A1465" s="191">
        <v>44805</v>
      </c>
      <c r="B1465" s="181" t="s">
        <v>125</v>
      </c>
      <c r="C1465" s="181" t="s">
        <v>709</v>
      </c>
      <c r="D1465" s="181" t="str">
        <f>MID(C1465,10,5)</f>
        <v>35300</v>
      </c>
      <c r="E1465" s="181" t="s">
        <v>15</v>
      </c>
      <c r="F1465" s="181" t="s">
        <v>14</v>
      </c>
      <c r="G1465" s="181" t="s">
        <v>793</v>
      </c>
      <c r="H1465" s="8">
        <v>974713.38</v>
      </c>
      <c r="I1465" s="8">
        <v>15096.92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989810.3</v>
      </c>
    </row>
    <row r="1466" spans="1:15">
      <c r="A1466" s="191">
        <v>44835</v>
      </c>
      <c r="B1466" s="181" t="s">
        <v>124</v>
      </c>
      <c r="C1466" s="181" t="s">
        <v>708</v>
      </c>
      <c r="D1466" s="181" t="str">
        <f>MID(C1466,10,5)</f>
        <v>35300</v>
      </c>
      <c r="E1466" s="181" t="s">
        <v>15</v>
      </c>
      <c r="F1466" s="181" t="s">
        <v>14</v>
      </c>
      <c r="G1466" s="181" t="s">
        <v>647</v>
      </c>
      <c r="H1466" s="8">
        <v>273.19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273.19</v>
      </c>
    </row>
    <row r="1467" spans="1:15">
      <c r="A1467" s="191">
        <v>44835</v>
      </c>
      <c r="B1467" s="181" t="s">
        <v>124</v>
      </c>
      <c r="C1467" s="181" t="s">
        <v>709</v>
      </c>
      <c r="D1467" s="181" t="str">
        <f>MID(C1467,10,5)</f>
        <v>35300</v>
      </c>
      <c r="E1467" s="181" t="s">
        <v>15</v>
      </c>
      <c r="F1467" s="181" t="s">
        <v>14</v>
      </c>
      <c r="G1467" s="181" t="s">
        <v>647</v>
      </c>
      <c r="H1467" s="8">
        <v>30882983.239999998</v>
      </c>
      <c r="I1467" s="8">
        <v>121722.7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31004705.940000001</v>
      </c>
    </row>
    <row r="1468" spans="1:15">
      <c r="A1468" s="191">
        <v>44682</v>
      </c>
      <c r="B1468" s="181" t="s">
        <v>129</v>
      </c>
      <c r="C1468" s="181" t="s">
        <v>823</v>
      </c>
      <c r="D1468" s="181" t="str">
        <f t="shared" ref="D1468:D1474" si="26">MID(C1468,8,5)</f>
        <v>35300</v>
      </c>
      <c r="E1468" s="181" t="s">
        <v>15</v>
      </c>
      <c r="F1468" s="181" t="s">
        <v>14</v>
      </c>
      <c r="G1468" s="181" t="s">
        <v>647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</row>
    <row r="1469" spans="1:15">
      <c r="A1469" s="191">
        <v>44713</v>
      </c>
      <c r="B1469" s="181" t="s">
        <v>128</v>
      </c>
      <c r="C1469" s="181" t="s">
        <v>823</v>
      </c>
      <c r="D1469" s="181" t="str">
        <f t="shared" si="26"/>
        <v>35300</v>
      </c>
      <c r="E1469" s="181" t="s">
        <v>15</v>
      </c>
      <c r="F1469" s="181" t="s">
        <v>14</v>
      </c>
      <c r="G1469" s="181" t="s">
        <v>647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</row>
    <row r="1470" spans="1:15">
      <c r="A1470" s="191">
        <v>44743</v>
      </c>
      <c r="B1470" s="181" t="s">
        <v>127</v>
      </c>
      <c r="C1470" s="181" t="s">
        <v>823</v>
      </c>
      <c r="D1470" s="181" t="str">
        <f t="shared" si="26"/>
        <v>35300</v>
      </c>
      <c r="E1470" s="181" t="s">
        <v>15</v>
      </c>
      <c r="F1470" s="181" t="s">
        <v>14</v>
      </c>
      <c r="G1470" s="181" t="s">
        <v>647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</row>
    <row r="1471" spans="1:15">
      <c r="A1471" s="191">
        <v>44774</v>
      </c>
      <c r="B1471" s="181" t="s">
        <v>126</v>
      </c>
      <c r="C1471" s="181" t="s">
        <v>823</v>
      </c>
      <c r="D1471" s="181" t="str">
        <f t="shared" si="26"/>
        <v>35300</v>
      </c>
      <c r="E1471" s="181" t="s">
        <v>15</v>
      </c>
      <c r="F1471" s="181" t="s">
        <v>14</v>
      </c>
      <c r="G1471" s="181" t="s">
        <v>647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</row>
    <row r="1472" spans="1:15">
      <c r="A1472" s="191">
        <v>44805</v>
      </c>
      <c r="B1472" s="181" t="s">
        <v>125</v>
      </c>
      <c r="C1472" s="181" t="s">
        <v>823</v>
      </c>
      <c r="D1472" s="181" t="str">
        <f t="shared" si="26"/>
        <v>35300</v>
      </c>
      <c r="E1472" s="181" t="s">
        <v>15</v>
      </c>
      <c r="F1472" s="181" t="s">
        <v>14</v>
      </c>
      <c r="G1472" s="181" t="s">
        <v>647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</row>
    <row r="1473" spans="1:15">
      <c r="A1473" s="191">
        <v>44835</v>
      </c>
      <c r="B1473" s="181" t="s">
        <v>124</v>
      </c>
      <c r="C1473" s="181" t="s">
        <v>823</v>
      </c>
      <c r="D1473" s="181" t="str">
        <f t="shared" si="26"/>
        <v>35300</v>
      </c>
      <c r="E1473" s="181" t="s">
        <v>15</v>
      </c>
      <c r="F1473" s="181" t="s">
        <v>14</v>
      </c>
      <c r="G1473" s="181" t="s">
        <v>647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</row>
    <row r="1474" spans="1:15">
      <c r="A1474" s="191">
        <v>44866</v>
      </c>
      <c r="B1474" s="181" t="s">
        <v>123</v>
      </c>
      <c r="C1474" s="181" t="s">
        <v>823</v>
      </c>
      <c r="D1474" s="181" t="str">
        <f t="shared" si="26"/>
        <v>35300</v>
      </c>
      <c r="E1474" s="181" t="s">
        <v>15</v>
      </c>
      <c r="F1474" s="181" t="s">
        <v>14</v>
      </c>
      <c r="G1474" s="181" t="s">
        <v>647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</row>
    <row r="1475" spans="1:15">
      <c r="A1475" s="191">
        <v>44835</v>
      </c>
      <c r="B1475" s="181" t="s">
        <v>124</v>
      </c>
      <c r="C1475" s="181" t="s">
        <v>708</v>
      </c>
      <c r="D1475" s="181" t="str">
        <f>MID(C1475,10,5)</f>
        <v>35300</v>
      </c>
      <c r="E1475" s="181" t="s">
        <v>15</v>
      </c>
      <c r="F1475" s="181" t="s">
        <v>14</v>
      </c>
      <c r="G1475" s="181" t="s">
        <v>793</v>
      </c>
      <c r="H1475" s="8">
        <v>18.990000000000002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18.990000000000002</v>
      </c>
    </row>
    <row r="1476" spans="1:15">
      <c r="A1476" s="191">
        <v>44835</v>
      </c>
      <c r="B1476" s="181" t="s">
        <v>124</v>
      </c>
      <c r="C1476" s="181" t="s">
        <v>709</v>
      </c>
      <c r="D1476" s="181" t="str">
        <f>MID(C1476,10,5)</f>
        <v>35300</v>
      </c>
      <c r="E1476" s="181" t="s">
        <v>15</v>
      </c>
      <c r="F1476" s="181" t="s">
        <v>14</v>
      </c>
      <c r="G1476" s="181" t="s">
        <v>793</v>
      </c>
      <c r="H1476" s="8">
        <v>989810.3</v>
      </c>
      <c r="I1476" s="8">
        <v>15097.39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1004907.69</v>
      </c>
    </row>
    <row r="1477" spans="1:15">
      <c r="A1477" s="191">
        <v>44866</v>
      </c>
      <c r="B1477" s="181" t="s">
        <v>123</v>
      </c>
      <c r="C1477" s="181" t="s">
        <v>708</v>
      </c>
      <c r="D1477" s="181" t="str">
        <f>MID(C1477,10,5)</f>
        <v>35300</v>
      </c>
      <c r="E1477" s="181" t="s">
        <v>15</v>
      </c>
      <c r="F1477" s="181" t="s">
        <v>14</v>
      </c>
      <c r="G1477" s="181" t="s">
        <v>647</v>
      </c>
      <c r="H1477" s="8">
        <v>273.19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273.19</v>
      </c>
    </row>
    <row r="1478" spans="1:15">
      <c r="A1478" s="191">
        <v>44866</v>
      </c>
      <c r="B1478" s="181" t="s">
        <v>123</v>
      </c>
      <c r="C1478" s="181" t="s">
        <v>709</v>
      </c>
      <c r="D1478" s="181" t="str">
        <f>MID(C1478,10,5)</f>
        <v>35300</v>
      </c>
      <c r="E1478" s="181" t="s">
        <v>15</v>
      </c>
      <c r="F1478" s="181" t="s">
        <v>14</v>
      </c>
      <c r="G1478" s="181" t="s">
        <v>647</v>
      </c>
      <c r="H1478" s="8">
        <v>31004705.940000001</v>
      </c>
      <c r="I1478" s="8">
        <v>123121.97</v>
      </c>
      <c r="J1478" s="8">
        <v>-80242.84</v>
      </c>
      <c r="K1478" s="8">
        <v>0</v>
      </c>
      <c r="L1478" s="8">
        <v>0</v>
      </c>
      <c r="M1478" s="8">
        <v>0</v>
      </c>
      <c r="N1478" s="8">
        <v>0</v>
      </c>
      <c r="O1478" s="8">
        <v>31047585.07</v>
      </c>
    </row>
    <row r="1479" spans="1:15">
      <c r="A1479" s="191">
        <v>44896</v>
      </c>
      <c r="B1479" s="181" t="s">
        <v>122</v>
      </c>
      <c r="C1479" s="181" t="s">
        <v>823</v>
      </c>
      <c r="D1479" s="181" t="str">
        <f>MID(C1479,8,5)</f>
        <v>35300</v>
      </c>
      <c r="E1479" s="181" t="s">
        <v>15</v>
      </c>
      <c r="F1479" s="181" t="s">
        <v>14</v>
      </c>
      <c r="G1479" s="181" t="s">
        <v>647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</row>
    <row r="1480" spans="1:15">
      <c r="A1480" s="191">
        <v>44866</v>
      </c>
      <c r="B1480" s="181" t="s">
        <v>123</v>
      </c>
      <c r="C1480" s="181" t="s">
        <v>708</v>
      </c>
      <c r="D1480" s="181" t="str">
        <f t="shared" ref="D1480:D1543" si="27">MID(C1480,10,5)</f>
        <v>35300</v>
      </c>
      <c r="E1480" s="181" t="s">
        <v>15</v>
      </c>
      <c r="F1480" s="181" t="s">
        <v>14</v>
      </c>
      <c r="G1480" s="181" t="s">
        <v>793</v>
      </c>
      <c r="H1480" s="8">
        <v>18.990000000000002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18.990000000000002</v>
      </c>
    </row>
    <row r="1481" spans="1:15">
      <c r="A1481" s="191">
        <v>44866</v>
      </c>
      <c r="B1481" s="181" t="s">
        <v>123</v>
      </c>
      <c r="C1481" s="181" t="s">
        <v>709</v>
      </c>
      <c r="D1481" s="181" t="str">
        <f t="shared" si="27"/>
        <v>35300</v>
      </c>
      <c r="E1481" s="181" t="s">
        <v>15</v>
      </c>
      <c r="F1481" s="181" t="s">
        <v>14</v>
      </c>
      <c r="G1481" s="181" t="s">
        <v>793</v>
      </c>
      <c r="H1481" s="8">
        <v>1004907.69</v>
      </c>
      <c r="I1481" s="8">
        <v>15270.94</v>
      </c>
      <c r="J1481" s="8">
        <v>0</v>
      </c>
      <c r="K1481" s="8">
        <v>-15951.85</v>
      </c>
      <c r="L1481" s="8">
        <v>0</v>
      </c>
      <c r="M1481" s="8">
        <v>0</v>
      </c>
      <c r="N1481" s="8">
        <v>0</v>
      </c>
      <c r="O1481" s="8">
        <v>1004226.78</v>
      </c>
    </row>
    <row r="1482" spans="1:15">
      <c r="A1482" s="191">
        <v>44896</v>
      </c>
      <c r="B1482" s="181" t="s">
        <v>122</v>
      </c>
      <c r="C1482" s="181" t="s">
        <v>708</v>
      </c>
      <c r="D1482" s="181" t="str">
        <f t="shared" si="27"/>
        <v>35300</v>
      </c>
      <c r="E1482" s="181" t="s">
        <v>15</v>
      </c>
      <c r="F1482" s="181" t="s">
        <v>14</v>
      </c>
      <c r="G1482" s="181" t="s">
        <v>647</v>
      </c>
      <c r="H1482" s="8">
        <v>273.19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273.19</v>
      </c>
    </row>
    <row r="1483" spans="1:15">
      <c r="A1483" s="191">
        <v>44896</v>
      </c>
      <c r="B1483" s="181" t="s">
        <v>122</v>
      </c>
      <c r="C1483" s="181" t="s">
        <v>709</v>
      </c>
      <c r="D1483" s="181" t="str">
        <f t="shared" si="27"/>
        <v>35300</v>
      </c>
      <c r="E1483" s="181" t="s">
        <v>15</v>
      </c>
      <c r="F1483" s="181" t="s">
        <v>14</v>
      </c>
      <c r="G1483" s="181" t="s">
        <v>647</v>
      </c>
      <c r="H1483" s="8">
        <v>31047585.07</v>
      </c>
      <c r="I1483" s="8">
        <v>124504.52</v>
      </c>
      <c r="J1483" s="8">
        <v>0</v>
      </c>
      <c r="K1483" s="8">
        <v>0</v>
      </c>
      <c r="L1483" s="8">
        <v>0</v>
      </c>
      <c r="M1483" s="8">
        <v>-0.01</v>
      </c>
      <c r="N1483" s="8">
        <v>0</v>
      </c>
      <c r="O1483" s="8">
        <v>31172089.579999998</v>
      </c>
    </row>
    <row r="1484" spans="1:15">
      <c r="A1484" s="191">
        <v>44896</v>
      </c>
      <c r="B1484" s="181" t="s">
        <v>122</v>
      </c>
      <c r="C1484" s="181" t="s">
        <v>708</v>
      </c>
      <c r="D1484" s="181" t="str">
        <f t="shared" si="27"/>
        <v>35300</v>
      </c>
      <c r="E1484" s="181" t="s">
        <v>15</v>
      </c>
      <c r="F1484" s="181" t="s">
        <v>14</v>
      </c>
      <c r="G1484" s="181" t="s">
        <v>793</v>
      </c>
      <c r="H1484" s="8">
        <v>18.990000000000002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18.990000000000002</v>
      </c>
    </row>
    <row r="1485" spans="1:15">
      <c r="A1485" s="191">
        <v>44896</v>
      </c>
      <c r="B1485" s="181" t="s">
        <v>122</v>
      </c>
      <c r="C1485" s="181" t="s">
        <v>709</v>
      </c>
      <c r="D1485" s="181" t="str">
        <f t="shared" si="27"/>
        <v>35300</v>
      </c>
      <c r="E1485" s="181" t="s">
        <v>15</v>
      </c>
      <c r="F1485" s="181" t="s">
        <v>14</v>
      </c>
      <c r="G1485" s="181" t="s">
        <v>793</v>
      </c>
      <c r="H1485" s="8">
        <v>1004226.78</v>
      </c>
      <c r="I1485" s="8">
        <v>15442.42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1019669.2</v>
      </c>
    </row>
    <row r="1486" spans="1:15">
      <c r="A1486" s="191">
        <v>44531</v>
      </c>
      <c r="B1486" s="181" t="s">
        <v>13</v>
      </c>
      <c r="C1486" s="181" t="s">
        <v>809</v>
      </c>
      <c r="D1486" s="181" t="str">
        <f t="shared" si="27"/>
        <v>35359</v>
      </c>
      <c r="E1486" s="181" t="s">
        <v>15</v>
      </c>
      <c r="F1486" s="181" t="s">
        <v>14</v>
      </c>
      <c r="G1486" s="181" t="s">
        <v>801</v>
      </c>
      <c r="H1486" s="8">
        <v>2168026.42</v>
      </c>
      <c r="I1486" s="8">
        <v>3753.48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2171779.9</v>
      </c>
    </row>
    <row r="1487" spans="1:15">
      <c r="A1487" s="191">
        <v>44562</v>
      </c>
      <c r="B1487" s="181" t="s">
        <v>133</v>
      </c>
      <c r="C1487" s="181" t="s">
        <v>809</v>
      </c>
      <c r="D1487" s="181" t="str">
        <f t="shared" si="27"/>
        <v>35359</v>
      </c>
      <c r="E1487" s="181" t="s">
        <v>15</v>
      </c>
      <c r="F1487" s="181" t="s">
        <v>14</v>
      </c>
      <c r="G1487" s="181" t="s">
        <v>801</v>
      </c>
      <c r="H1487" s="8">
        <v>2171779.9</v>
      </c>
      <c r="I1487" s="8">
        <v>3753.48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2175533.38</v>
      </c>
    </row>
    <row r="1488" spans="1:15">
      <c r="A1488" s="191">
        <v>44593</v>
      </c>
      <c r="B1488" s="181" t="s">
        <v>132</v>
      </c>
      <c r="C1488" s="181" t="s">
        <v>809</v>
      </c>
      <c r="D1488" s="181" t="str">
        <f t="shared" si="27"/>
        <v>35359</v>
      </c>
      <c r="E1488" s="181" t="s">
        <v>15</v>
      </c>
      <c r="F1488" s="181" t="s">
        <v>14</v>
      </c>
      <c r="G1488" s="181" t="s">
        <v>801</v>
      </c>
      <c r="H1488" s="8">
        <v>2175533.38</v>
      </c>
      <c r="I1488" s="8">
        <v>3753.48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2179286.86</v>
      </c>
    </row>
    <row r="1489" spans="1:15">
      <c r="A1489" s="191">
        <v>44621</v>
      </c>
      <c r="B1489" s="181" t="s">
        <v>131</v>
      </c>
      <c r="C1489" s="181" t="s">
        <v>809</v>
      </c>
      <c r="D1489" s="181" t="str">
        <f t="shared" si="27"/>
        <v>35359</v>
      </c>
      <c r="E1489" s="181" t="s">
        <v>15</v>
      </c>
      <c r="F1489" s="181" t="s">
        <v>14</v>
      </c>
      <c r="G1489" s="181" t="s">
        <v>801</v>
      </c>
      <c r="H1489" s="8">
        <v>2179286.86</v>
      </c>
      <c r="I1489" s="8">
        <v>3753.48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2183040.34</v>
      </c>
    </row>
    <row r="1490" spans="1:15">
      <c r="A1490" s="191">
        <v>44652</v>
      </c>
      <c r="B1490" s="181" t="s">
        <v>130</v>
      </c>
      <c r="C1490" s="181" t="s">
        <v>809</v>
      </c>
      <c r="D1490" s="181" t="str">
        <f t="shared" si="27"/>
        <v>35359</v>
      </c>
      <c r="E1490" s="181" t="s">
        <v>15</v>
      </c>
      <c r="F1490" s="181" t="s">
        <v>14</v>
      </c>
      <c r="G1490" s="181" t="s">
        <v>801</v>
      </c>
      <c r="H1490" s="8">
        <v>2183040.34</v>
      </c>
      <c r="I1490" s="8">
        <v>3753.48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2186793.8199999998</v>
      </c>
    </row>
    <row r="1491" spans="1:15">
      <c r="A1491" s="191">
        <v>44682</v>
      </c>
      <c r="B1491" s="181" t="s">
        <v>129</v>
      </c>
      <c r="C1491" s="181" t="s">
        <v>809</v>
      </c>
      <c r="D1491" s="181" t="str">
        <f t="shared" si="27"/>
        <v>35359</v>
      </c>
      <c r="E1491" s="181" t="s">
        <v>15</v>
      </c>
      <c r="F1491" s="181" t="s">
        <v>14</v>
      </c>
      <c r="G1491" s="181" t="s">
        <v>801</v>
      </c>
      <c r="H1491" s="8">
        <v>2186793.8199999998</v>
      </c>
      <c r="I1491" s="8">
        <v>3753.48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2190547.2999999998</v>
      </c>
    </row>
    <row r="1492" spans="1:15">
      <c r="A1492" s="191">
        <v>44713</v>
      </c>
      <c r="B1492" s="181" t="s">
        <v>128</v>
      </c>
      <c r="C1492" s="181" t="s">
        <v>809</v>
      </c>
      <c r="D1492" s="181" t="str">
        <f t="shared" si="27"/>
        <v>35359</v>
      </c>
      <c r="E1492" s="181" t="s">
        <v>15</v>
      </c>
      <c r="F1492" s="181" t="s">
        <v>14</v>
      </c>
      <c r="G1492" s="181" t="s">
        <v>801</v>
      </c>
      <c r="H1492" s="8">
        <v>2190547.2999999998</v>
      </c>
      <c r="I1492" s="8">
        <v>3753.48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2194300.7799999998</v>
      </c>
    </row>
    <row r="1493" spans="1:15">
      <c r="A1493" s="191">
        <v>44743</v>
      </c>
      <c r="B1493" s="181" t="s">
        <v>127</v>
      </c>
      <c r="C1493" s="181" t="s">
        <v>809</v>
      </c>
      <c r="D1493" s="181" t="str">
        <f t="shared" si="27"/>
        <v>35359</v>
      </c>
      <c r="E1493" s="181" t="s">
        <v>15</v>
      </c>
      <c r="F1493" s="181" t="s">
        <v>14</v>
      </c>
      <c r="G1493" s="181" t="s">
        <v>801</v>
      </c>
      <c r="H1493" s="8">
        <v>2194300.7799999998</v>
      </c>
      <c r="I1493" s="8">
        <v>3753.48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2198054.2599999998</v>
      </c>
    </row>
    <row r="1494" spans="1:15">
      <c r="A1494" s="191">
        <v>44774</v>
      </c>
      <c r="B1494" s="181" t="s">
        <v>126</v>
      </c>
      <c r="C1494" s="181" t="s">
        <v>809</v>
      </c>
      <c r="D1494" s="181" t="str">
        <f t="shared" si="27"/>
        <v>35359</v>
      </c>
      <c r="E1494" s="181" t="s">
        <v>15</v>
      </c>
      <c r="F1494" s="181" t="s">
        <v>14</v>
      </c>
      <c r="G1494" s="181" t="s">
        <v>801</v>
      </c>
      <c r="H1494" s="8">
        <v>2198054.2599999998</v>
      </c>
      <c r="I1494" s="8">
        <v>3753.48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2201807.7400000002</v>
      </c>
    </row>
    <row r="1495" spans="1:15">
      <c r="A1495" s="191">
        <v>44805</v>
      </c>
      <c r="B1495" s="181" t="s">
        <v>125</v>
      </c>
      <c r="C1495" s="181" t="s">
        <v>809</v>
      </c>
      <c r="D1495" s="181" t="str">
        <f t="shared" si="27"/>
        <v>35359</v>
      </c>
      <c r="E1495" s="181" t="s">
        <v>15</v>
      </c>
      <c r="F1495" s="181" t="s">
        <v>14</v>
      </c>
      <c r="G1495" s="181" t="s">
        <v>801</v>
      </c>
      <c r="H1495" s="8">
        <v>2201807.7400000002</v>
      </c>
      <c r="I1495" s="8">
        <v>3753.48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2205561.2200000002</v>
      </c>
    </row>
    <row r="1496" spans="1:15">
      <c r="A1496" s="191">
        <v>44835</v>
      </c>
      <c r="B1496" s="181" t="s">
        <v>124</v>
      </c>
      <c r="C1496" s="181" t="s">
        <v>809</v>
      </c>
      <c r="D1496" s="181" t="str">
        <f t="shared" si="27"/>
        <v>35359</v>
      </c>
      <c r="E1496" s="181" t="s">
        <v>15</v>
      </c>
      <c r="F1496" s="181" t="s">
        <v>14</v>
      </c>
      <c r="G1496" s="181" t="s">
        <v>801</v>
      </c>
      <c r="H1496" s="8">
        <v>2205561.2200000002</v>
      </c>
      <c r="I1496" s="8">
        <v>3753.48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2209314.7000000002</v>
      </c>
    </row>
    <row r="1497" spans="1:15">
      <c r="A1497" s="191">
        <v>44866</v>
      </c>
      <c r="B1497" s="181" t="s">
        <v>123</v>
      </c>
      <c r="C1497" s="181" t="s">
        <v>809</v>
      </c>
      <c r="D1497" s="181" t="str">
        <f t="shared" si="27"/>
        <v>35359</v>
      </c>
      <c r="E1497" s="181" t="s">
        <v>15</v>
      </c>
      <c r="F1497" s="181" t="s">
        <v>14</v>
      </c>
      <c r="G1497" s="181" t="s">
        <v>801</v>
      </c>
      <c r="H1497" s="8">
        <v>2209314.7000000002</v>
      </c>
      <c r="I1497" s="8">
        <v>3753.48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2213068.1800000002</v>
      </c>
    </row>
    <row r="1498" spans="1:15">
      <c r="A1498" s="191">
        <v>44896</v>
      </c>
      <c r="B1498" s="181" t="s">
        <v>122</v>
      </c>
      <c r="C1498" s="181" t="s">
        <v>809</v>
      </c>
      <c r="D1498" s="181" t="str">
        <f t="shared" si="27"/>
        <v>35359</v>
      </c>
      <c r="E1498" s="181" t="s">
        <v>15</v>
      </c>
      <c r="F1498" s="181" t="s">
        <v>14</v>
      </c>
      <c r="G1498" s="181" t="s">
        <v>801</v>
      </c>
      <c r="H1498" s="8">
        <v>2213068.1800000002</v>
      </c>
      <c r="I1498" s="8">
        <v>3753.48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2216821.66</v>
      </c>
    </row>
    <row r="1499" spans="1:15">
      <c r="A1499" s="191">
        <v>44531</v>
      </c>
      <c r="B1499" s="181" t="s">
        <v>13</v>
      </c>
      <c r="C1499" s="181" t="s">
        <v>710</v>
      </c>
      <c r="D1499" s="181" t="str">
        <f t="shared" si="27"/>
        <v>35400</v>
      </c>
      <c r="E1499" s="181" t="s">
        <v>15</v>
      </c>
      <c r="F1499" s="181" t="s">
        <v>14</v>
      </c>
      <c r="G1499" s="181" t="s">
        <v>647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</row>
    <row r="1500" spans="1:15">
      <c r="A1500" s="191">
        <v>44562</v>
      </c>
      <c r="B1500" s="181" t="s">
        <v>133</v>
      </c>
      <c r="C1500" s="181" t="s">
        <v>710</v>
      </c>
      <c r="D1500" s="181" t="str">
        <f t="shared" si="27"/>
        <v>35400</v>
      </c>
      <c r="E1500" s="181" t="s">
        <v>15</v>
      </c>
      <c r="F1500" s="181" t="s">
        <v>14</v>
      </c>
      <c r="G1500" s="181" t="s">
        <v>647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</row>
    <row r="1501" spans="1:15">
      <c r="A1501" s="191">
        <v>44593</v>
      </c>
      <c r="B1501" s="181" t="s">
        <v>132</v>
      </c>
      <c r="C1501" s="181" t="s">
        <v>710</v>
      </c>
      <c r="D1501" s="181" t="str">
        <f t="shared" si="27"/>
        <v>35400</v>
      </c>
      <c r="E1501" s="181" t="s">
        <v>15</v>
      </c>
      <c r="F1501" s="181" t="s">
        <v>14</v>
      </c>
      <c r="G1501" s="181" t="s">
        <v>647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</row>
    <row r="1502" spans="1:15">
      <c r="A1502" s="191">
        <v>44621</v>
      </c>
      <c r="B1502" s="181" t="s">
        <v>131</v>
      </c>
      <c r="C1502" s="181" t="s">
        <v>710</v>
      </c>
      <c r="D1502" s="181" t="str">
        <f t="shared" si="27"/>
        <v>35400</v>
      </c>
      <c r="E1502" s="181" t="s">
        <v>15</v>
      </c>
      <c r="F1502" s="181" t="s">
        <v>14</v>
      </c>
      <c r="G1502" s="181" t="s">
        <v>647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</row>
    <row r="1503" spans="1:15">
      <c r="A1503" s="191">
        <v>44652</v>
      </c>
      <c r="B1503" s="181" t="s">
        <v>130</v>
      </c>
      <c r="C1503" s="181" t="s">
        <v>710</v>
      </c>
      <c r="D1503" s="181" t="str">
        <f t="shared" si="27"/>
        <v>35400</v>
      </c>
      <c r="E1503" s="181" t="s">
        <v>15</v>
      </c>
      <c r="F1503" s="181" t="s">
        <v>14</v>
      </c>
      <c r="G1503" s="181" t="s">
        <v>647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</row>
    <row r="1504" spans="1:15">
      <c r="A1504" s="191">
        <v>44682</v>
      </c>
      <c r="B1504" s="181" t="s">
        <v>129</v>
      </c>
      <c r="C1504" s="181" t="s">
        <v>710</v>
      </c>
      <c r="D1504" s="181" t="str">
        <f t="shared" si="27"/>
        <v>35400</v>
      </c>
      <c r="E1504" s="181" t="s">
        <v>15</v>
      </c>
      <c r="F1504" s="181" t="s">
        <v>14</v>
      </c>
      <c r="G1504" s="181" t="s">
        <v>647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</row>
    <row r="1505" spans="1:15">
      <c r="A1505" s="191">
        <v>44713</v>
      </c>
      <c r="B1505" s="181" t="s">
        <v>128</v>
      </c>
      <c r="C1505" s="181" t="s">
        <v>710</v>
      </c>
      <c r="D1505" s="181" t="str">
        <f t="shared" si="27"/>
        <v>35400</v>
      </c>
      <c r="E1505" s="181" t="s">
        <v>15</v>
      </c>
      <c r="F1505" s="181" t="s">
        <v>14</v>
      </c>
      <c r="G1505" s="181" t="s">
        <v>647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</row>
    <row r="1506" spans="1:15">
      <c r="A1506" s="191">
        <v>44743</v>
      </c>
      <c r="B1506" s="181" t="s">
        <v>127</v>
      </c>
      <c r="C1506" s="181" t="s">
        <v>710</v>
      </c>
      <c r="D1506" s="181" t="str">
        <f t="shared" si="27"/>
        <v>35400</v>
      </c>
      <c r="E1506" s="181" t="s">
        <v>15</v>
      </c>
      <c r="F1506" s="181" t="s">
        <v>14</v>
      </c>
      <c r="G1506" s="181" t="s">
        <v>647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</row>
    <row r="1507" spans="1:15">
      <c r="A1507" s="191">
        <v>44774</v>
      </c>
      <c r="B1507" s="181" t="s">
        <v>126</v>
      </c>
      <c r="C1507" s="181" t="s">
        <v>710</v>
      </c>
      <c r="D1507" s="181" t="str">
        <f t="shared" si="27"/>
        <v>35400</v>
      </c>
      <c r="E1507" s="181" t="s">
        <v>15</v>
      </c>
      <c r="F1507" s="181" t="s">
        <v>14</v>
      </c>
      <c r="G1507" s="181" t="s">
        <v>647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</row>
    <row r="1508" spans="1:15">
      <c r="A1508" s="191">
        <v>44805</v>
      </c>
      <c r="B1508" s="181" t="s">
        <v>125</v>
      </c>
      <c r="C1508" s="181" t="s">
        <v>710</v>
      </c>
      <c r="D1508" s="181" t="str">
        <f t="shared" si="27"/>
        <v>35400</v>
      </c>
      <c r="E1508" s="181" t="s">
        <v>15</v>
      </c>
      <c r="F1508" s="181" t="s">
        <v>14</v>
      </c>
      <c r="G1508" s="181" t="s">
        <v>647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</row>
    <row r="1509" spans="1:15">
      <c r="A1509" s="191">
        <v>44835</v>
      </c>
      <c r="B1509" s="181" t="s">
        <v>124</v>
      </c>
      <c r="C1509" s="181" t="s">
        <v>710</v>
      </c>
      <c r="D1509" s="181" t="str">
        <f t="shared" si="27"/>
        <v>35400</v>
      </c>
      <c r="E1509" s="181" t="s">
        <v>15</v>
      </c>
      <c r="F1509" s="181" t="s">
        <v>14</v>
      </c>
      <c r="G1509" s="181" t="s">
        <v>647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</row>
    <row r="1510" spans="1:15">
      <c r="A1510" s="191">
        <v>44866</v>
      </c>
      <c r="B1510" s="181" t="s">
        <v>123</v>
      </c>
      <c r="C1510" s="181" t="s">
        <v>710</v>
      </c>
      <c r="D1510" s="181" t="str">
        <f t="shared" si="27"/>
        <v>35400</v>
      </c>
      <c r="E1510" s="181" t="s">
        <v>15</v>
      </c>
      <c r="F1510" s="181" t="s">
        <v>14</v>
      </c>
      <c r="G1510" s="181" t="s">
        <v>647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</row>
    <row r="1511" spans="1:15">
      <c r="A1511" s="191">
        <v>44896</v>
      </c>
      <c r="B1511" s="181" t="s">
        <v>122</v>
      </c>
      <c r="C1511" s="181" t="s">
        <v>710</v>
      </c>
      <c r="D1511" s="181" t="str">
        <f t="shared" si="27"/>
        <v>35400</v>
      </c>
      <c r="E1511" s="181" t="s">
        <v>15</v>
      </c>
      <c r="F1511" s="181" t="s">
        <v>14</v>
      </c>
      <c r="G1511" s="181" t="s">
        <v>647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</row>
    <row r="1512" spans="1:15">
      <c r="A1512" s="191">
        <v>44531</v>
      </c>
      <c r="B1512" s="181" t="s">
        <v>13</v>
      </c>
      <c r="C1512" s="181" t="s">
        <v>711</v>
      </c>
      <c r="D1512" s="181" t="str">
        <f t="shared" si="27"/>
        <v>35500</v>
      </c>
      <c r="E1512" s="181" t="s">
        <v>15</v>
      </c>
      <c r="F1512" s="181" t="s">
        <v>14</v>
      </c>
      <c r="G1512" s="181" t="s">
        <v>647</v>
      </c>
      <c r="H1512" s="8">
        <v>83877.790000000008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83877.790000000008</v>
      </c>
    </row>
    <row r="1513" spans="1:15">
      <c r="A1513" s="191">
        <v>44531</v>
      </c>
      <c r="B1513" s="181" t="s">
        <v>13</v>
      </c>
      <c r="C1513" s="181" t="s">
        <v>712</v>
      </c>
      <c r="D1513" s="181" t="str">
        <f t="shared" si="27"/>
        <v>35500</v>
      </c>
      <c r="E1513" s="181" t="s">
        <v>15</v>
      </c>
      <c r="F1513" s="181" t="s">
        <v>14</v>
      </c>
      <c r="G1513" s="181" t="s">
        <v>647</v>
      </c>
      <c r="H1513" s="8">
        <v>7308756.4699999997</v>
      </c>
      <c r="I1513" s="8">
        <v>62091.55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7370848.0199999996</v>
      </c>
    </row>
    <row r="1514" spans="1:15">
      <c r="A1514" s="191">
        <v>44531</v>
      </c>
      <c r="B1514" s="181" t="s">
        <v>13</v>
      </c>
      <c r="C1514" s="181" t="s">
        <v>711</v>
      </c>
      <c r="D1514" s="181" t="str">
        <f t="shared" si="27"/>
        <v>35500</v>
      </c>
      <c r="E1514" s="181" t="s">
        <v>15</v>
      </c>
      <c r="F1514" s="181" t="s">
        <v>14</v>
      </c>
      <c r="G1514" s="181" t="s">
        <v>793</v>
      </c>
      <c r="H1514" s="8">
        <v>46223.57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46223.57</v>
      </c>
    </row>
    <row r="1515" spans="1:15">
      <c r="A1515" s="191">
        <v>44531</v>
      </c>
      <c r="B1515" s="181" t="s">
        <v>13</v>
      </c>
      <c r="C1515" s="181" t="s">
        <v>712</v>
      </c>
      <c r="D1515" s="181" t="str">
        <f t="shared" si="27"/>
        <v>35500</v>
      </c>
      <c r="E1515" s="181" t="s">
        <v>15</v>
      </c>
      <c r="F1515" s="181" t="s">
        <v>14</v>
      </c>
      <c r="G1515" s="181" t="s">
        <v>793</v>
      </c>
      <c r="H1515" s="8">
        <v>-2032384.23</v>
      </c>
      <c r="I1515" s="8">
        <v>35749.68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-1996634.55</v>
      </c>
    </row>
    <row r="1516" spans="1:15">
      <c r="A1516" s="191">
        <v>44562</v>
      </c>
      <c r="B1516" s="181" t="s">
        <v>133</v>
      </c>
      <c r="C1516" s="181" t="s">
        <v>711</v>
      </c>
      <c r="D1516" s="181" t="str">
        <f t="shared" si="27"/>
        <v>35500</v>
      </c>
      <c r="E1516" s="181" t="s">
        <v>15</v>
      </c>
      <c r="F1516" s="181" t="s">
        <v>14</v>
      </c>
      <c r="G1516" s="181" t="s">
        <v>647</v>
      </c>
      <c r="H1516" s="8">
        <v>83877.790000000008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83877.790000000008</v>
      </c>
    </row>
    <row r="1517" spans="1:15">
      <c r="A1517" s="191">
        <v>44562</v>
      </c>
      <c r="B1517" s="181" t="s">
        <v>133</v>
      </c>
      <c r="C1517" s="181" t="s">
        <v>712</v>
      </c>
      <c r="D1517" s="181" t="str">
        <f t="shared" si="27"/>
        <v>35500</v>
      </c>
      <c r="E1517" s="181" t="s">
        <v>15</v>
      </c>
      <c r="F1517" s="181" t="s">
        <v>14</v>
      </c>
      <c r="G1517" s="181" t="s">
        <v>647</v>
      </c>
      <c r="H1517" s="8">
        <v>7370848.0199999996</v>
      </c>
      <c r="I1517" s="8">
        <v>61801.770000000004</v>
      </c>
      <c r="J1517" s="8">
        <v>-506638.01</v>
      </c>
      <c r="K1517" s="8">
        <v>0</v>
      </c>
      <c r="L1517" s="8">
        <v>0</v>
      </c>
      <c r="M1517" s="8">
        <v>0</v>
      </c>
      <c r="N1517" s="8">
        <v>0</v>
      </c>
      <c r="O1517" s="8">
        <v>6926011.7800000003</v>
      </c>
    </row>
    <row r="1518" spans="1:15">
      <c r="A1518" s="191">
        <v>44562</v>
      </c>
      <c r="B1518" s="181" t="s">
        <v>133</v>
      </c>
      <c r="C1518" s="181" t="s">
        <v>711</v>
      </c>
      <c r="D1518" s="181" t="str">
        <f t="shared" si="27"/>
        <v>35500</v>
      </c>
      <c r="E1518" s="181" t="s">
        <v>15</v>
      </c>
      <c r="F1518" s="181" t="s">
        <v>14</v>
      </c>
      <c r="G1518" s="181" t="s">
        <v>793</v>
      </c>
      <c r="H1518" s="8">
        <v>46223.57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46223.57</v>
      </c>
    </row>
    <row r="1519" spans="1:15">
      <c r="A1519" s="191">
        <v>44562</v>
      </c>
      <c r="B1519" s="181" t="s">
        <v>133</v>
      </c>
      <c r="C1519" s="181" t="s">
        <v>712</v>
      </c>
      <c r="D1519" s="181" t="str">
        <f t="shared" si="27"/>
        <v>35500</v>
      </c>
      <c r="E1519" s="181" t="s">
        <v>15</v>
      </c>
      <c r="F1519" s="181" t="s">
        <v>14</v>
      </c>
      <c r="G1519" s="181" t="s">
        <v>793</v>
      </c>
      <c r="H1519" s="8">
        <v>-1996634.55</v>
      </c>
      <c r="I1519" s="8">
        <v>35582.840000000004</v>
      </c>
      <c r="J1519" s="8">
        <v>0</v>
      </c>
      <c r="K1519" s="8">
        <v>-622484.13</v>
      </c>
      <c r="L1519" s="8">
        <v>0</v>
      </c>
      <c r="M1519" s="8">
        <v>0</v>
      </c>
      <c r="N1519" s="8">
        <v>0</v>
      </c>
      <c r="O1519" s="8">
        <v>-2583535.84</v>
      </c>
    </row>
    <row r="1520" spans="1:15">
      <c r="A1520" s="191">
        <v>44593</v>
      </c>
      <c r="B1520" s="181" t="s">
        <v>132</v>
      </c>
      <c r="C1520" s="181" t="s">
        <v>711</v>
      </c>
      <c r="D1520" s="181" t="str">
        <f t="shared" si="27"/>
        <v>35500</v>
      </c>
      <c r="E1520" s="181" t="s">
        <v>15</v>
      </c>
      <c r="F1520" s="181" t="s">
        <v>14</v>
      </c>
      <c r="G1520" s="181" t="s">
        <v>647</v>
      </c>
      <c r="H1520" s="8">
        <v>83877.790000000008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83877.790000000008</v>
      </c>
    </row>
    <row r="1521" spans="1:15">
      <c r="A1521" s="191">
        <v>44593</v>
      </c>
      <c r="B1521" s="181" t="s">
        <v>132</v>
      </c>
      <c r="C1521" s="181" t="s">
        <v>712</v>
      </c>
      <c r="D1521" s="181" t="str">
        <f t="shared" si="27"/>
        <v>35500</v>
      </c>
      <c r="E1521" s="181" t="s">
        <v>15</v>
      </c>
      <c r="F1521" s="181" t="s">
        <v>14</v>
      </c>
      <c r="G1521" s="181" t="s">
        <v>647</v>
      </c>
      <c r="H1521" s="8">
        <v>6926011.7800000003</v>
      </c>
      <c r="I1521" s="8">
        <v>61502.22</v>
      </c>
      <c r="J1521" s="8">
        <v>-7287.71</v>
      </c>
      <c r="K1521" s="8">
        <v>0</v>
      </c>
      <c r="L1521" s="8">
        <v>0</v>
      </c>
      <c r="M1521" s="8">
        <v>0</v>
      </c>
      <c r="N1521" s="8">
        <v>0</v>
      </c>
      <c r="O1521" s="8">
        <v>6980226.29</v>
      </c>
    </row>
    <row r="1522" spans="1:15">
      <c r="A1522" s="191">
        <v>44593</v>
      </c>
      <c r="B1522" s="181" t="s">
        <v>132</v>
      </c>
      <c r="C1522" s="181" t="s">
        <v>711</v>
      </c>
      <c r="D1522" s="181" t="str">
        <f t="shared" si="27"/>
        <v>35500</v>
      </c>
      <c r="E1522" s="181" t="s">
        <v>15</v>
      </c>
      <c r="F1522" s="181" t="s">
        <v>14</v>
      </c>
      <c r="G1522" s="181" t="s">
        <v>793</v>
      </c>
      <c r="H1522" s="8">
        <v>46223.57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46223.57</v>
      </c>
    </row>
    <row r="1523" spans="1:15">
      <c r="A1523" s="191">
        <v>44593</v>
      </c>
      <c r="B1523" s="181" t="s">
        <v>132</v>
      </c>
      <c r="C1523" s="181" t="s">
        <v>712</v>
      </c>
      <c r="D1523" s="181" t="str">
        <f t="shared" si="27"/>
        <v>35500</v>
      </c>
      <c r="E1523" s="181" t="s">
        <v>15</v>
      </c>
      <c r="F1523" s="181" t="s">
        <v>14</v>
      </c>
      <c r="G1523" s="181" t="s">
        <v>793</v>
      </c>
      <c r="H1523" s="8">
        <v>-2583535.84</v>
      </c>
      <c r="I1523" s="8">
        <v>35410.370000000003</v>
      </c>
      <c r="J1523" s="8">
        <v>0</v>
      </c>
      <c r="K1523" s="8">
        <v>-19269.8</v>
      </c>
      <c r="L1523" s="8">
        <v>0</v>
      </c>
      <c r="M1523" s="8">
        <v>0</v>
      </c>
      <c r="N1523" s="8">
        <v>0</v>
      </c>
      <c r="O1523" s="8">
        <v>-2567395.27</v>
      </c>
    </row>
    <row r="1524" spans="1:15">
      <c r="A1524" s="191">
        <v>44621</v>
      </c>
      <c r="B1524" s="181" t="s">
        <v>131</v>
      </c>
      <c r="C1524" s="181" t="s">
        <v>711</v>
      </c>
      <c r="D1524" s="181" t="str">
        <f t="shared" si="27"/>
        <v>35500</v>
      </c>
      <c r="E1524" s="181" t="s">
        <v>15</v>
      </c>
      <c r="F1524" s="181" t="s">
        <v>14</v>
      </c>
      <c r="G1524" s="181" t="s">
        <v>647</v>
      </c>
      <c r="H1524" s="8">
        <v>83877.790000000008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83877.790000000008</v>
      </c>
    </row>
    <row r="1525" spans="1:15">
      <c r="A1525" s="191">
        <v>44621</v>
      </c>
      <c r="B1525" s="181" t="s">
        <v>131</v>
      </c>
      <c r="C1525" s="181" t="s">
        <v>712</v>
      </c>
      <c r="D1525" s="181" t="str">
        <f t="shared" si="27"/>
        <v>35500</v>
      </c>
      <c r="E1525" s="181" t="s">
        <v>15</v>
      </c>
      <c r="F1525" s="181" t="s">
        <v>14</v>
      </c>
      <c r="G1525" s="181" t="s">
        <v>647</v>
      </c>
      <c r="H1525" s="8">
        <v>6980226.29</v>
      </c>
      <c r="I1525" s="8">
        <v>61540.74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7041767.0300000003</v>
      </c>
    </row>
    <row r="1526" spans="1:15">
      <c r="A1526" s="191">
        <v>44621</v>
      </c>
      <c r="B1526" s="181" t="s">
        <v>131</v>
      </c>
      <c r="C1526" s="181" t="s">
        <v>711</v>
      </c>
      <c r="D1526" s="181" t="str">
        <f t="shared" si="27"/>
        <v>35500</v>
      </c>
      <c r="E1526" s="181" t="s">
        <v>15</v>
      </c>
      <c r="F1526" s="181" t="s">
        <v>14</v>
      </c>
      <c r="G1526" s="181" t="s">
        <v>793</v>
      </c>
      <c r="H1526" s="8">
        <v>46223.57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46223.57</v>
      </c>
    </row>
    <row r="1527" spans="1:15">
      <c r="A1527" s="191">
        <v>44621</v>
      </c>
      <c r="B1527" s="181" t="s">
        <v>131</v>
      </c>
      <c r="C1527" s="181" t="s">
        <v>712</v>
      </c>
      <c r="D1527" s="181" t="str">
        <f t="shared" si="27"/>
        <v>35500</v>
      </c>
      <c r="E1527" s="181" t="s">
        <v>15</v>
      </c>
      <c r="F1527" s="181" t="s">
        <v>14</v>
      </c>
      <c r="G1527" s="181" t="s">
        <v>793</v>
      </c>
      <c r="H1527" s="8">
        <v>-2567395.27</v>
      </c>
      <c r="I1527" s="8">
        <v>35432.550000000003</v>
      </c>
      <c r="J1527" s="8">
        <v>0</v>
      </c>
      <c r="K1527" s="8">
        <v>-50.730000000000004</v>
      </c>
      <c r="L1527" s="8">
        <v>0</v>
      </c>
      <c r="M1527" s="8">
        <v>0</v>
      </c>
      <c r="N1527" s="8">
        <v>0</v>
      </c>
      <c r="O1527" s="8">
        <v>-2532013.4500000002</v>
      </c>
    </row>
    <row r="1528" spans="1:15">
      <c r="A1528" s="191">
        <v>44652</v>
      </c>
      <c r="B1528" s="181" t="s">
        <v>130</v>
      </c>
      <c r="C1528" s="181" t="s">
        <v>711</v>
      </c>
      <c r="D1528" s="181" t="str">
        <f t="shared" si="27"/>
        <v>35500</v>
      </c>
      <c r="E1528" s="181" t="s">
        <v>15</v>
      </c>
      <c r="F1528" s="181" t="s">
        <v>14</v>
      </c>
      <c r="G1528" s="181" t="s">
        <v>647</v>
      </c>
      <c r="H1528" s="8">
        <v>83877.790000000008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83877.790000000008</v>
      </c>
    </row>
    <row r="1529" spans="1:15">
      <c r="A1529" s="191">
        <v>44652</v>
      </c>
      <c r="B1529" s="181" t="s">
        <v>130</v>
      </c>
      <c r="C1529" s="181" t="s">
        <v>712</v>
      </c>
      <c r="D1529" s="181" t="str">
        <f t="shared" si="27"/>
        <v>35500</v>
      </c>
      <c r="E1529" s="181" t="s">
        <v>15</v>
      </c>
      <c r="F1529" s="181" t="s">
        <v>14</v>
      </c>
      <c r="G1529" s="181" t="s">
        <v>647</v>
      </c>
      <c r="H1529" s="8">
        <v>7041767.0300000003</v>
      </c>
      <c r="I1529" s="8">
        <v>66481.78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7108248.8099999996</v>
      </c>
    </row>
    <row r="1530" spans="1:15">
      <c r="A1530" s="191">
        <v>44652</v>
      </c>
      <c r="B1530" s="181" t="s">
        <v>130</v>
      </c>
      <c r="C1530" s="181" t="s">
        <v>711</v>
      </c>
      <c r="D1530" s="181" t="str">
        <f t="shared" si="27"/>
        <v>35500</v>
      </c>
      <c r="E1530" s="181" t="s">
        <v>15</v>
      </c>
      <c r="F1530" s="181" t="s">
        <v>14</v>
      </c>
      <c r="G1530" s="181" t="s">
        <v>793</v>
      </c>
      <c r="H1530" s="8">
        <v>46223.57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46223.57</v>
      </c>
    </row>
    <row r="1531" spans="1:15">
      <c r="A1531" s="191">
        <v>44652</v>
      </c>
      <c r="B1531" s="181" t="s">
        <v>130</v>
      </c>
      <c r="C1531" s="181" t="s">
        <v>712</v>
      </c>
      <c r="D1531" s="181" t="str">
        <f t="shared" si="27"/>
        <v>35500</v>
      </c>
      <c r="E1531" s="181" t="s">
        <v>15</v>
      </c>
      <c r="F1531" s="181" t="s">
        <v>14</v>
      </c>
      <c r="G1531" s="181" t="s">
        <v>793</v>
      </c>
      <c r="H1531" s="8">
        <v>-2532013.4500000002</v>
      </c>
      <c r="I1531" s="8">
        <v>38277.39</v>
      </c>
      <c r="J1531" s="8">
        <v>0</v>
      </c>
      <c r="K1531" s="8">
        <v>0.6</v>
      </c>
      <c r="L1531" s="8">
        <v>0</v>
      </c>
      <c r="M1531" s="8">
        <v>0</v>
      </c>
      <c r="N1531" s="8">
        <v>0</v>
      </c>
      <c r="O1531" s="8">
        <v>-2493735.46</v>
      </c>
    </row>
    <row r="1532" spans="1:15">
      <c r="A1532" s="191">
        <v>44682</v>
      </c>
      <c r="B1532" s="181" t="s">
        <v>129</v>
      </c>
      <c r="C1532" s="181" t="s">
        <v>711</v>
      </c>
      <c r="D1532" s="181" t="str">
        <f t="shared" si="27"/>
        <v>35500</v>
      </c>
      <c r="E1532" s="181" t="s">
        <v>15</v>
      </c>
      <c r="F1532" s="181" t="s">
        <v>14</v>
      </c>
      <c r="G1532" s="181" t="s">
        <v>647</v>
      </c>
      <c r="H1532" s="8">
        <v>83877.790000000008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83877.790000000008</v>
      </c>
    </row>
    <row r="1533" spans="1:15">
      <c r="A1533" s="191">
        <v>44682</v>
      </c>
      <c r="B1533" s="181" t="s">
        <v>129</v>
      </c>
      <c r="C1533" s="181" t="s">
        <v>712</v>
      </c>
      <c r="D1533" s="181" t="str">
        <f t="shared" si="27"/>
        <v>35500</v>
      </c>
      <c r="E1533" s="181" t="s">
        <v>15</v>
      </c>
      <c r="F1533" s="181" t="s">
        <v>14</v>
      </c>
      <c r="G1533" s="181" t="s">
        <v>647</v>
      </c>
      <c r="H1533" s="8">
        <v>7108248.8099999996</v>
      </c>
      <c r="I1533" s="8">
        <v>71564.900000000009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7179813.71</v>
      </c>
    </row>
    <row r="1534" spans="1:15">
      <c r="A1534" s="191">
        <v>44682</v>
      </c>
      <c r="B1534" s="181" t="s">
        <v>129</v>
      </c>
      <c r="C1534" s="181" t="s">
        <v>711</v>
      </c>
      <c r="D1534" s="181" t="str">
        <f t="shared" si="27"/>
        <v>35500</v>
      </c>
      <c r="E1534" s="181" t="s">
        <v>15</v>
      </c>
      <c r="F1534" s="181" t="s">
        <v>14</v>
      </c>
      <c r="G1534" s="181" t="s">
        <v>793</v>
      </c>
      <c r="H1534" s="8">
        <v>46223.57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46223.57</v>
      </c>
    </row>
    <row r="1535" spans="1:15">
      <c r="A1535" s="191">
        <v>44682</v>
      </c>
      <c r="B1535" s="181" t="s">
        <v>129</v>
      </c>
      <c r="C1535" s="181" t="s">
        <v>712</v>
      </c>
      <c r="D1535" s="181" t="str">
        <f t="shared" si="27"/>
        <v>35500</v>
      </c>
      <c r="E1535" s="181" t="s">
        <v>15</v>
      </c>
      <c r="F1535" s="181" t="s">
        <v>14</v>
      </c>
      <c r="G1535" s="181" t="s">
        <v>793</v>
      </c>
      <c r="H1535" s="8">
        <v>-2493735.46</v>
      </c>
      <c r="I1535" s="8">
        <v>41204.03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-2452531.4300000002</v>
      </c>
    </row>
    <row r="1536" spans="1:15">
      <c r="A1536" s="191">
        <v>44713</v>
      </c>
      <c r="B1536" s="181" t="s">
        <v>128</v>
      </c>
      <c r="C1536" s="181" t="s">
        <v>711</v>
      </c>
      <c r="D1536" s="181" t="str">
        <f t="shared" si="27"/>
        <v>35500</v>
      </c>
      <c r="E1536" s="181" t="s">
        <v>15</v>
      </c>
      <c r="F1536" s="181" t="s">
        <v>14</v>
      </c>
      <c r="G1536" s="181" t="s">
        <v>647</v>
      </c>
      <c r="H1536" s="8">
        <v>83877.790000000008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83877.790000000008</v>
      </c>
    </row>
    <row r="1537" spans="1:15">
      <c r="A1537" s="191">
        <v>44713</v>
      </c>
      <c r="B1537" s="181" t="s">
        <v>128</v>
      </c>
      <c r="C1537" s="181" t="s">
        <v>712</v>
      </c>
      <c r="D1537" s="181" t="str">
        <f t="shared" si="27"/>
        <v>35500</v>
      </c>
      <c r="E1537" s="181" t="s">
        <v>15</v>
      </c>
      <c r="F1537" s="181" t="s">
        <v>14</v>
      </c>
      <c r="G1537" s="181" t="s">
        <v>647</v>
      </c>
      <c r="H1537" s="8">
        <v>7179813.71</v>
      </c>
      <c r="I1537" s="8">
        <v>72213.2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7252026.9100000001</v>
      </c>
    </row>
    <row r="1538" spans="1:15">
      <c r="A1538" s="191">
        <v>44713</v>
      </c>
      <c r="B1538" s="181" t="s">
        <v>128</v>
      </c>
      <c r="C1538" s="181" t="s">
        <v>711</v>
      </c>
      <c r="D1538" s="181" t="str">
        <f t="shared" si="27"/>
        <v>35500</v>
      </c>
      <c r="E1538" s="181" t="s">
        <v>15</v>
      </c>
      <c r="F1538" s="181" t="s">
        <v>14</v>
      </c>
      <c r="G1538" s="181" t="s">
        <v>793</v>
      </c>
      <c r="H1538" s="8">
        <v>46223.57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46223.57</v>
      </c>
    </row>
    <row r="1539" spans="1:15">
      <c r="A1539" s="191">
        <v>44713</v>
      </c>
      <c r="B1539" s="181" t="s">
        <v>128</v>
      </c>
      <c r="C1539" s="181" t="s">
        <v>712</v>
      </c>
      <c r="D1539" s="181" t="str">
        <f t="shared" si="27"/>
        <v>35500</v>
      </c>
      <c r="E1539" s="181" t="s">
        <v>15</v>
      </c>
      <c r="F1539" s="181" t="s">
        <v>14</v>
      </c>
      <c r="G1539" s="181" t="s">
        <v>793</v>
      </c>
      <c r="H1539" s="8">
        <v>-2452531.4300000002</v>
      </c>
      <c r="I1539" s="8">
        <v>41577.300000000003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-2410954.13</v>
      </c>
    </row>
    <row r="1540" spans="1:15">
      <c r="A1540" s="191">
        <v>44743</v>
      </c>
      <c r="B1540" s="181" t="s">
        <v>127</v>
      </c>
      <c r="C1540" s="181" t="s">
        <v>711</v>
      </c>
      <c r="D1540" s="181" t="str">
        <f t="shared" si="27"/>
        <v>35500</v>
      </c>
      <c r="E1540" s="181" t="s">
        <v>15</v>
      </c>
      <c r="F1540" s="181" t="s">
        <v>14</v>
      </c>
      <c r="G1540" s="181" t="s">
        <v>647</v>
      </c>
      <c r="H1540" s="8">
        <v>83877.790000000008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83877.790000000008</v>
      </c>
    </row>
    <row r="1541" spans="1:15">
      <c r="A1541" s="191">
        <v>44743</v>
      </c>
      <c r="B1541" s="181" t="s">
        <v>127</v>
      </c>
      <c r="C1541" s="181" t="s">
        <v>712</v>
      </c>
      <c r="D1541" s="181" t="str">
        <f t="shared" si="27"/>
        <v>35500</v>
      </c>
      <c r="E1541" s="181" t="s">
        <v>15</v>
      </c>
      <c r="F1541" s="181" t="s">
        <v>14</v>
      </c>
      <c r="G1541" s="181" t="s">
        <v>647</v>
      </c>
      <c r="H1541" s="8">
        <v>7252026.9100000001</v>
      </c>
      <c r="I1541" s="8">
        <v>72743.89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7324770.7999999998</v>
      </c>
    </row>
    <row r="1542" spans="1:15">
      <c r="A1542" s="191">
        <v>44743</v>
      </c>
      <c r="B1542" s="181" t="s">
        <v>127</v>
      </c>
      <c r="C1542" s="181" t="s">
        <v>711</v>
      </c>
      <c r="D1542" s="181" t="str">
        <f t="shared" si="27"/>
        <v>35500</v>
      </c>
      <c r="E1542" s="181" t="s">
        <v>15</v>
      </c>
      <c r="F1542" s="181" t="s">
        <v>14</v>
      </c>
      <c r="G1542" s="181" t="s">
        <v>793</v>
      </c>
      <c r="H1542" s="8">
        <v>46223.57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46223.57</v>
      </c>
    </row>
    <row r="1543" spans="1:15">
      <c r="A1543" s="191">
        <v>44743</v>
      </c>
      <c r="B1543" s="181" t="s">
        <v>127</v>
      </c>
      <c r="C1543" s="181" t="s">
        <v>712</v>
      </c>
      <c r="D1543" s="181" t="str">
        <f t="shared" si="27"/>
        <v>35500</v>
      </c>
      <c r="E1543" s="181" t="s">
        <v>15</v>
      </c>
      <c r="F1543" s="181" t="s">
        <v>14</v>
      </c>
      <c r="G1543" s="181" t="s">
        <v>793</v>
      </c>
      <c r="H1543" s="8">
        <v>-2410954.13</v>
      </c>
      <c r="I1543" s="8">
        <v>41882.85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-2369071.2800000003</v>
      </c>
    </row>
    <row r="1544" spans="1:15">
      <c r="A1544" s="191">
        <v>44774</v>
      </c>
      <c r="B1544" s="181" t="s">
        <v>126</v>
      </c>
      <c r="C1544" s="181" t="s">
        <v>711</v>
      </c>
      <c r="D1544" s="181" t="str">
        <f t="shared" ref="D1544:D1607" si="28">MID(C1544,10,5)</f>
        <v>35500</v>
      </c>
      <c r="E1544" s="181" t="s">
        <v>15</v>
      </c>
      <c r="F1544" s="181" t="s">
        <v>14</v>
      </c>
      <c r="G1544" s="181" t="s">
        <v>647</v>
      </c>
      <c r="H1544" s="8">
        <v>83877.790000000008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83877.790000000008</v>
      </c>
    </row>
    <row r="1545" spans="1:15">
      <c r="A1545" s="191">
        <v>44774</v>
      </c>
      <c r="B1545" s="181" t="s">
        <v>126</v>
      </c>
      <c r="C1545" s="181" t="s">
        <v>712</v>
      </c>
      <c r="D1545" s="181" t="str">
        <f t="shared" si="28"/>
        <v>35500</v>
      </c>
      <c r="E1545" s="181" t="s">
        <v>15</v>
      </c>
      <c r="F1545" s="181" t="s">
        <v>14</v>
      </c>
      <c r="G1545" s="181" t="s">
        <v>647</v>
      </c>
      <c r="H1545" s="8">
        <v>7324770.7999999998</v>
      </c>
      <c r="I1545" s="8">
        <v>72791.41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7397562.21</v>
      </c>
    </row>
    <row r="1546" spans="1:15">
      <c r="A1546" s="191">
        <v>44774</v>
      </c>
      <c r="B1546" s="181" t="s">
        <v>126</v>
      </c>
      <c r="C1546" s="181" t="s">
        <v>711</v>
      </c>
      <c r="D1546" s="181" t="str">
        <f t="shared" si="28"/>
        <v>35500</v>
      </c>
      <c r="E1546" s="181" t="s">
        <v>15</v>
      </c>
      <c r="F1546" s="181" t="s">
        <v>14</v>
      </c>
      <c r="G1546" s="181" t="s">
        <v>793</v>
      </c>
      <c r="H1546" s="8">
        <v>46223.57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46223.57</v>
      </c>
    </row>
    <row r="1547" spans="1:15">
      <c r="A1547" s="191">
        <v>44774</v>
      </c>
      <c r="B1547" s="181" t="s">
        <v>126</v>
      </c>
      <c r="C1547" s="181" t="s">
        <v>712</v>
      </c>
      <c r="D1547" s="181" t="str">
        <f t="shared" si="28"/>
        <v>35500</v>
      </c>
      <c r="E1547" s="181" t="s">
        <v>15</v>
      </c>
      <c r="F1547" s="181" t="s">
        <v>14</v>
      </c>
      <c r="G1547" s="181" t="s">
        <v>793</v>
      </c>
      <c r="H1547" s="8">
        <v>-2369071.2800000003</v>
      </c>
      <c r="I1547" s="8">
        <v>41910.200000000004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-2327161.08</v>
      </c>
    </row>
    <row r="1548" spans="1:15">
      <c r="A1548" s="191">
        <v>44805</v>
      </c>
      <c r="B1548" s="181" t="s">
        <v>125</v>
      </c>
      <c r="C1548" s="181" t="s">
        <v>711</v>
      </c>
      <c r="D1548" s="181" t="str">
        <f t="shared" si="28"/>
        <v>35500</v>
      </c>
      <c r="E1548" s="181" t="s">
        <v>15</v>
      </c>
      <c r="F1548" s="181" t="s">
        <v>14</v>
      </c>
      <c r="G1548" s="181" t="s">
        <v>647</v>
      </c>
      <c r="H1548" s="8">
        <v>83877.790000000008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83877.790000000008</v>
      </c>
    </row>
    <row r="1549" spans="1:15">
      <c r="A1549" s="191">
        <v>44805</v>
      </c>
      <c r="B1549" s="181" t="s">
        <v>125</v>
      </c>
      <c r="C1549" s="181" t="s">
        <v>712</v>
      </c>
      <c r="D1549" s="181" t="str">
        <f t="shared" si="28"/>
        <v>35500</v>
      </c>
      <c r="E1549" s="181" t="s">
        <v>15</v>
      </c>
      <c r="F1549" s="181" t="s">
        <v>14</v>
      </c>
      <c r="G1549" s="181" t="s">
        <v>647</v>
      </c>
      <c r="H1549" s="8">
        <v>7397562.21</v>
      </c>
      <c r="I1549" s="8">
        <v>72783.199999999997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7470345.4100000001</v>
      </c>
    </row>
    <row r="1550" spans="1:15">
      <c r="A1550" s="191">
        <v>44805</v>
      </c>
      <c r="B1550" s="181" t="s">
        <v>125</v>
      </c>
      <c r="C1550" s="181" t="s">
        <v>711</v>
      </c>
      <c r="D1550" s="181" t="str">
        <f t="shared" si="28"/>
        <v>35500</v>
      </c>
      <c r="E1550" s="181" t="s">
        <v>15</v>
      </c>
      <c r="F1550" s="181" t="s">
        <v>14</v>
      </c>
      <c r="G1550" s="181" t="s">
        <v>793</v>
      </c>
      <c r="H1550" s="8">
        <v>46223.57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46223.57</v>
      </c>
    </row>
    <row r="1551" spans="1:15">
      <c r="A1551" s="191">
        <v>44805</v>
      </c>
      <c r="B1551" s="181" t="s">
        <v>125</v>
      </c>
      <c r="C1551" s="181" t="s">
        <v>712</v>
      </c>
      <c r="D1551" s="181" t="str">
        <f t="shared" si="28"/>
        <v>35500</v>
      </c>
      <c r="E1551" s="181" t="s">
        <v>15</v>
      </c>
      <c r="F1551" s="181" t="s">
        <v>14</v>
      </c>
      <c r="G1551" s="181" t="s">
        <v>793</v>
      </c>
      <c r="H1551" s="8">
        <v>-2327161.08</v>
      </c>
      <c r="I1551" s="8">
        <v>41905.480000000003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-2285255.6</v>
      </c>
    </row>
    <row r="1552" spans="1:15">
      <c r="A1552" s="191">
        <v>44835</v>
      </c>
      <c r="B1552" s="181" t="s">
        <v>124</v>
      </c>
      <c r="C1552" s="181" t="s">
        <v>711</v>
      </c>
      <c r="D1552" s="181" t="str">
        <f t="shared" si="28"/>
        <v>35500</v>
      </c>
      <c r="E1552" s="181" t="s">
        <v>15</v>
      </c>
      <c r="F1552" s="181" t="s">
        <v>14</v>
      </c>
      <c r="G1552" s="181" t="s">
        <v>647</v>
      </c>
      <c r="H1552" s="8">
        <v>83877.790000000008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83877.790000000008</v>
      </c>
    </row>
    <row r="1553" spans="1:15">
      <c r="A1553" s="191">
        <v>44835</v>
      </c>
      <c r="B1553" s="181" t="s">
        <v>124</v>
      </c>
      <c r="C1553" s="181" t="s">
        <v>712</v>
      </c>
      <c r="D1553" s="181" t="str">
        <f t="shared" si="28"/>
        <v>35500</v>
      </c>
      <c r="E1553" s="181" t="s">
        <v>15</v>
      </c>
      <c r="F1553" s="181" t="s">
        <v>14</v>
      </c>
      <c r="G1553" s="181" t="s">
        <v>647</v>
      </c>
      <c r="H1553" s="8">
        <v>7470345.4100000001</v>
      </c>
      <c r="I1553" s="8">
        <v>72769.759999999995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7543115.1699999999</v>
      </c>
    </row>
    <row r="1554" spans="1:15">
      <c r="A1554" s="191">
        <v>44835</v>
      </c>
      <c r="B1554" s="181" t="s">
        <v>124</v>
      </c>
      <c r="C1554" s="181" t="s">
        <v>711</v>
      </c>
      <c r="D1554" s="181" t="str">
        <f t="shared" si="28"/>
        <v>35500</v>
      </c>
      <c r="E1554" s="181" t="s">
        <v>15</v>
      </c>
      <c r="F1554" s="181" t="s">
        <v>14</v>
      </c>
      <c r="G1554" s="181" t="s">
        <v>793</v>
      </c>
      <c r="H1554" s="8">
        <v>46223.57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46223.57</v>
      </c>
    </row>
    <row r="1555" spans="1:15">
      <c r="A1555" s="191">
        <v>44835</v>
      </c>
      <c r="B1555" s="181" t="s">
        <v>124</v>
      </c>
      <c r="C1555" s="181" t="s">
        <v>712</v>
      </c>
      <c r="D1555" s="181" t="str">
        <f t="shared" si="28"/>
        <v>35500</v>
      </c>
      <c r="E1555" s="181" t="s">
        <v>15</v>
      </c>
      <c r="F1555" s="181" t="s">
        <v>14</v>
      </c>
      <c r="G1555" s="181" t="s">
        <v>793</v>
      </c>
      <c r="H1555" s="8">
        <v>-2285255.6</v>
      </c>
      <c r="I1555" s="8">
        <v>41897.74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-2243357.86</v>
      </c>
    </row>
    <row r="1556" spans="1:15">
      <c r="A1556" s="191">
        <v>44866</v>
      </c>
      <c r="B1556" s="181" t="s">
        <v>123</v>
      </c>
      <c r="C1556" s="181" t="s">
        <v>711</v>
      </c>
      <c r="D1556" s="181" t="str">
        <f t="shared" si="28"/>
        <v>35500</v>
      </c>
      <c r="E1556" s="181" t="s">
        <v>15</v>
      </c>
      <c r="F1556" s="181" t="s">
        <v>14</v>
      </c>
      <c r="G1556" s="181" t="s">
        <v>647</v>
      </c>
      <c r="H1556" s="8">
        <v>83877.790000000008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83877.790000000008</v>
      </c>
    </row>
    <row r="1557" spans="1:15">
      <c r="A1557" s="191">
        <v>44866</v>
      </c>
      <c r="B1557" s="181" t="s">
        <v>123</v>
      </c>
      <c r="C1557" s="181" t="s">
        <v>712</v>
      </c>
      <c r="D1557" s="181" t="str">
        <f t="shared" si="28"/>
        <v>35500</v>
      </c>
      <c r="E1557" s="181" t="s">
        <v>15</v>
      </c>
      <c r="F1557" s="181" t="s">
        <v>14</v>
      </c>
      <c r="G1557" s="181" t="s">
        <v>647</v>
      </c>
      <c r="H1557" s="8">
        <v>7543115.1699999999</v>
      </c>
      <c r="I1557" s="8">
        <v>72557.19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7615672.3600000003</v>
      </c>
    </row>
    <row r="1558" spans="1:15">
      <c r="A1558" s="191">
        <v>44866</v>
      </c>
      <c r="B1558" s="181" t="s">
        <v>123</v>
      </c>
      <c r="C1558" s="181" t="s">
        <v>711</v>
      </c>
      <c r="D1558" s="181" t="str">
        <f t="shared" si="28"/>
        <v>35500</v>
      </c>
      <c r="E1558" s="181" t="s">
        <v>15</v>
      </c>
      <c r="F1558" s="181" t="s">
        <v>14</v>
      </c>
      <c r="G1558" s="181" t="s">
        <v>793</v>
      </c>
      <c r="H1558" s="8">
        <v>46223.57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46223.57</v>
      </c>
    </row>
    <row r="1559" spans="1:15">
      <c r="A1559" s="191">
        <v>44866</v>
      </c>
      <c r="B1559" s="181" t="s">
        <v>123</v>
      </c>
      <c r="C1559" s="181" t="s">
        <v>712</v>
      </c>
      <c r="D1559" s="181" t="str">
        <f t="shared" si="28"/>
        <v>35500</v>
      </c>
      <c r="E1559" s="181" t="s">
        <v>15</v>
      </c>
      <c r="F1559" s="181" t="s">
        <v>14</v>
      </c>
      <c r="G1559" s="181" t="s">
        <v>793</v>
      </c>
      <c r="H1559" s="8">
        <v>-2243357.86</v>
      </c>
      <c r="I1559" s="8">
        <v>41775.35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-2201582.5099999998</v>
      </c>
    </row>
    <row r="1560" spans="1:15">
      <c r="A1560" s="191">
        <v>44896</v>
      </c>
      <c r="B1560" s="181" t="s">
        <v>122</v>
      </c>
      <c r="C1560" s="181" t="s">
        <v>711</v>
      </c>
      <c r="D1560" s="181" t="str">
        <f t="shared" si="28"/>
        <v>35500</v>
      </c>
      <c r="E1560" s="181" t="s">
        <v>15</v>
      </c>
      <c r="F1560" s="181" t="s">
        <v>14</v>
      </c>
      <c r="G1560" s="181" t="s">
        <v>647</v>
      </c>
      <c r="H1560" s="8">
        <v>83877.790000000008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83877.790000000008</v>
      </c>
    </row>
    <row r="1561" spans="1:15">
      <c r="A1561" s="191">
        <v>44896</v>
      </c>
      <c r="B1561" s="181" t="s">
        <v>122</v>
      </c>
      <c r="C1561" s="181" t="s">
        <v>712</v>
      </c>
      <c r="D1561" s="181" t="str">
        <f t="shared" si="28"/>
        <v>35500</v>
      </c>
      <c r="E1561" s="181" t="s">
        <v>15</v>
      </c>
      <c r="F1561" s="181" t="s">
        <v>14</v>
      </c>
      <c r="G1561" s="181" t="s">
        <v>647</v>
      </c>
      <c r="H1561" s="8">
        <v>7615672.3600000003</v>
      </c>
      <c r="I1561" s="8">
        <v>70425.02</v>
      </c>
      <c r="J1561" s="8">
        <v>-287533.28000000003</v>
      </c>
      <c r="K1561" s="8">
        <v>0</v>
      </c>
      <c r="L1561" s="8">
        <v>0</v>
      </c>
      <c r="M1561" s="8">
        <v>0</v>
      </c>
      <c r="N1561" s="8">
        <v>0</v>
      </c>
      <c r="O1561" s="8">
        <v>7398564.0999999996</v>
      </c>
    </row>
    <row r="1562" spans="1:15">
      <c r="A1562" s="191">
        <v>44896</v>
      </c>
      <c r="B1562" s="181" t="s">
        <v>122</v>
      </c>
      <c r="C1562" s="181" t="s">
        <v>711</v>
      </c>
      <c r="D1562" s="181" t="str">
        <f t="shared" si="28"/>
        <v>35500</v>
      </c>
      <c r="E1562" s="181" t="s">
        <v>15</v>
      </c>
      <c r="F1562" s="181" t="s">
        <v>14</v>
      </c>
      <c r="G1562" s="181" t="s">
        <v>793</v>
      </c>
      <c r="H1562" s="8">
        <v>46223.57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46223.57</v>
      </c>
    </row>
    <row r="1563" spans="1:15">
      <c r="A1563" s="191">
        <v>44896</v>
      </c>
      <c r="B1563" s="181" t="s">
        <v>122</v>
      </c>
      <c r="C1563" s="181" t="s">
        <v>712</v>
      </c>
      <c r="D1563" s="181" t="str">
        <f t="shared" si="28"/>
        <v>35500</v>
      </c>
      <c r="E1563" s="181" t="s">
        <v>15</v>
      </c>
      <c r="F1563" s="181" t="s">
        <v>14</v>
      </c>
      <c r="G1563" s="181" t="s">
        <v>793</v>
      </c>
      <c r="H1563" s="8">
        <v>-2201582.5099999998</v>
      </c>
      <c r="I1563" s="8">
        <v>41860.870000000003</v>
      </c>
      <c r="J1563" s="8">
        <v>0</v>
      </c>
      <c r="K1563" s="8">
        <v>-65691.520000000004</v>
      </c>
      <c r="L1563" s="8">
        <v>0</v>
      </c>
      <c r="M1563" s="8">
        <v>0</v>
      </c>
      <c r="N1563" s="8">
        <v>0</v>
      </c>
      <c r="O1563" s="8">
        <v>-2225413.16</v>
      </c>
    </row>
    <row r="1564" spans="1:15">
      <c r="A1564" s="191">
        <v>44531</v>
      </c>
      <c r="B1564" s="181" t="s">
        <v>13</v>
      </c>
      <c r="C1564" s="181" t="s">
        <v>713</v>
      </c>
      <c r="D1564" s="181" t="str">
        <f t="shared" si="28"/>
        <v>35600</v>
      </c>
      <c r="E1564" s="181" t="s">
        <v>15</v>
      </c>
      <c r="F1564" s="181" t="s">
        <v>14</v>
      </c>
      <c r="G1564" s="181" t="s">
        <v>647</v>
      </c>
      <c r="H1564" s="8">
        <v>6455859.2999999998</v>
      </c>
      <c r="I1564" s="8">
        <v>59157.18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6515016.4800000004</v>
      </c>
    </row>
    <row r="1565" spans="1:15">
      <c r="A1565" s="191">
        <v>44531</v>
      </c>
      <c r="B1565" s="181" t="s">
        <v>13</v>
      </c>
      <c r="C1565" s="181" t="s">
        <v>713</v>
      </c>
      <c r="D1565" s="181" t="str">
        <f t="shared" si="28"/>
        <v>35600</v>
      </c>
      <c r="E1565" s="181" t="s">
        <v>15</v>
      </c>
      <c r="F1565" s="181" t="s">
        <v>14</v>
      </c>
      <c r="G1565" s="181" t="s">
        <v>793</v>
      </c>
      <c r="H1565" s="8">
        <v>514762.27</v>
      </c>
      <c r="I1565" s="8">
        <v>33219.03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547981.30000000005</v>
      </c>
    </row>
    <row r="1566" spans="1:15">
      <c r="A1566" s="191">
        <v>44562</v>
      </c>
      <c r="B1566" s="181" t="s">
        <v>133</v>
      </c>
      <c r="C1566" s="181" t="s">
        <v>713</v>
      </c>
      <c r="D1566" s="181" t="str">
        <f t="shared" si="28"/>
        <v>35600</v>
      </c>
      <c r="E1566" s="181" t="s">
        <v>15</v>
      </c>
      <c r="F1566" s="181" t="s">
        <v>14</v>
      </c>
      <c r="G1566" s="181" t="s">
        <v>647</v>
      </c>
      <c r="H1566" s="8">
        <v>6515016.4800000004</v>
      </c>
      <c r="I1566" s="8">
        <v>59176.11</v>
      </c>
      <c r="J1566" s="8">
        <v>-23225.670000000002</v>
      </c>
      <c r="K1566" s="8">
        <v>0</v>
      </c>
      <c r="L1566" s="8">
        <v>0</v>
      </c>
      <c r="M1566" s="8">
        <v>0</v>
      </c>
      <c r="N1566" s="8">
        <v>0</v>
      </c>
      <c r="O1566" s="8">
        <v>6550966.9199999999</v>
      </c>
    </row>
    <row r="1567" spans="1:15">
      <c r="A1567" s="191">
        <v>44562</v>
      </c>
      <c r="B1567" s="181" t="s">
        <v>133</v>
      </c>
      <c r="C1567" s="181" t="s">
        <v>713</v>
      </c>
      <c r="D1567" s="181" t="str">
        <f t="shared" si="28"/>
        <v>35600</v>
      </c>
      <c r="E1567" s="181" t="s">
        <v>15</v>
      </c>
      <c r="F1567" s="181" t="s">
        <v>14</v>
      </c>
      <c r="G1567" s="181" t="s">
        <v>793</v>
      </c>
      <c r="H1567" s="8">
        <v>547981.30000000005</v>
      </c>
      <c r="I1567" s="8">
        <v>33229.660000000003</v>
      </c>
      <c r="J1567" s="8">
        <v>0</v>
      </c>
      <c r="K1567" s="8">
        <v>-152263.37</v>
      </c>
      <c r="L1567" s="8">
        <v>0</v>
      </c>
      <c r="M1567" s="8">
        <v>0</v>
      </c>
      <c r="N1567" s="8">
        <v>0</v>
      </c>
      <c r="O1567" s="8">
        <v>428947.59</v>
      </c>
    </row>
    <row r="1568" spans="1:15">
      <c r="A1568" s="191">
        <v>44593</v>
      </c>
      <c r="B1568" s="181" t="s">
        <v>132</v>
      </c>
      <c r="C1568" s="181" t="s">
        <v>713</v>
      </c>
      <c r="D1568" s="181" t="str">
        <f t="shared" si="28"/>
        <v>35600</v>
      </c>
      <c r="E1568" s="181" t="s">
        <v>15</v>
      </c>
      <c r="F1568" s="181" t="s">
        <v>14</v>
      </c>
      <c r="G1568" s="181" t="s">
        <v>647</v>
      </c>
      <c r="H1568" s="8">
        <v>6550966.9199999999</v>
      </c>
      <c r="I1568" s="8">
        <v>59195.840000000004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6610162.7599999998</v>
      </c>
    </row>
    <row r="1569" spans="1:15">
      <c r="A1569" s="191">
        <v>44593</v>
      </c>
      <c r="B1569" s="181" t="s">
        <v>132</v>
      </c>
      <c r="C1569" s="181" t="s">
        <v>713</v>
      </c>
      <c r="D1569" s="181" t="str">
        <f t="shared" si="28"/>
        <v>35600</v>
      </c>
      <c r="E1569" s="181" t="s">
        <v>15</v>
      </c>
      <c r="F1569" s="181" t="s">
        <v>14</v>
      </c>
      <c r="G1569" s="181" t="s">
        <v>793</v>
      </c>
      <c r="H1569" s="8">
        <v>428947.59</v>
      </c>
      <c r="I1569" s="8">
        <v>33240.74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462188.33</v>
      </c>
    </row>
    <row r="1570" spans="1:15">
      <c r="A1570" s="191">
        <v>44621</v>
      </c>
      <c r="B1570" s="181" t="s">
        <v>131</v>
      </c>
      <c r="C1570" s="181" t="s">
        <v>713</v>
      </c>
      <c r="D1570" s="181" t="str">
        <f t="shared" si="28"/>
        <v>35600</v>
      </c>
      <c r="E1570" s="181" t="s">
        <v>15</v>
      </c>
      <c r="F1570" s="181" t="s">
        <v>14</v>
      </c>
      <c r="G1570" s="181" t="s">
        <v>647</v>
      </c>
      <c r="H1570" s="8">
        <v>6610162.7599999998</v>
      </c>
      <c r="I1570" s="8">
        <v>59197.14</v>
      </c>
      <c r="J1570" s="8">
        <v>0</v>
      </c>
      <c r="K1570" s="8">
        <v>0</v>
      </c>
      <c r="L1570" s="8">
        <v>0</v>
      </c>
      <c r="M1570" s="8">
        <v>-87</v>
      </c>
      <c r="N1570" s="8">
        <v>0</v>
      </c>
      <c r="O1570" s="8">
        <v>6669272.9000000004</v>
      </c>
    </row>
    <row r="1571" spans="1:15">
      <c r="A1571" s="191">
        <v>44621</v>
      </c>
      <c r="B1571" s="181" t="s">
        <v>131</v>
      </c>
      <c r="C1571" s="181" t="s">
        <v>713</v>
      </c>
      <c r="D1571" s="181" t="str">
        <f t="shared" si="28"/>
        <v>35600</v>
      </c>
      <c r="E1571" s="181" t="s">
        <v>15</v>
      </c>
      <c r="F1571" s="181" t="s">
        <v>14</v>
      </c>
      <c r="G1571" s="181" t="s">
        <v>793</v>
      </c>
      <c r="H1571" s="8">
        <v>462188.33</v>
      </c>
      <c r="I1571" s="8">
        <v>33241.47</v>
      </c>
      <c r="J1571" s="8">
        <v>0</v>
      </c>
      <c r="K1571" s="8">
        <v>0</v>
      </c>
      <c r="L1571" s="8">
        <v>0</v>
      </c>
      <c r="M1571" s="8">
        <v>-6.08</v>
      </c>
      <c r="N1571" s="8">
        <v>0</v>
      </c>
      <c r="O1571" s="8">
        <v>495423.72000000003</v>
      </c>
    </row>
    <row r="1572" spans="1:15">
      <c r="A1572" s="191">
        <v>44652</v>
      </c>
      <c r="B1572" s="181" t="s">
        <v>130</v>
      </c>
      <c r="C1572" s="181" t="s">
        <v>713</v>
      </c>
      <c r="D1572" s="181" t="str">
        <f t="shared" si="28"/>
        <v>35600</v>
      </c>
      <c r="E1572" s="181" t="s">
        <v>15</v>
      </c>
      <c r="F1572" s="181" t="s">
        <v>14</v>
      </c>
      <c r="G1572" s="181" t="s">
        <v>647</v>
      </c>
      <c r="H1572" s="8">
        <v>6669272.9000000004</v>
      </c>
      <c r="I1572" s="8">
        <v>61623.51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6730896.4100000001</v>
      </c>
    </row>
    <row r="1573" spans="1:15">
      <c r="A1573" s="191">
        <v>44652</v>
      </c>
      <c r="B1573" s="181" t="s">
        <v>130</v>
      </c>
      <c r="C1573" s="181" t="s">
        <v>713</v>
      </c>
      <c r="D1573" s="181" t="str">
        <f t="shared" si="28"/>
        <v>35600</v>
      </c>
      <c r="E1573" s="181" t="s">
        <v>15</v>
      </c>
      <c r="F1573" s="181" t="s">
        <v>14</v>
      </c>
      <c r="G1573" s="181" t="s">
        <v>793</v>
      </c>
      <c r="H1573" s="8">
        <v>495423.72000000003</v>
      </c>
      <c r="I1573" s="8">
        <v>34603.97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530027.69000000006</v>
      </c>
    </row>
    <row r="1574" spans="1:15">
      <c r="A1574" s="191">
        <v>44682</v>
      </c>
      <c r="B1574" s="181" t="s">
        <v>129</v>
      </c>
      <c r="C1574" s="181" t="s">
        <v>713</v>
      </c>
      <c r="D1574" s="181" t="str">
        <f t="shared" si="28"/>
        <v>35600</v>
      </c>
      <c r="E1574" s="181" t="s">
        <v>15</v>
      </c>
      <c r="F1574" s="181" t="s">
        <v>14</v>
      </c>
      <c r="G1574" s="181" t="s">
        <v>647</v>
      </c>
      <c r="H1574" s="8">
        <v>6730896.4100000001</v>
      </c>
      <c r="I1574" s="8">
        <v>64073.57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6794969.9800000004</v>
      </c>
    </row>
    <row r="1575" spans="1:15">
      <c r="A1575" s="191">
        <v>44682</v>
      </c>
      <c r="B1575" s="181" t="s">
        <v>129</v>
      </c>
      <c r="C1575" s="181" t="s">
        <v>713</v>
      </c>
      <c r="D1575" s="181" t="str">
        <f t="shared" si="28"/>
        <v>35600</v>
      </c>
      <c r="E1575" s="181" t="s">
        <v>15</v>
      </c>
      <c r="F1575" s="181" t="s">
        <v>14</v>
      </c>
      <c r="G1575" s="181" t="s">
        <v>793</v>
      </c>
      <c r="H1575" s="8">
        <v>530027.69000000006</v>
      </c>
      <c r="I1575" s="8">
        <v>35979.78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566007.47</v>
      </c>
    </row>
    <row r="1576" spans="1:15">
      <c r="A1576" s="191">
        <v>44713</v>
      </c>
      <c r="B1576" s="181" t="s">
        <v>128</v>
      </c>
      <c r="C1576" s="181" t="s">
        <v>713</v>
      </c>
      <c r="D1576" s="181" t="str">
        <f t="shared" si="28"/>
        <v>35600</v>
      </c>
      <c r="E1576" s="181" t="s">
        <v>15</v>
      </c>
      <c r="F1576" s="181" t="s">
        <v>14</v>
      </c>
      <c r="G1576" s="181" t="s">
        <v>647</v>
      </c>
      <c r="H1576" s="8">
        <v>6794969.9800000004</v>
      </c>
      <c r="I1576" s="8">
        <v>64339.380000000005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6859309.3600000003</v>
      </c>
    </row>
    <row r="1577" spans="1:15">
      <c r="A1577" s="191">
        <v>44713</v>
      </c>
      <c r="B1577" s="181" t="s">
        <v>128</v>
      </c>
      <c r="C1577" s="181" t="s">
        <v>713</v>
      </c>
      <c r="D1577" s="181" t="str">
        <f t="shared" si="28"/>
        <v>35600</v>
      </c>
      <c r="E1577" s="181" t="s">
        <v>15</v>
      </c>
      <c r="F1577" s="181" t="s">
        <v>14</v>
      </c>
      <c r="G1577" s="181" t="s">
        <v>793</v>
      </c>
      <c r="H1577" s="8">
        <v>566007.47</v>
      </c>
      <c r="I1577" s="8">
        <v>36129.040000000001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602136.51</v>
      </c>
    </row>
    <row r="1578" spans="1:15">
      <c r="A1578" s="191">
        <v>44743</v>
      </c>
      <c r="B1578" s="181" t="s">
        <v>127</v>
      </c>
      <c r="C1578" s="181" t="s">
        <v>713</v>
      </c>
      <c r="D1578" s="181" t="str">
        <f t="shared" si="28"/>
        <v>35600</v>
      </c>
      <c r="E1578" s="181" t="s">
        <v>15</v>
      </c>
      <c r="F1578" s="181" t="s">
        <v>14</v>
      </c>
      <c r="G1578" s="181" t="s">
        <v>647</v>
      </c>
      <c r="H1578" s="8">
        <v>6859309.3600000003</v>
      </c>
      <c r="I1578" s="8">
        <v>64601.05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6923910.4100000001</v>
      </c>
    </row>
    <row r="1579" spans="1:15">
      <c r="A1579" s="191">
        <v>44743</v>
      </c>
      <c r="B1579" s="181" t="s">
        <v>127</v>
      </c>
      <c r="C1579" s="181" t="s">
        <v>713</v>
      </c>
      <c r="D1579" s="181" t="str">
        <f t="shared" si="28"/>
        <v>35600</v>
      </c>
      <c r="E1579" s="181" t="s">
        <v>15</v>
      </c>
      <c r="F1579" s="181" t="s">
        <v>14</v>
      </c>
      <c r="G1579" s="181" t="s">
        <v>793</v>
      </c>
      <c r="H1579" s="8">
        <v>602136.51</v>
      </c>
      <c r="I1579" s="8">
        <v>36275.980000000003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638412.49</v>
      </c>
    </row>
    <row r="1580" spans="1:15">
      <c r="A1580" s="191">
        <v>44774</v>
      </c>
      <c r="B1580" s="181" t="s">
        <v>126</v>
      </c>
      <c r="C1580" s="181" t="s">
        <v>713</v>
      </c>
      <c r="D1580" s="181" t="str">
        <f t="shared" si="28"/>
        <v>35600</v>
      </c>
      <c r="E1580" s="181" t="s">
        <v>15</v>
      </c>
      <c r="F1580" s="181" t="s">
        <v>14</v>
      </c>
      <c r="G1580" s="181" t="s">
        <v>647</v>
      </c>
      <c r="H1580" s="8">
        <v>6923910.4100000001</v>
      </c>
      <c r="I1580" s="8">
        <v>64659.590000000004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6988570</v>
      </c>
    </row>
    <row r="1581" spans="1:15">
      <c r="A1581" s="191">
        <v>44774</v>
      </c>
      <c r="B1581" s="181" t="s">
        <v>126</v>
      </c>
      <c r="C1581" s="181" t="s">
        <v>713</v>
      </c>
      <c r="D1581" s="181" t="str">
        <f t="shared" si="28"/>
        <v>35600</v>
      </c>
      <c r="E1581" s="181" t="s">
        <v>15</v>
      </c>
      <c r="F1581" s="181" t="s">
        <v>14</v>
      </c>
      <c r="G1581" s="181" t="s">
        <v>793</v>
      </c>
      <c r="H1581" s="8">
        <v>638412.49</v>
      </c>
      <c r="I1581" s="8">
        <v>36308.85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674721.34</v>
      </c>
    </row>
    <row r="1582" spans="1:15">
      <c r="A1582" s="191">
        <v>44805</v>
      </c>
      <c r="B1582" s="181" t="s">
        <v>125</v>
      </c>
      <c r="C1582" s="181" t="s">
        <v>713</v>
      </c>
      <c r="D1582" s="181" t="str">
        <f t="shared" si="28"/>
        <v>35600</v>
      </c>
      <c r="E1582" s="181" t="s">
        <v>15</v>
      </c>
      <c r="F1582" s="181" t="s">
        <v>14</v>
      </c>
      <c r="G1582" s="181" t="s">
        <v>647</v>
      </c>
      <c r="H1582" s="8">
        <v>6988570</v>
      </c>
      <c r="I1582" s="8">
        <v>64690.61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7053260.6100000003</v>
      </c>
    </row>
    <row r="1583" spans="1:15">
      <c r="A1583" s="191">
        <v>44805</v>
      </c>
      <c r="B1583" s="181" t="s">
        <v>125</v>
      </c>
      <c r="C1583" s="181" t="s">
        <v>713</v>
      </c>
      <c r="D1583" s="181" t="str">
        <f t="shared" si="28"/>
        <v>35600</v>
      </c>
      <c r="E1583" s="181" t="s">
        <v>15</v>
      </c>
      <c r="F1583" s="181" t="s">
        <v>14</v>
      </c>
      <c r="G1583" s="181" t="s">
        <v>793</v>
      </c>
      <c r="H1583" s="8">
        <v>674721.34</v>
      </c>
      <c r="I1583" s="8">
        <v>36326.26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711047.6</v>
      </c>
    </row>
    <row r="1584" spans="1:15">
      <c r="A1584" s="191">
        <v>44835</v>
      </c>
      <c r="B1584" s="181" t="s">
        <v>124</v>
      </c>
      <c r="C1584" s="181" t="s">
        <v>713</v>
      </c>
      <c r="D1584" s="181" t="str">
        <f t="shared" si="28"/>
        <v>35600</v>
      </c>
      <c r="E1584" s="181" t="s">
        <v>15</v>
      </c>
      <c r="F1584" s="181" t="s">
        <v>14</v>
      </c>
      <c r="G1584" s="181" t="s">
        <v>647</v>
      </c>
      <c r="H1584" s="8">
        <v>7053260.6100000003</v>
      </c>
      <c r="I1584" s="8">
        <v>64684.37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7117944.9800000004</v>
      </c>
    </row>
    <row r="1585" spans="1:15">
      <c r="A1585" s="191">
        <v>44835</v>
      </c>
      <c r="B1585" s="181" t="s">
        <v>124</v>
      </c>
      <c r="C1585" s="181" t="s">
        <v>713</v>
      </c>
      <c r="D1585" s="181" t="str">
        <f t="shared" si="28"/>
        <v>35600</v>
      </c>
      <c r="E1585" s="181" t="s">
        <v>15</v>
      </c>
      <c r="F1585" s="181" t="s">
        <v>14</v>
      </c>
      <c r="G1585" s="181" t="s">
        <v>793</v>
      </c>
      <c r="H1585" s="8">
        <v>711047.6</v>
      </c>
      <c r="I1585" s="8">
        <v>36322.76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747370.36</v>
      </c>
    </row>
    <row r="1586" spans="1:15">
      <c r="A1586" s="191">
        <v>44866</v>
      </c>
      <c r="B1586" s="181" t="s">
        <v>123</v>
      </c>
      <c r="C1586" s="181" t="s">
        <v>713</v>
      </c>
      <c r="D1586" s="181" t="str">
        <f t="shared" si="28"/>
        <v>35600</v>
      </c>
      <c r="E1586" s="181" t="s">
        <v>15</v>
      </c>
      <c r="F1586" s="181" t="s">
        <v>14</v>
      </c>
      <c r="G1586" s="181" t="s">
        <v>647</v>
      </c>
      <c r="H1586" s="8">
        <v>7117944.9800000004</v>
      </c>
      <c r="I1586" s="8">
        <v>64580.08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7182525.0599999996</v>
      </c>
    </row>
    <row r="1587" spans="1:15">
      <c r="A1587" s="191">
        <v>44866</v>
      </c>
      <c r="B1587" s="181" t="s">
        <v>123</v>
      </c>
      <c r="C1587" s="181" t="s">
        <v>713</v>
      </c>
      <c r="D1587" s="181" t="str">
        <f t="shared" si="28"/>
        <v>35600</v>
      </c>
      <c r="E1587" s="181" t="s">
        <v>15</v>
      </c>
      <c r="F1587" s="181" t="s">
        <v>14</v>
      </c>
      <c r="G1587" s="181" t="s">
        <v>793</v>
      </c>
      <c r="H1587" s="8">
        <v>747370.36</v>
      </c>
      <c r="I1587" s="8">
        <v>36264.200000000004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783634.56</v>
      </c>
    </row>
    <row r="1588" spans="1:15">
      <c r="A1588" s="191">
        <v>44896</v>
      </c>
      <c r="B1588" s="181" t="s">
        <v>122</v>
      </c>
      <c r="C1588" s="181" t="s">
        <v>713</v>
      </c>
      <c r="D1588" s="181" t="str">
        <f t="shared" si="28"/>
        <v>35600</v>
      </c>
      <c r="E1588" s="181" t="s">
        <v>15</v>
      </c>
      <c r="F1588" s="181" t="s">
        <v>14</v>
      </c>
      <c r="G1588" s="181" t="s">
        <v>647</v>
      </c>
      <c r="H1588" s="8">
        <v>7182525.0599999996</v>
      </c>
      <c r="I1588" s="8">
        <v>63899.53</v>
      </c>
      <c r="J1588" s="8">
        <v>-146667.30000000002</v>
      </c>
      <c r="K1588" s="8">
        <v>0</v>
      </c>
      <c r="L1588" s="8">
        <v>0</v>
      </c>
      <c r="M1588" s="8">
        <v>0</v>
      </c>
      <c r="N1588" s="8">
        <v>0</v>
      </c>
      <c r="O1588" s="8">
        <v>7099757.29</v>
      </c>
    </row>
    <row r="1589" spans="1:15">
      <c r="A1589" s="191">
        <v>44896</v>
      </c>
      <c r="B1589" s="181" t="s">
        <v>122</v>
      </c>
      <c r="C1589" s="181" t="s">
        <v>713</v>
      </c>
      <c r="D1589" s="181" t="str">
        <f t="shared" si="28"/>
        <v>35600</v>
      </c>
      <c r="E1589" s="181" t="s">
        <v>15</v>
      </c>
      <c r="F1589" s="181" t="s">
        <v>14</v>
      </c>
      <c r="G1589" s="181" t="s">
        <v>793</v>
      </c>
      <c r="H1589" s="8">
        <v>783634.56</v>
      </c>
      <c r="I1589" s="8">
        <v>36191.660000000003</v>
      </c>
      <c r="J1589" s="8">
        <v>0</v>
      </c>
      <c r="K1589" s="8">
        <v>-33508.480000000003</v>
      </c>
      <c r="L1589" s="8">
        <v>0</v>
      </c>
      <c r="M1589" s="8">
        <v>0</v>
      </c>
      <c r="N1589" s="8">
        <v>0</v>
      </c>
      <c r="O1589" s="8">
        <v>786317.74</v>
      </c>
    </row>
    <row r="1590" spans="1:15">
      <c r="A1590" s="191">
        <v>44531</v>
      </c>
      <c r="B1590" s="181" t="s">
        <v>13</v>
      </c>
      <c r="C1590" s="181" t="s">
        <v>714</v>
      </c>
      <c r="D1590" s="181" t="str">
        <f t="shared" si="28"/>
        <v>35700</v>
      </c>
      <c r="E1590" s="181" t="s">
        <v>15</v>
      </c>
      <c r="F1590" s="181" t="s">
        <v>14</v>
      </c>
      <c r="G1590" s="181" t="s">
        <v>647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</row>
    <row r="1591" spans="1:15">
      <c r="A1591" s="191">
        <v>44531</v>
      </c>
      <c r="B1591" s="181" t="s">
        <v>13</v>
      </c>
      <c r="C1591" s="181" t="s">
        <v>715</v>
      </c>
      <c r="D1591" s="181" t="str">
        <f t="shared" si="28"/>
        <v>35700</v>
      </c>
      <c r="E1591" s="181" t="s">
        <v>15</v>
      </c>
      <c r="F1591" s="181" t="s">
        <v>14</v>
      </c>
      <c r="G1591" s="181" t="s">
        <v>647</v>
      </c>
      <c r="H1591" s="8">
        <v>1174.44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1174.44</v>
      </c>
    </row>
    <row r="1592" spans="1:15">
      <c r="A1592" s="191">
        <v>44562</v>
      </c>
      <c r="B1592" s="181" t="s">
        <v>133</v>
      </c>
      <c r="C1592" s="181" t="s">
        <v>714</v>
      </c>
      <c r="D1592" s="181" t="str">
        <f t="shared" si="28"/>
        <v>35700</v>
      </c>
      <c r="E1592" s="181" t="s">
        <v>15</v>
      </c>
      <c r="F1592" s="181" t="s">
        <v>14</v>
      </c>
      <c r="G1592" s="181" t="s">
        <v>647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</row>
    <row r="1593" spans="1:15">
      <c r="A1593" s="191">
        <v>44562</v>
      </c>
      <c r="B1593" s="181" t="s">
        <v>133</v>
      </c>
      <c r="C1593" s="181" t="s">
        <v>715</v>
      </c>
      <c r="D1593" s="181" t="str">
        <f t="shared" si="28"/>
        <v>35700</v>
      </c>
      <c r="E1593" s="181" t="s">
        <v>15</v>
      </c>
      <c r="F1593" s="181" t="s">
        <v>14</v>
      </c>
      <c r="G1593" s="181" t="s">
        <v>647</v>
      </c>
      <c r="H1593" s="8">
        <v>1174.44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1174.44</v>
      </c>
    </row>
    <row r="1594" spans="1:15">
      <c r="A1594" s="191">
        <v>44593</v>
      </c>
      <c r="B1594" s="181" t="s">
        <v>132</v>
      </c>
      <c r="C1594" s="181" t="s">
        <v>714</v>
      </c>
      <c r="D1594" s="181" t="str">
        <f t="shared" si="28"/>
        <v>35700</v>
      </c>
      <c r="E1594" s="181" t="s">
        <v>15</v>
      </c>
      <c r="F1594" s="181" t="s">
        <v>14</v>
      </c>
      <c r="G1594" s="181" t="s">
        <v>647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</row>
    <row r="1595" spans="1:15">
      <c r="A1595" s="191">
        <v>44593</v>
      </c>
      <c r="B1595" s="181" t="s">
        <v>132</v>
      </c>
      <c r="C1595" s="181" t="s">
        <v>715</v>
      </c>
      <c r="D1595" s="181" t="str">
        <f t="shared" si="28"/>
        <v>35700</v>
      </c>
      <c r="E1595" s="181" t="s">
        <v>15</v>
      </c>
      <c r="F1595" s="181" t="s">
        <v>14</v>
      </c>
      <c r="G1595" s="181" t="s">
        <v>647</v>
      </c>
      <c r="H1595" s="8">
        <v>1174.44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1174.44</v>
      </c>
    </row>
    <row r="1596" spans="1:15">
      <c r="A1596" s="191">
        <v>44621</v>
      </c>
      <c r="B1596" s="181" t="s">
        <v>131</v>
      </c>
      <c r="C1596" s="181" t="s">
        <v>714</v>
      </c>
      <c r="D1596" s="181" t="str">
        <f t="shared" si="28"/>
        <v>35700</v>
      </c>
      <c r="E1596" s="181" t="s">
        <v>15</v>
      </c>
      <c r="F1596" s="181" t="s">
        <v>14</v>
      </c>
      <c r="G1596" s="181" t="s">
        <v>647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</row>
    <row r="1597" spans="1:15">
      <c r="A1597" s="191">
        <v>44621</v>
      </c>
      <c r="B1597" s="181" t="s">
        <v>131</v>
      </c>
      <c r="C1597" s="181" t="s">
        <v>715</v>
      </c>
      <c r="D1597" s="181" t="str">
        <f t="shared" si="28"/>
        <v>35700</v>
      </c>
      <c r="E1597" s="181" t="s">
        <v>15</v>
      </c>
      <c r="F1597" s="181" t="s">
        <v>14</v>
      </c>
      <c r="G1597" s="181" t="s">
        <v>647</v>
      </c>
      <c r="H1597" s="8">
        <v>1174.44</v>
      </c>
      <c r="I1597" s="8">
        <v>4.22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1178.6600000000001</v>
      </c>
    </row>
    <row r="1598" spans="1:15">
      <c r="A1598" s="191">
        <v>44652</v>
      </c>
      <c r="B1598" s="181" t="s">
        <v>130</v>
      </c>
      <c r="C1598" s="181" t="s">
        <v>714</v>
      </c>
      <c r="D1598" s="181" t="str">
        <f t="shared" si="28"/>
        <v>35700</v>
      </c>
      <c r="E1598" s="181" t="s">
        <v>15</v>
      </c>
      <c r="F1598" s="181" t="s">
        <v>14</v>
      </c>
      <c r="G1598" s="181" t="s">
        <v>647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</row>
    <row r="1599" spans="1:15">
      <c r="A1599" s="191">
        <v>44652</v>
      </c>
      <c r="B1599" s="181" t="s">
        <v>130</v>
      </c>
      <c r="C1599" s="181" t="s">
        <v>715</v>
      </c>
      <c r="D1599" s="181" t="str">
        <f t="shared" si="28"/>
        <v>35700</v>
      </c>
      <c r="E1599" s="181" t="s">
        <v>15</v>
      </c>
      <c r="F1599" s="181" t="s">
        <v>14</v>
      </c>
      <c r="G1599" s="181" t="s">
        <v>647</v>
      </c>
      <c r="H1599" s="8">
        <v>1178.6600000000001</v>
      </c>
      <c r="I1599" s="8">
        <v>8.44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1187.1000000000001</v>
      </c>
    </row>
    <row r="1600" spans="1:15">
      <c r="A1600" s="191">
        <v>44682</v>
      </c>
      <c r="B1600" s="181" t="s">
        <v>129</v>
      </c>
      <c r="C1600" s="181" t="s">
        <v>714</v>
      </c>
      <c r="D1600" s="181" t="str">
        <f t="shared" si="28"/>
        <v>35700</v>
      </c>
      <c r="E1600" s="181" t="s">
        <v>15</v>
      </c>
      <c r="F1600" s="181" t="s">
        <v>14</v>
      </c>
      <c r="G1600" s="181" t="s">
        <v>647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</row>
    <row r="1601" spans="1:15">
      <c r="A1601" s="191">
        <v>44682</v>
      </c>
      <c r="B1601" s="181" t="s">
        <v>129</v>
      </c>
      <c r="C1601" s="181" t="s">
        <v>715</v>
      </c>
      <c r="D1601" s="181" t="str">
        <f t="shared" si="28"/>
        <v>35700</v>
      </c>
      <c r="E1601" s="181" t="s">
        <v>15</v>
      </c>
      <c r="F1601" s="181" t="s">
        <v>14</v>
      </c>
      <c r="G1601" s="181" t="s">
        <v>647</v>
      </c>
      <c r="H1601" s="8">
        <v>1187.1000000000001</v>
      </c>
      <c r="I1601" s="8">
        <v>8.44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1195.54</v>
      </c>
    </row>
    <row r="1602" spans="1:15">
      <c r="A1602" s="191">
        <v>44713</v>
      </c>
      <c r="B1602" s="181" t="s">
        <v>128</v>
      </c>
      <c r="C1602" s="181" t="s">
        <v>714</v>
      </c>
      <c r="D1602" s="181" t="str">
        <f t="shared" si="28"/>
        <v>35700</v>
      </c>
      <c r="E1602" s="181" t="s">
        <v>15</v>
      </c>
      <c r="F1602" s="181" t="s">
        <v>14</v>
      </c>
      <c r="G1602" s="181" t="s">
        <v>647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</row>
    <row r="1603" spans="1:15">
      <c r="A1603" s="191">
        <v>44713</v>
      </c>
      <c r="B1603" s="181" t="s">
        <v>128</v>
      </c>
      <c r="C1603" s="181" t="s">
        <v>715</v>
      </c>
      <c r="D1603" s="181" t="str">
        <f t="shared" si="28"/>
        <v>35700</v>
      </c>
      <c r="E1603" s="181" t="s">
        <v>15</v>
      </c>
      <c r="F1603" s="181" t="s">
        <v>14</v>
      </c>
      <c r="G1603" s="181" t="s">
        <v>647</v>
      </c>
      <c r="H1603" s="8">
        <v>1195.54</v>
      </c>
      <c r="I1603" s="8">
        <v>8.44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1203.98</v>
      </c>
    </row>
    <row r="1604" spans="1:15">
      <c r="A1604" s="191">
        <v>44743</v>
      </c>
      <c r="B1604" s="181" t="s">
        <v>127</v>
      </c>
      <c r="C1604" s="181" t="s">
        <v>714</v>
      </c>
      <c r="D1604" s="181" t="str">
        <f t="shared" si="28"/>
        <v>35700</v>
      </c>
      <c r="E1604" s="181" t="s">
        <v>15</v>
      </c>
      <c r="F1604" s="181" t="s">
        <v>14</v>
      </c>
      <c r="G1604" s="181" t="s">
        <v>647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</row>
    <row r="1605" spans="1:15">
      <c r="A1605" s="191">
        <v>44743</v>
      </c>
      <c r="B1605" s="181" t="s">
        <v>127</v>
      </c>
      <c r="C1605" s="181" t="s">
        <v>715</v>
      </c>
      <c r="D1605" s="181" t="str">
        <f t="shared" si="28"/>
        <v>35700</v>
      </c>
      <c r="E1605" s="181" t="s">
        <v>15</v>
      </c>
      <c r="F1605" s="181" t="s">
        <v>14</v>
      </c>
      <c r="G1605" s="181" t="s">
        <v>647</v>
      </c>
      <c r="H1605" s="8">
        <v>1203.98</v>
      </c>
      <c r="I1605" s="8">
        <v>8.44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1212.42</v>
      </c>
    </row>
    <row r="1606" spans="1:15">
      <c r="A1606" s="191">
        <v>44774</v>
      </c>
      <c r="B1606" s="181" t="s">
        <v>126</v>
      </c>
      <c r="C1606" s="181" t="s">
        <v>714</v>
      </c>
      <c r="D1606" s="181" t="str">
        <f t="shared" si="28"/>
        <v>35700</v>
      </c>
      <c r="E1606" s="181" t="s">
        <v>15</v>
      </c>
      <c r="F1606" s="181" t="s">
        <v>14</v>
      </c>
      <c r="G1606" s="181" t="s">
        <v>647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</row>
    <row r="1607" spans="1:15">
      <c r="A1607" s="191">
        <v>44774</v>
      </c>
      <c r="B1607" s="181" t="s">
        <v>126</v>
      </c>
      <c r="C1607" s="181" t="s">
        <v>715</v>
      </c>
      <c r="D1607" s="181" t="str">
        <f t="shared" si="28"/>
        <v>35700</v>
      </c>
      <c r="E1607" s="181" t="s">
        <v>15</v>
      </c>
      <c r="F1607" s="181" t="s">
        <v>14</v>
      </c>
      <c r="G1607" s="181" t="s">
        <v>647</v>
      </c>
      <c r="H1607" s="8">
        <v>1212.42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1212.42</v>
      </c>
    </row>
    <row r="1608" spans="1:15">
      <c r="A1608" s="191">
        <v>44805</v>
      </c>
      <c r="B1608" s="181" t="s">
        <v>125</v>
      </c>
      <c r="C1608" s="181" t="s">
        <v>714</v>
      </c>
      <c r="D1608" s="181" t="str">
        <f t="shared" ref="D1608:D1671" si="29">MID(C1608,10,5)</f>
        <v>35700</v>
      </c>
      <c r="E1608" s="181" t="s">
        <v>15</v>
      </c>
      <c r="F1608" s="181" t="s">
        <v>14</v>
      </c>
      <c r="G1608" s="181" t="s">
        <v>647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0</v>
      </c>
    </row>
    <row r="1609" spans="1:15">
      <c r="A1609" s="191">
        <v>44805</v>
      </c>
      <c r="B1609" s="181" t="s">
        <v>125</v>
      </c>
      <c r="C1609" s="181" t="s">
        <v>715</v>
      </c>
      <c r="D1609" s="181" t="str">
        <f t="shared" si="29"/>
        <v>35700</v>
      </c>
      <c r="E1609" s="181" t="s">
        <v>15</v>
      </c>
      <c r="F1609" s="181" t="s">
        <v>14</v>
      </c>
      <c r="G1609" s="181" t="s">
        <v>647</v>
      </c>
      <c r="H1609" s="8">
        <v>1212.42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1212.42</v>
      </c>
    </row>
    <row r="1610" spans="1:15">
      <c r="A1610" s="191">
        <v>44835</v>
      </c>
      <c r="B1610" s="181" t="s">
        <v>124</v>
      </c>
      <c r="C1610" s="181" t="s">
        <v>714</v>
      </c>
      <c r="D1610" s="181" t="str">
        <f t="shared" si="29"/>
        <v>35700</v>
      </c>
      <c r="E1610" s="181" t="s">
        <v>15</v>
      </c>
      <c r="F1610" s="181" t="s">
        <v>14</v>
      </c>
      <c r="G1610" s="181" t="s">
        <v>647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0</v>
      </c>
    </row>
    <row r="1611" spans="1:15">
      <c r="A1611" s="191">
        <v>44835</v>
      </c>
      <c r="B1611" s="181" t="s">
        <v>124</v>
      </c>
      <c r="C1611" s="181" t="s">
        <v>715</v>
      </c>
      <c r="D1611" s="181" t="str">
        <f t="shared" si="29"/>
        <v>35700</v>
      </c>
      <c r="E1611" s="181" t="s">
        <v>15</v>
      </c>
      <c r="F1611" s="181" t="s">
        <v>14</v>
      </c>
      <c r="G1611" s="181" t="s">
        <v>647</v>
      </c>
      <c r="H1611" s="8">
        <v>1212.42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1212.42</v>
      </c>
    </row>
    <row r="1612" spans="1:15">
      <c r="A1612" s="191">
        <v>44866</v>
      </c>
      <c r="B1612" s="181" t="s">
        <v>123</v>
      </c>
      <c r="C1612" s="181" t="s">
        <v>714</v>
      </c>
      <c r="D1612" s="181" t="str">
        <f t="shared" si="29"/>
        <v>35700</v>
      </c>
      <c r="E1612" s="181" t="s">
        <v>15</v>
      </c>
      <c r="F1612" s="181" t="s">
        <v>14</v>
      </c>
      <c r="G1612" s="181" t="s">
        <v>647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0</v>
      </c>
    </row>
    <row r="1613" spans="1:15">
      <c r="A1613" s="191">
        <v>44866</v>
      </c>
      <c r="B1613" s="181" t="s">
        <v>123</v>
      </c>
      <c r="C1613" s="181" t="s">
        <v>715</v>
      </c>
      <c r="D1613" s="181" t="str">
        <f t="shared" si="29"/>
        <v>35700</v>
      </c>
      <c r="E1613" s="181" t="s">
        <v>15</v>
      </c>
      <c r="F1613" s="181" t="s">
        <v>14</v>
      </c>
      <c r="G1613" s="181" t="s">
        <v>647</v>
      </c>
      <c r="H1613" s="8">
        <v>1212.42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1212.42</v>
      </c>
    </row>
    <row r="1614" spans="1:15">
      <c r="A1614" s="191">
        <v>44896</v>
      </c>
      <c r="B1614" s="181" t="s">
        <v>122</v>
      </c>
      <c r="C1614" s="181" t="s">
        <v>714</v>
      </c>
      <c r="D1614" s="181" t="str">
        <f t="shared" si="29"/>
        <v>35700</v>
      </c>
      <c r="E1614" s="181" t="s">
        <v>15</v>
      </c>
      <c r="F1614" s="181" t="s">
        <v>14</v>
      </c>
      <c r="G1614" s="181" t="s">
        <v>647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0</v>
      </c>
    </row>
    <row r="1615" spans="1:15">
      <c r="A1615" s="191">
        <v>44896</v>
      </c>
      <c r="B1615" s="181" t="s">
        <v>122</v>
      </c>
      <c r="C1615" s="181" t="s">
        <v>715</v>
      </c>
      <c r="D1615" s="181" t="str">
        <f t="shared" si="29"/>
        <v>35700</v>
      </c>
      <c r="E1615" s="181" t="s">
        <v>15</v>
      </c>
      <c r="F1615" s="181" t="s">
        <v>14</v>
      </c>
      <c r="G1615" s="181" t="s">
        <v>647</v>
      </c>
      <c r="H1615" s="8">
        <v>1212.42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1212.42</v>
      </c>
    </row>
    <row r="1616" spans="1:15">
      <c r="A1616" s="191">
        <v>44531</v>
      </c>
      <c r="B1616" s="181" t="s">
        <v>13</v>
      </c>
      <c r="C1616" s="181" t="s">
        <v>716</v>
      </c>
      <c r="D1616" s="181" t="str">
        <f t="shared" si="29"/>
        <v>35800</v>
      </c>
      <c r="E1616" s="181" t="s">
        <v>15</v>
      </c>
      <c r="F1616" s="181" t="s">
        <v>14</v>
      </c>
      <c r="G1616" s="181" t="s">
        <v>647</v>
      </c>
      <c r="H1616" s="8">
        <v>260.28000000000003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260.28000000000003</v>
      </c>
    </row>
    <row r="1617" spans="1:15">
      <c r="A1617" s="191">
        <v>44562</v>
      </c>
      <c r="B1617" s="181" t="s">
        <v>133</v>
      </c>
      <c r="C1617" s="181" t="s">
        <v>716</v>
      </c>
      <c r="D1617" s="181" t="str">
        <f t="shared" si="29"/>
        <v>35800</v>
      </c>
      <c r="E1617" s="181" t="s">
        <v>15</v>
      </c>
      <c r="F1617" s="181" t="s">
        <v>14</v>
      </c>
      <c r="G1617" s="181" t="s">
        <v>647</v>
      </c>
      <c r="H1617" s="8">
        <v>260.28000000000003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260.28000000000003</v>
      </c>
    </row>
    <row r="1618" spans="1:15">
      <c r="A1618" s="191">
        <v>44593</v>
      </c>
      <c r="B1618" s="181" t="s">
        <v>132</v>
      </c>
      <c r="C1618" s="181" t="s">
        <v>716</v>
      </c>
      <c r="D1618" s="181" t="str">
        <f t="shared" si="29"/>
        <v>35800</v>
      </c>
      <c r="E1618" s="181" t="s">
        <v>15</v>
      </c>
      <c r="F1618" s="181" t="s">
        <v>14</v>
      </c>
      <c r="G1618" s="181" t="s">
        <v>647</v>
      </c>
      <c r="H1618" s="8">
        <v>260.28000000000003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260.28000000000003</v>
      </c>
    </row>
    <row r="1619" spans="1:15">
      <c r="A1619" s="191">
        <v>44621</v>
      </c>
      <c r="B1619" s="181" t="s">
        <v>131</v>
      </c>
      <c r="C1619" s="181" t="s">
        <v>716</v>
      </c>
      <c r="D1619" s="181" t="str">
        <f t="shared" si="29"/>
        <v>35800</v>
      </c>
      <c r="E1619" s="181" t="s">
        <v>15</v>
      </c>
      <c r="F1619" s="181" t="s">
        <v>14</v>
      </c>
      <c r="G1619" s="181" t="s">
        <v>647</v>
      </c>
      <c r="H1619" s="8">
        <v>260.28000000000003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260.28000000000003</v>
      </c>
    </row>
    <row r="1620" spans="1:15">
      <c r="A1620" s="191">
        <v>44652</v>
      </c>
      <c r="B1620" s="181" t="s">
        <v>130</v>
      </c>
      <c r="C1620" s="181" t="s">
        <v>716</v>
      </c>
      <c r="D1620" s="181" t="str">
        <f t="shared" si="29"/>
        <v>35800</v>
      </c>
      <c r="E1620" s="181" t="s">
        <v>15</v>
      </c>
      <c r="F1620" s="181" t="s">
        <v>14</v>
      </c>
      <c r="G1620" s="181" t="s">
        <v>647</v>
      </c>
      <c r="H1620" s="8">
        <v>260.28000000000003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260.28000000000003</v>
      </c>
    </row>
    <row r="1621" spans="1:15">
      <c r="A1621" s="191">
        <v>44682</v>
      </c>
      <c r="B1621" s="181" t="s">
        <v>129</v>
      </c>
      <c r="C1621" s="181" t="s">
        <v>716</v>
      </c>
      <c r="D1621" s="181" t="str">
        <f t="shared" si="29"/>
        <v>35800</v>
      </c>
      <c r="E1621" s="181" t="s">
        <v>15</v>
      </c>
      <c r="F1621" s="181" t="s">
        <v>14</v>
      </c>
      <c r="G1621" s="181" t="s">
        <v>647</v>
      </c>
      <c r="H1621" s="8">
        <v>260.28000000000003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260.28000000000003</v>
      </c>
    </row>
    <row r="1622" spans="1:15">
      <c r="A1622" s="191">
        <v>44713</v>
      </c>
      <c r="B1622" s="181" t="s">
        <v>128</v>
      </c>
      <c r="C1622" s="181" t="s">
        <v>716</v>
      </c>
      <c r="D1622" s="181" t="str">
        <f t="shared" si="29"/>
        <v>35800</v>
      </c>
      <c r="E1622" s="181" t="s">
        <v>15</v>
      </c>
      <c r="F1622" s="181" t="s">
        <v>14</v>
      </c>
      <c r="G1622" s="181" t="s">
        <v>647</v>
      </c>
      <c r="H1622" s="8">
        <v>260.28000000000003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260.28000000000003</v>
      </c>
    </row>
    <row r="1623" spans="1:15">
      <c r="A1623" s="191">
        <v>44743</v>
      </c>
      <c r="B1623" s="181" t="s">
        <v>127</v>
      </c>
      <c r="C1623" s="181" t="s">
        <v>716</v>
      </c>
      <c r="D1623" s="181" t="str">
        <f t="shared" si="29"/>
        <v>35800</v>
      </c>
      <c r="E1623" s="181" t="s">
        <v>15</v>
      </c>
      <c r="F1623" s="181" t="s">
        <v>14</v>
      </c>
      <c r="G1623" s="181" t="s">
        <v>647</v>
      </c>
      <c r="H1623" s="8">
        <v>260.28000000000003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260.28000000000003</v>
      </c>
    </row>
    <row r="1624" spans="1:15">
      <c r="A1624" s="191">
        <v>44774</v>
      </c>
      <c r="B1624" s="181" t="s">
        <v>126</v>
      </c>
      <c r="C1624" s="181" t="s">
        <v>716</v>
      </c>
      <c r="D1624" s="181" t="str">
        <f t="shared" si="29"/>
        <v>35800</v>
      </c>
      <c r="E1624" s="181" t="s">
        <v>15</v>
      </c>
      <c r="F1624" s="181" t="s">
        <v>14</v>
      </c>
      <c r="G1624" s="181" t="s">
        <v>647</v>
      </c>
      <c r="H1624" s="8">
        <v>260.28000000000003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260.28000000000003</v>
      </c>
    </row>
    <row r="1625" spans="1:15">
      <c r="A1625" s="191">
        <v>44805</v>
      </c>
      <c r="B1625" s="181" t="s">
        <v>125</v>
      </c>
      <c r="C1625" s="181" t="s">
        <v>716</v>
      </c>
      <c r="D1625" s="181" t="str">
        <f t="shared" si="29"/>
        <v>35800</v>
      </c>
      <c r="E1625" s="181" t="s">
        <v>15</v>
      </c>
      <c r="F1625" s="181" t="s">
        <v>14</v>
      </c>
      <c r="G1625" s="181" t="s">
        <v>647</v>
      </c>
      <c r="H1625" s="8">
        <v>260.28000000000003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260.28000000000003</v>
      </c>
    </row>
    <row r="1626" spans="1:15">
      <c r="A1626" s="191">
        <v>44835</v>
      </c>
      <c r="B1626" s="181" t="s">
        <v>124</v>
      </c>
      <c r="C1626" s="181" t="s">
        <v>716</v>
      </c>
      <c r="D1626" s="181" t="str">
        <f t="shared" si="29"/>
        <v>35800</v>
      </c>
      <c r="E1626" s="181" t="s">
        <v>15</v>
      </c>
      <c r="F1626" s="181" t="s">
        <v>14</v>
      </c>
      <c r="G1626" s="181" t="s">
        <v>647</v>
      </c>
      <c r="H1626" s="8">
        <v>260.28000000000003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260.28000000000003</v>
      </c>
    </row>
    <row r="1627" spans="1:15">
      <c r="A1627" s="191">
        <v>44866</v>
      </c>
      <c r="B1627" s="181" t="s">
        <v>123</v>
      </c>
      <c r="C1627" s="181" t="s">
        <v>716</v>
      </c>
      <c r="D1627" s="181" t="str">
        <f t="shared" si="29"/>
        <v>35800</v>
      </c>
      <c r="E1627" s="181" t="s">
        <v>15</v>
      </c>
      <c r="F1627" s="181" t="s">
        <v>14</v>
      </c>
      <c r="G1627" s="181" t="s">
        <v>647</v>
      </c>
      <c r="H1627" s="8">
        <v>260.28000000000003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260.28000000000003</v>
      </c>
    </row>
    <row r="1628" spans="1:15">
      <c r="A1628" s="191">
        <v>44896</v>
      </c>
      <c r="B1628" s="181" t="s">
        <v>122</v>
      </c>
      <c r="C1628" s="181" t="s">
        <v>716</v>
      </c>
      <c r="D1628" s="181" t="str">
        <f t="shared" si="29"/>
        <v>35800</v>
      </c>
      <c r="E1628" s="181" t="s">
        <v>15</v>
      </c>
      <c r="F1628" s="181" t="s">
        <v>14</v>
      </c>
      <c r="G1628" s="181" t="s">
        <v>647</v>
      </c>
      <c r="H1628" s="8">
        <v>260.28000000000003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260.28000000000003</v>
      </c>
    </row>
    <row r="1629" spans="1:15">
      <c r="A1629" s="191">
        <v>44531</v>
      </c>
      <c r="B1629" s="181" t="s">
        <v>13</v>
      </c>
      <c r="C1629" s="181" t="s">
        <v>810</v>
      </c>
      <c r="D1629" s="181" t="str">
        <f t="shared" si="29"/>
        <v>36001</v>
      </c>
      <c r="E1629" s="181" t="s">
        <v>15</v>
      </c>
      <c r="F1629" s="181" t="s">
        <v>14</v>
      </c>
      <c r="G1629" s="181" t="s">
        <v>801</v>
      </c>
      <c r="H1629" s="8">
        <v>-385.8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-385.8</v>
      </c>
    </row>
    <row r="1630" spans="1:15">
      <c r="A1630" s="191">
        <v>44562</v>
      </c>
      <c r="B1630" s="181" t="s">
        <v>133</v>
      </c>
      <c r="C1630" s="181" t="s">
        <v>810</v>
      </c>
      <c r="D1630" s="181" t="str">
        <f t="shared" si="29"/>
        <v>36001</v>
      </c>
      <c r="E1630" s="181" t="s">
        <v>15</v>
      </c>
      <c r="F1630" s="181" t="s">
        <v>14</v>
      </c>
      <c r="G1630" s="181" t="s">
        <v>801</v>
      </c>
      <c r="H1630" s="8">
        <v>-385.8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-385.8</v>
      </c>
    </row>
    <row r="1631" spans="1:15">
      <c r="A1631" s="191">
        <v>44593</v>
      </c>
      <c r="B1631" s="181" t="s">
        <v>132</v>
      </c>
      <c r="C1631" s="181" t="s">
        <v>810</v>
      </c>
      <c r="D1631" s="181" t="str">
        <f t="shared" si="29"/>
        <v>36001</v>
      </c>
      <c r="E1631" s="181" t="s">
        <v>15</v>
      </c>
      <c r="F1631" s="181" t="s">
        <v>14</v>
      </c>
      <c r="G1631" s="181" t="s">
        <v>801</v>
      </c>
      <c r="H1631" s="8">
        <v>-385.8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-385.8</v>
      </c>
    </row>
    <row r="1632" spans="1:15">
      <c r="A1632" s="191">
        <v>44621</v>
      </c>
      <c r="B1632" s="181" t="s">
        <v>131</v>
      </c>
      <c r="C1632" s="181" t="s">
        <v>810</v>
      </c>
      <c r="D1632" s="181" t="str">
        <f t="shared" si="29"/>
        <v>36001</v>
      </c>
      <c r="E1632" s="181" t="s">
        <v>15</v>
      </c>
      <c r="F1632" s="181" t="s">
        <v>14</v>
      </c>
      <c r="G1632" s="181" t="s">
        <v>801</v>
      </c>
      <c r="H1632" s="8">
        <v>-385.8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-385.8</v>
      </c>
    </row>
    <row r="1633" spans="1:15">
      <c r="A1633" s="191">
        <v>44652</v>
      </c>
      <c r="B1633" s="181" t="s">
        <v>130</v>
      </c>
      <c r="C1633" s="181" t="s">
        <v>810</v>
      </c>
      <c r="D1633" s="181" t="str">
        <f t="shared" si="29"/>
        <v>36001</v>
      </c>
      <c r="E1633" s="181" t="s">
        <v>15</v>
      </c>
      <c r="F1633" s="181" t="s">
        <v>14</v>
      </c>
      <c r="G1633" s="181" t="s">
        <v>801</v>
      </c>
      <c r="H1633" s="8">
        <v>-385.8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-385.8</v>
      </c>
    </row>
    <row r="1634" spans="1:15">
      <c r="A1634" s="191">
        <v>44682</v>
      </c>
      <c r="B1634" s="181" t="s">
        <v>129</v>
      </c>
      <c r="C1634" s="181" t="s">
        <v>810</v>
      </c>
      <c r="D1634" s="181" t="str">
        <f t="shared" si="29"/>
        <v>36001</v>
      </c>
      <c r="E1634" s="181" t="s">
        <v>15</v>
      </c>
      <c r="F1634" s="181" t="s">
        <v>14</v>
      </c>
      <c r="G1634" s="181" t="s">
        <v>801</v>
      </c>
      <c r="H1634" s="8">
        <v>-385.8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-385.8</v>
      </c>
    </row>
    <row r="1635" spans="1:15">
      <c r="A1635" s="191">
        <v>44713</v>
      </c>
      <c r="B1635" s="181" t="s">
        <v>128</v>
      </c>
      <c r="C1635" s="181" t="s">
        <v>810</v>
      </c>
      <c r="D1635" s="181" t="str">
        <f t="shared" si="29"/>
        <v>36001</v>
      </c>
      <c r="E1635" s="181" t="s">
        <v>15</v>
      </c>
      <c r="F1635" s="181" t="s">
        <v>14</v>
      </c>
      <c r="G1635" s="181" t="s">
        <v>801</v>
      </c>
      <c r="H1635" s="8">
        <v>-385.8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-385.8</v>
      </c>
    </row>
    <row r="1636" spans="1:15">
      <c r="A1636" s="191">
        <v>44743</v>
      </c>
      <c r="B1636" s="181" t="s">
        <v>127</v>
      </c>
      <c r="C1636" s="181" t="s">
        <v>810</v>
      </c>
      <c r="D1636" s="181" t="str">
        <f t="shared" si="29"/>
        <v>36001</v>
      </c>
      <c r="E1636" s="181" t="s">
        <v>15</v>
      </c>
      <c r="F1636" s="181" t="s">
        <v>14</v>
      </c>
      <c r="G1636" s="181" t="s">
        <v>801</v>
      </c>
      <c r="H1636" s="8">
        <v>-385.8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-385.8</v>
      </c>
    </row>
    <row r="1637" spans="1:15">
      <c r="A1637" s="191">
        <v>44774</v>
      </c>
      <c r="B1637" s="181" t="s">
        <v>126</v>
      </c>
      <c r="C1637" s="181" t="s">
        <v>810</v>
      </c>
      <c r="D1637" s="181" t="str">
        <f t="shared" si="29"/>
        <v>36001</v>
      </c>
      <c r="E1637" s="181" t="s">
        <v>15</v>
      </c>
      <c r="F1637" s="181" t="s">
        <v>14</v>
      </c>
      <c r="G1637" s="181" t="s">
        <v>801</v>
      </c>
      <c r="H1637" s="8">
        <v>-385.8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-385.8</v>
      </c>
    </row>
    <row r="1638" spans="1:15">
      <c r="A1638" s="191">
        <v>44805</v>
      </c>
      <c r="B1638" s="181" t="s">
        <v>125</v>
      </c>
      <c r="C1638" s="181" t="s">
        <v>810</v>
      </c>
      <c r="D1638" s="181" t="str">
        <f t="shared" si="29"/>
        <v>36001</v>
      </c>
      <c r="E1638" s="181" t="s">
        <v>15</v>
      </c>
      <c r="F1638" s="181" t="s">
        <v>14</v>
      </c>
      <c r="G1638" s="181" t="s">
        <v>801</v>
      </c>
      <c r="H1638" s="8">
        <v>-385.8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-385.8</v>
      </c>
    </row>
    <row r="1639" spans="1:15">
      <c r="A1639" s="191">
        <v>44835</v>
      </c>
      <c r="B1639" s="181" t="s">
        <v>124</v>
      </c>
      <c r="C1639" s="181" t="s">
        <v>810</v>
      </c>
      <c r="D1639" s="181" t="str">
        <f t="shared" si="29"/>
        <v>36001</v>
      </c>
      <c r="E1639" s="181" t="s">
        <v>15</v>
      </c>
      <c r="F1639" s="181" t="s">
        <v>14</v>
      </c>
      <c r="G1639" s="181" t="s">
        <v>801</v>
      </c>
      <c r="H1639" s="8">
        <v>-385.8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-385.8</v>
      </c>
    </row>
    <row r="1640" spans="1:15">
      <c r="A1640" s="191">
        <v>44866</v>
      </c>
      <c r="B1640" s="181" t="s">
        <v>123</v>
      </c>
      <c r="C1640" s="181" t="s">
        <v>810</v>
      </c>
      <c r="D1640" s="181" t="str">
        <f t="shared" si="29"/>
        <v>36001</v>
      </c>
      <c r="E1640" s="181" t="s">
        <v>15</v>
      </c>
      <c r="F1640" s="181" t="s">
        <v>14</v>
      </c>
      <c r="G1640" s="181" t="s">
        <v>801</v>
      </c>
      <c r="H1640" s="8">
        <v>-385.8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-385.8</v>
      </c>
    </row>
    <row r="1641" spans="1:15">
      <c r="A1641" s="191">
        <v>44896</v>
      </c>
      <c r="B1641" s="181" t="s">
        <v>122</v>
      </c>
      <c r="C1641" s="181" t="s">
        <v>810</v>
      </c>
      <c r="D1641" s="181" t="str">
        <f t="shared" si="29"/>
        <v>36001</v>
      </c>
      <c r="E1641" s="181" t="s">
        <v>15</v>
      </c>
      <c r="F1641" s="181" t="s">
        <v>14</v>
      </c>
      <c r="G1641" s="181" t="s">
        <v>801</v>
      </c>
      <c r="H1641" s="8">
        <v>-385.8</v>
      </c>
      <c r="I1641" s="8">
        <v>0</v>
      </c>
      <c r="J1641" s="8">
        <v>0</v>
      </c>
      <c r="K1641" s="8">
        <v>0</v>
      </c>
      <c r="L1641" s="8">
        <v>0</v>
      </c>
      <c r="M1641" s="8">
        <v>-3.15</v>
      </c>
      <c r="N1641" s="8">
        <v>0</v>
      </c>
      <c r="O1641" s="8">
        <v>-388.95</v>
      </c>
    </row>
    <row r="1642" spans="1:15">
      <c r="A1642" s="191">
        <v>44531</v>
      </c>
      <c r="B1642" s="181" t="s">
        <v>13</v>
      </c>
      <c r="C1642" s="181" t="s">
        <v>811</v>
      </c>
      <c r="D1642" s="181" t="str">
        <f t="shared" si="29"/>
        <v>36002</v>
      </c>
      <c r="E1642" s="181" t="s">
        <v>15</v>
      </c>
      <c r="F1642" s="181" t="s">
        <v>14</v>
      </c>
      <c r="G1642" s="181" t="s">
        <v>801</v>
      </c>
      <c r="H1642" s="8">
        <v>-4.18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-4.18</v>
      </c>
    </row>
    <row r="1643" spans="1:15">
      <c r="A1643" s="191">
        <v>44562</v>
      </c>
      <c r="B1643" s="181" t="s">
        <v>133</v>
      </c>
      <c r="C1643" s="181" t="s">
        <v>811</v>
      </c>
      <c r="D1643" s="181" t="str">
        <f t="shared" si="29"/>
        <v>36002</v>
      </c>
      <c r="E1643" s="181" t="s">
        <v>15</v>
      </c>
      <c r="F1643" s="181" t="s">
        <v>14</v>
      </c>
      <c r="G1643" s="181" t="s">
        <v>801</v>
      </c>
      <c r="H1643" s="8">
        <v>-4.18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-4.18</v>
      </c>
    </row>
    <row r="1644" spans="1:15">
      <c r="A1644" s="191">
        <v>44593</v>
      </c>
      <c r="B1644" s="181" t="s">
        <v>132</v>
      </c>
      <c r="C1644" s="181" t="s">
        <v>811</v>
      </c>
      <c r="D1644" s="181" t="str">
        <f t="shared" si="29"/>
        <v>36002</v>
      </c>
      <c r="E1644" s="181" t="s">
        <v>15</v>
      </c>
      <c r="F1644" s="181" t="s">
        <v>14</v>
      </c>
      <c r="G1644" s="181" t="s">
        <v>801</v>
      </c>
      <c r="H1644" s="8">
        <v>-4.18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-4.18</v>
      </c>
    </row>
    <row r="1645" spans="1:15">
      <c r="A1645" s="191">
        <v>44621</v>
      </c>
      <c r="B1645" s="181" t="s">
        <v>131</v>
      </c>
      <c r="C1645" s="181" t="s">
        <v>811</v>
      </c>
      <c r="D1645" s="181" t="str">
        <f t="shared" si="29"/>
        <v>36002</v>
      </c>
      <c r="E1645" s="181" t="s">
        <v>15</v>
      </c>
      <c r="F1645" s="181" t="s">
        <v>14</v>
      </c>
      <c r="G1645" s="181" t="s">
        <v>801</v>
      </c>
      <c r="H1645" s="8">
        <v>-4.18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-4.18</v>
      </c>
    </row>
    <row r="1646" spans="1:15">
      <c r="A1646" s="191">
        <v>44652</v>
      </c>
      <c r="B1646" s="181" t="s">
        <v>130</v>
      </c>
      <c r="C1646" s="181" t="s">
        <v>811</v>
      </c>
      <c r="D1646" s="181" t="str">
        <f t="shared" si="29"/>
        <v>36002</v>
      </c>
      <c r="E1646" s="181" t="s">
        <v>15</v>
      </c>
      <c r="F1646" s="181" t="s">
        <v>14</v>
      </c>
      <c r="G1646" s="181" t="s">
        <v>801</v>
      </c>
      <c r="H1646" s="8">
        <v>-4.18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-4.18</v>
      </c>
    </row>
    <row r="1647" spans="1:15">
      <c r="A1647" s="191">
        <v>44682</v>
      </c>
      <c r="B1647" s="181" t="s">
        <v>129</v>
      </c>
      <c r="C1647" s="181" t="s">
        <v>811</v>
      </c>
      <c r="D1647" s="181" t="str">
        <f t="shared" si="29"/>
        <v>36002</v>
      </c>
      <c r="E1647" s="181" t="s">
        <v>15</v>
      </c>
      <c r="F1647" s="181" t="s">
        <v>14</v>
      </c>
      <c r="G1647" s="181" t="s">
        <v>801</v>
      </c>
      <c r="H1647" s="8">
        <v>-4.18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-4.18</v>
      </c>
    </row>
    <row r="1648" spans="1:15">
      <c r="A1648" s="191">
        <v>44713</v>
      </c>
      <c r="B1648" s="181" t="s">
        <v>128</v>
      </c>
      <c r="C1648" s="181" t="s">
        <v>811</v>
      </c>
      <c r="D1648" s="181" t="str">
        <f t="shared" si="29"/>
        <v>36002</v>
      </c>
      <c r="E1648" s="181" t="s">
        <v>15</v>
      </c>
      <c r="F1648" s="181" t="s">
        <v>14</v>
      </c>
      <c r="G1648" s="181" t="s">
        <v>801</v>
      </c>
      <c r="H1648" s="8">
        <v>-4.18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-4.18</v>
      </c>
    </row>
    <row r="1649" spans="1:15">
      <c r="A1649" s="191">
        <v>44743</v>
      </c>
      <c r="B1649" s="181" t="s">
        <v>127</v>
      </c>
      <c r="C1649" s="181" t="s">
        <v>811</v>
      </c>
      <c r="D1649" s="181" t="str">
        <f t="shared" si="29"/>
        <v>36002</v>
      </c>
      <c r="E1649" s="181" t="s">
        <v>15</v>
      </c>
      <c r="F1649" s="181" t="s">
        <v>14</v>
      </c>
      <c r="G1649" s="181" t="s">
        <v>801</v>
      </c>
      <c r="H1649" s="8">
        <v>-4.18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-4.18</v>
      </c>
    </row>
    <row r="1650" spans="1:15">
      <c r="A1650" s="191">
        <v>44774</v>
      </c>
      <c r="B1650" s="181" t="s">
        <v>126</v>
      </c>
      <c r="C1650" s="181" t="s">
        <v>811</v>
      </c>
      <c r="D1650" s="181" t="str">
        <f t="shared" si="29"/>
        <v>36002</v>
      </c>
      <c r="E1650" s="181" t="s">
        <v>15</v>
      </c>
      <c r="F1650" s="181" t="s">
        <v>14</v>
      </c>
      <c r="G1650" s="181" t="s">
        <v>801</v>
      </c>
      <c r="H1650" s="8">
        <v>-4.18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-4.18</v>
      </c>
    </row>
    <row r="1651" spans="1:15">
      <c r="A1651" s="191">
        <v>44805</v>
      </c>
      <c r="B1651" s="181" t="s">
        <v>125</v>
      </c>
      <c r="C1651" s="181" t="s">
        <v>811</v>
      </c>
      <c r="D1651" s="181" t="str">
        <f t="shared" si="29"/>
        <v>36002</v>
      </c>
      <c r="E1651" s="181" t="s">
        <v>15</v>
      </c>
      <c r="F1651" s="181" t="s">
        <v>14</v>
      </c>
      <c r="G1651" s="181" t="s">
        <v>801</v>
      </c>
      <c r="H1651" s="8">
        <v>-4.18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-4.18</v>
      </c>
    </row>
    <row r="1652" spans="1:15">
      <c r="A1652" s="191">
        <v>44835</v>
      </c>
      <c r="B1652" s="181" t="s">
        <v>124</v>
      </c>
      <c r="C1652" s="181" t="s">
        <v>811</v>
      </c>
      <c r="D1652" s="181" t="str">
        <f t="shared" si="29"/>
        <v>36002</v>
      </c>
      <c r="E1652" s="181" t="s">
        <v>15</v>
      </c>
      <c r="F1652" s="181" t="s">
        <v>14</v>
      </c>
      <c r="G1652" s="181" t="s">
        <v>801</v>
      </c>
      <c r="H1652" s="8">
        <v>-4.18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-4.18</v>
      </c>
    </row>
    <row r="1653" spans="1:15">
      <c r="A1653" s="191">
        <v>44866</v>
      </c>
      <c r="B1653" s="181" t="s">
        <v>123</v>
      </c>
      <c r="C1653" s="181" t="s">
        <v>811</v>
      </c>
      <c r="D1653" s="181" t="str">
        <f t="shared" si="29"/>
        <v>36002</v>
      </c>
      <c r="E1653" s="181" t="s">
        <v>15</v>
      </c>
      <c r="F1653" s="181" t="s">
        <v>14</v>
      </c>
      <c r="G1653" s="181" t="s">
        <v>801</v>
      </c>
      <c r="H1653" s="8">
        <v>-4.18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-4.18</v>
      </c>
    </row>
    <row r="1654" spans="1:15">
      <c r="A1654" s="191">
        <v>44896</v>
      </c>
      <c r="B1654" s="181" t="s">
        <v>122</v>
      </c>
      <c r="C1654" s="181" t="s">
        <v>811</v>
      </c>
      <c r="D1654" s="181" t="str">
        <f t="shared" si="29"/>
        <v>36002</v>
      </c>
      <c r="E1654" s="181" t="s">
        <v>15</v>
      </c>
      <c r="F1654" s="181" t="s">
        <v>14</v>
      </c>
      <c r="G1654" s="181" t="s">
        <v>801</v>
      </c>
      <c r="H1654" s="8">
        <v>-4.18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-4.18</v>
      </c>
    </row>
    <row r="1655" spans="1:15">
      <c r="A1655" s="191">
        <v>44531</v>
      </c>
      <c r="B1655" s="181" t="s">
        <v>13</v>
      </c>
      <c r="C1655" s="181" t="s">
        <v>717</v>
      </c>
      <c r="D1655" s="181" t="str">
        <f t="shared" si="29"/>
        <v>36100</v>
      </c>
      <c r="E1655" s="181" t="s">
        <v>15</v>
      </c>
      <c r="F1655" s="181" t="s">
        <v>14</v>
      </c>
      <c r="G1655" s="181" t="s">
        <v>647</v>
      </c>
      <c r="H1655" s="8">
        <v>238921.71</v>
      </c>
      <c r="I1655" s="8">
        <v>1615.63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240537.34</v>
      </c>
    </row>
    <row r="1656" spans="1:15">
      <c r="A1656" s="191">
        <v>44531</v>
      </c>
      <c r="B1656" s="181" t="s">
        <v>13</v>
      </c>
      <c r="C1656" s="181" t="s">
        <v>717</v>
      </c>
      <c r="D1656" s="181" t="str">
        <f t="shared" si="29"/>
        <v>36100</v>
      </c>
      <c r="E1656" s="181" t="s">
        <v>15</v>
      </c>
      <c r="F1656" s="181" t="s">
        <v>14</v>
      </c>
      <c r="G1656" s="181" t="s">
        <v>793</v>
      </c>
      <c r="H1656" s="8">
        <v>-2462.42</v>
      </c>
      <c r="I1656" s="8">
        <v>74.8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-2387.62</v>
      </c>
    </row>
    <row r="1657" spans="1:15">
      <c r="A1657" s="191">
        <v>44562</v>
      </c>
      <c r="B1657" s="181" t="s">
        <v>133</v>
      </c>
      <c r="C1657" s="181" t="s">
        <v>717</v>
      </c>
      <c r="D1657" s="181" t="str">
        <f t="shared" si="29"/>
        <v>36100</v>
      </c>
      <c r="E1657" s="181" t="s">
        <v>15</v>
      </c>
      <c r="F1657" s="181" t="s">
        <v>14</v>
      </c>
      <c r="G1657" s="181" t="s">
        <v>647</v>
      </c>
      <c r="H1657" s="8">
        <v>240537.34</v>
      </c>
      <c r="I1657" s="8">
        <v>1622.66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242160</v>
      </c>
    </row>
    <row r="1658" spans="1:15">
      <c r="A1658" s="191">
        <v>44562</v>
      </c>
      <c r="B1658" s="181" t="s">
        <v>133</v>
      </c>
      <c r="C1658" s="181" t="s">
        <v>717</v>
      </c>
      <c r="D1658" s="181" t="str">
        <f t="shared" si="29"/>
        <v>36100</v>
      </c>
      <c r="E1658" s="181" t="s">
        <v>15</v>
      </c>
      <c r="F1658" s="181" t="s">
        <v>14</v>
      </c>
      <c r="G1658" s="181" t="s">
        <v>793</v>
      </c>
      <c r="H1658" s="8">
        <v>-2387.62</v>
      </c>
      <c r="I1658" s="8">
        <v>75.12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-2312.5</v>
      </c>
    </row>
    <row r="1659" spans="1:15">
      <c r="A1659" s="191">
        <v>44593</v>
      </c>
      <c r="B1659" s="181" t="s">
        <v>132</v>
      </c>
      <c r="C1659" s="181" t="s">
        <v>717</v>
      </c>
      <c r="D1659" s="181" t="str">
        <f t="shared" si="29"/>
        <v>36100</v>
      </c>
      <c r="E1659" s="181" t="s">
        <v>15</v>
      </c>
      <c r="F1659" s="181" t="s">
        <v>14</v>
      </c>
      <c r="G1659" s="181" t="s">
        <v>647</v>
      </c>
      <c r="H1659" s="8">
        <v>242160</v>
      </c>
      <c r="I1659" s="8">
        <v>1631.1000000000001</v>
      </c>
      <c r="J1659" s="8">
        <v>-3322.1800000000003</v>
      </c>
      <c r="K1659" s="8">
        <v>0</v>
      </c>
      <c r="L1659" s="8">
        <v>0</v>
      </c>
      <c r="M1659" s="8">
        <v>0</v>
      </c>
      <c r="N1659" s="8">
        <v>0</v>
      </c>
      <c r="O1659" s="8">
        <v>240468.92</v>
      </c>
    </row>
    <row r="1660" spans="1:15">
      <c r="A1660" s="191">
        <v>44593</v>
      </c>
      <c r="B1660" s="181" t="s">
        <v>132</v>
      </c>
      <c r="C1660" s="181" t="s">
        <v>717</v>
      </c>
      <c r="D1660" s="181" t="str">
        <f t="shared" si="29"/>
        <v>36100</v>
      </c>
      <c r="E1660" s="181" t="s">
        <v>15</v>
      </c>
      <c r="F1660" s="181" t="s">
        <v>14</v>
      </c>
      <c r="G1660" s="181" t="s">
        <v>793</v>
      </c>
      <c r="H1660" s="8">
        <v>-2312.5</v>
      </c>
      <c r="I1660" s="8">
        <v>75.510000000000005</v>
      </c>
      <c r="J1660" s="8">
        <v>0</v>
      </c>
      <c r="K1660" s="8">
        <v>-1779.8400000000001</v>
      </c>
      <c r="L1660" s="8">
        <v>0</v>
      </c>
      <c r="M1660" s="8">
        <v>0</v>
      </c>
      <c r="N1660" s="8">
        <v>0</v>
      </c>
      <c r="O1660" s="8">
        <v>-4016.83</v>
      </c>
    </row>
    <row r="1661" spans="1:15">
      <c r="A1661" s="191">
        <v>44621</v>
      </c>
      <c r="B1661" s="181" t="s">
        <v>131</v>
      </c>
      <c r="C1661" s="181" t="s">
        <v>717</v>
      </c>
      <c r="D1661" s="181" t="str">
        <f t="shared" si="29"/>
        <v>36100</v>
      </c>
      <c r="E1661" s="181" t="s">
        <v>15</v>
      </c>
      <c r="F1661" s="181" t="s">
        <v>14</v>
      </c>
      <c r="G1661" s="181" t="s">
        <v>647</v>
      </c>
      <c r="H1661" s="8">
        <v>240468.92</v>
      </c>
      <c r="I1661" s="8">
        <v>1632.51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242101.43</v>
      </c>
    </row>
    <row r="1662" spans="1:15">
      <c r="A1662" s="191">
        <v>44621</v>
      </c>
      <c r="B1662" s="181" t="s">
        <v>131</v>
      </c>
      <c r="C1662" s="181" t="s">
        <v>717</v>
      </c>
      <c r="D1662" s="181" t="str">
        <f t="shared" si="29"/>
        <v>36100</v>
      </c>
      <c r="E1662" s="181" t="s">
        <v>15</v>
      </c>
      <c r="F1662" s="181" t="s">
        <v>14</v>
      </c>
      <c r="G1662" s="181" t="s">
        <v>793</v>
      </c>
      <c r="H1662" s="8">
        <v>-4016.83</v>
      </c>
      <c r="I1662" s="8">
        <v>75.58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-3941.25</v>
      </c>
    </row>
    <row r="1663" spans="1:15">
      <c r="A1663" s="191">
        <v>44652</v>
      </c>
      <c r="B1663" s="181" t="s">
        <v>130</v>
      </c>
      <c r="C1663" s="181" t="s">
        <v>717</v>
      </c>
      <c r="D1663" s="181" t="str">
        <f t="shared" si="29"/>
        <v>36100</v>
      </c>
      <c r="E1663" s="181" t="s">
        <v>15</v>
      </c>
      <c r="F1663" s="181" t="s">
        <v>14</v>
      </c>
      <c r="G1663" s="181" t="s">
        <v>647</v>
      </c>
      <c r="H1663" s="8">
        <v>242101.43</v>
      </c>
      <c r="I1663" s="8">
        <v>1632.51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243733.94</v>
      </c>
    </row>
    <row r="1664" spans="1:15">
      <c r="A1664" s="191">
        <v>44652</v>
      </c>
      <c r="B1664" s="181" t="s">
        <v>130</v>
      </c>
      <c r="C1664" s="181" t="s">
        <v>717</v>
      </c>
      <c r="D1664" s="181" t="str">
        <f t="shared" si="29"/>
        <v>36100</v>
      </c>
      <c r="E1664" s="181" t="s">
        <v>15</v>
      </c>
      <c r="F1664" s="181" t="s">
        <v>14</v>
      </c>
      <c r="G1664" s="181" t="s">
        <v>793</v>
      </c>
      <c r="H1664" s="8">
        <v>-3941.25</v>
      </c>
      <c r="I1664" s="8">
        <v>75.58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-3865.67</v>
      </c>
    </row>
    <row r="1665" spans="1:15">
      <c r="A1665" s="191">
        <v>44682</v>
      </c>
      <c r="B1665" s="181" t="s">
        <v>129</v>
      </c>
      <c r="C1665" s="181" t="s">
        <v>717</v>
      </c>
      <c r="D1665" s="181" t="str">
        <f t="shared" si="29"/>
        <v>36100</v>
      </c>
      <c r="E1665" s="181" t="s">
        <v>15</v>
      </c>
      <c r="F1665" s="181" t="s">
        <v>14</v>
      </c>
      <c r="G1665" s="181" t="s">
        <v>647</v>
      </c>
      <c r="H1665" s="8">
        <v>243733.94</v>
      </c>
      <c r="I1665" s="8">
        <v>1632.51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245366.45</v>
      </c>
    </row>
    <row r="1666" spans="1:15">
      <c r="A1666" s="191">
        <v>44682</v>
      </c>
      <c r="B1666" s="181" t="s">
        <v>129</v>
      </c>
      <c r="C1666" s="181" t="s">
        <v>717</v>
      </c>
      <c r="D1666" s="181" t="str">
        <f t="shared" si="29"/>
        <v>36100</v>
      </c>
      <c r="E1666" s="181" t="s">
        <v>15</v>
      </c>
      <c r="F1666" s="181" t="s">
        <v>14</v>
      </c>
      <c r="G1666" s="181" t="s">
        <v>793</v>
      </c>
      <c r="H1666" s="8">
        <v>-3865.67</v>
      </c>
      <c r="I1666" s="8">
        <v>75.58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-3790.09</v>
      </c>
    </row>
    <row r="1667" spans="1:15">
      <c r="A1667" s="191">
        <v>44713</v>
      </c>
      <c r="B1667" s="181" t="s">
        <v>128</v>
      </c>
      <c r="C1667" s="181" t="s">
        <v>717</v>
      </c>
      <c r="D1667" s="181" t="str">
        <f t="shared" si="29"/>
        <v>36100</v>
      </c>
      <c r="E1667" s="181" t="s">
        <v>15</v>
      </c>
      <c r="F1667" s="181" t="s">
        <v>14</v>
      </c>
      <c r="G1667" s="181" t="s">
        <v>647</v>
      </c>
      <c r="H1667" s="8">
        <v>245366.45</v>
      </c>
      <c r="I1667" s="8">
        <v>1632.51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246998.96</v>
      </c>
    </row>
    <row r="1668" spans="1:15">
      <c r="A1668" s="191">
        <v>44713</v>
      </c>
      <c r="B1668" s="181" t="s">
        <v>128</v>
      </c>
      <c r="C1668" s="181" t="s">
        <v>717</v>
      </c>
      <c r="D1668" s="181" t="str">
        <f t="shared" si="29"/>
        <v>36100</v>
      </c>
      <c r="E1668" s="181" t="s">
        <v>15</v>
      </c>
      <c r="F1668" s="181" t="s">
        <v>14</v>
      </c>
      <c r="G1668" s="181" t="s">
        <v>793</v>
      </c>
      <c r="H1668" s="8">
        <v>-3790.09</v>
      </c>
      <c r="I1668" s="8">
        <v>75.58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-3714.51</v>
      </c>
    </row>
    <row r="1669" spans="1:15">
      <c r="A1669" s="191">
        <v>44743</v>
      </c>
      <c r="B1669" s="181" t="s">
        <v>127</v>
      </c>
      <c r="C1669" s="181" t="s">
        <v>717</v>
      </c>
      <c r="D1669" s="181" t="str">
        <f t="shared" si="29"/>
        <v>36100</v>
      </c>
      <c r="E1669" s="181" t="s">
        <v>15</v>
      </c>
      <c r="F1669" s="181" t="s">
        <v>14</v>
      </c>
      <c r="G1669" s="181" t="s">
        <v>647</v>
      </c>
      <c r="H1669" s="8">
        <v>246998.96</v>
      </c>
      <c r="I1669" s="8">
        <v>1632.51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248631.47</v>
      </c>
    </row>
    <row r="1670" spans="1:15">
      <c r="A1670" s="191">
        <v>44743</v>
      </c>
      <c r="B1670" s="181" t="s">
        <v>127</v>
      </c>
      <c r="C1670" s="181" t="s">
        <v>717</v>
      </c>
      <c r="D1670" s="181" t="str">
        <f t="shared" si="29"/>
        <v>36100</v>
      </c>
      <c r="E1670" s="181" t="s">
        <v>15</v>
      </c>
      <c r="F1670" s="181" t="s">
        <v>14</v>
      </c>
      <c r="G1670" s="181" t="s">
        <v>793</v>
      </c>
      <c r="H1670" s="8">
        <v>-3714.51</v>
      </c>
      <c r="I1670" s="8">
        <v>75.58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-3638.9300000000003</v>
      </c>
    </row>
    <row r="1671" spans="1:15">
      <c r="A1671" s="191">
        <v>44774</v>
      </c>
      <c r="B1671" s="181" t="s">
        <v>126</v>
      </c>
      <c r="C1671" s="181" t="s">
        <v>717</v>
      </c>
      <c r="D1671" s="181" t="str">
        <f t="shared" si="29"/>
        <v>36100</v>
      </c>
      <c r="E1671" s="181" t="s">
        <v>15</v>
      </c>
      <c r="F1671" s="181" t="s">
        <v>14</v>
      </c>
      <c r="G1671" s="181" t="s">
        <v>647</v>
      </c>
      <c r="H1671" s="8">
        <v>248631.47</v>
      </c>
      <c r="I1671" s="8">
        <v>1632.51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250263.98</v>
      </c>
    </row>
    <row r="1672" spans="1:15">
      <c r="A1672" s="191">
        <v>44774</v>
      </c>
      <c r="B1672" s="181" t="s">
        <v>126</v>
      </c>
      <c r="C1672" s="181" t="s">
        <v>717</v>
      </c>
      <c r="D1672" s="181" t="str">
        <f t="shared" ref="D1672:D1695" si="30">MID(C1672,10,5)</f>
        <v>36100</v>
      </c>
      <c r="E1672" s="181" t="s">
        <v>15</v>
      </c>
      <c r="F1672" s="181" t="s">
        <v>14</v>
      </c>
      <c r="G1672" s="181" t="s">
        <v>793</v>
      </c>
      <c r="H1672" s="8">
        <v>-3638.9300000000003</v>
      </c>
      <c r="I1672" s="8">
        <v>75.58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-3563.35</v>
      </c>
    </row>
    <row r="1673" spans="1:15">
      <c r="A1673" s="191">
        <v>44805</v>
      </c>
      <c r="B1673" s="181" t="s">
        <v>125</v>
      </c>
      <c r="C1673" s="181" t="s">
        <v>717</v>
      </c>
      <c r="D1673" s="181" t="str">
        <f t="shared" si="30"/>
        <v>36100</v>
      </c>
      <c r="E1673" s="181" t="s">
        <v>15</v>
      </c>
      <c r="F1673" s="181" t="s">
        <v>14</v>
      </c>
      <c r="G1673" s="181" t="s">
        <v>647</v>
      </c>
      <c r="H1673" s="8">
        <v>250263.98</v>
      </c>
      <c r="I1673" s="8">
        <v>1632.51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251896.49000000002</v>
      </c>
    </row>
    <row r="1674" spans="1:15">
      <c r="A1674" s="191">
        <v>44805</v>
      </c>
      <c r="B1674" s="181" t="s">
        <v>125</v>
      </c>
      <c r="C1674" s="181" t="s">
        <v>717</v>
      </c>
      <c r="D1674" s="181" t="str">
        <f t="shared" si="30"/>
        <v>36100</v>
      </c>
      <c r="E1674" s="181" t="s">
        <v>15</v>
      </c>
      <c r="F1674" s="181" t="s">
        <v>14</v>
      </c>
      <c r="G1674" s="181" t="s">
        <v>793</v>
      </c>
      <c r="H1674" s="8">
        <v>-3563.35</v>
      </c>
      <c r="I1674" s="8">
        <v>75.58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-3487.77</v>
      </c>
    </row>
    <row r="1675" spans="1:15">
      <c r="A1675" s="191">
        <v>44835</v>
      </c>
      <c r="B1675" s="181" t="s">
        <v>124</v>
      </c>
      <c r="C1675" s="181" t="s">
        <v>717</v>
      </c>
      <c r="D1675" s="181" t="str">
        <f t="shared" si="30"/>
        <v>36100</v>
      </c>
      <c r="E1675" s="181" t="s">
        <v>15</v>
      </c>
      <c r="F1675" s="181" t="s">
        <v>14</v>
      </c>
      <c r="G1675" s="181" t="s">
        <v>647</v>
      </c>
      <c r="H1675" s="8">
        <v>251896.49000000002</v>
      </c>
      <c r="I1675" s="8">
        <v>1632.51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253529</v>
      </c>
    </row>
    <row r="1676" spans="1:15">
      <c r="A1676" s="191">
        <v>44835</v>
      </c>
      <c r="B1676" s="181" t="s">
        <v>124</v>
      </c>
      <c r="C1676" s="181" t="s">
        <v>717</v>
      </c>
      <c r="D1676" s="181" t="str">
        <f t="shared" si="30"/>
        <v>36100</v>
      </c>
      <c r="E1676" s="181" t="s">
        <v>15</v>
      </c>
      <c r="F1676" s="181" t="s">
        <v>14</v>
      </c>
      <c r="G1676" s="181" t="s">
        <v>793</v>
      </c>
      <c r="H1676" s="8">
        <v>-3487.77</v>
      </c>
      <c r="I1676" s="8">
        <v>75.58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-3412.19</v>
      </c>
    </row>
    <row r="1677" spans="1:15">
      <c r="A1677" s="191">
        <v>44866</v>
      </c>
      <c r="B1677" s="181" t="s">
        <v>123</v>
      </c>
      <c r="C1677" s="181" t="s">
        <v>717</v>
      </c>
      <c r="D1677" s="181" t="str">
        <f t="shared" si="30"/>
        <v>36100</v>
      </c>
      <c r="E1677" s="181" t="s">
        <v>15</v>
      </c>
      <c r="F1677" s="181" t="s">
        <v>14</v>
      </c>
      <c r="G1677" s="181" t="s">
        <v>647</v>
      </c>
      <c r="H1677" s="8">
        <v>253529</v>
      </c>
      <c r="I1677" s="8">
        <v>1632.51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255161.51</v>
      </c>
    </row>
    <row r="1678" spans="1:15">
      <c r="A1678" s="191">
        <v>44866</v>
      </c>
      <c r="B1678" s="181" t="s">
        <v>123</v>
      </c>
      <c r="C1678" s="181" t="s">
        <v>717</v>
      </c>
      <c r="D1678" s="181" t="str">
        <f t="shared" si="30"/>
        <v>36100</v>
      </c>
      <c r="E1678" s="181" t="s">
        <v>15</v>
      </c>
      <c r="F1678" s="181" t="s">
        <v>14</v>
      </c>
      <c r="G1678" s="181" t="s">
        <v>793</v>
      </c>
      <c r="H1678" s="8">
        <v>-3412.19</v>
      </c>
      <c r="I1678" s="8">
        <v>75.58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-3336.61</v>
      </c>
    </row>
    <row r="1679" spans="1:15">
      <c r="A1679" s="191">
        <v>44896</v>
      </c>
      <c r="B1679" s="181" t="s">
        <v>122</v>
      </c>
      <c r="C1679" s="181" t="s">
        <v>717</v>
      </c>
      <c r="D1679" s="181" t="str">
        <f t="shared" si="30"/>
        <v>36100</v>
      </c>
      <c r="E1679" s="181" t="s">
        <v>15</v>
      </c>
      <c r="F1679" s="181" t="s">
        <v>14</v>
      </c>
      <c r="G1679" s="181" t="s">
        <v>647</v>
      </c>
      <c r="H1679" s="8">
        <v>255161.51</v>
      </c>
      <c r="I1679" s="8">
        <v>2027.97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257189.48</v>
      </c>
    </row>
    <row r="1680" spans="1:15">
      <c r="A1680" s="191">
        <v>44896</v>
      </c>
      <c r="B1680" s="181" t="s">
        <v>122</v>
      </c>
      <c r="C1680" s="181" t="s">
        <v>717</v>
      </c>
      <c r="D1680" s="181" t="str">
        <f t="shared" si="30"/>
        <v>36100</v>
      </c>
      <c r="E1680" s="181" t="s">
        <v>15</v>
      </c>
      <c r="F1680" s="181" t="s">
        <v>14</v>
      </c>
      <c r="G1680" s="181" t="s">
        <v>793</v>
      </c>
      <c r="H1680" s="8">
        <v>-3336.61</v>
      </c>
      <c r="I1680" s="8">
        <v>93.89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-3242.7200000000003</v>
      </c>
    </row>
    <row r="1681" spans="1:15">
      <c r="A1681" s="191">
        <v>44531</v>
      </c>
      <c r="B1681" s="181" t="s">
        <v>13</v>
      </c>
      <c r="C1681" s="181" t="s">
        <v>718</v>
      </c>
      <c r="D1681" s="181" t="str">
        <f t="shared" si="30"/>
        <v>36200</v>
      </c>
      <c r="E1681" s="181" t="s">
        <v>15</v>
      </c>
      <c r="F1681" s="181" t="s">
        <v>14</v>
      </c>
      <c r="G1681" s="181" t="s">
        <v>647</v>
      </c>
      <c r="H1681" s="8">
        <v>14203252.16</v>
      </c>
      <c r="I1681" s="8">
        <v>51258.03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14254510.189999999</v>
      </c>
    </row>
    <row r="1682" spans="1:15">
      <c r="A1682" s="191">
        <v>44531</v>
      </c>
      <c r="B1682" s="181" t="s">
        <v>13</v>
      </c>
      <c r="C1682" s="181" t="s">
        <v>718</v>
      </c>
      <c r="D1682" s="181" t="str">
        <f t="shared" si="30"/>
        <v>36200</v>
      </c>
      <c r="E1682" s="181" t="s">
        <v>15</v>
      </c>
      <c r="F1682" s="181" t="s">
        <v>14</v>
      </c>
      <c r="G1682" s="181" t="s">
        <v>793</v>
      </c>
      <c r="H1682" s="8">
        <v>399949.33</v>
      </c>
      <c r="I1682" s="8">
        <v>13241.66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413190.99</v>
      </c>
    </row>
    <row r="1683" spans="1:15">
      <c r="A1683" s="191">
        <v>44562</v>
      </c>
      <c r="B1683" s="181" t="s">
        <v>133</v>
      </c>
      <c r="C1683" s="181" t="s">
        <v>718</v>
      </c>
      <c r="D1683" s="181" t="str">
        <f t="shared" si="30"/>
        <v>36200</v>
      </c>
      <c r="E1683" s="181" t="s">
        <v>15</v>
      </c>
      <c r="F1683" s="181" t="s">
        <v>14</v>
      </c>
      <c r="G1683" s="181" t="s">
        <v>647</v>
      </c>
      <c r="H1683" s="8">
        <v>14254510.189999999</v>
      </c>
      <c r="I1683" s="8">
        <v>51253.8</v>
      </c>
      <c r="J1683" s="8">
        <v>-72559.59</v>
      </c>
      <c r="K1683" s="8">
        <v>0</v>
      </c>
      <c r="L1683" s="8">
        <v>0</v>
      </c>
      <c r="M1683" s="8">
        <v>0</v>
      </c>
      <c r="N1683" s="8">
        <v>0</v>
      </c>
      <c r="O1683" s="8">
        <v>14233204.4</v>
      </c>
    </row>
    <row r="1684" spans="1:15">
      <c r="A1684" s="191">
        <v>44562</v>
      </c>
      <c r="B1684" s="181" t="s">
        <v>133</v>
      </c>
      <c r="C1684" s="181" t="s">
        <v>718</v>
      </c>
      <c r="D1684" s="181" t="str">
        <f t="shared" si="30"/>
        <v>36200</v>
      </c>
      <c r="E1684" s="181" t="s">
        <v>15</v>
      </c>
      <c r="F1684" s="181" t="s">
        <v>14</v>
      </c>
      <c r="G1684" s="181" t="s">
        <v>793</v>
      </c>
      <c r="H1684" s="8">
        <v>413190.99</v>
      </c>
      <c r="I1684" s="8">
        <v>13240.56</v>
      </c>
      <c r="J1684" s="8">
        <v>0</v>
      </c>
      <c r="K1684" s="8">
        <v>-7398.58</v>
      </c>
      <c r="L1684" s="8">
        <v>0</v>
      </c>
      <c r="M1684" s="8">
        <v>0</v>
      </c>
      <c r="N1684" s="8">
        <v>0</v>
      </c>
      <c r="O1684" s="8">
        <v>419032.97000000003</v>
      </c>
    </row>
    <row r="1685" spans="1:15">
      <c r="A1685" s="191">
        <v>44593</v>
      </c>
      <c r="B1685" s="181" t="s">
        <v>132</v>
      </c>
      <c r="C1685" s="181" t="s">
        <v>718</v>
      </c>
      <c r="D1685" s="181" t="str">
        <f t="shared" si="30"/>
        <v>36200</v>
      </c>
      <c r="E1685" s="181" t="s">
        <v>15</v>
      </c>
      <c r="F1685" s="181" t="s">
        <v>14</v>
      </c>
      <c r="G1685" s="181" t="s">
        <v>647</v>
      </c>
      <c r="H1685" s="8">
        <v>14233204.4</v>
      </c>
      <c r="I1685" s="8">
        <v>51287.68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14284492.08</v>
      </c>
    </row>
    <row r="1686" spans="1:15">
      <c r="A1686" s="191">
        <v>44593</v>
      </c>
      <c r="B1686" s="181" t="s">
        <v>132</v>
      </c>
      <c r="C1686" s="181" t="s">
        <v>718</v>
      </c>
      <c r="D1686" s="181" t="str">
        <f t="shared" si="30"/>
        <v>36200</v>
      </c>
      <c r="E1686" s="181" t="s">
        <v>15</v>
      </c>
      <c r="F1686" s="181" t="s">
        <v>14</v>
      </c>
      <c r="G1686" s="181" t="s">
        <v>793</v>
      </c>
      <c r="H1686" s="8">
        <v>419032.97000000003</v>
      </c>
      <c r="I1686" s="8">
        <v>13249.32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432282.29000000004</v>
      </c>
    </row>
    <row r="1687" spans="1:15">
      <c r="A1687" s="191">
        <v>44621</v>
      </c>
      <c r="B1687" s="181" t="s">
        <v>131</v>
      </c>
      <c r="C1687" s="181" t="s">
        <v>718</v>
      </c>
      <c r="D1687" s="181" t="str">
        <f t="shared" si="30"/>
        <v>36200</v>
      </c>
      <c r="E1687" s="181" t="s">
        <v>15</v>
      </c>
      <c r="F1687" s="181" t="s">
        <v>14</v>
      </c>
      <c r="G1687" s="181" t="s">
        <v>647</v>
      </c>
      <c r="H1687" s="8">
        <v>14284492.08</v>
      </c>
      <c r="I1687" s="8">
        <v>51346.29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14335838.369999999</v>
      </c>
    </row>
    <row r="1688" spans="1:15">
      <c r="A1688" s="191">
        <v>44621</v>
      </c>
      <c r="B1688" s="181" t="s">
        <v>131</v>
      </c>
      <c r="C1688" s="181" t="s">
        <v>718</v>
      </c>
      <c r="D1688" s="181" t="str">
        <f t="shared" si="30"/>
        <v>36200</v>
      </c>
      <c r="E1688" s="181" t="s">
        <v>15</v>
      </c>
      <c r="F1688" s="181" t="s">
        <v>14</v>
      </c>
      <c r="G1688" s="181" t="s">
        <v>793</v>
      </c>
      <c r="H1688" s="8">
        <v>432282.29000000004</v>
      </c>
      <c r="I1688" s="8">
        <v>13264.460000000001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445546.75</v>
      </c>
    </row>
    <row r="1689" spans="1:15">
      <c r="A1689" s="191">
        <v>44652</v>
      </c>
      <c r="B1689" s="181" t="s">
        <v>130</v>
      </c>
      <c r="C1689" s="181" t="s">
        <v>718</v>
      </c>
      <c r="D1689" s="181" t="str">
        <f t="shared" si="30"/>
        <v>36200</v>
      </c>
      <c r="E1689" s="181" t="s">
        <v>15</v>
      </c>
      <c r="F1689" s="181" t="s">
        <v>14</v>
      </c>
      <c r="G1689" s="181" t="s">
        <v>647</v>
      </c>
      <c r="H1689" s="8">
        <v>14335838.369999999</v>
      </c>
      <c r="I1689" s="8">
        <v>53563.99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14389402.359999999</v>
      </c>
    </row>
    <row r="1690" spans="1:15">
      <c r="A1690" s="191">
        <v>44652</v>
      </c>
      <c r="B1690" s="181" t="s">
        <v>130</v>
      </c>
      <c r="C1690" s="181" t="s">
        <v>718</v>
      </c>
      <c r="D1690" s="181" t="str">
        <f t="shared" si="30"/>
        <v>36200</v>
      </c>
      <c r="E1690" s="181" t="s">
        <v>15</v>
      </c>
      <c r="F1690" s="181" t="s">
        <v>14</v>
      </c>
      <c r="G1690" s="181" t="s">
        <v>793</v>
      </c>
      <c r="H1690" s="8">
        <v>445546.75</v>
      </c>
      <c r="I1690" s="8">
        <v>13837.36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459384.11</v>
      </c>
    </row>
    <row r="1691" spans="1:15">
      <c r="A1691" s="191">
        <v>44682</v>
      </c>
      <c r="B1691" s="181" t="s">
        <v>129</v>
      </c>
      <c r="C1691" s="181" t="s">
        <v>718</v>
      </c>
      <c r="D1691" s="181" t="str">
        <f t="shared" si="30"/>
        <v>36200</v>
      </c>
      <c r="E1691" s="181" t="s">
        <v>15</v>
      </c>
      <c r="F1691" s="181" t="s">
        <v>14</v>
      </c>
      <c r="G1691" s="181" t="s">
        <v>647</v>
      </c>
      <c r="H1691" s="8">
        <v>14389402.359999999</v>
      </c>
      <c r="I1691" s="8">
        <v>55762.25</v>
      </c>
      <c r="J1691" s="8">
        <v>-2766.44</v>
      </c>
      <c r="K1691" s="8">
        <v>0</v>
      </c>
      <c r="L1691" s="8">
        <v>0</v>
      </c>
      <c r="M1691" s="8">
        <v>-2032.23</v>
      </c>
      <c r="N1691" s="8">
        <v>0</v>
      </c>
      <c r="O1691" s="8">
        <v>14440365.939999999</v>
      </c>
    </row>
    <row r="1692" spans="1:15">
      <c r="A1692" s="191">
        <v>44682</v>
      </c>
      <c r="B1692" s="181" t="s">
        <v>129</v>
      </c>
      <c r="C1692" s="181" t="s">
        <v>718</v>
      </c>
      <c r="D1692" s="181" t="str">
        <f t="shared" si="30"/>
        <v>36200</v>
      </c>
      <c r="E1692" s="181" t="s">
        <v>15</v>
      </c>
      <c r="F1692" s="181" t="s">
        <v>14</v>
      </c>
      <c r="G1692" s="181" t="s">
        <v>793</v>
      </c>
      <c r="H1692" s="8">
        <v>459384.11</v>
      </c>
      <c r="I1692" s="8">
        <v>14405.25</v>
      </c>
      <c r="J1692" s="8">
        <v>0</v>
      </c>
      <c r="K1692" s="8">
        <v>0</v>
      </c>
      <c r="L1692" s="8">
        <v>0</v>
      </c>
      <c r="M1692" s="8">
        <v>-63.160000000000004</v>
      </c>
      <c r="N1692" s="8">
        <v>0</v>
      </c>
      <c r="O1692" s="8">
        <v>473726.2</v>
      </c>
    </row>
    <row r="1693" spans="1:15">
      <c r="A1693" s="191">
        <v>44713</v>
      </c>
      <c r="B1693" s="181" t="s">
        <v>128</v>
      </c>
      <c r="C1693" s="181" t="s">
        <v>718</v>
      </c>
      <c r="D1693" s="181" t="str">
        <f t="shared" si="30"/>
        <v>36200</v>
      </c>
      <c r="E1693" s="181" t="s">
        <v>15</v>
      </c>
      <c r="F1693" s="181" t="s">
        <v>14</v>
      </c>
      <c r="G1693" s="181" t="s">
        <v>647</v>
      </c>
      <c r="H1693" s="8">
        <v>14440365.939999999</v>
      </c>
      <c r="I1693" s="8">
        <v>55766.14</v>
      </c>
      <c r="J1693" s="8">
        <v>-748.81000000000006</v>
      </c>
      <c r="K1693" s="8">
        <v>0</v>
      </c>
      <c r="L1693" s="8">
        <v>0</v>
      </c>
      <c r="M1693" s="8">
        <v>0</v>
      </c>
      <c r="N1693" s="8">
        <v>0</v>
      </c>
      <c r="O1693" s="8">
        <v>14495383.27</v>
      </c>
    </row>
    <row r="1694" spans="1:15">
      <c r="A1694" s="191">
        <v>44713</v>
      </c>
      <c r="B1694" s="181" t="s">
        <v>128</v>
      </c>
      <c r="C1694" s="181" t="s">
        <v>718</v>
      </c>
      <c r="D1694" s="181" t="str">
        <f t="shared" si="30"/>
        <v>36200</v>
      </c>
      <c r="E1694" s="181" t="s">
        <v>15</v>
      </c>
      <c r="F1694" s="181" t="s">
        <v>14</v>
      </c>
      <c r="G1694" s="181" t="s">
        <v>793</v>
      </c>
      <c r="H1694" s="8">
        <v>473726.2</v>
      </c>
      <c r="I1694" s="8">
        <v>14406.25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488132.45</v>
      </c>
    </row>
    <row r="1695" spans="1:15">
      <c r="A1695" s="191">
        <v>44743</v>
      </c>
      <c r="B1695" s="181" t="s">
        <v>127</v>
      </c>
      <c r="C1695" s="181" t="s">
        <v>718</v>
      </c>
      <c r="D1695" s="181" t="str">
        <f t="shared" si="30"/>
        <v>36200</v>
      </c>
      <c r="E1695" s="181" t="s">
        <v>15</v>
      </c>
      <c r="F1695" s="181" t="s">
        <v>14</v>
      </c>
      <c r="G1695" s="181" t="s">
        <v>647</v>
      </c>
      <c r="H1695" s="8">
        <v>14495383.27</v>
      </c>
      <c r="I1695" s="8">
        <v>55766.78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14551150.050000001</v>
      </c>
    </row>
    <row r="1696" spans="1:15">
      <c r="A1696" s="191">
        <v>44531</v>
      </c>
      <c r="B1696" s="181" t="s">
        <v>13</v>
      </c>
      <c r="C1696" s="181" t="s">
        <v>821</v>
      </c>
      <c r="D1696" s="181" t="str">
        <f>MID(C1696,8,5)</f>
        <v>36200</v>
      </c>
      <c r="E1696" s="181" t="s">
        <v>15</v>
      </c>
      <c r="F1696" s="181" t="s">
        <v>14</v>
      </c>
      <c r="G1696" s="181" t="s">
        <v>647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0</v>
      </c>
    </row>
    <row r="1697" spans="1:15">
      <c r="A1697" s="191">
        <v>44562</v>
      </c>
      <c r="B1697" s="181" t="s">
        <v>133</v>
      </c>
      <c r="C1697" s="181" t="s">
        <v>821</v>
      </c>
      <c r="D1697" s="181" t="str">
        <f>MID(C1697,8,5)</f>
        <v>36200</v>
      </c>
      <c r="E1697" s="181" t="s">
        <v>15</v>
      </c>
      <c r="F1697" s="181" t="s">
        <v>14</v>
      </c>
      <c r="G1697" s="181" t="s">
        <v>647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0</v>
      </c>
    </row>
    <row r="1698" spans="1:15">
      <c r="A1698" s="191">
        <v>44593</v>
      </c>
      <c r="B1698" s="181" t="s">
        <v>132</v>
      </c>
      <c r="C1698" s="181" t="s">
        <v>821</v>
      </c>
      <c r="D1698" s="181" t="str">
        <f>MID(C1698,8,5)</f>
        <v>36200</v>
      </c>
      <c r="E1698" s="181" t="s">
        <v>15</v>
      </c>
      <c r="F1698" s="181" t="s">
        <v>14</v>
      </c>
      <c r="G1698" s="181" t="s">
        <v>647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0</v>
      </c>
    </row>
    <row r="1699" spans="1:15">
      <c r="A1699" s="191">
        <v>44621</v>
      </c>
      <c r="B1699" s="181" t="s">
        <v>131</v>
      </c>
      <c r="C1699" s="181" t="s">
        <v>821</v>
      </c>
      <c r="D1699" s="181" t="str">
        <f>MID(C1699,8,5)</f>
        <v>36200</v>
      </c>
      <c r="E1699" s="181" t="s">
        <v>15</v>
      </c>
      <c r="F1699" s="181" t="s">
        <v>14</v>
      </c>
      <c r="G1699" s="181" t="s">
        <v>647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0</v>
      </c>
    </row>
    <row r="1700" spans="1:15">
      <c r="A1700" s="191">
        <v>44743</v>
      </c>
      <c r="B1700" s="181" t="s">
        <v>127</v>
      </c>
      <c r="C1700" s="181" t="s">
        <v>718</v>
      </c>
      <c r="D1700" s="181" t="str">
        <f>MID(C1700,10,5)</f>
        <v>36200</v>
      </c>
      <c r="E1700" s="181" t="s">
        <v>15</v>
      </c>
      <c r="F1700" s="181" t="s">
        <v>14</v>
      </c>
      <c r="G1700" s="181" t="s">
        <v>793</v>
      </c>
      <c r="H1700" s="8">
        <v>488132.45</v>
      </c>
      <c r="I1700" s="8">
        <v>14406.42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502538.87</v>
      </c>
    </row>
    <row r="1701" spans="1:15">
      <c r="A1701" s="191">
        <v>44774</v>
      </c>
      <c r="B1701" s="181" t="s">
        <v>126</v>
      </c>
      <c r="C1701" s="181" t="s">
        <v>718</v>
      </c>
      <c r="D1701" s="181" t="str">
        <f>MID(C1701,10,5)</f>
        <v>36200</v>
      </c>
      <c r="E1701" s="181" t="s">
        <v>15</v>
      </c>
      <c r="F1701" s="181" t="s">
        <v>14</v>
      </c>
      <c r="G1701" s="181" t="s">
        <v>647</v>
      </c>
      <c r="H1701" s="8">
        <v>14551150.050000001</v>
      </c>
      <c r="I1701" s="8">
        <v>55745.41</v>
      </c>
      <c r="J1701" s="8">
        <v>-34910.959999999999</v>
      </c>
      <c r="K1701" s="8">
        <v>0</v>
      </c>
      <c r="L1701" s="8">
        <v>0</v>
      </c>
      <c r="M1701" s="8">
        <v>0</v>
      </c>
      <c r="N1701" s="8">
        <v>0</v>
      </c>
      <c r="O1701" s="8">
        <v>14571984.5</v>
      </c>
    </row>
    <row r="1702" spans="1:15">
      <c r="A1702" s="191">
        <v>44652</v>
      </c>
      <c r="B1702" s="181" t="s">
        <v>130</v>
      </c>
      <c r="C1702" s="181" t="s">
        <v>821</v>
      </c>
      <c r="D1702" s="181" t="str">
        <f t="shared" ref="D1702:D1708" si="31">MID(C1702,8,5)</f>
        <v>36200</v>
      </c>
      <c r="E1702" s="181" t="s">
        <v>15</v>
      </c>
      <c r="F1702" s="181" t="s">
        <v>14</v>
      </c>
      <c r="G1702" s="181" t="s">
        <v>647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0</v>
      </c>
    </row>
    <row r="1703" spans="1:15">
      <c r="A1703" s="191">
        <v>44682</v>
      </c>
      <c r="B1703" s="181" t="s">
        <v>129</v>
      </c>
      <c r="C1703" s="181" t="s">
        <v>821</v>
      </c>
      <c r="D1703" s="181" t="str">
        <f t="shared" si="31"/>
        <v>36200</v>
      </c>
      <c r="E1703" s="181" t="s">
        <v>15</v>
      </c>
      <c r="F1703" s="181" t="s">
        <v>14</v>
      </c>
      <c r="G1703" s="181" t="s">
        <v>647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0</v>
      </c>
    </row>
    <row r="1704" spans="1:15">
      <c r="A1704" s="191">
        <v>44713</v>
      </c>
      <c r="B1704" s="181" t="s">
        <v>128</v>
      </c>
      <c r="C1704" s="181" t="s">
        <v>821</v>
      </c>
      <c r="D1704" s="181" t="str">
        <f t="shared" si="31"/>
        <v>36200</v>
      </c>
      <c r="E1704" s="181" t="s">
        <v>15</v>
      </c>
      <c r="F1704" s="181" t="s">
        <v>14</v>
      </c>
      <c r="G1704" s="181" t="s">
        <v>647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0</v>
      </c>
    </row>
    <row r="1705" spans="1:15">
      <c r="A1705" s="191">
        <v>44743</v>
      </c>
      <c r="B1705" s="181" t="s">
        <v>127</v>
      </c>
      <c r="C1705" s="181" t="s">
        <v>821</v>
      </c>
      <c r="D1705" s="181" t="str">
        <f t="shared" si="31"/>
        <v>36200</v>
      </c>
      <c r="E1705" s="181" t="s">
        <v>15</v>
      </c>
      <c r="F1705" s="181" t="s">
        <v>14</v>
      </c>
      <c r="G1705" s="181" t="s">
        <v>647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0</v>
      </c>
    </row>
    <row r="1706" spans="1:15">
      <c r="A1706" s="191">
        <v>44774</v>
      </c>
      <c r="B1706" s="181" t="s">
        <v>126</v>
      </c>
      <c r="C1706" s="181" t="s">
        <v>821</v>
      </c>
      <c r="D1706" s="181" t="str">
        <f t="shared" si="31"/>
        <v>36200</v>
      </c>
      <c r="E1706" s="181" t="s">
        <v>15</v>
      </c>
      <c r="F1706" s="181" t="s">
        <v>14</v>
      </c>
      <c r="G1706" s="181" t="s">
        <v>647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0</v>
      </c>
    </row>
    <row r="1707" spans="1:15">
      <c r="A1707" s="191">
        <v>44805</v>
      </c>
      <c r="B1707" s="181" t="s">
        <v>125</v>
      </c>
      <c r="C1707" s="181" t="s">
        <v>821</v>
      </c>
      <c r="D1707" s="181" t="str">
        <f t="shared" si="31"/>
        <v>36200</v>
      </c>
      <c r="E1707" s="181" t="s">
        <v>15</v>
      </c>
      <c r="F1707" s="181" t="s">
        <v>14</v>
      </c>
      <c r="G1707" s="181" t="s">
        <v>647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0</v>
      </c>
    </row>
    <row r="1708" spans="1:15">
      <c r="A1708" s="191">
        <v>44835</v>
      </c>
      <c r="B1708" s="181" t="s">
        <v>124</v>
      </c>
      <c r="C1708" s="181" t="s">
        <v>821</v>
      </c>
      <c r="D1708" s="181" t="str">
        <f t="shared" si="31"/>
        <v>36200</v>
      </c>
      <c r="E1708" s="181" t="s">
        <v>15</v>
      </c>
      <c r="F1708" s="181" t="s">
        <v>14</v>
      </c>
      <c r="G1708" s="181" t="s">
        <v>647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0</v>
      </c>
    </row>
    <row r="1709" spans="1:15">
      <c r="A1709" s="191">
        <v>44774</v>
      </c>
      <c r="B1709" s="181" t="s">
        <v>126</v>
      </c>
      <c r="C1709" s="181" t="s">
        <v>718</v>
      </c>
      <c r="D1709" s="181" t="str">
        <f>MID(C1709,10,5)</f>
        <v>36200</v>
      </c>
      <c r="E1709" s="181" t="s">
        <v>15</v>
      </c>
      <c r="F1709" s="181" t="s">
        <v>14</v>
      </c>
      <c r="G1709" s="181" t="s">
        <v>793</v>
      </c>
      <c r="H1709" s="8">
        <v>502538.87</v>
      </c>
      <c r="I1709" s="8">
        <v>14400.9</v>
      </c>
      <c r="J1709" s="8">
        <v>0</v>
      </c>
      <c r="K1709" s="8">
        <v>-10500</v>
      </c>
      <c r="L1709" s="8">
        <v>0</v>
      </c>
      <c r="M1709" s="8">
        <v>0</v>
      </c>
      <c r="N1709" s="8">
        <v>0</v>
      </c>
      <c r="O1709" s="8">
        <v>506439.77</v>
      </c>
    </row>
    <row r="1710" spans="1:15">
      <c r="A1710" s="191">
        <v>44805</v>
      </c>
      <c r="B1710" s="181" t="s">
        <v>125</v>
      </c>
      <c r="C1710" s="181" t="s">
        <v>718</v>
      </c>
      <c r="D1710" s="181" t="str">
        <f>MID(C1710,10,5)</f>
        <v>36200</v>
      </c>
      <c r="E1710" s="181" t="s">
        <v>15</v>
      </c>
      <c r="F1710" s="181" t="s">
        <v>14</v>
      </c>
      <c r="G1710" s="181" t="s">
        <v>647</v>
      </c>
      <c r="H1710" s="8">
        <v>14571984.5</v>
      </c>
      <c r="I1710" s="8">
        <v>55749.69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14627734.189999999</v>
      </c>
    </row>
    <row r="1711" spans="1:15">
      <c r="A1711" s="191">
        <v>44866</v>
      </c>
      <c r="B1711" s="181" t="s">
        <v>123</v>
      </c>
      <c r="C1711" s="181" t="s">
        <v>821</v>
      </c>
      <c r="D1711" s="181" t="str">
        <f>MID(C1711,8,5)</f>
        <v>36200</v>
      </c>
      <c r="E1711" s="181" t="s">
        <v>15</v>
      </c>
      <c r="F1711" s="181" t="s">
        <v>14</v>
      </c>
      <c r="G1711" s="181" t="s">
        <v>647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0</v>
      </c>
    </row>
    <row r="1712" spans="1:15">
      <c r="A1712" s="191">
        <v>44896</v>
      </c>
      <c r="B1712" s="181" t="s">
        <v>122</v>
      </c>
      <c r="C1712" s="181" t="s">
        <v>821</v>
      </c>
      <c r="D1712" s="181" t="str">
        <f>MID(C1712,8,5)</f>
        <v>36200</v>
      </c>
      <c r="E1712" s="181" t="s">
        <v>15</v>
      </c>
      <c r="F1712" s="181" t="s">
        <v>14</v>
      </c>
      <c r="G1712" s="181" t="s">
        <v>647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0</v>
      </c>
    </row>
    <row r="1713" spans="1:15">
      <c r="A1713" s="191">
        <v>44805</v>
      </c>
      <c r="B1713" s="181" t="s">
        <v>125</v>
      </c>
      <c r="C1713" s="181" t="s">
        <v>718</v>
      </c>
      <c r="D1713" s="181" t="str">
        <f t="shared" ref="D1713:D1776" si="32">MID(C1713,10,5)</f>
        <v>36200</v>
      </c>
      <c r="E1713" s="181" t="s">
        <v>15</v>
      </c>
      <c r="F1713" s="181" t="s">
        <v>14</v>
      </c>
      <c r="G1713" s="181" t="s">
        <v>793</v>
      </c>
      <c r="H1713" s="8">
        <v>506439.77</v>
      </c>
      <c r="I1713" s="8">
        <v>14402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520841.77</v>
      </c>
    </row>
    <row r="1714" spans="1:15">
      <c r="A1714" s="191">
        <v>44835</v>
      </c>
      <c r="B1714" s="181" t="s">
        <v>124</v>
      </c>
      <c r="C1714" s="181" t="s">
        <v>718</v>
      </c>
      <c r="D1714" s="181" t="str">
        <f t="shared" si="32"/>
        <v>36200</v>
      </c>
      <c r="E1714" s="181" t="s">
        <v>15</v>
      </c>
      <c r="F1714" s="181" t="s">
        <v>14</v>
      </c>
      <c r="G1714" s="181" t="s">
        <v>647</v>
      </c>
      <c r="H1714" s="8">
        <v>14627734.189999999</v>
      </c>
      <c r="I1714" s="8">
        <v>55783.040000000001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14683517.23</v>
      </c>
    </row>
    <row r="1715" spans="1:15">
      <c r="A1715" s="191">
        <v>44835</v>
      </c>
      <c r="B1715" s="181" t="s">
        <v>124</v>
      </c>
      <c r="C1715" s="181" t="s">
        <v>718</v>
      </c>
      <c r="D1715" s="181" t="str">
        <f t="shared" si="32"/>
        <v>36200</v>
      </c>
      <c r="E1715" s="181" t="s">
        <v>15</v>
      </c>
      <c r="F1715" s="181" t="s">
        <v>14</v>
      </c>
      <c r="G1715" s="181" t="s">
        <v>793</v>
      </c>
      <c r="H1715" s="8">
        <v>520841.77</v>
      </c>
      <c r="I1715" s="8">
        <v>14410.62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535252.39</v>
      </c>
    </row>
    <row r="1716" spans="1:15">
      <c r="A1716" s="191">
        <v>44866</v>
      </c>
      <c r="B1716" s="181" t="s">
        <v>123</v>
      </c>
      <c r="C1716" s="181" t="s">
        <v>718</v>
      </c>
      <c r="D1716" s="181" t="str">
        <f t="shared" si="32"/>
        <v>36200</v>
      </c>
      <c r="E1716" s="181" t="s">
        <v>15</v>
      </c>
      <c r="F1716" s="181" t="s">
        <v>14</v>
      </c>
      <c r="G1716" s="181" t="s">
        <v>647</v>
      </c>
      <c r="H1716" s="8">
        <v>14683517.23</v>
      </c>
      <c r="I1716" s="8">
        <v>58433.5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14741950.73</v>
      </c>
    </row>
    <row r="1717" spans="1:15">
      <c r="A1717" s="191">
        <v>44866</v>
      </c>
      <c r="B1717" s="181" t="s">
        <v>123</v>
      </c>
      <c r="C1717" s="181" t="s">
        <v>718</v>
      </c>
      <c r="D1717" s="181" t="str">
        <f t="shared" si="32"/>
        <v>36200</v>
      </c>
      <c r="E1717" s="181" t="s">
        <v>15</v>
      </c>
      <c r="F1717" s="181" t="s">
        <v>14</v>
      </c>
      <c r="G1717" s="181" t="s">
        <v>793</v>
      </c>
      <c r="H1717" s="8">
        <v>535252.39</v>
      </c>
      <c r="I1717" s="8">
        <v>15095.32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550347.71</v>
      </c>
    </row>
    <row r="1718" spans="1:15">
      <c r="A1718" s="191">
        <v>44896</v>
      </c>
      <c r="B1718" s="181" t="s">
        <v>122</v>
      </c>
      <c r="C1718" s="181" t="s">
        <v>718</v>
      </c>
      <c r="D1718" s="181" t="str">
        <f t="shared" si="32"/>
        <v>36200</v>
      </c>
      <c r="E1718" s="181" t="s">
        <v>15</v>
      </c>
      <c r="F1718" s="181" t="s">
        <v>14</v>
      </c>
      <c r="G1718" s="181" t="s">
        <v>647</v>
      </c>
      <c r="H1718" s="8">
        <v>14741950.73</v>
      </c>
      <c r="I1718" s="8">
        <v>58036.58</v>
      </c>
      <c r="J1718" s="8">
        <v>-70235.06</v>
      </c>
      <c r="K1718" s="8">
        <v>0</v>
      </c>
      <c r="L1718" s="8">
        <v>0</v>
      </c>
      <c r="M1718" s="8">
        <v>0</v>
      </c>
      <c r="N1718" s="8">
        <v>0</v>
      </c>
      <c r="O1718" s="8">
        <v>14729752.25</v>
      </c>
    </row>
    <row r="1719" spans="1:15">
      <c r="A1719" s="191">
        <v>44896</v>
      </c>
      <c r="B1719" s="181" t="s">
        <v>122</v>
      </c>
      <c r="C1719" s="181" t="s">
        <v>718</v>
      </c>
      <c r="D1719" s="181" t="str">
        <f t="shared" si="32"/>
        <v>36200</v>
      </c>
      <c r="E1719" s="181" t="s">
        <v>15</v>
      </c>
      <c r="F1719" s="181" t="s">
        <v>14</v>
      </c>
      <c r="G1719" s="181" t="s">
        <v>793</v>
      </c>
      <c r="H1719" s="8">
        <v>550347.71</v>
      </c>
      <c r="I1719" s="8">
        <v>15728.39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566076.1</v>
      </c>
    </row>
    <row r="1720" spans="1:15">
      <c r="A1720" s="191">
        <v>44531</v>
      </c>
      <c r="B1720" s="181" t="s">
        <v>13</v>
      </c>
      <c r="C1720" s="181" t="s">
        <v>719</v>
      </c>
      <c r="D1720" s="181" t="str">
        <f t="shared" si="32"/>
        <v>36400</v>
      </c>
      <c r="E1720" s="181" t="s">
        <v>15</v>
      </c>
      <c r="F1720" s="181" t="s">
        <v>14</v>
      </c>
      <c r="G1720" s="181" t="s">
        <v>647</v>
      </c>
      <c r="H1720" s="8">
        <v>28682481.559999999</v>
      </c>
      <c r="I1720" s="8">
        <v>138011.44</v>
      </c>
      <c r="J1720" s="8">
        <v>-11065.17</v>
      </c>
      <c r="K1720" s="8">
        <v>0</v>
      </c>
      <c r="L1720" s="8">
        <v>0</v>
      </c>
      <c r="M1720" s="8">
        <v>0</v>
      </c>
      <c r="N1720" s="8">
        <v>0</v>
      </c>
      <c r="O1720" s="8">
        <v>28809427.829999998</v>
      </c>
    </row>
    <row r="1721" spans="1:15">
      <c r="A1721" s="191">
        <v>44531</v>
      </c>
      <c r="B1721" s="181" t="s">
        <v>13</v>
      </c>
      <c r="C1721" s="181" t="s">
        <v>719</v>
      </c>
      <c r="D1721" s="181" t="str">
        <f t="shared" si="32"/>
        <v>36400</v>
      </c>
      <c r="E1721" s="181" t="s">
        <v>15</v>
      </c>
      <c r="F1721" s="181" t="s">
        <v>14</v>
      </c>
      <c r="G1721" s="181" t="s">
        <v>793</v>
      </c>
      <c r="H1721" s="8">
        <v>277323.84999999998</v>
      </c>
      <c r="I1721" s="8">
        <v>79559.540000000008</v>
      </c>
      <c r="J1721" s="8">
        <v>0</v>
      </c>
      <c r="K1721" s="8">
        <v>-137734.21</v>
      </c>
      <c r="L1721" s="8">
        <v>0</v>
      </c>
      <c r="M1721" s="8">
        <v>0</v>
      </c>
      <c r="N1721" s="8">
        <v>0</v>
      </c>
      <c r="O1721" s="8">
        <v>219149.18</v>
      </c>
    </row>
    <row r="1722" spans="1:15">
      <c r="A1722" s="191">
        <v>44562</v>
      </c>
      <c r="B1722" s="181" t="s">
        <v>133</v>
      </c>
      <c r="C1722" s="181" t="s">
        <v>719</v>
      </c>
      <c r="D1722" s="181" t="str">
        <f t="shared" si="32"/>
        <v>36400</v>
      </c>
      <c r="E1722" s="181" t="s">
        <v>15</v>
      </c>
      <c r="F1722" s="181" t="s">
        <v>14</v>
      </c>
      <c r="G1722" s="181" t="s">
        <v>647</v>
      </c>
      <c r="H1722" s="8">
        <v>28809427.829999998</v>
      </c>
      <c r="I1722" s="8">
        <v>138769.76</v>
      </c>
      <c r="J1722" s="8">
        <v>-172259.95</v>
      </c>
      <c r="K1722" s="8">
        <v>0</v>
      </c>
      <c r="L1722" s="8">
        <v>0</v>
      </c>
      <c r="M1722" s="8">
        <v>0</v>
      </c>
      <c r="N1722" s="8">
        <v>0</v>
      </c>
      <c r="O1722" s="8">
        <v>28775937.640000001</v>
      </c>
    </row>
    <row r="1723" spans="1:15">
      <c r="A1723" s="191">
        <v>44562</v>
      </c>
      <c r="B1723" s="181" t="s">
        <v>133</v>
      </c>
      <c r="C1723" s="181" t="s">
        <v>719</v>
      </c>
      <c r="D1723" s="181" t="str">
        <f t="shared" si="32"/>
        <v>36400</v>
      </c>
      <c r="E1723" s="181" t="s">
        <v>15</v>
      </c>
      <c r="F1723" s="181" t="s">
        <v>14</v>
      </c>
      <c r="G1723" s="181" t="s">
        <v>793</v>
      </c>
      <c r="H1723" s="8">
        <v>219149.18</v>
      </c>
      <c r="I1723" s="8">
        <v>79996.680000000008</v>
      </c>
      <c r="J1723" s="8">
        <v>0</v>
      </c>
      <c r="K1723" s="8">
        <v>-82421.7</v>
      </c>
      <c r="L1723" s="8">
        <v>0</v>
      </c>
      <c r="M1723" s="8">
        <v>0</v>
      </c>
      <c r="N1723" s="8">
        <v>0</v>
      </c>
      <c r="O1723" s="8">
        <v>216724.16</v>
      </c>
    </row>
    <row r="1724" spans="1:15">
      <c r="A1724" s="191">
        <v>44593</v>
      </c>
      <c r="B1724" s="181" t="s">
        <v>132</v>
      </c>
      <c r="C1724" s="181" t="s">
        <v>719</v>
      </c>
      <c r="D1724" s="181" t="str">
        <f t="shared" si="32"/>
        <v>36400</v>
      </c>
      <c r="E1724" s="181" t="s">
        <v>15</v>
      </c>
      <c r="F1724" s="181" t="s">
        <v>14</v>
      </c>
      <c r="G1724" s="181" t="s">
        <v>647</v>
      </c>
      <c r="H1724" s="8">
        <v>28775937.640000001</v>
      </c>
      <c r="I1724" s="8">
        <v>139256.03</v>
      </c>
      <c r="J1724" s="8">
        <v>-34663.699999999997</v>
      </c>
      <c r="K1724" s="8">
        <v>0</v>
      </c>
      <c r="L1724" s="8">
        <v>0</v>
      </c>
      <c r="M1724" s="8">
        <v>0</v>
      </c>
      <c r="N1724" s="8">
        <v>0</v>
      </c>
      <c r="O1724" s="8">
        <v>28880529.969999999</v>
      </c>
    </row>
    <row r="1725" spans="1:15">
      <c r="A1725" s="191">
        <v>44593</v>
      </c>
      <c r="B1725" s="181" t="s">
        <v>132</v>
      </c>
      <c r="C1725" s="181" t="s">
        <v>719</v>
      </c>
      <c r="D1725" s="181" t="str">
        <f t="shared" si="32"/>
        <v>36400</v>
      </c>
      <c r="E1725" s="181" t="s">
        <v>15</v>
      </c>
      <c r="F1725" s="181" t="s">
        <v>14</v>
      </c>
      <c r="G1725" s="181" t="s">
        <v>793</v>
      </c>
      <c r="H1725" s="8">
        <v>216724.16</v>
      </c>
      <c r="I1725" s="8">
        <v>80277.009999999995</v>
      </c>
      <c r="J1725" s="8">
        <v>0</v>
      </c>
      <c r="K1725" s="8">
        <v>-55863.76</v>
      </c>
      <c r="L1725" s="8">
        <v>0</v>
      </c>
      <c r="M1725" s="8">
        <v>0</v>
      </c>
      <c r="N1725" s="8">
        <v>0</v>
      </c>
      <c r="O1725" s="8">
        <v>241137.41</v>
      </c>
    </row>
    <row r="1726" spans="1:15">
      <c r="A1726" s="191">
        <v>44621</v>
      </c>
      <c r="B1726" s="181" t="s">
        <v>131</v>
      </c>
      <c r="C1726" s="181" t="s">
        <v>719</v>
      </c>
      <c r="D1726" s="181" t="str">
        <f t="shared" si="32"/>
        <v>36400</v>
      </c>
      <c r="E1726" s="181" t="s">
        <v>15</v>
      </c>
      <c r="F1726" s="181" t="s">
        <v>14</v>
      </c>
      <c r="G1726" s="181" t="s">
        <v>647</v>
      </c>
      <c r="H1726" s="8">
        <v>28880529.969999999</v>
      </c>
      <c r="I1726" s="8">
        <v>139847.63</v>
      </c>
      <c r="J1726" s="8">
        <v>-5569.38</v>
      </c>
      <c r="K1726" s="8">
        <v>0</v>
      </c>
      <c r="L1726" s="8">
        <v>0</v>
      </c>
      <c r="M1726" s="8">
        <v>0</v>
      </c>
      <c r="N1726" s="8">
        <v>0</v>
      </c>
      <c r="O1726" s="8">
        <v>29014808.219999999</v>
      </c>
    </row>
    <row r="1727" spans="1:15">
      <c r="A1727" s="191">
        <v>44621</v>
      </c>
      <c r="B1727" s="181" t="s">
        <v>131</v>
      </c>
      <c r="C1727" s="181" t="s">
        <v>719</v>
      </c>
      <c r="D1727" s="181" t="str">
        <f t="shared" si="32"/>
        <v>36400</v>
      </c>
      <c r="E1727" s="181" t="s">
        <v>15</v>
      </c>
      <c r="F1727" s="181" t="s">
        <v>14</v>
      </c>
      <c r="G1727" s="181" t="s">
        <v>793</v>
      </c>
      <c r="H1727" s="8">
        <v>241137.41</v>
      </c>
      <c r="I1727" s="8">
        <v>80618.05</v>
      </c>
      <c r="J1727" s="8">
        <v>0</v>
      </c>
      <c r="K1727" s="8">
        <v>-17720.490000000002</v>
      </c>
      <c r="L1727" s="8">
        <v>0</v>
      </c>
      <c r="M1727" s="8">
        <v>0</v>
      </c>
      <c r="N1727" s="8">
        <v>0</v>
      </c>
      <c r="O1727" s="8">
        <v>304034.97000000003</v>
      </c>
    </row>
    <row r="1728" spans="1:15">
      <c r="A1728" s="191">
        <v>44652</v>
      </c>
      <c r="B1728" s="181" t="s">
        <v>130</v>
      </c>
      <c r="C1728" s="181" t="s">
        <v>719</v>
      </c>
      <c r="D1728" s="181" t="str">
        <f t="shared" si="32"/>
        <v>36400</v>
      </c>
      <c r="E1728" s="181" t="s">
        <v>15</v>
      </c>
      <c r="F1728" s="181" t="s">
        <v>14</v>
      </c>
      <c r="G1728" s="181" t="s">
        <v>647</v>
      </c>
      <c r="H1728" s="8">
        <v>29014808.219999999</v>
      </c>
      <c r="I1728" s="8">
        <v>140046.44</v>
      </c>
      <c r="J1728" s="8">
        <v>-18859.55</v>
      </c>
      <c r="K1728" s="8">
        <v>0</v>
      </c>
      <c r="L1728" s="8">
        <v>0</v>
      </c>
      <c r="M1728" s="8">
        <v>0</v>
      </c>
      <c r="N1728" s="8">
        <v>0</v>
      </c>
      <c r="O1728" s="8">
        <v>29135995.109999999</v>
      </c>
    </row>
    <row r="1729" spans="1:15">
      <c r="A1729" s="191">
        <v>44652</v>
      </c>
      <c r="B1729" s="181" t="s">
        <v>130</v>
      </c>
      <c r="C1729" s="181" t="s">
        <v>719</v>
      </c>
      <c r="D1729" s="181" t="str">
        <f t="shared" si="32"/>
        <v>36400</v>
      </c>
      <c r="E1729" s="181" t="s">
        <v>15</v>
      </c>
      <c r="F1729" s="181" t="s">
        <v>14</v>
      </c>
      <c r="G1729" s="181" t="s">
        <v>793</v>
      </c>
      <c r="H1729" s="8">
        <v>304034.97000000003</v>
      </c>
      <c r="I1729" s="8">
        <v>80732.650000000009</v>
      </c>
      <c r="J1729" s="8">
        <v>0</v>
      </c>
      <c r="K1729" s="8">
        <v>-26349.79</v>
      </c>
      <c r="L1729" s="8">
        <v>0</v>
      </c>
      <c r="M1729" s="8">
        <v>0</v>
      </c>
      <c r="N1729" s="8">
        <v>0</v>
      </c>
      <c r="O1729" s="8">
        <v>358417.83</v>
      </c>
    </row>
    <row r="1730" spans="1:15">
      <c r="A1730" s="191">
        <v>44682</v>
      </c>
      <c r="B1730" s="181" t="s">
        <v>129</v>
      </c>
      <c r="C1730" s="181" t="s">
        <v>719</v>
      </c>
      <c r="D1730" s="181" t="str">
        <f t="shared" si="32"/>
        <v>36400</v>
      </c>
      <c r="E1730" s="181" t="s">
        <v>15</v>
      </c>
      <c r="F1730" s="181" t="s">
        <v>14</v>
      </c>
      <c r="G1730" s="181" t="s">
        <v>647</v>
      </c>
      <c r="H1730" s="8">
        <v>29135995.109999999</v>
      </c>
      <c r="I1730" s="8">
        <v>141245.87</v>
      </c>
      <c r="J1730" s="8">
        <v>-45898.239999999998</v>
      </c>
      <c r="K1730" s="8">
        <v>0</v>
      </c>
      <c r="L1730" s="8">
        <v>0</v>
      </c>
      <c r="M1730" s="8">
        <v>0</v>
      </c>
      <c r="N1730" s="8">
        <v>0</v>
      </c>
      <c r="O1730" s="8">
        <v>29231342.739999998</v>
      </c>
    </row>
    <row r="1731" spans="1:15">
      <c r="A1731" s="191">
        <v>44682</v>
      </c>
      <c r="B1731" s="181" t="s">
        <v>129</v>
      </c>
      <c r="C1731" s="181" t="s">
        <v>719</v>
      </c>
      <c r="D1731" s="181" t="str">
        <f t="shared" si="32"/>
        <v>36400</v>
      </c>
      <c r="E1731" s="181" t="s">
        <v>15</v>
      </c>
      <c r="F1731" s="181" t="s">
        <v>14</v>
      </c>
      <c r="G1731" s="181" t="s">
        <v>793</v>
      </c>
      <c r="H1731" s="8">
        <v>358417.83</v>
      </c>
      <c r="I1731" s="8">
        <v>81424.09</v>
      </c>
      <c r="J1731" s="8">
        <v>0</v>
      </c>
      <c r="K1731" s="8">
        <v>-251100.69</v>
      </c>
      <c r="L1731" s="8">
        <v>0</v>
      </c>
      <c r="M1731" s="8">
        <v>0</v>
      </c>
      <c r="N1731" s="8">
        <v>0</v>
      </c>
      <c r="O1731" s="8">
        <v>188741.23</v>
      </c>
    </row>
    <row r="1732" spans="1:15">
      <c r="A1732" s="191">
        <v>44713</v>
      </c>
      <c r="B1732" s="181" t="s">
        <v>128</v>
      </c>
      <c r="C1732" s="181" t="s">
        <v>719</v>
      </c>
      <c r="D1732" s="181" t="str">
        <f t="shared" si="32"/>
        <v>36400</v>
      </c>
      <c r="E1732" s="181" t="s">
        <v>15</v>
      </c>
      <c r="F1732" s="181" t="s">
        <v>14</v>
      </c>
      <c r="G1732" s="181" t="s">
        <v>647</v>
      </c>
      <c r="H1732" s="8">
        <v>29231342.739999998</v>
      </c>
      <c r="I1732" s="8">
        <v>142571.08000000002</v>
      </c>
      <c r="J1732" s="8">
        <v>-46728.82</v>
      </c>
      <c r="K1732" s="8">
        <v>0</v>
      </c>
      <c r="L1732" s="8">
        <v>0</v>
      </c>
      <c r="M1732" s="8">
        <v>0</v>
      </c>
      <c r="N1732" s="8">
        <v>0</v>
      </c>
      <c r="O1732" s="8">
        <v>29327185</v>
      </c>
    </row>
    <row r="1733" spans="1:15">
      <c r="A1733" s="191">
        <v>44713</v>
      </c>
      <c r="B1733" s="181" t="s">
        <v>128</v>
      </c>
      <c r="C1733" s="181" t="s">
        <v>719</v>
      </c>
      <c r="D1733" s="181" t="str">
        <f t="shared" si="32"/>
        <v>36400</v>
      </c>
      <c r="E1733" s="181" t="s">
        <v>15</v>
      </c>
      <c r="F1733" s="181" t="s">
        <v>14</v>
      </c>
      <c r="G1733" s="181" t="s">
        <v>793</v>
      </c>
      <c r="H1733" s="8">
        <v>188741.23</v>
      </c>
      <c r="I1733" s="8">
        <v>82188.03</v>
      </c>
      <c r="J1733" s="8">
        <v>0</v>
      </c>
      <c r="K1733" s="8">
        <v>-194232.9</v>
      </c>
      <c r="L1733" s="8">
        <v>0</v>
      </c>
      <c r="M1733" s="8">
        <v>0</v>
      </c>
      <c r="N1733" s="8">
        <v>0</v>
      </c>
      <c r="O1733" s="8">
        <v>76696.36</v>
      </c>
    </row>
    <row r="1734" spans="1:15">
      <c r="A1734" s="191">
        <v>44743</v>
      </c>
      <c r="B1734" s="181" t="s">
        <v>127</v>
      </c>
      <c r="C1734" s="181" t="s">
        <v>719</v>
      </c>
      <c r="D1734" s="181" t="str">
        <f t="shared" si="32"/>
        <v>36400</v>
      </c>
      <c r="E1734" s="181" t="s">
        <v>15</v>
      </c>
      <c r="F1734" s="181" t="s">
        <v>14</v>
      </c>
      <c r="G1734" s="181" t="s">
        <v>647</v>
      </c>
      <c r="H1734" s="8">
        <v>29327185</v>
      </c>
      <c r="I1734" s="8">
        <v>142755.55000000002</v>
      </c>
      <c r="J1734" s="8">
        <v>-42398.21</v>
      </c>
      <c r="K1734" s="8">
        <v>0</v>
      </c>
      <c r="L1734" s="8">
        <v>0</v>
      </c>
      <c r="M1734" s="8">
        <v>0</v>
      </c>
      <c r="N1734" s="8">
        <v>0</v>
      </c>
      <c r="O1734" s="8">
        <v>29427542.34</v>
      </c>
    </row>
    <row r="1735" spans="1:15">
      <c r="A1735" s="191">
        <v>44743</v>
      </c>
      <c r="B1735" s="181" t="s">
        <v>127</v>
      </c>
      <c r="C1735" s="181" t="s">
        <v>719</v>
      </c>
      <c r="D1735" s="181" t="str">
        <f t="shared" si="32"/>
        <v>36400</v>
      </c>
      <c r="E1735" s="181" t="s">
        <v>15</v>
      </c>
      <c r="F1735" s="181" t="s">
        <v>14</v>
      </c>
      <c r="G1735" s="181" t="s">
        <v>793</v>
      </c>
      <c r="H1735" s="8">
        <v>76696.36</v>
      </c>
      <c r="I1735" s="8">
        <v>82294.38</v>
      </c>
      <c r="J1735" s="8">
        <v>0</v>
      </c>
      <c r="K1735" s="8">
        <v>-110707.48</v>
      </c>
      <c r="L1735" s="8">
        <v>0</v>
      </c>
      <c r="M1735" s="8">
        <v>0</v>
      </c>
      <c r="N1735" s="8">
        <v>0</v>
      </c>
      <c r="O1735" s="8">
        <v>48283.26</v>
      </c>
    </row>
    <row r="1736" spans="1:15">
      <c r="A1736" s="191">
        <v>44774</v>
      </c>
      <c r="B1736" s="181" t="s">
        <v>126</v>
      </c>
      <c r="C1736" s="181" t="s">
        <v>719</v>
      </c>
      <c r="D1736" s="181" t="str">
        <f t="shared" si="32"/>
        <v>36400</v>
      </c>
      <c r="E1736" s="181" t="s">
        <v>15</v>
      </c>
      <c r="F1736" s="181" t="s">
        <v>14</v>
      </c>
      <c r="G1736" s="181" t="s">
        <v>647</v>
      </c>
      <c r="H1736" s="8">
        <v>29427542.34</v>
      </c>
      <c r="I1736" s="8">
        <v>142814.94</v>
      </c>
      <c r="J1736" s="8">
        <v>-747.08</v>
      </c>
      <c r="K1736" s="8">
        <v>0</v>
      </c>
      <c r="L1736" s="8">
        <v>0</v>
      </c>
      <c r="M1736" s="8">
        <v>0</v>
      </c>
      <c r="N1736" s="8">
        <v>0</v>
      </c>
      <c r="O1736" s="8">
        <v>29569610.199999999</v>
      </c>
    </row>
    <row r="1737" spans="1:15">
      <c r="A1737" s="191">
        <v>44774</v>
      </c>
      <c r="B1737" s="181" t="s">
        <v>126</v>
      </c>
      <c r="C1737" s="181" t="s">
        <v>719</v>
      </c>
      <c r="D1737" s="181" t="str">
        <f t="shared" si="32"/>
        <v>36400</v>
      </c>
      <c r="E1737" s="181" t="s">
        <v>15</v>
      </c>
      <c r="F1737" s="181" t="s">
        <v>14</v>
      </c>
      <c r="G1737" s="181" t="s">
        <v>793</v>
      </c>
      <c r="H1737" s="8">
        <v>48283.26</v>
      </c>
      <c r="I1737" s="8">
        <v>82328.61</v>
      </c>
      <c r="J1737" s="8">
        <v>0</v>
      </c>
      <c r="K1737" s="8">
        <v>68.650000000000006</v>
      </c>
      <c r="L1737" s="8">
        <v>0</v>
      </c>
      <c r="M1737" s="8">
        <v>0</v>
      </c>
      <c r="N1737" s="8">
        <v>0</v>
      </c>
      <c r="O1737" s="8">
        <v>130680.52</v>
      </c>
    </row>
    <row r="1738" spans="1:15">
      <c r="A1738" s="191">
        <v>44805</v>
      </c>
      <c r="B1738" s="181" t="s">
        <v>125</v>
      </c>
      <c r="C1738" s="181" t="s">
        <v>719</v>
      </c>
      <c r="D1738" s="181" t="str">
        <f t="shared" si="32"/>
        <v>36400</v>
      </c>
      <c r="E1738" s="181" t="s">
        <v>15</v>
      </c>
      <c r="F1738" s="181" t="s">
        <v>14</v>
      </c>
      <c r="G1738" s="181" t="s">
        <v>647</v>
      </c>
      <c r="H1738" s="8">
        <v>29569610.199999999</v>
      </c>
      <c r="I1738" s="8">
        <v>143209.4</v>
      </c>
      <c r="J1738" s="8">
        <v>-24064.59</v>
      </c>
      <c r="K1738" s="8">
        <v>0</v>
      </c>
      <c r="L1738" s="8">
        <v>0</v>
      </c>
      <c r="M1738" s="8">
        <v>0</v>
      </c>
      <c r="N1738" s="8">
        <v>0</v>
      </c>
      <c r="O1738" s="8">
        <v>29688755.010000002</v>
      </c>
    </row>
    <row r="1739" spans="1:15">
      <c r="A1739" s="191">
        <v>44805</v>
      </c>
      <c r="B1739" s="181" t="s">
        <v>125</v>
      </c>
      <c r="C1739" s="181" t="s">
        <v>719</v>
      </c>
      <c r="D1739" s="181" t="str">
        <f t="shared" si="32"/>
        <v>36400</v>
      </c>
      <c r="E1739" s="181" t="s">
        <v>15</v>
      </c>
      <c r="F1739" s="181" t="s">
        <v>14</v>
      </c>
      <c r="G1739" s="181" t="s">
        <v>793</v>
      </c>
      <c r="H1739" s="8">
        <v>130680.52</v>
      </c>
      <c r="I1739" s="8">
        <v>82556</v>
      </c>
      <c r="J1739" s="8">
        <v>0</v>
      </c>
      <c r="K1739" s="8">
        <v>-25917.81</v>
      </c>
      <c r="L1739" s="8">
        <v>0</v>
      </c>
      <c r="M1739" s="8">
        <v>0</v>
      </c>
      <c r="N1739" s="8">
        <v>0</v>
      </c>
      <c r="O1739" s="8">
        <v>187318.71</v>
      </c>
    </row>
    <row r="1740" spans="1:15">
      <c r="A1740" s="191">
        <v>44835</v>
      </c>
      <c r="B1740" s="181" t="s">
        <v>124</v>
      </c>
      <c r="C1740" s="181" t="s">
        <v>719</v>
      </c>
      <c r="D1740" s="181" t="str">
        <f t="shared" si="32"/>
        <v>36400</v>
      </c>
      <c r="E1740" s="181" t="s">
        <v>15</v>
      </c>
      <c r="F1740" s="181" t="s">
        <v>14</v>
      </c>
      <c r="G1740" s="181" t="s">
        <v>647</v>
      </c>
      <c r="H1740" s="8">
        <v>29688755.010000002</v>
      </c>
      <c r="I1740" s="8">
        <v>143787.35</v>
      </c>
      <c r="J1740" s="8">
        <v>-8775.0300000000007</v>
      </c>
      <c r="K1740" s="8">
        <v>0</v>
      </c>
      <c r="L1740" s="8">
        <v>0</v>
      </c>
      <c r="M1740" s="8">
        <v>0</v>
      </c>
      <c r="N1740" s="8">
        <v>0</v>
      </c>
      <c r="O1740" s="8">
        <v>29823767.329999998</v>
      </c>
    </row>
    <row r="1741" spans="1:15">
      <c r="A1741" s="191">
        <v>44835</v>
      </c>
      <c r="B1741" s="181" t="s">
        <v>124</v>
      </c>
      <c r="C1741" s="181" t="s">
        <v>719</v>
      </c>
      <c r="D1741" s="181" t="str">
        <f t="shared" si="32"/>
        <v>36400</v>
      </c>
      <c r="E1741" s="181" t="s">
        <v>15</v>
      </c>
      <c r="F1741" s="181" t="s">
        <v>14</v>
      </c>
      <c r="G1741" s="181" t="s">
        <v>793</v>
      </c>
      <c r="H1741" s="8">
        <v>187318.71</v>
      </c>
      <c r="I1741" s="8">
        <v>82889.180000000008</v>
      </c>
      <c r="J1741" s="8">
        <v>0</v>
      </c>
      <c r="K1741" s="8">
        <v>-934.12</v>
      </c>
      <c r="L1741" s="8">
        <v>0</v>
      </c>
      <c r="M1741" s="8">
        <v>0</v>
      </c>
      <c r="N1741" s="8">
        <v>0</v>
      </c>
      <c r="O1741" s="8">
        <v>269273.77</v>
      </c>
    </row>
    <row r="1742" spans="1:15">
      <c r="A1742" s="191">
        <v>44866</v>
      </c>
      <c r="B1742" s="181" t="s">
        <v>123</v>
      </c>
      <c r="C1742" s="181" t="s">
        <v>719</v>
      </c>
      <c r="D1742" s="181" t="str">
        <f t="shared" si="32"/>
        <v>36400</v>
      </c>
      <c r="E1742" s="181" t="s">
        <v>15</v>
      </c>
      <c r="F1742" s="181" t="s">
        <v>14</v>
      </c>
      <c r="G1742" s="181" t="s">
        <v>647</v>
      </c>
      <c r="H1742" s="8">
        <v>29823767.329999998</v>
      </c>
      <c r="I1742" s="8">
        <v>144154.16</v>
      </c>
      <c r="J1742" s="8">
        <v>-52610.14</v>
      </c>
      <c r="K1742" s="8">
        <v>0</v>
      </c>
      <c r="L1742" s="8">
        <v>0</v>
      </c>
      <c r="M1742" s="8">
        <v>0</v>
      </c>
      <c r="N1742" s="8">
        <v>0</v>
      </c>
      <c r="O1742" s="8">
        <v>29915311.350000001</v>
      </c>
    </row>
    <row r="1743" spans="1:15">
      <c r="A1743" s="191">
        <v>44866</v>
      </c>
      <c r="B1743" s="181" t="s">
        <v>123</v>
      </c>
      <c r="C1743" s="181" t="s">
        <v>719</v>
      </c>
      <c r="D1743" s="181" t="str">
        <f t="shared" si="32"/>
        <v>36400</v>
      </c>
      <c r="E1743" s="181" t="s">
        <v>15</v>
      </c>
      <c r="F1743" s="181" t="s">
        <v>14</v>
      </c>
      <c r="G1743" s="181" t="s">
        <v>793</v>
      </c>
      <c r="H1743" s="8">
        <v>269273.77</v>
      </c>
      <c r="I1743" s="8">
        <v>83100.63</v>
      </c>
      <c r="J1743" s="8">
        <v>0</v>
      </c>
      <c r="K1743" s="8">
        <v>-16300</v>
      </c>
      <c r="L1743" s="8">
        <v>0</v>
      </c>
      <c r="M1743" s="8">
        <v>0</v>
      </c>
      <c r="N1743" s="8">
        <v>0</v>
      </c>
      <c r="O1743" s="8">
        <v>336074.4</v>
      </c>
    </row>
    <row r="1744" spans="1:15">
      <c r="A1744" s="191">
        <v>44896</v>
      </c>
      <c r="B1744" s="181" t="s">
        <v>122</v>
      </c>
      <c r="C1744" s="181" t="s">
        <v>719</v>
      </c>
      <c r="D1744" s="181" t="str">
        <f t="shared" si="32"/>
        <v>36400</v>
      </c>
      <c r="E1744" s="181" t="s">
        <v>15</v>
      </c>
      <c r="F1744" s="181" t="s">
        <v>14</v>
      </c>
      <c r="G1744" s="181" t="s">
        <v>647</v>
      </c>
      <c r="H1744" s="8">
        <v>29915311.350000001</v>
      </c>
      <c r="I1744" s="8">
        <v>141249.87</v>
      </c>
      <c r="J1744" s="8">
        <v>-692023.51</v>
      </c>
      <c r="K1744" s="8">
        <v>0</v>
      </c>
      <c r="L1744" s="8">
        <v>0</v>
      </c>
      <c r="M1744" s="8">
        <v>0</v>
      </c>
      <c r="N1744" s="8">
        <v>0</v>
      </c>
      <c r="O1744" s="8">
        <v>29364537.710000001</v>
      </c>
    </row>
    <row r="1745" spans="1:15">
      <c r="A1745" s="191">
        <v>44896</v>
      </c>
      <c r="B1745" s="181" t="s">
        <v>122</v>
      </c>
      <c r="C1745" s="181" t="s">
        <v>719</v>
      </c>
      <c r="D1745" s="181" t="str">
        <f t="shared" si="32"/>
        <v>36400</v>
      </c>
      <c r="E1745" s="181" t="s">
        <v>15</v>
      </c>
      <c r="F1745" s="181" t="s">
        <v>14</v>
      </c>
      <c r="G1745" s="181" t="s">
        <v>793</v>
      </c>
      <c r="H1745" s="8">
        <v>336074.4</v>
      </c>
      <c r="I1745" s="8">
        <v>83967.85</v>
      </c>
      <c r="J1745" s="8">
        <v>0</v>
      </c>
      <c r="K1745" s="8">
        <v>-374546.05</v>
      </c>
      <c r="L1745" s="8">
        <v>0</v>
      </c>
      <c r="M1745" s="8">
        <v>0</v>
      </c>
      <c r="N1745" s="8">
        <v>0</v>
      </c>
      <c r="O1745" s="8">
        <v>45496.200000000004</v>
      </c>
    </row>
    <row r="1746" spans="1:15">
      <c r="A1746" s="191">
        <v>44531</v>
      </c>
      <c r="B1746" s="181" t="s">
        <v>13</v>
      </c>
      <c r="C1746" s="181" t="s">
        <v>720</v>
      </c>
      <c r="D1746" s="181" t="str">
        <f t="shared" si="32"/>
        <v>36500</v>
      </c>
      <c r="E1746" s="181" t="s">
        <v>15</v>
      </c>
      <c r="F1746" s="181" t="s">
        <v>14</v>
      </c>
      <c r="G1746" s="181" t="s">
        <v>647</v>
      </c>
      <c r="H1746" s="8">
        <v>25385518.260000002</v>
      </c>
      <c r="I1746" s="8">
        <v>59086.65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25444604.91</v>
      </c>
    </row>
    <row r="1747" spans="1:15">
      <c r="A1747" s="191">
        <v>44531</v>
      </c>
      <c r="B1747" s="181" t="s">
        <v>13</v>
      </c>
      <c r="C1747" s="181" t="s">
        <v>720</v>
      </c>
      <c r="D1747" s="181" t="str">
        <f t="shared" si="32"/>
        <v>36500</v>
      </c>
      <c r="E1747" s="181" t="s">
        <v>15</v>
      </c>
      <c r="F1747" s="181" t="s">
        <v>14</v>
      </c>
      <c r="G1747" s="181" t="s">
        <v>793</v>
      </c>
      <c r="H1747" s="8">
        <v>2239971.19</v>
      </c>
      <c r="I1747" s="8">
        <v>39391.1</v>
      </c>
      <c r="J1747" s="8">
        <v>0</v>
      </c>
      <c r="K1747" s="8">
        <v>-539.44000000000005</v>
      </c>
      <c r="L1747" s="8">
        <v>0</v>
      </c>
      <c r="M1747" s="8">
        <v>0</v>
      </c>
      <c r="N1747" s="8">
        <v>0</v>
      </c>
      <c r="O1747" s="8">
        <v>2278822.85</v>
      </c>
    </row>
    <row r="1748" spans="1:15">
      <c r="A1748" s="191">
        <v>44562</v>
      </c>
      <c r="B1748" s="181" t="s">
        <v>133</v>
      </c>
      <c r="C1748" s="181" t="s">
        <v>720</v>
      </c>
      <c r="D1748" s="181" t="str">
        <f t="shared" si="32"/>
        <v>36500</v>
      </c>
      <c r="E1748" s="181" t="s">
        <v>15</v>
      </c>
      <c r="F1748" s="181" t="s">
        <v>14</v>
      </c>
      <c r="G1748" s="181" t="s">
        <v>647</v>
      </c>
      <c r="H1748" s="8">
        <v>25444604.91</v>
      </c>
      <c r="I1748" s="8">
        <v>59400.130000000005</v>
      </c>
      <c r="J1748" s="8">
        <v>-26253.21</v>
      </c>
      <c r="K1748" s="8">
        <v>0</v>
      </c>
      <c r="L1748" s="8">
        <v>0</v>
      </c>
      <c r="M1748" s="8">
        <v>0</v>
      </c>
      <c r="N1748" s="8">
        <v>0</v>
      </c>
      <c r="O1748" s="8">
        <v>25477751.829999998</v>
      </c>
    </row>
    <row r="1749" spans="1:15">
      <c r="A1749" s="191">
        <v>44562</v>
      </c>
      <c r="B1749" s="181" t="s">
        <v>133</v>
      </c>
      <c r="C1749" s="181" t="s">
        <v>720</v>
      </c>
      <c r="D1749" s="181" t="str">
        <f t="shared" si="32"/>
        <v>36500</v>
      </c>
      <c r="E1749" s="181" t="s">
        <v>15</v>
      </c>
      <c r="F1749" s="181" t="s">
        <v>14</v>
      </c>
      <c r="G1749" s="181" t="s">
        <v>793</v>
      </c>
      <c r="H1749" s="8">
        <v>2278822.85</v>
      </c>
      <c r="I1749" s="8">
        <v>39600.090000000004</v>
      </c>
      <c r="J1749" s="8">
        <v>0</v>
      </c>
      <c r="K1749" s="8">
        <v>-7657.64</v>
      </c>
      <c r="L1749" s="8">
        <v>0</v>
      </c>
      <c r="M1749" s="8">
        <v>0</v>
      </c>
      <c r="N1749" s="8">
        <v>0</v>
      </c>
      <c r="O1749" s="8">
        <v>2310765.2999999998</v>
      </c>
    </row>
    <row r="1750" spans="1:15">
      <c r="A1750" s="191">
        <v>44593</v>
      </c>
      <c r="B1750" s="181" t="s">
        <v>132</v>
      </c>
      <c r="C1750" s="181" t="s">
        <v>720</v>
      </c>
      <c r="D1750" s="181" t="str">
        <f t="shared" si="32"/>
        <v>36500</v>
      </c>
      <c r="E1750" s="181" t="s">
        <v>15</v>
      </c>
      <c r="F1750" s="181" t="s">
        <v>14</v>
      </c>
      <c r="G1750" s="181" t="s">
        <v>647</v>
      </c>
      <c r="H1750" s="8">
        <v>25477751.829999998</v>
      </c>
      <c r="I1750" s="8">
        <v>59587.49</v>
      </c>
      <c r="J1750" s="8">
        <v>-4299.82</v>
      </c>
      <c r="K1750" s="8">
        <v>0</v>
      </c>
      <c r="L1750" s="8">
        <v>0</v>
      </c>
      <c r="M1750" s="8">
        <v>0</v>
      </c>
      <c r="N1750" s="8">
        <v>0</v>
      </c>
      <c r="O1750" s="8">
        <v>25533039.5</v>
      </c>
    </row>
    <row r="1751" spans="1:15">
      <c r="A1751" s="191">
        <v>44593</v>
      </c>
      <c r="B1751" s="181" t="s">
        <v>132</v>
      </c>
      <c r="C1751" s="181" t="s">
        <v>720</v>
      </c>
      <c r="D1751" s="181" t="str">
        <f t="shared" si="32"/>
        <v>36500</v>
      </c>
      <c r="E1751" s="181" t="s">
        <v>15</v>
      </c>
      <c r="F1751" s="181" t="s">
        <v>14</v>
      </c>
      <c r="G1751" s="181" t="s">
        <v>793</v>
      </c>
      <c r="H1751" s="8">
        <v>2310765.2999999998</v>
      </c>
      <c r="I1751" s="8">
        <v>39724.99</v>
      </c>
      <c r="J1751" s="8">
        <v>0</v>
      </c>
      <c r="K1751" s="8">
        <v>-8954.73</v>
      </c>
      <c r="L1751" s="8">
        <v>0</v>
      </c>
      <c r="M1751" s="8">
        <v>0</v>
      </c>
      <c r="N1751" s="8">
        <v>0</v>
      </c>
      <c r="O1751" s="8">
        <v>2341535.56</v>
      </c>
    </row>
    <row r="1752" spans="1:15">
      <c r="A1752" s="191">
        <v>44621</v>
      </c>
      <c r="B1752" s="181" t="s">
        <v>131</v>
      </c>
      <c r="C1752" s="181" t="s">
        <v>720</v>
      </c>
      <c r="D1752" s="181" t="str">
        <f t="shared" si="32"/>
        <v>36500</v>
      </c>
      <c r="E1752" s="181" t="s">
        <v>15</v>
      </c>
      <c r="F1752" s="181" t="s">
        <v>14</v>
      </c>
      <c r="G1752" s="181" t="s">
        <v>647</v>
      </c>
      <c r="H1752" s="8">
        <v>25533039.5</v>
      </c>
      <c r="I1752" s="8">
        <v>59523.65</v>
      </c>
      <c r="J1752" s="8">
        <v>-1030.1300000000001</v>
      </c>
      <c r="K1752" s="8">
        <v>0</v>
      </c>
      <c r="L1752" s="8">
        <v>0</v>
      </c>
      <c r="M1752" s="8">
        <v>87</v>
      </c>
      <c r="N1752" s="8">
        <v>0</v>
      </c>
      <c r="O1752" s="8">
        <v>25591620.02</v>
      </c>
    </row>
    <row r="1753" spans="1:15">
      <c r="A1753" s="191">
        <v>44621</v>
      </c>
      <c r="B1753" s="181" t="s">
        <v>131</v>
      </c>
      <c r="C1753" s="181" t="s">
        <v>720</v>
      </c>
      <c r="D1753" s="181" t="str">
        <f t="shared" si="32"/>
        <v>36500</v>
      </c>
      <c r="E1753" s="181" t="s">
        <v>15</v>
      </c>
      <c r="F1753" s="181" t="s">
        <v>14</v>
      </c>
      <c r="G1753" s="181" t="s">
        <v>793</v>
      </c>
      <c r="H1753" s="8">
        <v>2341535.56</v>
      </c>
      <c r="I1753" s="8">
        <v>39682.44</v>
      </c>
      <c r="J1753" s="8">
        <v>0</v>
      </c>
      <c r="K1753" s="8">
        <v>-39889.1</v>
      </c>
      <c r="L1753" s="8">
        <v>0</v>
      </c>
      <c r="M1753" s="8">
        <v>6.08</v>
      </c>
      <c r="N1753" s="8">
        <v>0</v>
      </c>
      <c r="O1753" s="8">
        <v>2341334.98</v>
      </c>
    </row>
    <row r="1754" spans="1:15">
      <c r="A1754" s="191">
        <v>44652</v>
      </c>
      <c r="B1754" s="181" t="s">
        <v>130</v>
      </c>
      <c r="C1754" s="181" t="s">
        <v>720</v>
      </c>
      <c r="D1754" s="181" t="str">
        <f t="shared" si="32"/>
        <v>36500</v>
      </c>
      <c r="E1754" s="181" t="s">
        <v>15</v>
      </c>
      <c r="F1754" s="181" t="s">
        <v>14</v>
      </c>
      <c r="G1754" s="181" t="s">
        <v>647</v>
      </c>
      <c r="H1754" s="8">
        <v>25591620.02</v>
      </c>
      <c r="I1754" s="8">
        <v>59440.33</v>
      </c>
      <c r="J1754" s="8">
        <v>-7753.41</v>
      </c>
      <c r="K1754" s="8">
        <v>0</v>
      </c>
      <c r="L1754" s="8">
        <v>0</v>
      </c>
      <c r="M1754" s="8">
        <v>0</v>
      </c>
      <c r="N1754" s="8">
        <v>0</v>
      </c>
      <c r="O1754" s="8">
        <v>25643306.940000001</v>
      </c>
    </row>
    <row r="1755" spans="1:15">
      <c r="A1755" s="191">
        <v>44652</v>
      </c>
      <c r="B1755" s="181" t="s">
        <v>130</v>
      </c>
      <c r="C1755" s="181" t="s">
        <v>720</v>
      </c>
      <c r="D1755" s="181" t="str">
        <f t="shared" si="32"/>
        <v>36500</v>
      </c>
      <c r="E1755" s="181" t="s">
        <v>15</v>
      </c>
      <c r="F1755" s="181" t="s">
        <v>14</v>
      </c>
      <c r="G1755" s="181" t="s">
        <v>793</v>
      </c>
      <c r="H1755" s="8">
        <v>2341334.98</v>
      </c>
      <c r="I1755" s="8">
        <v>39626.89</v>
      </c>
      <c r="J1755" s="8">
        <v>0</v>
      </c>
      <c r="K1755" s="8">
        <v>-1736.44</v>
      </c>
      <c r="L1755" s="8">
        <v>0</v>
      </c>
      <c r="M1755" s="8">
        <v>0</v>
      </c>
      <c r="N1755" s="8">
        <v>0</v>
      </c>
      <c r="O1755" s="8">
        <v>2379225.4300000002</v>
      </c>
    </row>
    <row r="1756" spans="1:15">
      <c r="A1756" s="191">
        <v>44682</v>
      </c>
      <c r="B1756" s="181" t="s">
        <v>129</v>
      </c>
      <c r="C1756" s="181" t="s">
        <v>720</v>
      </c>
      <c r="D1756" s="181" t="str">
        <f t="shared" si="32"/>
        <v>36500</v>
      </c>
      <c r="E1756" s="181" t="s">
        <v>15</v>
      </c>
      <c r="F1756" s="181" t="s">
        <v>14</v>
      </c>
      <c r="G1756" s="181" t="s">
        <v>647</v>
      </c>
      <c r="H1756" s="8">
        <v>25643306.940000001</v>
      </c>
      <c r="I1756" s="8">
        <v>59642.18</v>
      </c>
      <c r="J1756" s="8">
        <v>-4636.5600000000004</v>
      </c>
      <c r="K1756" s="8">
        <v>0</v>
      </c>
      <c r="L1756" s="8">
        <v>0</v>
      </c>
      <c r="M1756" s="8">
        <v>-1853.89</v>
      </c>
      <c r="N1756" s="8">
        <v>0</v>
      </c>
      <c r="O1756" s="8">
        <v>25696458.670000002</v>
      </c>
    </row>
    <row r="1757" spans="1:15">
      <c r="A1757" s="191">
        <v>44682</v>
      </c>
      <c r="B1757" s="181" t="s">
        <v>129</v>
      </c>
      <c r="C1757" s="181" t="s">
        <v>720</v>
      </c>
      <c r="D1757" s="181" t="str">
        <f t="shared" si="32"/>
        <v>36500</v>
      </c>
      <c r="E1757" s="181" t="s">
        <v>15</v>
      </c>
      <c r="F1757" s="181" t="s">
        <v>14</v>
      </c>
      <c r="G1757" s="181" t="s">
        <v>793</v>
      </c>
      <c r="H1757" s="8">
        <v>2379225.4300000002</v>
      </c>
      <c r="I1757" s="8">
        <v>39761.450000000004</v>
      </c>
      <c r="J1757" s="8">
        <v>0</v>
      </c>
      <c r="K1757" s="8">
        <v>-5966.78</v>
      </c>
      <c r="L1757" s="8">
        <v>0</v>
      </c>
      <c r="M1757" s="8">
        <v>-164</v>
      </c>
      <c r="N1757" s="8">
        <v>0</v>
      </c>
      <c r="O1757" s="8">
        <v>2412856.1</v>
      </c>
    </row>
    <row r="1758" spans="1:15">
      <c r="A1758" s="191">
        <v>44713</v>
      </c>
      <c r="B1758" s="181" t="s">
        <v>128</v>
      </c>
      <c r="C1758" s="181" t="s">
        <v>720</v>
      </c>
      <c r="D1758" s="181" t="str">
        <f t="shared" si="32"/>
        <v>36500</v>
      </c>
      <c r="E1758" s="181" t="s">
        <v>15</v>
      </c>
      <c r="F1758" s="181" t="s">
        <v>14</v>
      </c>
      <c r="G1758" s="181" t="s">
        <v>647</v>
      </c>
      <c r="H1758" s="8">
        <v>25696458.670000002</v>
      </c>
      <c r="I1758" s="8">
        <v>59691.200000000004</v>
      </c>
      <c r="J1758" s="8">
        <v>-3057.34</v>
      </c>
      <c r="K1758" s="8">
        <v>0</v>
      </c>
      <c r="L1758" s="8">
        <v>0</v>
      </c>
      <c r="M1758" s="8">
        <v>0</v>
      </c>
      <c r="N1758" s="8">
        <v>0</v>
      </c>
      <c r="O1758" s="8">
        <v>25753092.530000001</v>
      </c>
    </row>
    <row r="1759" spans="1:15">
      <c r="A1759" s="191">
        <v>44713</v>
      </c>
      <c r="B1759" s="181" t="s">
        <v>128</v>
      </c>
      <c r="C1759" s="181" t="s">
        <v>720</v>
      </c>
      <c r="D1759" s="181" t="str">
        <f t="shared" si="32"/>
        <v>36500</v>
      </c>
      <c r="E1759" s="181" t="s">
        <v>15</v>
      </c>
      <c r="F1759" s="181" t="s">
        <v>14</v>
      </c>
      <c r="G1759" s="181" t="s">
        <v>793</v>
      </c>
      <c r="H1759" s="8">
        <v>2412856.1</v>
      </c>
      <c r="I1759" s="8">
        <v>39794.129999999997</v>
      </c>
      <c r="J1759" s="8">
        <v>0</v>
      </c>
      <c r="K1759" s="8">
        <v>-12712.07</v>
      </c>
      <c r="L1759" s="8">
        <v>0</v>
      </c>
      <c r="M1759" s="8">
        <v>0</v>
      </c>
      <c r="N1759" s="8">
        <v>0</v>
      </c>
      <c r="O1759" s="8">
        <v>2439938.16</v>
      </c>
    </row>
    <row r="1760" spans="1:15">
      <c r="A1760" s="191">
        <v>44743</v>
      </c>
      <c r="B1760" s="181" t="s">
        <v>127</v>
      </c>
      <c r="C1760" s="181" t="s">
        <v>720</v>
      </c>
      <c r="D1760" s="181" t="str">
        <f t="shared" si="32"/>
        <v>36500</v>
      </c>
      <c r="E1760" s="181" t="s">
        <v>15</v>
      </c>
      <c r="F1760" s="181" t="s">
        <v>14</v>
      </c>
      <c r="G1760" s="181" t="s">
        <v>647</v>
      </c>
      <c r="H1760" s="8">
        <v>25753092.530000001</v>
      </c>
      <c r="I1760" s="8">
        <v>59743.54</v>
      </c>
      <c r="J1760" s="8">
        <v>-61897.279999999999</v>
      </c>
      <c r="K1760" s="8">
        <v>0</v>
      </c>
      <c r="L1760" s="8">
        <v>0</v>
      </c>
      <c r="M1760" s="8">
        <v>0</v>
      </c>
      <c r="N1760" s="8">
        <v>0</v>
      </c>
      <c r="O1760" s="8">
        <v>25750938.789999999</v>
      </c>
    </row>
    <row r="1761" spans="1:15">
      <c r="A1761" s="191">
        <v>44743</v>
      </c>
      <c r="B1761" s="181" t="s">
        <v>127</v>
      </c>
      <c r="C1761" s="181" t="s">
        <v>720</v>
      </c>
      <c r="D1761" s="181" t="str">
        <f t="shared" si="32"/>
        <v>36500</v>
      </c>
      <c r="E1761" s="181" t="s">
        <v>15</v>
      </c>
      <c r="F1761" s="181" t="s">
        <v>14</v>
      </c>
      <c r="G1761" s="181" t="s">
        <v>793</v>
      </c>
      <c r="H1761" s="8">
        <v>2439938.16</v>
      </c>
      <c r="I1761" s="8">
        <v>39829.03</v>
      </c>
      <c r="J1761" s="8">
        <v>0</v>
      </c>
      <c r="K1761" s="8">
        <v>-25538.95</v>
      </c>
      <c r="L1761" s="8">
        <v>0</v>
      </c>
      <c r="M1761" s="8">
        <v>0</v>
      </c>
      <c r="N1761" s="8">
        <v>0</v>
      </c>
      <c r="O1761" s="8">
        <v>2454228.2400000002</v>
      </c>
    </row>
    <row r="1762" spans="1:15">
      <c r="A1762" s="191">
        <v>44774</v>
      </c>
      <c r="B1762" s="181" t="s">
        <v>126</v>
      </c>
      <c r="C1762" s="181" t="s">
        <v>720</v>
      </c>
      <c r="D1762" s="181" t="str">
        <f t="shared" si="32"/>
        <v>36500</v>
      </c>
      <c r="E1762" s="181" t="s">
        <v>15</v>
      </c>
      <c r="F1762" s="181" t="s">
        <v>14</v>
      </c>
      <c r="G1762" s="181" t="s">
        <v>647</v>
      </c>
      <c r="H1762" s="8">
        <v>25750938.789999999</v>
      </c>
      <c r="I1762" s="8">
        <v>59829.57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25810768.359999999</v>
      </c>
    </row>
    <row r="1763" spans="1:15">
      <c r="A1763" s="191">
        <v>44774</v>
      </c>
      <c r="B1763" s="181" t="s">
        <v>126</v>
      </c>
      <c r="C1763" s="181" t="s">
        <v>720</v>
      </c>
      <c r="D1763" s="181" t="str">
        <f t="shared" si="32"/>
        <v>36500</v>
      </c>
      <c r="E1763" s="181" t="s">
        <v>15</v>
      </c>
      <c r="F1763" s="181" t="s">
        <v>14</v>
      </c>
      <c r="G1763" s="181" t="s">
        <v>793</v>
      </c>
      <c r="H1763" s="8">
        <v>2454228.2400000002</v>
      </c>
      <c r="I1763" s="8">
        <v>39886.379999999997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2494114.62</v>
      </c>
    </row>
    <row r="1764" spans="1:15">
      <c r="A1764" s="191">
        <v>44805</v>
      </c>
      <c r="B1764" s="181" t="s">
        <v>125</v>
      </c>
      <c r="C1764" s="181" t="s">
        <v>720</v>
      </c>
      <c r="D1764" s="181" t="str">
        <f t="shared" si="32"/>
        <v>36500</v>
      </c>
      <c r="E1764" s="181" t="s">
        <v>15</v>
      </c>
      <c r="F1764" s="181" t="s">
        <v>14</v>
      </c>
      <c r="G1764" s="181" t="s">
        <v>647</v>
      </c>
      <c r="H1764" s="8">
        <v>25810768.359999999</v>
      </c>
      <c r="I1764" s="8">
        <v>59932.340000000004</v>
      </c>
      <c r="J1764" s="8">
        <v>-1192.92</v>
      </c>
      <c r="K1764" s="8">
        <v>0</v>
      </c>
      <c r="L1764" s="8">
        <v>0</v>
      </c>
      <c r="M1764" s="8">
        <v>0</v>
      </c>
      <c r="N1764" s="8">
        <v>0</v>
      </c>
      <c r="O1764" s="8">
        <v>25869507.780000001</v>
      </c>
    </row>
    <row r="1765" spans="1:15">
      <c r="A1765" s="191">
        <v>44805</v>
      </c>
      <c r="B1765" s="181" t="s">
        <v>125</v>
      </c>
      <c r="C1765" s="181" t="s">
        <v>720</v>
      </c>
      <c r="D1765" s="181" t="str">
        <f t="shared" si="32"/>
        <v>36500</v>
      </c>
      <c r="E1765" s="181" t="s">
        <v>15</v>
      </c>
      <c r="F1765" s="181" t="s">
        <v>14</v>
      </c>
      <c r="G1765" s="181" t="s">
        <v>793</v>
      </c>
      <c r="H1765" s="8">
        <v>2494114.62</v>
      </c>
      <c r="I1765" s="8">
        <v>39954.9</v>
      </c>
      <c r="J1765" s="8">
        <v>0</v>
      </c>
      <c r="K1765" s="8">
        <v>-603.48</v>
      </c>
      <c r="L1765" s="8">
        <v>0</v>
      </c>
      <c r="M1765" s="8">
        <v>0</v>
      </c>
      <c r="N1765" s="8">
        <v>0</v>
      </c>
      <c r="O1765" s="8">
        <v>2533466.04</v>
      </c>
    </row>
    <row r="1766" spans="1:15">
      <c r="A1766" s="191">
        <v>44835</v>
      </c>
      <c r="B1766" s="181" t="s">
        <v>124</v>
      </c>
      <c r="C1766" s="181" t="s">
        <v>720</v>
      </c>
      <c r="D1766" s="181" t="str">
        <f t="shared" si="32"/>
        <v>36500</v>
      </c>
      <c r="E1766" s="181" t="s">
        <v>15</v>
      </c>
      <c r="F1766" s="181" t="s">
        <v>14</v>
      </c>
      <c r="G1766" s="181" t="s">
        <v>647</v>
      </c>
      <c r="H1766" s="8">
        <v>25869507.780000001</v>
      </c>
      <c r="I1766" s="8">
        <v>60135.35</v>
      </c>
      <c r="J1766" s="8">
        <v>-7717.27</v>
      </c>
      <c r="K1766" s="8">
        <v>0</v>
      </c>
      <c r="L1766" s="8">
        <v>0</v>
      </c>
      <c r="M1766" s="8">
        <v>0</v>
      </c>
      <c r="N1766" s="8">
        <v>0</v>
      </c>
      <c r="O1766" s="8">
        <v>25921925.859999999</v>
      </c>
    </row>
    <row r="1767" spans="1:15">
      <c r="A1767" s="191">
        <v>44835</v>
      </c>
      <c r="B1767" s="181" t="s">
        <v>124</v>
      </c>
      <c r="C1767" s="181" t="s">
        <v>720</v>
      </c>
      <c r="D1767" s="181" t="str">
        <f t="shared" si="32"/>
        <v>36500</v>
      </c>
      <c r="E1767" s="181" t="s">
        <v>15</v>
      </c>
      <c r="F1767" s="181" t="s">
        <v>14</v>
      </c>
      <c r="G1767" s="181" t="s">
        <v>793</v>
      </c>
      <c r="H1767" s="8">
        <v>2533466.04</v>
      </c>
      <c r="I1767" s="8">
        <v>40090.230000000003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2573556.27</v>
      </c>
    </row>
    <row r="1768" spans="1:15">
      <c r="A1768" s="191">
        <v>44866</v>
      </c>
      <c r="B1768" s="181" t="s">
        <v>123</v>
      </c>
      <c r="C1768" s="181" t="s">
        <v>720</v>
      </c>
      <c r="D1768" s="181" t="str">
        <f t="shared" si="32"/>
        <v>36500</v>
      </c>
      <c r="E1768" s="181" t="s">
        <v>15</v>
      </c>
      <c r="F1768" s="181" t="s">
        <v>14</v>
      </c>
      <c r="G1768" s="181" t="s">
        <v>647</v>
      </c>
      <c r="H1768" s="8">
        <v>25921925.859999999</v>
      </c>
      <c r="I1768" s="8">
        <v>60309.49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25982235.350000001</v>
      </c>
    </row>
    <row r="1769" spans="1:15">
      <c r="A1769" s="191">
        <v>44866</v>
      </c>
      <c r="B1769" s="181" t="s">
        <v>123</v>
      </c>
      <c r="C1769" s="181" t="s">
        <v>720</v>
      </c>
      <c r="D1769" s="181" t="str">
        <f t="shared" si="32"/>
        <v>36500</v>
      </c>
      <c r="E1769" s="181" t="s">
        <v>15</v>
      </c>
      <c r="F1769" s="181" t="s">
        <v>14</v>
      </c>
      <c r="G1769" s="181" t="s">
        <v>793</v>
      </c>
      <c r="H1769" s="8">
        <v>2573556.27</v>
      </c>
      <c r="I1769" s="8">
        <v>40206.33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2613762.6</v>
      </c>
    </row>
    <row r="1770" spans="1:15">
      <c r="A1770" s="191">
        <v>44896</v>
      </c>
      <c r="B1770" s="181" t="s">
        <v>122</v>
      </c>
      <c r="C1770" s="181" t="s">
        <v>720</v>
      </c>
      <c r="D1770" s="181" t="str">
        <f t="shared" si="32"/>
        <v>36500</v>
      </c>
      <c r="E1770" s="181" t="s">
        <v>15</v>
      </c>
      <c r="F1770" s="181" t="s">
        <v>14</v>
      </c>
      <c r="G1770" s="181" t="s">
        <v>647</v>
      </c>
      <c r="H1770" s="8">
        <v>25982235.350000001</v>
      </c>
      <c r="I1770" s="8">
        <v>59932.42</v>
      </c>
      <c r="J1770" s="8">
        <v>-540391.6</v>
      </c>
      <c r="K1770" s="8">
        <v>0</v>
      </c>
      <c r="L1770" s="8">
        <v>0</v>
      </c>
      <c r="M1770" s="8">
        <v>0</v>
      </c>
      <c r="N1770" s="8">
        <v>0</v>
      </c>
      <c r="O1770" s="8">
        <v>25501776.170000002</v>
      </c>
    </row>
    <row r="1771" spans="1:15">
      <c r="A1771" s="191">
        <v>44896</v>
      </c>
      <c r="B1771" s="181" t="s">
        <v>122</v>
      </c>
      <c r="C1771" s="181" t="s">
        <v>720</v>
      </c>
      <c r="D1771" s="181" t="str">
        <f t="shared" si="32"/>
        <v>36500</v>
      </c>
      <c r="E1771" s="181" t="s">
        <v>15</v>
      </c>
      <c r="F1771" s="181" t="s">
        <v>14</v>
      </c>
      <c r="G1771" s="181" t="s">
        <v>793</v>
      </c>
      <c r="H1771" s="8">
        <v>2613762.6</v>
      </c>
      <c r="I1771" s="8">
        <v>40443.49</v>
      </c>
      <c r="J1771" s="8">
        <v>0</v>
      </c>
      <c r="K1771" s="8">
        <v>-281810.10000000003</v>
      </c>
      <c r="L1771" s="8">
        <v>0</v>
      </c>
      <c r="M1771" s="8">
        <v>0</v>
      </c>
      <c r="N1771" s="8">
        <v>0</v>
      </c>
      <c r="O1771" s="8">
        <v>2372395.9900000002</v>
      </c>
    </row>
    <row r="1772" spans="1:15">
      <c r="A1772" s="191">
        <v>44531</v>
      </c>
      <c r="B1772" s="181" t="s">
        <v>13</v>
      </c>
      <c r="C1772" s="181" t="s">
        <v>721</v>
      </c>
      <c r="D1772" s="181" t="str">
        <f t="shared" si="32"/>
        <v>36600</v>
      </c>
      <c r="E1772" s="181" t="s">
        <v>15</v>
      </c>
      <c r="F1772" s="181" t="s">
        <v>14</v>
      </c>
      <c r="G1772" s="181" t="s">
        <v>647</v>
      </c>
      <c r="H1772" s="8">
        <v>4894368.5</v>
      </c>
      <c r="I1772" s="8">
        <v>22518.850000000002</v>
      </c>
      <c r="J1772" s="8">
        <v>-413.31</v>
      </c>
      <c r="K1772" s="8">
        <v>0</v>
      </c>
      <c r="L1772" s="8">
        <v>0</v>
      </c>
      <c r="M1772" s="8">
        <v>0</v>
      </c>
      <c r="N1772" s="8">
        <v>0</v>
      </c>
      <c r="O1772" s="8">
        <v>4916474.04</v>
      </c>
    </row>
    <row r="1773" spans="1:15">
      <c r="A1773" s="191">
        <v>44531</v>
      </c>
      <c r="B1773" s="181" t="s">
        <v>13</v>
      </c>
      <c r="C1773" s="181" t="s">
        <v>721</v>
      </c>
      <c r="D1773" s="181" t="str">
        <f t="shared" si="32"/>
        <v>36600</v>
      </c>
      <c r="E1773" s="181" t="s">
        <v>15</v>
      </c>
      <c r="F1773" s="181" t="s">
        <v>14</v>
      </c>
      <c r="G1773" s="181" t="s">
        <v>793</v>
      </c>
      <c r="H1773" s="8">
        <v>814675.61</v>
      </c>
      <c r="I1773" s="8">
        <v>9033.73</v>
      </c>
      <c r="J1773" s="8">
        <v>0</v>
      </c>
      <c r="K1773" s="8">
        <v>-0.13</v>
      </c>
      <c r="L1773" s="8">
        <v>0</v>
      </c>
      <c r="M1773" s="8">
        <v>0</v>
      </c>
      <c r="N1773" s="8">
        <v>0</v>
      </c>
      <c r="O1773" s="8">
        <v>823709.21</v>
      </c>
    </row>
    <row r="1774" spans="1:15">
      <c r="A1774" s="191">
        <v>44562</v>
      </c>
      <c r="B1774" s="181" t="s">
        <v>133</v>
      </c>
      <c r="C1774" s="181" t="s">
        <v>721</v>
      </c>
      <c r="D1774" s="181" t="str">
        <f t="shared" si="32"/>
        <v>36600</v>
      </c>
      <c r="E1774" s="181" t="s">
        <v>15</v>
      </c>
      <c r="F1774" s="181" t="s">
        <v>14</v>
      </c>
      <c r="G1774" s="181" t="s">
        <v>647</v>
      </c>
      <c r="H1774" s="8">
        <v>4916474.04</v>
      </c>
      <c r="I1774" s="8">
        <v>22773.52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4939247.5600000005</v>
      </c>
    </row>
    <row r="1775" spans="1:15">
      <c r="A1775" s="191">
        <v>44562</v>
      </c>
      <c r="B1775" s="181" t="s">
        <v>133</v>
      </c>
      <c r="C1775" s="181" t="s">
        <v>721</v>
      </c>
      <c r="D1775" s="181" t="str">
        <f t="shared" si="32"/>
        <v>36600</v>
      </c>
      <c r="E1775" s="181" t="s">
        <v>15</v>
      </c>
      <c r="F1775" s="181" t="s">
        <v>14</v>
      </c>
      <c r="G1775" s="181" t="s">
        <v>793</v>
      </c>
      <c r="H1775" s="8">
        <v>823709.21</v>
      </c>
      <c r="I1775" s="8">
        <v>9135.89</v>
      </c>
      <c r="J1775" s="8">
        <v>0</v>
      </c>
      <c r="K1775" s="8">
        <v>-1558.45</v>
      </c>
      <c r="L1775" s="8">
        <v>0</v>
      </c>
      <c r="M1775" s="8">
        <v>0</v>
      </c>
      <c r="N1775" s="8">
        <v>0</v>
      </c>
      <c r="O1775" s="8">
        <v>831286.65</v>
      </c>
    </row>
    <row r="1776" spans="1:15">
      <c r="A1776" s="191">
        <v>44593</v>
      </c>
      <c r="B1776" s="181" t="s">
        <v>132</v>
      </c>
      <c r="C1776" s="181" t="s">
        <v>721</v>
      </c>
      <c r="D1776" s="181" t="str">
        <f t="shared" si="32"/>
        <v>36600</v>
      </c>
      <c r="E1776" s="181" t="s">
        <v>15</v>
      </c>
      <c r="F1776" s="181" t="s">
        <v>14</v>
      </c>
      <c r="G1776" s="181" t="s">
        <v>647</v>
      </c>
      <c r="H1776" s="8">
        <v>4939247.5600000005</v>
      </c>
      <c r="I1776" s="8">
        <v>23110.03</v>
      </c>
      <c r="J1776" s="8">
        <v>-57.2</v>
      </c>
      <c r="K1776" s="8">
        <v>0</v>
      </c>
      <c r="L1776" s="8">
        <v>0</v>
      </c>
      <c r="M1776" s="8">
        <v>0</v>
      </c>
      <c r="N1776" s="8">
        <v>0</v>
      </c>
      <c r="O1776" s="8">
        <v>4962300.3899999997</v>
      </c>
    </row>
    <row r="1777" spans="1:15">
      <c r="A1777" s="191">
        <v>44593</v>
      </c>
      <c r="B1777" s="181" t="s">
        <v>132</v>
      </c>
      <c r="C1777" s="181" t="s">
        <v>721</v>
      </c>
      <c r="D1777" s="181" t="str">
        <f t="shared" ref="D1777:D1840" si="33">MID(C1777,10,5)</f>
        <v>36600</v>
      </c>
      <c r="E1777" s="181" t="s">
        <v>15</v>
      </c>
      <c r="F1777" s="181" t="s">
        <v>14</v>
      </c>
      <c r="G1777" s="181" t="s">
        <v>793</v>
      </c>
      <c r="H1777" s="8">
        <v>831286.65</v>
      </c>
      <c r="I1777" s="8">
        <v>9270.880000000001</v>
      </c>
      <c r="J1777" s="8">
        <v>0</v>
      </c>
      <c r="K1777" s="8">
        <v>-102.02</v>
      </c>
      <c r="L1777" s="8">
        <v>0</v>
      </c>
      <c r="M1777" s="8">
        <v>0</v>
      </c>
      <c r="N1777" s="8">
        <v>0</v>
      </c>
      <c r="O1777" s="8">
        <v>840455.51</v>
      </c>
    </row>
    <row r="1778" spans="1:15">
      <c r="A1778" s="191">
        <v>44621</v>
      </c>
      <c r="B1778" s="181" t="s">
        <v>131</v>
      </c>
      <c r="C1778" s="181" t="s">
        <v>721</v>
      </c>
      <c r="D1778" s="181" t="str">
        <f t="shared" si="33"/>
        <v>36600</v>
      </c>
      <c r="E1778" s="181" t="s">
        <v>15</v>
      </c>
      <c r="F1778" s="181" t="s">
        <v>14</v>
      </c>
      <c r="G1778" s="181" t="s">
        <v>647</v>
      </c>
      <c r="H1778" s="8">
        <v>4962300.3899999997</v>
      </c>
      <c r="I1778" s="8">
        <v>23244.53</v>
      </c>
      <c r="J1778" s="8">
        <v>-2333.67</v>
      </c>
      <c r="K1778" s="8">
        <v>0</v>
      </c>
      <c r="L1778" s="8">
        <v>0</v>
      </c>
      <c r="M1778" s="8">
        <v>0</v>
      </c>
      <c r="N1778" s="8">
        <v>0</v>
      </c>
      <c r="O1778" s="8">
        <v>4983211.25</v>
      </c>
    </row>
    <row r="1779" spans="1:15">
      <c r="A1779" s="191">
        <v>44621</v>
      </c>
      <c r="B1779" s="181" t="s">
        <v>131</v>
      </c>
      <c r="C1779" s="181" t="s">
        <v>721</v>
      </c>
      <c r="D1779" s="181" t="str">
        <f t="shared" si="33"/>
        <v>36600</v>
      </c>
      <c r="E1779" s="181" t="s">
        <v>15</v>
      </c>
      <c r="F1779" s="181" t="s">
        <v>14</v>
      </c>
      <c r="G1779" s="181" t="s">
        <v>793</v>
      </c>
      <c r="H1779" s="8">
        <v>840455.51</v>
      </c>
      <c r="I1779" s="8">
        <v>9324.84</v>
      </c>
      <c r="J1779" s="8">
        <v>0</v>
      </c>
      <c r="K1779" s="8">
        <v>-1.84</v>
      </c>
      <c r="L1779" s="8">
        <v>0</v>
      </c>
      <c r="M1779" s="8">
        <v>0</v>
      </c>
      <c r="N1779" s="8">
        <v>0</v>
      </c>
      <c r="O1779" s="8">
        <v>849778.51</v>
      </c>
    </row>
    <row r="1780" spans="1:15">
      <c r="A1780" s="191">
        <v>44652</v>
      </c>
      <c r="B1780" s="181" t="s">
        <v>130</v>
      </c>
      <c r="C1780" s="181" t="s">
        <v>721</v>
      </c>
      <c r="D1780" s="181" t="str">
        <f t="shared" si="33"/>
        <v>36600</v>
      </c>
      <c r="E1780" s="181" t="s">
        <v>15</v>
      </c>
      <c r="F1780" s="181" t="s">
        <v>14</v>
      </c>
      <c r="G1780" s="181" t="s">
        <v>647</v>
      </c>
      <c r="H1780" s="8">
        <v>4983211.25</v>
      </c>
      <c r="I1780" s="8">
        <v>23377.29</v>
      </c>
      <c r="J1780" s="8">
        <v>-526.99</v>
      </c>
      <c r="K1780" s="8">
        <v>0</v>
      </c>
      <c r="L1780" s="8">
        <v>0</v>
      </c>
      <c r="M1780" s="8">
        <v>0</v>
      </c>
      <c r="N1780" s="8">
        <v>0</v>
      </c>
      <c r="O1780" s="8">
        <v>5006061.55</v>
      </c>
    </row>
    <row r="1781" spans="1:15">
      <c r="A1781" s="191">
        <v>44652</v>
      </c>
      <c r="B1781" s="181" t="s">
        <v>130</v>
      </c>
      <c r="C1781" s="181" t="s">
        <v>721</v>
      </c>
      <c r="D1781" s="181" t="str">
        <f t="shared" si="33"/>
        <v>36600</v>
      </c>
      <c r="E1781" s="181" t="s">
        <v>15</v>
      </c>
      <c r="F1781" s="181" t="s">
        <v>14</v>
      </c>
      <c r="G1781" s="181" t="s">
        <v>793</v>
      </c>
      <c r="H1781" s="8">
        <v>849778.51</v>
      </c>
      <c r="I1781" s="8">
        <v>9378.1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859156.61</v>
      </c>
    </row>
    <row r="1782" spans="1:15">
      <c r="A1782" s="191">
        <v>44682</v>
      </c>
      <c r="B1782" s="181" t="s">
        <v>129</v>
      </c>
      <c r="C1782" s="181" t="s">
        <v>721</v>
      </c>
      <c r="D1782" s="181" t="str">
        <f t="shared" si="33"/>
        <v>36600</v>
      </c>
      <c r="E1782" s="181" t="s">
        <v>15</v>
      </c>
      <c r="F1782" s="181" t="s">
        <v>14</v>
      </c>
      <c r="G1782" s="181" t="s">
        <v>647</v>
      </c>
      <c r="H1782" s="8">
        <v>5006061.55</v>
      </c>
      <c r="I1782" s="8">
        <v>23590.3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5029651.8499999996</v>
      </c>
    </row>
    <row r="1783" spans="1:15">
      <c r="A1783" s="191">
        <v>44682</v>
      </c>
      <c r="B1783" s="181" t="s">
        <v>129</v>
      </c>
      <c r="C1783" s="181" t="s">
        <v>721</v>
      </c>
      <c r="D1783" s="181" t="str">
        <f t="shared" si="33"/>
        <v>36600</v>
      </c>
      <c r="E1783" s="181" t="s">
        <v>15</v>
      </c>
      <c r="F1783" s="181" t="s">
        <v>14</v>
      </c>
      <c r="G1783" s="181" t="s">
        <v>793</v>
      </c>
      <c r="H1783" s="8">
        <v>859156.61</v>
      </c>
      <c r="I1783" s="8">
        <v>9463.5500000000011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868620.16</v>
      </c>
    </row>
    <row r="1784" spans="1:15">
      <c r="A1784" s="191">
        <v>44713</v>
      </c>
      <c r="B1784" s="181" t="s">
        <v>128</v>
      </c>
      <c r="C1784" s="181" t="s">
        <v>721</v>
      </c>
      <c r="D1784" s="181" t="str">
        <f t="shared" si="33"/>
        <v>36600</v>
      </c>
      <c r="E1784" s="181" t="s">
        <v>15</v>
      </c>
      <c r="F1784" s="181" t="s">
        <v>14</v>
      </c>
      <c r="G1784" s="181" t="s">
        <v>647</v>
      </c>
      <c r="H1784" s="8">
        <v>5029651.8499999996</v>
      </c>
      <c r="I1784" s="8">
        <v>23797.71</v>
      </c>
      <c r="J1784" s="8">
        <v>-1023.89</v>
      </c>
      <c r="K1784" s="8">
        <v>0</v>
      </c>
      <c r="L1784" s="8">
        <v>0</v>
      </c>
      <c r="M1784" s="8">
        <v>0</v>
      </c>
      <c r="N1784" s="8">
        <v>0</v>
      </c>
      <c r="O1784" s="8">
        <v>5052425.67</v>
      </c>
    </row>
    <row r="1785" spans="1:15">
      <c r="A1785" s="191">
        <v>44713</v>
      </c>
      <c r="B1785" s="181" t="s">
        <v>128</v>
      </c>
      <c r="C1785" s="181" t="s">
        <v>721</v>
      </c>
      <c r="D1785" s="181" t="str">
        <f t="shared" si="33"/>
        <v>36600</v>
      </c>
      <c r="E1785" s="181" t="s">
        <v>15</v>
      </c>
      <c r="F1785" s="181" t="s">
        <v>14</v>
      </c>
      <c r="G1785" s="181" t="s">
        <v>793</v>
      </c>
      <c r="H1785" s="8">
        <v>868620.16</v>
      </c>
      <c r="I1785" s="8">
        <v>9546.76</v>
      </c>
      <c r="J1785" s="8">
        <v>0</v>
      </c>
      <c r="K1785" s="8">
        <v>-528.95000000000005</v>
      </c>
      <c r="L1785" s="8">
        <v>0</v>
      </c>
      <c r="M1785" s="8">
        <v>0</v>
      </c>
      <c r="N1785" s="8">
        <v>0</v>
      </c>
      <c r="O1785" s="8">
        <v>877637.97</v>
      </c>
    </row>
    <row r="1786" spans="1:15">
      <c r="A1786" s="191">
        <v>44743</v>
      </c>
      <c r="B1786" s="181" t="s">
        <v>127</v>
      </c>
      <c r="C1786" s="181" t="s">
        <v>721</v>
      </c>
      <c r="D1786" s="181" t="str">
        <f t="shared" si="33"/>
        <v>36600</v>
      </c>
      <c r="E1786" s="181" t="s">
        <v>15</v>
      </c>
      <c r="F1786" s="181" t="s">
        <v>14</v>
      </c>
      <c r="G1786" s="181" t="s">
        <v>647</v>
      </c>
      <c r="H1786" s="8">
        <v>5052425.67</v>
      </c>
      <c r="I1786" s="8">
        <v>24145.84</v>
      </c>
      <c r="J1786" s="8">
        <v>-29353.83</v>
      </c>
      <c r="K1786" s="8">
        <v>0</v>
      </c>
      <c r="L1786" s="8">
        <v>0</v>
      </c>
      <c r="M1786" s="8">
        <v>0</v>
      </c>
      <c r="N1786" s="8">
        <v>0</v>
      </c>
      <c r="O1786" s="8">
        <v>5047217.68</v>
      </c>
    </row>
    <row r="1787" spans="1:15">
      <c r="A1787" s="191">
        <v>44743</v>
      </c>
      <c r="B1787" s="181" t="s">
        <v>127</v>
      </c>
      <c r="C1787" s="181" t="s">
        <v>721</v>
      </c>
      <c r="D1787" s="181" t="str">
        <f t="shared" si="33"/>
        <v>36600</v>
      </c>
      <c r="E1787" s="181" t="s">
        <v>15</v>
      </c>
      <c r="F1787" s="181" t="s">
        <v>14</v>
      </c>
      <c r="G1787" s="181" t="s">
        <v>793</v>
      </c>
      <c r="H1787" s="8">
        <v>877637.97</v>
      </c>
      <c r="I1787" s="8">
        <v>9686.41</v>
      </c>
      <c r="J1787" s="8">
        <v>0</v>
      </c>
      <c r="K1787" s="8">
        <v>-44604.94</v>
      </c>
      <c r="L1787" s="8">
        <v>0</v>
      </c>
      <c r="M1787" s="8">
        <v>0</v>
      </c>
      <c r="N1787" s="8">
        <v>0</v>
      </c>
      <c r="O1787" s="8">
        <v>842719.44000000006</v>
      </c>
    </row>
    <row r="1788" spans="1:15">
      <c r="A1788" s="191">
        <v>44774</v>
      </c>
      <c r="B1788" s="181" t="s">
        <v>126</v>
      </c>
      <c r="C1788" s="181" t="s">
        <v>721</v>
      </c>
      <c r="D1788" s="181" t="str">
        <f t="shared" si="33"/>
        <v>36600</v>
      </c>
      <c r="E1788" s="181" t="s">
        <v>15</v>
      </c>
      <c r="F1788" s="181" t="s">
        <v>14</v>
      </c>
      <c r="G1788" s="181" t="s">
        <v>647</v>
      </c>
      <c r="H1788" s="8">
        <v>5047217.68</v>
      </c>
      <c r="I1788" s="8">
        <v>24388.83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5071606.51</v>
      </c>
    </row>
    <row r="1789" spans="1:15">
      <c r="A1789" s="191">
        <v>44774</v>
      </c>
      <c r="B1789" s="181" t="s">
        <v>126</v>
      </c>
      <c r="C1789" s="181" t="s">
        <v>721</v>
      </c>
      <c r="D1789" s="181" t="str">
        <f t="shared" si="33"/>
        <v>36600</v>
      </c>
      <c r="E1789" s="181" t="s">
        <v>15</v>
      </c>
      <c r="F1789" s="181" t="s">
        <v>14</v>
      </c>
      <c r="G1789" s="181" t="s">
        <v>793</v>
      </c>
      <c r="H1789" s="8">
        <v>842719.44000000006</v>
      </c>
      <c r="I1789" s="8">
        <v>9783.89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852503.33000000007</v>
      </c>
    </row>
    <row r="1790" spans="1:15">
      <c r="A1790" s="191">
        <v>44805</v>
      </c>
      <c r="B1790" s="181" t="s">
        <v>125</v>
      </c>
      <c r="C1790" s="181" t="s">
        <v>721</v>
      </c>
      <c r="D1790" s="181" t="str">
        <f t="shared" si="33"/>
        <v>36600</v>
      </c>
      <c r="E1790" s="181" t="s">
        <v>15</v>
      </c>
      <c r="F1790" s="181" t="s">
        <v>14</v>
      </c>
      <c r="G1790" s="181" t="s">
        <v>647</v>
      </c>
      <c r="H1790" s="8">
        <v>5071606.51</v>
      </c>
      <c r="I1790" s="8">
        <v>24542.15</v>
      </c>
      <c r="J1790" s="8">
        <v>-413.31</v>
      </c>
      <c r="K1790" s="8">
        <v>0</v>
      </c>
      <c r="L1790" s="8">
        <v>0</v>
      </c>
      <c r="M1790" s="8">
        <v>0</v>
      </c>
      <c r="N1790" s="8">
        <v>0</v>
      </c>
      <c r="O1790" s="8">
        <v>5095735.3499999996</v>
      </c>
    </row>
    <row r="1791" spans="1:15">
      <c r="A1791" s="191">
        <v>44805</v>
      </c>
      <c r="B1791" s="181" t="s">
        <v>125</v>
      </c>
      <c r="C1791" s="181" t="s">
        <v>721</v>
      </c>
      <c r="D1791" s="181" t="str">
        <f t="shared" si="33"/>
        <v>36600</v>
      </c>
      <c r="E1791" s="181" t="s">
        <v>15</v>
      </c>
      <c r="F1791" s="181" t="s">
        <v>14</v>
      </c>
      <c r="G1791" s="181" t="s">
        <v>793</v>
      </c>
      <c r="H1791" s="8">
        <v>852503.33000000007</v>
      </c>
      <c r="I1791" s="8">
        <v>9845.4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862348.73</v>
      </c>
    </row>
    <row r="1792" spans="1:15">
      <c r="A1792" s="191">
        <v>44835</v>
      </c>
      <c r="B1792" s="181" t="s">
        <v>124</v>
      </c>
      <c r="C1792" s="181" t="s">
        <v>721</v>
      </c>
      <c r="D1792" s="181" t="str">
        <f t="shared" si="33"/>
        <v>36600</v>
      </c>
      <c r="E1792" s="181" t="s">
        <v>15</v>
      </c>
      <c r="F1792" s="181" t="s">
        <v>14</v>
      </c>
      <c r="G1792" s="181" t="s">
        <v>647</v>
      </c>
      <c r="H1792" s="8">
        <v>5095735.3499999996</v>
      </c>
      <c r="I1792" s="8">
        <v>24675.760000000002</v>
      </c>
      <c r="J1792" s="8">
        <v>-456.72</v>
      </c>
      <c r="K1792" s="8">
        <v>0</v>
      </c>
      <c r="L1792" s="8">
        <v>0</v>
      </c>
      <c r="M1792" s="8">
        <v>0</v>
      </c>
      <c r="N1792" s="8">
        <v>0</v>
      </c>
      <c r="O1792" s="8">
        <v>5119954.3899999997</v>
      </c>
    </row>
    <row r="1793" spans="1:15">
      <c r="A1793" s="191">
        <v>44835</v>
      </c>
      <c r="B1793" s="181" t="s">
        <v>124</v>
      </c>
      <c r="C1793" s="181" t="s">
        <v>721</v>
      </c>
      <c r="D1793" s="181" t="str">
        <f t="shared" si="33"/>
        <v>36600</v>
      </c>
      <c r="E1793" s="181" t="s">
        <v>15</v>
      </c>
      <c r="F1793" s="181" t="s">
        <v>14</v>
      </c>
      <c r="G1793" s="181" t="s">
        <v>793</v>
      </c>
      <c r="H1793" s="8">
        <v>862348.73</v>
      </c>
      <c r="I1793" s="8">
        <v>9899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872247.73</v>
      </c>
    </row>
    <row r="1794" spans="1:15">
      <c r="A1794" s="191">
        <v>44866</v>
      </c>
      <c r="B1794" s="181" t="s">
        <v>123</v>
      </c>
      <c r="C1794" s="181" t="s">
        <v>721</v>
      </c>
      <c r="D1794" s="181" t="str">
        <f t="shared" si="33"/>
        <v>36600</v>
      </c>
      <c r="E1794" s="181" t="s">
        <v>15</v>
      </c>
      <c r="F1794" s="181" t="s">
        <v>14</v>
      </c>
      <c r="G1794" s="181" t="s">
        <v>647</v>
      </c>
      <c r="H1794" s="8">
        <v>5119954.3899999997</v>
      </c>
      <c r="I1794" s="8">
        <v>24817.07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5144771.46</v>
      </c>
    </row>
    <row r="1795" spans="1:15">
      <c r="A1795" s="191">
        <v>44866</v>
      </c>
      <c r="B1795" s="181" t="s">
        <v>123</v>
      </c>
      <c r="C1795" s="181" t="s">
        <v>721</v>
      </c>
      <c r="D1795" s="181" t="str">
        <f t="shared" si="33"/>
        <v>36600</v>
      </c>
      <c r="E1795" s="181" t="s">
        <v>15</v>
      </c>
      <c r="F1795" s="181" t="s">
        <v>14</v>
      </c>
      <c r="G1795" s="181" t="s">
        <v>793</v>
      </c>
      <c r="H1795" s="8">
        <v>872247.73</v>
      </c>
      <c r="I1795" s="8">
        <v>9955.69</v>
      </c>
      <c r="J1795" s="8">
        <v>0</v>
      </c>
      <c r="K1795" s="8">
        <v>-2.5500000000000003</v>
      </c>
      <c r="L1795" s="8">
        <v>0</v>
      </c>
      <c r="M1795" s="8">
        <v>0</v>
      </c>
      <c r="N1795" s="8">
        <v>0</v>
      </c>
      <c r="O1795" s="8">
        <v>882200.87</v>
      </c>
    </row>
    <row r="1796" spans="1:15">
      <c r="A1796" s="191">
        <v>44896</v>
      </c>
      <c r="B1796" s="181" t="s">
        <v>122</v>
      </c>
      <c r="C1796" s="181" t="s">
        <v>721</v>
      </c>
      <c r="D1796" s="181" t="str">
        <f t="shared" si="33"/>
        <v>36600</v>
      </c>
      <c r="E1796" s="181" t="s">
        <v>15</v>
      </c>
      <c r="F1796" s="181" t="s">
        <v>14</v>
      </c>
      <c r="G1796" s="181" t="s">
        <v>647</v>
      </c>
      <c r="H1796" s="8">
        <v>5144771.46</v>
      </c>
      <c r="I1796" s="8">
        <v>24977.43</v>
      </c>
      <c r="J1796" s="8">
        <v>-69780.990000000005</v>
      </c>
      <c r="K1796" s="8">
        <v>0</v>
      </c>
      <c r="L1796" s="8">
        <v>0</v>
      </c>
      <c r="M1796" s="8">
        <v>0</v>
      </c>
      <c r="N1796" s="8">
        <v>0</v>
      </c>
      <c r="O1796" s="8">
        <v>5099967.9000000004</v>
      </c>
    </row>
    <row r="1797" spans="1:15">
      <c r="A1797" s="191">
        <v>44896</v>
      </c>
      <c r="B1797" s="181" t="s">
        <v>122</v>
      </c>
      <c r="C1797" s="181" t="s">
        <v>721</v>
      </c>
      <c r="D1797" s="181" t="str">
        <f t="shared" si="33"/>
        <v>36600</v>
      </c>
      <c r="E1797" s="181" t="s">
        <v>15</v>
      </c>
      <c r="F1797" s="181" t="s">
        <v>14</v>
      </c>
      <c r="G1797" s="181" t="s">
        <v>793</v>
      </c>
      <c r="H1797" s="8">
        <v>882200.87</v>
      </c>
      <c r="I1797" s="8">
        <v>10020.02</v>
      </c>
      <c r="J1797" s="8">
        <v>0</v>
      </c>
      <c r="K1797" s="8">
        <v>-40197.31</v>
      </c>
      <c r="L1797" s="8">
        <v>0</v>
      </c>
      <c r="M1797" s="8">
        <v>0</v>
      </c>
      <c r="N1797" s="8">
        <v>0</v>
      </c>
      <c r="O1797" s="8">
        <v>852023.58000000007</v>
      </c>
    </row>
    <row r="1798" spans="1:15">
      <c r="A1798" s="191">
        <v>44531</v>
      </c>
      <c r="B1798" s="181" t="s">
        <v>13</v>
      </c>
      <c r="C1798" s="181" t="s">
        <v>722</v>
      </c>
      <c r="D1798" s="181" t="str">
        <f t="shared" si="33"/>
        <v>36700</v>
      </c>
      <c r="E1798" s="181" t="s">
        <v>15</v>
      </c>
      <c r="F1798" s="181" t="s">
        <v>14</v>
      </c>
      <c r="G1798" s="181" t="s">
        <v>647</v>
      </c>
      <c r="H1798" s="8">
        <v>13565657.02</v>
      </c>
      <c r="I1798" s="8">
        <v>35784.81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13601441.83</v>
      </c>
    </row>
    <row r="1799" spans="1:15">
      <c r="A1799" s="191">
        <v>44531</v>
      </c>
      <c r="B1799" s="181" t="s">
        <v>13</v>
      </c>
      <c r="C1799" s="181" t="s">
        <v>722</v>
      </c>
      <c r="D1799" s="181" t="str">
        <f t="shared" si="33"/>
        <v>36700</v>
      </c>
      <c r="E1799" s="181" t="s">
        <v>15</v>
      </c>
      <c r="F1799" s="181" t="s">
        <v>14</v>
      </c>
      <c r="G1799" s="181" t="s">
        <v>793</v>
      </c>
      <c r="H1799" s="8">
        <v>515465.41000000003</v>
      </c>
      <c r="I1799" s="8">
        <v>6150.51</v>
      </c>
      <c r="J1799" s="8">
        <v>0</v>
      </c>
      <c r="K1799" s="8">
        <v>-6.6400000000000006</v>
      </c>
      <c r="L1799" s="8">
        <v>0</v>
      </c>
      <c r="M1799" s="8">
        <v>0</v>
      </c>
      <c r="N1799" s="8">
        <v>0</v>
      </c>
      <c r="O1799" s="8">
        <v>521609.28</v>
      </c>
    </row>
    <row r="1800" spans="1:15">
      <c r="A1800" s="191">
        <v>44562</v>
      </c>
      <c r="B1800" s="181" t="s">
        <v>133</v>
      </c>
      <c r="C1800" s="181" t="s">
        <v>722</v>
      </c>
      <c r="D1800" s="181" t="str">
        <f t="shared" si="33"/>
        <v>36700</v>
      </c>
      <c r="E1800" s="181" t="s">
        <v>15</v>
      </c>
      <c r="F1800" s="181" t="s">
        <v>14</v>
      </c>
      <c r="G1800" s="181" t="s">
        <v>647</v>
      </c>
      <c r="H1800" s="8">
        <v>13601441.83</v>
      </c>
      <c r="I1800" s="8">
        <v>35778</v>
      </c>
      <c r="J1800" s="8">
        <v>-24241.48</v>
      </c>
      <c r="K1800" s="8">
        <v>0</v>
      </c>
      <c r="L1800" s="8">
        <v>0</v>
      </c>
      <c r="M1800" s="8">
        <v>0</v>
      </c>
      <c r="N1800" s="8">
        <v>0</v>
      </c>
      <c r="O1800" s="8">
        <v>13612978.35</v>
      </c>
    </row>
    <row r="1801" spans="1:15">
      <c r="A1801" s="191">
        <v>44562</v>
      </c>
      <c r="B1801" s="181" t="s">
        <v>133</v>
      </c>
      <c r="C1801" s="181" t="s">
        <v>722</v>
      </c>
      <c r="D1801" s="181" t="str">
        <f t="shared" si="33"/>
        <v>36700</v>
      </c>
      <c r="E1801" s="181" t="s">
        <v>15</v>
      </c>
      <c r="F1801" s="181" t="s">
        <v>14</v>
      </c>
      <c r="G1801" s="181" t="s">
        <v>793</v>
      </c>
      <c r="H1801" s="8">
        <v>521609.28</v>
      </c>
      <c r="I1801" s="8">
        <v>6149.34</v>
      </c>
      <c r="J1801" s="8">
        <v>0</v>
      </c>
      <c r="K1801" s="8">
        <v>-785.35</v>
      </c>
      <c r="L1801" s="8">
        <v>0</v>
      </c>
      <c r="M1801" s="8">
        <v>0</v>
      </c>
      <c r="N1801" s="8">
        <v>0</v>
      </c>
      <c r="O1801" s="8">
        <v>526973.27</v>
      </c>
    </row>
    <row r="1802" spans="1:15">
      <c r="A1802" s="191">
        <v>44593</v>
      </c>
      <c r="B1802" s="181" t="s">
        <v>132</v>
      </c>
      <c r="C1802" s="181" t="s">
        <v>722</v>
      </c>
      <c r="D1802" s="181" t="str">
        <f t="shared" si="33"/>
        <v>36700</v>
      </c>
      <c r="E1802" s="181" t="s">
        <v>15</v>
      </c>
      <c r="F1802" s="181" t="s">
        <v>14</v>
      </c>
      <c r="G1802" s="181" t="s">
        <v>647</v>
      </c>
      <c r="H1802" s="8">
        <v>13612978.35</v>
      </c>
      <c r="I1802" s="8">
        <v>35995.9</v>
      </c>
      <c r="J1802" s="8">
        <v>-728.36</v>
      </c>
      <c r="K1802" s="8">
        <v>0</v>
      </c>
      <c r="L1802" s="8">
        <v>0</v>
      </c>
      <c r="M1802" s="8">
        <v>0</v>
      </c>
      <c r="N1802" s="8">
        <v>0</v>
      </c>
      <c r="O1802" s="8">
        <v>13648245.890000001</v>
      </c>
    </row>
    <row r="1803" spans="1:15">
      <c r="A1803" s="191">
        <v>44593</v>
      </c>
      <c r="B1803" s="181" t="s">
        <v>132</v>
      </c>
      <c r="C1803" s="181" t="s">
        <v>722</v>
      </c>
      <c r="D1803" s="181" t="str">
        <f t="shared" si="33"/>
        <v>36700</v>
      </c>
      <c r="E1803" s="181" t="s">
        <v>15</v>
      </c>
      <c r="F1803" s="181" t="s">
        <v>14</v>
      </c>
      <c r="G1803" s="181" t="s">
        <v>793</v>
      </c>
      <c r="H1803" s="8">
        <v>526973.27</v>
      </c>
      <c r="I1803" s="8">
        <v>6186.8</v>
      </c>
      <c r="J1803" s="8">
        <v>0</v>
      </c>
      <c r="K1803" s="8">
        <v>-5.03</v>
      </c>
      <c r="L1803" s="8">
        <v>0</v>
      </c>
      <c r="M1803" s="8">
        <v>0</v>
      </c>
      <c r="N1803" s="8">
        <v>0</v>
      </c>
      <c r="O1803" s="8">
        <v>533155.04</v>
      </c>
    </row>
    <row r="1804" spans="1:15">
      <c r="A1804" s="191">
        <v>44621</v>
      </c>
      <c r="B1804" s="181" t="s">
        <v>131</v>
      </c>
      <c r="C1804" s="181" t="s">
        <v>722</v>
      </c>
      <c r="D1804" s="181" t="str">
        <f t="shared" si="33"/>
        <v>36700</v>
      </c>
      <c r="E1804" s="181" t="s">
        <v>15</v>
      </c>
      <c r="F1804" s="181" t="s">
        <v>14</v>
      </c>
      <c r="G1804" s="181" t="s">
        <v>647</v>
      </c>
      <c r="H1804" s="8">
        <v>13648245.890000001</v>
      </c>
      <c r="I1804" s="8">
        <v>36152.18</v>
      </c>
      <c r="J1804" s="8">
        <v>-35314.61</v>
      </c>
      <c r="K1804" s="8">
        <v>0</v>
      </c>
      <c r="L1804" s="8">
        <v>0</v>
      </c>
      <c r="M1804" s="8">
        <v>0</v>
      </c>
      <c r="N1804" s="8">
        <v>0</v>
      </c>
      <c r="O1804" s="8">
        <v>13649083.460000001</v>
      </c>
    </row>
    <row r="1805" spans="1:15">
      <c r="A1805" s="191">
        <v>44621</v>
      </c>
      <c r="B1805" s="181" t="s">
        <v>131</v>
      </c>
      <c r="C1805" s="181" t="s">
        <v>722</v>
      </c>
      <c r="D1805" s="181" t="str">
        <f t="shared" si="33"/>
        <v>36700</v>
      </c>
      <c r="E1805" s="181" t="s">
        <v>15</v>
      </c>
      <c r="F1805" s="181" t="s">
        <v>14</v>
      </c>
      <c r="G1805" s="181" t="s">
        <v>793</v>
      </c>
      <c r="H1805" s="8">
        <v>533155.04</v>
      </c>
      <c r="I1805" s="8">
        <v>6213.66</v>
      </c>
      <c r="J1805" s="8">
        <v>0</v>
      </c>
      <c r="K1805" s="8">
        <v>-1496.5</v>
      </c>
      <c r="L1805" s="8">
        <v>0</v>
      </c>
      <c r="M1805" s="8">
        <v>0</v>
      </c>
      <c r="N1805" s="8">
        <v>0</v>
      </c>
      <c r="O1805" s="8">
        <v>537872.19999999995</v>
      </c>
    </row>
    <row r="1806" spans="1:15">
      <c r="A1806" s="191">
        <v>44652</v>
      </c>
      <c r="B1806" s="181" t="s">
        <v>130</v>
      </c>
      <c r="C1806" s="181" t="s">
        <v>722</v>
      </c>
      <c r="D1806" s="181" t="str">
        <f t="shared" si="33"/>
        <v>36700</v>
      </c>
      <c r="E1806" s="181" t="s">
        <v>15</v>
      </c>
      <c r="F1806" s="181" t="s">
        <v>14</v>
      </c>
      <c r="G1806" s="181" t="s">
        <v>647</v>
      </c>
      <c r="H1806" s="8">
        <v>13649083.460000001</v>
      </c>
      <c r="I1806" s="8">
        <v>35916.89</v>
      </c>
      <c r="J1806" s="8">
        <v>-6557.9000000000005</v>
      </c>
      <c r="K1806" s="8">
        <v>0</v>
      </c>
      <c r="L1806" s="8">
        <v>0</v>
      </c>
      <c r="M1806" s="8">
        <v>0</v>
      </c>
      <c r="N1806" s="8">
        <v>0</v>
      </c>
      <c r="O1806" s="8">
        <v>13678442.449999999</v>
      </c>
    </row>
    <row r="1807" spans="1:15">
      <c r="A1807" s="191">
        <v>44652</v>
      </c>
      <c r="B1807" s="181" t="s">
        <v>130</v>
      </c>
      <c r="C1807" s="181" t="s">
        <v>722</v>
      </c>
      <c r="D1807" s="181" t="str">
        <f t="shared" si="33"/>
        <v>36700</v>
      </c>
      <c r="E1807" s="181" t="s">
        <v>15</v>
      </c>
      <c r="F1807" s="181" t="s">
        <v>14</v>
      </c>
      <c r="G1807" s="181" t="s">
        <v>793</v>
      </c>
      <c r="H1807" s="8">
        <v>537872.19999999995</v>
      </c>
      <c r="I1807" s="8">
        <v>6173.21</v>
      </c>
      <c r="J1807" s="8">
        <v>0</v>
      </c>
      <c r="K1807" s="8">
        <v>-1408.07</v>
      </c>
      <c r="L1807" s="8">
        <v>0</v>
      </c>
      <c r="M1807" s="8">
        <v>0</v>
      </c>
      <c r="N1807" s="8">
        <v>0</v>
      </c>
      <c r="O1807" s="8">
        <v>542637.34</v>
      </c>
    </row>
    <row r="1808" spans="1:15">
      <c r="A1808" s="191">
        <v>44682</v>
      </c>
      <c r="B1808" s="181" t="s">
        <v>129</v>
      </c>
      <c r="C1808" s="181" t="s">
        <v>722</v>
      </c>
      <c r="D1808" s="181" t="str">
        <f t="shared" si="33"/>
        <v>36700</v>
      </c>
      <c r="E1808" s="181" t="s">
        <v>15</v>
      </c>
      <c r="F1808" s="181" t="s">
        <v>14</v>
      </c>
      <c r="G1808" s="181" t="s">
        <v>647</v>
      </c>
      <c r="H1808" s="8">
        <v>13678442.449999999</v>
      </c>
      <c r="I1808" s="8">
        <v>35853.35</v>
      </c>
      <c r="J1808" s="8">
        <v>-8094.93</v>
      </c>
      <c r="K1808" s="8">
        <v>0</v>
      </c>
      <c r="L1808" s="8">
        <v>0</v>
      </c>
      <c r="M1808" s="8">
        <v>0</v>
      </c>
      <c r="N1808" s="8">
        <v>0</v>
      </c>
      <c r="O1808" s="8">
        <v>13706200.869999999</v>
      </c>
    </row>
    <row r="1809" spans="1:15">
      <c r="A1809" s="191">
        <v>44682</v>
      </c>
      <c r="B1809" s="181" t="s">
        <v>129</v>
      </c>
      <c r="C1809" s="181" t="s">
        <v>722</v>
      </c>
      <c r="D1809" s="181" t="str">
        <f t="shared" si="33"/>
        <v>36700</v>
      </c>
      <c r="E1809" s="181" t="s">
        <v>15</v>
      </c>
      <c r="F1809" s="181" t="s">
        <v>14</v>
      </c>
      <c r="G1809" s="181" t="s">
        <v>793</v>
      </c>
      <c r="H1809" s="8">
        <v>542637.34</v>
      </c>
      <c r="I1809" s="8">
        <v>6162.29</v>
      </c>
      <c r="J1809" s="8">
        <v>0</v>
      </c>
      <c r="K1809" s="8">
        <v>-6827.03</v>
      </c>
      <c r="L1809" s="8">
        <v>0</v>
      </c>
      <c r="M1809" s="8">
        <v>0</v>
      </c>
      <c r="N1809" s="8">
        <v>0</v>
      </c>
      <c r="O1809" s="8">
        <v>541972.6</v>
      </c>
    </row>
    <row r="1810" spans="1:15">
      <c r="A1810" s="191">
        <v>44713</v>
      </c>
      <c r="B1810" s="181" t="s">
        <v>128</v>
      </c>
      <c r="C1810" s="181" t="s">
        <v>722</v>
      </c>
      <c r="D1810" s="181" t="str">
        <f t="shared" si="33"/>
        <v>36700</v>
      </c>
      <c r="E1810" s="181" t="s">
        <v>15</v>
      </c>
      <c r="F1810" s="181" t="s">
        <v>14</v>
      </c>
      <c r="G1810" s="181" t="s">
        <v>647</v>
      </c>
      <c r="H1810" s="8">
        <v>13706200.869999999</v>
      </c>
      <c r="I1810" s="8">
        <v>35899.4</v>
      </c>
      <c r="J1810" s="8">
        <v>-5874.46</v>
      </c>
      <c r="K1810" s="8">
        <v>0</v>
      </c>
      <c r="L1810" s="8">
        <v>0</v>
      </c>
      <c r="M1810" s="8">
        <v>0</v>
      </c>
      <c r="N1810" s="8">
        <v>0</v>
      </c>
      <c r="O1810" s="8">
        <v>13736225.810000001</v>
      </c>
    </row>
    <row r="1811" spans="1:15">
      <c r="A1811" s="191">
        <v>44713</v>
      </c>
      <c r="B1811" s="181" t="s">
        <v>128</v>
      </c>
      <c r="C1811" s="181" t="s">
        <v>722</v>
      </c>
      <c r="D1811" s="181" t="str">
        <f t="shared" si="33"/>
        <v>36700</v>
      </c>
      <c r="E1811" s="181" t="s">
        <v>15</v>
      </c>
      <c r="F1811" s="181" t="s">
        <v>14</v>
      </c>
      <c r="G1811" s="181" t="s">
        <v>793</v>
      </c>
      <c r="H1811" s="8">
        <v>541972.6</v>
      </c>
      <c r="I1811" s="8">
        <v>6170.21</v>
      </c>
      <c r="J1811" s="8">
        <v>0</v>
      </c>
      <c r="K1811" s="8">
        <v>-7602.32</v>
      </c>
      <c r="L1811" s="8">
        <v>0</v>
      </c>
      <c r="M1811" s="8">
        <v>0</v>
      </c>
      <c r="N1811" s="8">
        <v>0</v>
      </c>
      <c r="O1811" s="8">
        <v>540540.49</v>
      </c>
    </row>
    <row r="1812" spans="1:15">
      <c r="A1812" s="191">
        <v>44743</v>
      </c>
      <c r="B1812" s="181" t="s">
        <v>127</v>
      </c>
      <c r="C1812" s="181" t="s">
        <v>722</v>
      </c>
      <c r="D1812" s="181" t="str">
        <f t="shared" si="33"/>
        <v>36700</v>
      </c>
      <c r="E1812" s="181" t="s">
        <v>15</v>
      </c>
      <c r="F1812" s="181" t="s">
        <v>14</v>
      </c>
      <c r="G1812" s="181" t="s">
        <v>647</v>
      </c>
      <c r="H1812" s="8">
        <v>13736225.810000001</v>
      </c>
      <c r="I1812" s="8">
        <v>36207.300000000003</v>
      </c>
      <c r="J1812" s="8">
        <v>-19484.3</v>
      </c>
      <c r="K1812" s="8">
        <v>0</v>
      </c>
      <c r="L1812" s="8">
        <v>0</v>
      </c>
      <c r="M1812" s="8">
        <v>0</v>
      </c>
      <c r="N1812" s="8">
        <v>0</v>
      </c>
      <c r="O1812" s="8">
        <v>13752948.810000001</v>
      </c>
    </row>
    <row r="1813" spans="1:15">
      <c r="A1813" s="191">
        <v>44743</v>
      </c>
      <c r="B1813" s="181" t="s">
        <v>127</v>
      </c>
      <c r="C1813" s="181" t="s">
        <v>722</v>
      </c>
      <c r="D1813" s="181" t="str">
        <f t="shared" si="33"/>
        <v>36700</v>
      </c>
      <c r="E1813" s="181" t="s">
        <v>15</v>
      </c>
      <c r="F1813" s="181" t="s">
        <v>14</v>
      </c>
      <c r="G1813" s="181" t="s">
        <v>793</v>
      </c>
      <c r="H1813" s="8">
        <v>540540.49</v>
      </c>
      <c r="I1813" s="8">
        <v>6223.13</v>
      </c>
      <c r="J1813" s="8">
        <v>0</v>
      </c>
      <c r="K1813" s="8">
        <v>-28964.55</v>
      </c>
      <c r="L1813" s="8">
        <v>0</v>
      </c>
      <c r="M1813" s="8">
        <v>0</v>
      </c>
      <c r="N1813" s="8">
        <v>0</v>
      </c>
      <c r="O1813" s="8">
        <v>517799.07</v>
      </c>
    </row>
    <row r="1814" spans="1:15">
      <c r="A1814" s="191">
        <v>44774</v>
      </c>
      <c r="B1814" s="181" t="s">
        <v>126</v>
      </c>
      <c r="C1814" s="181" t="s">
        <v>722</v>
      </c>
      <c r="D1814" s="181" t="str">
        <f t="shared" si="33"/>
        <v>36700</v>
      </c>
      <c r="E1814" s="181" t="s">
        <v>15</v>
      </c>
      <c r="F1814" s="181" t="s">
        <v>14</v>
      </c>
      <c r="G1814" s="181" t="s">
        <v>647</v>
      </c>
      <c r="H1814" s="8">
        <v>13752948.810000001</v>
      </c>
      <c r="I1814" s="8">
        <v>36647.520000000004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13789596.33</v>
      </c>
    </row>
    <row r="1815" spans="1:15">
      <c r="A1815" s="191">
        <v>44774</v>
      </c>
      <c r="B1815" s="181" t="s">
        <v>126</v>
      </c>
      <c r="C1815" s="181" t="s">
        <v>722</v>
      </c>
      <c r="D1815" s="181" t="str">
        <f t="shared" si="33"/>
        <v>36700</v>
      </c>
      <c r="E1815" s="181" t="s">
        <v>15</v>
      </c>
      <c r="F1815" s="181" t="s">
        <v>14</v>
      </c>
      <c r="G1815" s="181" t="s">
        <v>793</v>
      </c>
      <c r="H1815" s="8">
        <v>517799.07</v>
      </c>
      <c r="I1815" s="8">
        <v>6298.79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524097.86</v>
      </c>
    </row>
    <row r="1816" spans="1:15">
      <c r="A1816" s="191">
        <v>44805</v>
      </c>
      <c r="B1816" s="181" t="s">
        <v>125</v>
      </c>
      <c r="C1816" s="181" t="s">
        <v>722</v>
      </c>
      <c r="D1816" s="181" t="str">
        <f t="shared" si="33"/>
        <v>36700</v>
      </c>
      <c r="E1816" s="181" t="s">
        <v>15</v>
      </c>
      <c r="F1816" s="181" t="s">
        <v>14</v>
      </c>
      <c r="G1816" s="181" t="s">
        <v>647</v>
      </c>
      <c r="H1816" s="8">
        <v>13789596.33</v>
      </c>
      <c r="I1816" s="8">
        <v>36627.21</v>
      </c>
      <c r="J1816" s="8">
        <v>-5556.22</v>
      </c>
      <c r="K1816" s="8">
        <v>0</v>
      </c>
      <c r="L1816" s="8">
        <v>0</v>
      </c>
      <c r="M1816" s="8">
        <v>0</v>
      </c>
      <c r="N1816" s="8">
        <v>0</v>
      </c>
      <c r="O1816" s="8">
        <v>13820667.32</v>
      </c>
    </row>
    <row r="1817" spans="1:15">
      <c r="A1817" s="191">
        <v>44805</v>
      </c>
      <c r="B1817" s="181" t="s">
        <v>125</v>
      </c>
      <c r="C1817" s="181" t="s">
        <v>722</v>
      </c>
      <c r="D1817" s="181" t="str">
        <f t="shared" si="33"/>
        <v>36700</v>
      </c>
      <c r="E1817" s="181" t="s">
        <v>15</v>
      </c>
      <c r="F1817" s="181" t="s">
        <v>14</v>
      </c>
      <c r="G1817" s="181" t="s">
        <v>793</v>
      </c>
      <c r="H1817" s="8">
        <v>524097.86</v>
      </c>
      <c r="I1817" s="8">
        <v>6295.3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530393.16</v>
      </c>
    </row>
    <row r="1818" spans="1:15">
      <c r="A1818" s="191">
        <v>44835</v>
      </c>
      <c r="B1818" s="181" t="s">
        <v>124</v>
      </c>
      <c r="C1818" s="181" t="s">
        <v>722</v>
      </c>
      <c r="D1818" s="181" t="str">
        <f t="shared" si="33"/>
        <v>36700</v>
      </c>
      <c r="E1818" s="181" t="s">
        <v>15</v>
      </c>
      <c r="F1818" s="181" t="s">
        <v>14</v>
      </c>
      <c r="G1818" s="181" t="s">
        <v>647</v>
      </c>
      <c r="H1818" s="8">
        <v>13820667.32</v>
      </c>
      <c r="I1818" s="8">
        <v>36648.720000000001</v>
      </c>
      <c r="J1818" s="8">
        <v>-5689.22</v>
      </c>
      <c r="K1818" s="8">
        <v>0</v>
      </c>
      <c r="L1818" s="8">
        <v>0</v>
      </c>
      <c r="M1818" s="8">
        <v>0</v>
      </c>
      <c r="N1818" s="8">
        <v>0</v>
      </c>
      <c r="O1818" s="8">
        <v>13851626.82</v>
      </c>
    </row>
    <row r="1819" spans="1:15">
      <c r="A1819" s="191">
        <v>44835</v>
      </c>
      <c r="B1819" s="181" t="s">
        <v>124</v>
      </c>
      <c r="C1819" s="181" t="s">
        <v>722</v>
      </c>
      <c r="D1819" s="181" t="str">
        <f t="shared" si="33"/>
        <v>36700</v>
      </c>
      <c r="E1819" s="181" t="s">
        <v>15</v>
      </c>
      <c r="F1819" s="181" t="s">
        <v>14</v>
      </c>
      <c r="G1819" s="181" t="s">
        <v>793</v>
      </c>
      <c r="H1819" s="8">
        <v>530393.16</v>
      </c>
      <c r="I1819" s="8">
        <v>6299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536692.16</v>
      </c>
    </row>
    <row r="1820" spans="1:15">
      <c r="A1820" s="191">
        <v>44866</v>
      </c>
      <c r="B1820" s="181" t="s">
        <v>123</v>
      </c>
      <c r="C1820" s="181" t="s">
        <v>722</v>
      </c>
      <c r="D1820" s="181" t="str">
        <f t="shared" si="33"/>
        <v>36700</v>
      </c>
      <c r="E1820" s="181" t="s">
        <v>15</v>
      </c>
      <c r="F1820" s="181" t="s">
        <v>14</v>
      </c>
      <c r="G1820" s="181" t="s">
        <v>647</v>
      </c>
      <c r="H1820" s="8">
        <v>13851626.82</v>
      </c>
      <c r="I1820" s="8">
        <v>36826.270000000004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13888453.09</v>
      </c>
    </row>
    <row r="1821" spans="1:15">
      <c r="A1821" s="191">
        <v>44866</v>
      </c>
      <c r="B1821" s="181" t="s">
        <v>123</v>
      </c>
      <c r="C1821" s="181" t="s">
        <v>722</v>
      </c>
      <c r="D1821" s="181" t="str">
        <f t="shared" si="33"/>
        <v>36700</v>
      </c>
      <c r="E1821" s="181" t="s">
        <v>15</v>
      </c>
      <c r="F1821" s="181" t="s">
        <v>14</v>
      </c>
      <c r="G1821" s="181" t="s">
        <v>793</v>
      </c>
      <c r="H1821" s="8">
        <v>536692.16</v>
      </c>
      <c r="I1821" s="8">
        <v>6329.52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543021.68000000005</v>
      </c>
    </row>
    <row r="1822" spans="1:15">
      <c r="A1822" s="191">
        <v>44896</v>
      </c>
      <c r="B1822" s="181" t="s">
        <v>122</v>
      </c>
      <c r="C1822" s="181" t="s">
        <v>722</v>
      </c>
      <c r="D1822" s="181" t="str">
        <f t="shared" si="33"/>
        <v>36700</v>
      </c>
      <c r="E1822" s="181" t="s">
        <v>15</v>
      </c>
      <c r="F1822" s="181" t="s">
        <v>14</v>
      </c>
      <c r="G1822" s="181" t="s">
        <v>647</v>
      </c>
      <c r="H1822" s="8">
        <v>13888453.09</v>
      </c>
      <c r="I1822" s="8">
        <v>36320.17</v>
      </c>
      <c r="J1822" s="8">
        <v>-71350.36</v>
      </c>
      <c r="K1822" s="8">
        <v>0</v>
      </c>
      <c r="L1822" s="8">
        <v>0</v>
      </c>
      <c r="M1822" s="8">
        <v>0</v>
      </c>
      <c r="N1822" s="8">
        <v>0</v>
      </c>
      <c r="O1822" s="8">
        <v>13853422.9</v>
      </c>
    </row>
    <row r="1823" spans="1:15">
      <c r="A1823" s="191">
        <v>44896</v>
      </c>
      <c r="B1823" s="181" t="s">
        <v>122</v>
      </c>
      <c r="C1823" s="181" t="s">
        <v>722</v>
      </c>
      <c r="D1823" s="181" t="str">
        <f t="shared" si="33"/>
        <v>36700</v>
      </c>
      <c r="E1823" s="181" t="s">
        <v>15</v>
      </c>
      <c r="F1823" s="181" t="s">
        <v>14</v>
      </c>
      <c r="G1823" s="181" t="s">
        <v>793</v>
      </c>
      <c r="H1823" s="8">
        <v>543021.68000000005</v>
      </c>
      <c r="I1823" s="8">
        <v>6398.16</v>
      </c>
      <c r="J1823" s="8">
        <v>0</v>
      </c>
      <c r="K1823" s="8">
        <v>-1512.06</v>
      </c>
      <c r="L1823" s="8">
        <v>0</v>
      </c>
      <c r="M1823" s="8">
        <v>0</v>
      </c>
      <c r="N1823" s="8">
        <v>0</v>
      </c>
      <c r="O1823" s="8">
        <v>547907.78</v>
      </c>
    </row>
    <row r="1824" spans="1:15">
      <c r="A1824" s="191">
        <v>44531</v>
      </c>
      <c r="B1824" s="181" t="s">
        <v>13</v>
      </c>
      <c r="C1824" s="181" t="s">
        <v>723</v>
      </c>
      <c r="D1824" s="181" t="str">
        <f t="shared" si="33"/>
        <v>36801</v>
      </c>
      <c r="E1824" s="181" t="s">
        <v>15</v>
      </c>
      <c r="F1824" s="181" t="s">
        <v>14</v>
      </c>
      <c r="G1824" s="181" t="s">
        <v>647</v>
      </c>
      <c r="H1824" s="8">
        <v>3211455.02</v>
      </c>
      <c r="I1824" s="8">
        <v>14272.29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3225727.31</v>
      </c>
    </row>
    <row r="1825" spans="1:15">
      <c r="A1825" s="191">
        <v>44531</v>
      </c>
      <c r="B1825" s="181" t="s">
        <v>13</v>
      </c>
      <c r="C1825" s="181" t="s">
        <v>723</v>
      </c>
      <c r="D1825" s="181" t="str">
        <f t="shared" si="33"/>
        <v>36801</v>
      </c>
      <c r="E1825" s="181" t="s">
        <v>15</v>
      </c>
      <c r="F1825" s="181" t="s">
        <v>14</v>
      </c>
      <c r="G1825" s="181" t="s">
        <v>793</v>
      </c>
      <c r="H1825" s="8">
        <v>-61967.33</v>
      </c>
      <c r="I1825" s="8">
        <v>0</v>
      </c>
      <c r="J1825" s="8">
        <v>0</v>
      </c>
      <c r="K1825" s="8">
        <v>-23.45</v>
      </c>
      <c r="L1825" s="8">
        <v>0</v>
      </c>
      <c r="M1825" s="8">
        <v>0</v>
      </c>
      <c r="N1825" s="8">
        <v>0</v>
      </c>
      <c r="O1825" s="8">
        <v>-61990.78</v>
      </c>
    </row>
    <row r="1826" spans="1:15">
      <c r="A1826" s="191">
        <v>44562</v>
      </c>
      <c r="B1826" s="181" t="s">
        <v>133</v>
      </c>
      <c r="C1826" s="181" t="s">
        <v>723</v>
      </c>
      <c r="D1826" s="181" t="str">
        <f t="shared" si="33"/>
        <v>36801</v>
      </c>
      <c r="E1826" s="181" t="s">
        <v>15</v>
      </c>
      <c r="F1826" s="181" t="s">
        <v>14</v>
      </c>
      <c r="G1826" s="181" t="s">
        <v>647</v>
      </c>
      <c r="H1826" s="8">
        <v>3225727.31</v>
      </c>
      <c r="I1826" s="8">
        <v>14372.69</v>
      </c>
      <c r="J1826" s="8">
        <v>-1353.23</v>
      </c>
      <c r="K1826" s="8">
        <v>0</v>
      </c>
      <c r="L1826" s="8">
        <v>0</v>
      </c>
      <c r="M1826" s="8">
        <v>0</v>
      </c>
      <c r="N1826" s="8">
        <v>0</v>
      </c>
      <c r="O1826" s="8">
        <v>3238746.77</v>
      </c>
    </row>
    <row r="1827" spans="1:15">
      <c r="A1827" s="191">
        <v>44562</v>
      </c>
      <c r="B1827" s="181" t="s">
        <v>133</v>
      </c>
      <c r="C1827" s="181" t="s">
        <v>723</v>
      </c>
      <c r="D1827" s="181" t="str">
        <f t="shared" si="33"/>
        <v>36801</v>
      </c>
      <c r="E1827" s="181" t="s">
        <v>15</v>
      </c>
      <c r="F1827" s="181" t="s">
        <v>14</v>
      </c>
      <c r="G1827" s="181" t="s">
        <v>793</v>
      </c>
      <c r="H1827" s="8">
        <v>-61990.78</v>
      </c>
      <c r="I1827" s="8">
        <v>0</v>
      </c>
      <c r="J1827" s="8">
        <v>0</v>
      </c>
      <c r="K1827" s="8">
        <v>-429.94</v>
      </c>
      <c r="L1827" s="8">
        <v>0</v>
      </c>
      <c r="M1827" s="8">
        <v>0</v>
      </c>
      <c r="N1827" s="8">
        <v>0</v>
      </c>
      <c r="O1827" s="8">
        <v>-62420.72</v>
      </c>
    </row>
    <row r="1828" spans="1:15">
      <c r="A1828" s="191">
        <v>44593</v>
      </c>
      <c r="B1828" s="181" t="s">
        <v>132</v>
      </c>
      <c r="C1828" s="181" t="s">
        <v>723</v>
      </c>
      <c r="D1828" s="181" t="str">
        <f t="shared" si="33"/>
        <v>36801</v>
      </c>
      <c r="E1828" s="181" t="s">
        <v>15</v>
      </c>
      <c r="F1828" s="181" t="s">
        <v>14</v>
      </c>
      <c r="G1828" s="181" t="s">
        <v>647</v>
      </c>
      <c r="H1828" s="8">
        <v>3238746.77</v>
      </c>
      <c r="I1828" s="8">
        <v>14446.36</v>
      </c>
      <c r="J1828" s="8">
        <v>-1508.89</v>
      </c>
      <c r="K1828" s="8">
        <v>0</v>
      </c>
      <c r="L1828" s="8">
        <v>0</v>
      </c>
      <c r="M1828" s="8">
        <v>0</v>
      </c>
      <c r="N1828" s="8">
        <v>0</v>
      </c>
      <c r="O1828" s="8">
        <v>3251684.24</v>
      </c>
    </row>
    <row r="1829" spans="1:15">
      <c r="A1829" s="191">
        <v>44593</v>
      </c>
      <c r="B1829" s="181" t="s">
        <v>132</v>
      </c>
      <c r="C1829" s="181" t="s">
        <v>723</v>
      </c>
      <c r="D1829" s="181" t="str">
        <f t="shared" si="33"/>
        <v>36801</v>
      </c>
      <c r="E1829" s="181" t="s">
        <v>15</v>
      </c>
      <c r="F1829" s="181" t="s">
        <v>14</v>
      </c>
      <c r="G1829" s="181" t="s">
        <v>793</v>
      </c>
      <c r="H1829" s="8">
        <v>-62420.72</v>
      </c>
      <c r="I1829" s="8">
        <v>0</v>
      </c>
      <c r="J1829" s="8">
        <v>0</v>
      </c>
      <c r="K1829" s="8">
        <v>-1391.76</v>
      </c>
      <c r="L1829" s="8">
        <v>0</v>
      </c>
      <c r="M1829" s="8">
        <v>0</v>
      </c>
      <c r="N1829" s="8">
        <v>0</v>
      </c>
      <c r="O1829" s="8">
        <v>-63812.480000000003</v>
      </c>
    </row>
    <row r="1830" spans="1:15">
      <c r="A1830" s="191">
        <v>44621</v>
      </c>
      <c r="B1830" s="181" t="s">
        <v>131</v>
      </c>
      <c r="C1830" s="181" t="s">
        <v>723</v>
      </c>
      <c r="D1830" s="181" t="str">
        <f t="shared" si="33"/>
        <v>36801</v>
      </c>
      <c r="E1830" s="181" t="s">
        <v>15</v>
      </c>
      <c r="F1830" s="181" t="s">
        <v>14</v>
      </c>
      <c r="G1830" s="181" t="s">
        <v>647</v>
      </c>
      <c r="H1830" s="8">
        <v>3251684.24</v>
      </c>
      <c r="I1830" s="8">
        <v>14372.1</v>
      </c>
      <c r="J1830" s="8">
        <v>-2043.06</v>
      </c>
      <c r="K1830" s="8">
        <v>0</v>
      </c>
      <c r="L1830" s="8">
        <v>0</v>
      </c>
      <c r="M1830" s="8">
        <v>0</v>
      </c>
      <c r="N1830" s="8">
        <v>0</v>
      </c>
      <c r="O1830" s="8">
        <v>3264013.2800000003</v>
      </c>
    </row>
    <row r="1831" spans="1:15">
      <c r="A1831" s="191">
        <v>44621</v>
      </c>
      <c r="B1831" s="181" t="s">
        <v>131</v>
      </c>
      <c r="C1831" s="181" t="s">
        <v>723</v>
      </c>
      <c r="D1831" s="181" t="str">
        <f t="shared" si="33"/>
        <v>36801</v>
      </c>
      <c r="E1831" s="181" t="s">
        <v>15</v>
      </c>
      <c r="F1831" s="181" t="s">
        <v>14</v>
      </c>
      <c r="G1831" s="181" t="s">
        <v>793</v>
      </c>
      <c r="H1831" s="8">
        <v>-63812.480000000003</v>
      </c>
      <c r="I1831" s="8">
        <v>0</v>
      </c>
      <c r="J1831" s="8">
        <v>0</v>
      </c>
      <c r="K1831" s="8">
        <v>-155.58000000000001</v>
      </c>
      <c r="L1831" s="8">
        <v>0</v>
      </c>
      <c r="M1831" s="8">
        <v>0</v>
      </c>
      <c r="N1831" s="8">
        <v>0</v>
      </c>
      <c r="O1831" s="8">
        <v>-63968.060000000005</v>
      </c>
    </row>
    <row r="1832" spans="1:15">
      <c r="A1832" s="191">
        <v>44652</v>
      </c>
      <c r="B1832" s="181" t="s">
        <v>130</v>
      </c>
      <c r="C1832" s="181" t="s">
        <v>723</v>
      </c>
      <c r="D1832" s="181" t="str">
        <f t="shared" si="33"/>
        <v>36801</v>
      </c>
      <c r="E1832" s="181" t="s">
        <v>15</v>
      </c>
      <c r="F1832" s="181" t="s">
        <v>14</v>
      </c>
      <c r="G1832" s="181" t="s">
        <v>647</v>
      </c>
      <c r="H1832" s="8">
        <v>3264013.2800000003</v>
      </c>
      <c r="I1832" s="8">
        <v>14282.42</v>
      </c>
      <c r="J1832" s="8">
        <v>-5423.26</v>
      </c>
      <c r="K1832" s="8">
        <v>0</v>
      </c>
      <c r="L1832" s="8">
        <v>0</v>
      </c>
      <c r="M1832" s="8">
        <v>0</v>
      </c>
      <c r="N1832" s="8">
        <v>0</v>
      </c>
      <c r="O1832" s="8">
        <v>3272872.44</v>
      </c>
    </row>
    <row r="1833" spans="1:15">
      <c r="A1833" s="191">
        <v>44652</v>
      </c>
      <c r="B1833" s="181" t="s">
        <v>130</v>
      </c>
      <c r="C1833" s="181" t="s">
        <v>723</v>
      </c>
      <c r="D1833" s="181" t="str">
        <f t="shared" si="33"/>
        <v>36801</v>
      </c>
      <c r="E1833" s="181" t="s">
        <v>15</v>
      </c>
      <c r="F1833" s="181" t="s">
        <v>14</v>
      </c>
      <c r="G1833" s="181" t="s">
        <v>793</v>
      </c>
      <c r="H1833" s="8">
        <v>-63968.060000000005</v>
      </c>
      <c r="I1833" s="8">
        <v>0</v>
      </c>
      <c r="J1833" s="8">
        <v>0</v>
      </c>
      <c r="K1833" s="8">
        <v>-1963.38</v>
      </c>
      <c r="L1833" s="8">
        <v>0</v>
      </c>
      <c r="M1833" s="8">
        <v>0</v>
      </c>
      <c r="N1833" s="8">
        <v>0</v>
      </c>
      <c r="O1833" s="8">
        <v>-65931.44</v>
      </c>
    </row>
    <row r="1834" spans="1:15">
      <c r="A1834" s="191">
        <v>44682</v>
      </c>
      <c r="B1834" s="181" t="s">
        <v>129</v>
      </c>
      <c r="C1834" s="181" t="s">
        <v>723</v>
      </c>
      <c r="D1834" s="181" t="str">
        <f t="shared" si="33"/>
        <v>36801</v>
      </c>
      <c r="E1834" s="181" t="s">
        <v>15</v>
      </c>
      <c r="F1834" s="181" t="s">
        <v>14</v>
      </c>
      <c r="G1834" s="181" t="s">
        <v>647</v>
      </c>
      <c r="H1834" s="8">
        <v>3272872.44</v>
      </c>
      <c r="I1834" s="8">
        <v>14350.14</v>
      </c>
      <c r="J1834" s="8">
        <v>-6779.91</v>
      </c>
      <c r="K1834" s="8">
        <v>0</v>
      </c>
      <c r="L1834" s="8">
        <v>0</v>
      </c>
      <c r="M1834" s="8">
        <v>0</v>
      </c>
      <c r="N1834" s="8">
        <v>0</v>
      </c>
      <c r="O1834" s="8">
        <v>3280442.67</v>
      </c>
    </row>
    <row r="1835" spans="1:15">
      <c r="A1835" s="191">
        <v>44682</v>
      </c>
      <c r="B1835" s="181" t="s">
        <v>129</v>
      </c>
      <c r="C1835" s="181" t="s">
        <v>723</v>
      </c>
      <c r="D1835" s="181" t="str">
        <f t="shared" si="33"/>
        <v>36801</v>
      </c>
      <c r="E1835" s="181" t="s">
        <v>15</v>
      </c>
      <c r="F1835" s="181" t="s">
        <v>14</v>
      </c>
      <c r="G1835" s="181" t="s">
        <v>793</v>
      </c>
      <c r="H1835" s="8">
        <v>-65931.44</v>
      </c>
      <c r="I1835" s="8">
        <v>0</v>
      </c>
      <c r="J1835" s="8">
        <v>0</v>
      </c>
      <c r="K1835" s="8">
        <v>-10720.25</v>
      </c>
      <c r="L1835" s="8">
        <v>0</v>
      </c>
      <c r="M1835" s="8">
        <v>0</v>
      </c>
      <c r="N1835" s="8">
        <v>0</v>
      </c>
      <c r="O1835" s="8">
        <v>-76651.69</v>
      </c>
    </row>
    <row r="1836" spans="1:15">
      <c r="A1836" s="191">
        <v>44713</v>
      </c>
      <c r="B1836" s="181" t="s">
        <v>128</v>
      </c>
      <c r="C1836" s="181" t="s">
        <v>723</v>
      </c>
      <c r="D1836" s="181" t="str">
        <f t="shared" si="33"/>
        <v>36801</v>
      </c>
      <c r="E1836" s="181" t="s">
        <v>15</v>
      </c>
      <c r="F1836" s="181" t="s">
        <v>14</v>
      </c>
      <c r="G1836" s="181" t="s">
        <v>647</v>
      </c>
      <c r="H1836" s="8">
        <v>3280442.67</v>
      </c>
      <c r="I1836" s="8">
        <v>14451.86</v>
      </c>
      <c r="J1836" s="8">
        <v>-6914.56</v>
      </c>
      <c r="K1836" s="8">
        <v>0</v>
      </c>
      <c r="L1836" s="8">
        <v>0</v>
      </c>
      <c r="M1836" s="8">
        <v>0</v>
      </c>
      <c r="N1836" s="8">
        <v>0</v>
      </c>
      <c r="O1836" s="8">
        <v>3287979.97</v>
      </c>
    </row>
    <row r="1837" spans="1:15">
      <c r="A1837" s="191">
        <v>44713</v>
      </c>
      <c r="B1837" s="181" t="s">
        <v>128</v>
      </c>
      <c r="C1837" s="181" t="s">
        <v>723</v>
      </c>
      <c r="D1837" s="181" t="str">
        <f t="shared" si="33"/>
        <v>36801</v>
      </c>
      <c r="E1837" s="181" t="s">
        <v>15</v>
      </c>
      <c r="F1837" s="181" t="s">
        <v>14</v>
      </c>
      <c r="G1837" s="181" t="s">
        <v>793</v>
      </c>
      <c r="H1837" s="8">
        <v>-76651.69</v>
      </c>
      <c r="I1837" s="8">
        <v>0</v>
      </c>
      <c r="J1837" s="8">
        <v>0</v>
      </c>
      <c r="K1837" s="8">
        <v>-8950.74</v>
      </c>
      <c r="L1837" s="8">
        <v>0</v>
      </c>
      <c r="M1837" s="8">
        <v>0</v>
      </c>
      <c r="N1837" s="8">
        <v>0</v>
      </c>
      <c r="O1837" s="8">
        <v>-85602.430000000008</v>
      </c>
    </row>
    <row r="1838" spans="1:15">
      <c r="A1838" s="191">
        <v>44743</v>
      </c>
      <c r="B1838" s="181" t="s">
        <v>127</v>
      </c>
      <c r="C1838" s="181" t="s">
        <v>723</v>
      </c>
      <c r="D1838" s="181" t="str">
        <f t="shared" si="33"/>
        <v>36801</v>
      </c>
      <c r="E1838" s="181" t="s">
        <v>15</v>
      </c>
      <c r="F1838" s="181" t="s">
        <v>14</v>
      </c>
      <c r="G1838" s="181" t="s">
        <v>647</v>
      </c>
      <c r="H1838" s="8">
        <v>3287979.97</v>
      </c>
      <c r="I1838" s="8">
        <v>14610.39</v>
      </c>
      <c r="J1838" s="8">
        <v>-23311.170000000002</v>
      </c>
      <c r="K1838" s="8">
        <v>0</v>
      </c>
      <c r="L1838" s="8">
        <v>0</v>
      </c>
      <c r="M1838" s="8">
        <v>0</v>
      </c>
      <c r="N1838" s="8">
        <v>0</v>
      </c>
      <c r="O1838" s="8">
        <v>3279279.19</v>
      </c>
    </row>
    <row r="1839" spans="1:15">
      <c r="A1839" s="191">
        <v>44743</v>
      </c>
      <c r="B1839" s="181" t="s">
        <v>127</v>
      </c>
      <c r="C1839" s="181" t="s">
        <v>723</v>
      </c>
      <c r="D1839" s="181" t="str">
        <f t="shared" si="33"/>
        <v>36801</v>
      </c>
      <c r="E1839" s="181" t="s">
        <v>15</v>
      </c>
      <c r="F1839" s="181" t="s">
        <v>14</v>
      </c>
      <c r="G1839" s="181" t="s">
        <v>793</v>
      </c>
      <c r="H1839" s="8">
        <v>-85602.430000000008</v>
      </c>
      <c r="I1839" s="8">
        <v>0</v>
      </c>
      <c r="J1839" s="8">
        <v>0</v>
      </c>
      <c r="K1839" s="8">
        <v>-29211.3</v>
      </c>
      <c r="L1839" s="8">
        <v>0</v>
      </c>
      <c r="M1839" s="8">
        <v>0</v>
      </c>
      <c r="N1839" s="8">
        <v>0</v>
      </c>
      <c r="O1839" s="8">
        <v>-114813.73</v>
      </c>
    </row>
    <row r="1840" spans="1:15">
      <c r="A1840" s="191">
        <v>44774</v>
      </c>
      <c r="B1840" s="181" t="s">
        <v>126</v>
      </c>
      <c r="C1840" s="181" t="s">
        <v>723</v>
      </c>
      <c r="D1840" s="181" t="str">
        <f t="shared" si="33"/>
        <v>36801</v>
      </c>
      <c r="E1840" s="181" t="s">
        <v>15</v>
      </c>
      <c r="F1840" s="181" t="s">
        <v>14</v>
      </c>
      <c r="G1840" s="181" t="s">
        <v>647</v>
      </c>
      <c r="H1840" s="8">
        <v>3279279.19</v>
      </c>
      <c r="I1840" s="8">
        <v>14676.79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3293955.98</v>
      </c>
    </row>
    <row r="1841" spans="1:15">
      <c r="A1841" s="191">
        <v>44774</v>
      </c>
      <c r="B1841" s="181" t="s">
        <v>126</v>
      </c>
      <c r="C1841" s="181" t="s">
        <v>723</v>
      </c>
      <c r="D1841" s="181" t="str">
        <f t="shared" ref="D1841:D1904" si="34">MID(C1841,10,5)</f>
        <v>36801</v>
      </c>
      <c r="E1841" s="181" t="s">
        <v>15</v>
      </c>
      <c r="F1841" s="181" t="s">
        <v>14</v>
      </c>
      <c r="G1841" s="181" t="s">
        <v>793</v>
      </c>
      <c r="H1841" s="8">
        <v>-114813.73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-114813.73</v>
      </c>
    </row>
    <row r="1842" spans="1:15">
      <c r="A1842" s="191">
        <v>44805</v>
      </c>
      <c r="B1842" s="181" t="s">
        <v>125</v>
      </c>
      <c r="C1842" s="181" t="s">
        <v>723</v>
      </c>
      <c r="D1842" s="181" t="str">
        <f t="shared" si="34"/>
        <v>36801</v>
      </c>
      <c r="E1842" s="181" t="s">
        <v>15</v>
      </c>
      <c r="F1842" s="181" t="s">
        <v>14</v>
      </c>
      <c r="G1842" s="181" t="s">
        <v>647</v>
      </c>
      <c r="H1842" s="8">
        <v>3293955.98</v>
      </c>
      <c r="I1842" s="8">
        <v>14629.5</v>
      </c>
      <c r="J1842" s="8">
        <v>-5044.8900000000003</v>
      </c>
      <c r="K1842" s="8">
        <v>0</v>
      </c>
      <c r="L1842" s="8">
        <v>0</v>
      </c>
      <c r="M1842" s="8">
        <v>0</v>
      </c>
      <c r="N1842" s="8">
        <v>0</v>
      </c>
      <c r="O1842" s="8">
        <v>3303540.59</v>
      </c>
    </row>
    <row r="1843" spans="1:15">
      <c r="A1843" s="191">
        <v>44805</v>
      </c>
      <c r="B1843" s="181" t="s">
        <v>125</v>
      </c>
      <c r="C1843" s="181" t="s">
        <v>723</v>
      </c>
      <c r="D1843" s="181" t="str">
        <f t="shared" si="34"/>
        <v>36801</v>
      </c>
      <c r="E1843" s="181" t="s">
        <v>15</v>
      </c>
      <c r="F1843" s="181" t="s">
        <v>14</v>
      </c>
      <c r="G1843" s="181" t="s">
        <v>793</v>
      </c>
      <c r="H1843" s="8">
        <v>-114813.73</v>
      </c>
      <c r="I1843" s="8">
        <v>0</v>
      </c>
      <c r="J1843" s="8">
        <v>0</v>
      </c>
      <c r="K1843" s="8">
        <v>-244.5</v>
      </c>
      <c r="L1843" s="8">
        <v>0</v>
      </c>
      <c r="M1843" s="8">
        <v>0</v>
      </c>
      <c r="N1843" s="8">
        <v>0</v>
      </c>
      <c r="O1843" s="8">
        <v>-115058.23</v>
      </c>
    </row>
    <row r="1844" spans="1:15">
      <c r="A1844" s="191">
        <v>44835</v>
      </c>
      <c r="B1844" s="181" t="s">
        <v>124</v>
      </c>
      <c r="C1844" s="181" t="s">
        <v>723</v>
      </c>
      <c r="D1844" s="181" t="str">
        <f t="shared" si="34"/>
        <v>36801</v>
      </c>
      <c r="E1844" s="181" t="s">
        <v>15</v>
      </c>
      <c r="F1844" s="181" t="s">
        <v>14</v>
      </c>
      <c r="G1844" s="181" t="s">
        <v>647</v>
      </c>
      <c r="H1844" s="8">
        <v>3303540.59</v>
      </c>
      <c r="I1844" s="8">
        <v>14643.93</v>
      </c>
      <c r="J1844" s="8">
        <v>-1120.21</v>
      </c>
      <c r="K1844" s="8">
        <v>0</v>
      </c>
      <c r="L1844" s="8">
        <v>0</v>
      </c>
      <c r="M1844" s="8">
        <v>0</v>
      </c>
      <c r="N1844" s="8">
        <v>0</v>
      </c>
      <c r="O1844" s="8">
        <v>3317064.31</v>
      </c>
    </row>
    <row r="1845" spans="1:15">
      <c r="A1845" s="191">
        <v>44835</v>
      </c>
      <c r="B1845" s="181" t="s">
        <v>124</v>
      </c>
      <c r="C1845" s="181" t="s">
        <v>723</v>
      </c>
      <c r="D1845" s="181" t="str">
        <f t="shared" si="34"/>
        <v>36801</v>
      </c>
      <c r="E1845" s="181" t="s">
        <v>15</v>
      </c>
      <c r="F1845" s="181" t="s">
        <v>14</v>
      </c>
      <c r="G1845" s="181" t="s">
        <v>793</v>
      </c>
      <c r="H1845" s="8">
        <v>-115058.23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-115058.23</v>
      </c>
    </row>
    <row r="1846" spans="1:15">
      <c r="A1846" s="191">
        <v>44866</v>
      </c>
      <c r="B1846" s="181" t="s">
        <v>123</v>
      </c>
      <c r="C1846" s="181" t="s">
        <v>723</v>
      </c>
      <c r="D1846" s="181" t="str">
        <f t="shared" si="34"/>
        <v>36801</v>
      </c>
      <c r="E1846" s="181" t="s">
        <v>15</v>
      </c>
      <c r="F1846" s="181" t="s">
        <v>14</v>
      </c>
      <c r="G1846" s="181" t="s">
        <v>647</v>
      </c>
      <c r="H1846" s="8">
        <v>3317064.31</v>
      </c>
      <c r="I1846" s="8">
        <v>14629.27</v>
      </c>
      <c r="J1846" s="8">
        <v>-107400.82</v>
      </c>
      <c r="K1846" s="8">
        <v>0</v>
      </c>
      <c r="L1846" s="8">
        <v>0</v>
      </c>
      <c r="M1846" s="8">
        <v>0</v>
      </c>
      <c r="N1846" s="8">
        <v>0</v>
      </c>
      <c r="O1846" s="8">
        <v>3224292.76</v>
      </c>
    </row>
    <row r="1847" spans="1:15">
      <c r="A1847" s="191">
        <v>44866</v>
      </c>
      <c r="B1847" s="181" t="s">
        <v>123</v>
      </c>
      <c r="C1847" s="181" t="s">
        <v>723</v>
      </c>
      <c r="D1847" s="181" t="str">
        <f t="shared" si="34"/>
        <v>36801</v>
      </c>
      <c r="E1847" s="181" t="s">
        <v>15</v>
      </c>
      <c r="F1847" s="181" t="s">
        <v>14</v>
      </c>
      <c r="G1847" s="181" t="s">
        <v>793</v>
      </c>
      <c r="H1847" s="8">
        <v>-115058.23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-115058.23</v>
      </c>
    </row>
    <row r="1848" spans="1:15">
      <c r="A1848" s="191">
        <v>44896</v>
      </c>
      <c r="B1848" s="181" t="s">
        <v>122</v>
      </c>
      <c r="C1848" s="181" t="s">
        <v>723</v>
      </c>
      <c r="D1848" s="181" t="str">
        <f t="shared" si="34"/>
        <v>36801</v>
      </c>
      <c r="E1848" s="181" t="s">
        <v>15</v>
      </c>
      <c r="F1848" s="181" t="s">
        <v>14</v>
      </c>
      <c r="G1848" s="181" t="s">
        <v>647</v>
      </c>
      <c r="H1848" s="8">
        <v>3224292.76</v>
      </c>
      <c r="I1848" s="8">
        <v>14726.84</v>
      </c>
      <c r="J1848" s="8">
        <v>-41829.53</v>
      </c>
      <c r="K1848" s="8">
        <v>0</v>
      </c>
      <c r="L1848" s="8">
        <v>0</v>
      </c>
      <c r="M1848" s="8">
        <v>0</v>
      </c>
      <c r="N1848" s="8">
        <v>0</v>
      </c>
      <c r="O1848" s="8">
        <v>3197190.07</v>
      </c>
    </row>
    <row r="1849" spans="1:15">
      <c r="A1849" s="191">
        <v>44896</v>
      </c>
      <c r="B1849" s="181" t="s">
        <v>122</v>
      </c>
      <c r="C1849" s="181" t="s">
        <v>723</v>
      </c>
      <c r="D1849" s="181" t="str">
        <f t="shared" si="34"/>
        <v>36801</v>
      </c>
      <c r="E1849" s="181" t="s">
        <v>15</v>
      </c>
      <c r="F1849" s="181" t="s">
        <v>14</v>
      </c>
      <c r="G1849" s="181" t="s">
        <v>793</v>
      </c>
      <c r="H1849" s="8">
        <v>-115058.23</v>
      </c>
      <c r="I1849" s="8">
        <v>0</v>
      </c>
      <c r="J1849" s="8">
        <v>0</v>
      </c>
      <c r="K1849" s="8">
        <v>-43423.94</v>
      </c>
      <c r="L1849" s="8">
        <v>0</v>
      </c>
      <c r="M1849" s="8">
        <v>0</v>
      </c>
      <c r="N1849" s="8">
        <v>0</v>
      </c>
      <c r="O1849" s="8">
        <v>-158482.17000000001</v>
      </c>
    </row>
    <row r="1850" spans="1:15">
      <c r="A1850" s="191">
        <v>44531</v>
      </c>
      <c r="B1850" s="181" t="s">
        <v>13</v>
      </c>
      <c r="C1850" s="181" t="s">
        <v>724</v>
      </c>
      <c r="D1850" s="181" t="str">
        <f t="shared" si="34"/>
        <v>36802</v>
      </c>
      <c r="E1850" s="181" t="s">
        <v>15</v>
      </c>
      <c r="F1850" s="181" t="s">
        <v>14</v>
      </c>
      <c r="G1850" s="181" t="s">
        <v>647</v>
      </c>
      <c r="H1850" s="8">
        <v>13960181.029999999</v>
      </c>
      <c r="I1850" s="8">
        <v>15476.7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13975657.73</v>
      </c>
    </row>
    <row r="1851" spans="1:15">
      <c r="A1851" s="191">
        <v>44531</v>
      </c>
      <c r="B1851" s="181" t="s">
        <v>13</v>
      </c>
      <c r="C1851" s="181" t="s">
        <v>724</v>
      </c>
      <c r="D1851" s="181" t="str">
        <f t="shared" si="34"/>
        <v>36802</v>
      </c>
      <c r="E1851" s="181" t="s">
        <v>15</v>
      </c>
      <c r="F1851" s="181" t="s">
        <v>14</v>
      </c>
      <c r="G1851" s="181" t="s">
        <v>793</v>
      </c>
      <c r="H1851" s="8">
        <v>-254942.56</v>
      </c>
      <c r="I1851" s="8">
        <v>0</v>
      </c>
      <c r="J1851" s="8">
        <v>0</v>
      </c>
      <c r="K1851" s="8">
        <v>-89.19</v>
      </c>
      <c r="L1851" s="8">
        <v>0</v>
      </c>
      <c r="M1851" s="8">
        <v>0</v>
      </c>
      <c r="N1851" s="8">
        <v>0</v>
      </c>
      <c r="O1851" s="8">
        <v>-255031.75</v>
      </c>
    </row>
    <row r="1852" spans="1:15">
      <c r="A1852" s="191">
        <v>44562</v>
      </c>
      <c r="B1852" s="181" t="s">
        <v>133</v>
      </c>
      <c r="C1852" s="181" t="s">
        <v>724</v>
      </c>
      <c r="D1852" s="181" t="str">
        <f t="shared" si="34"/>
        <v>36802</v>
      </c>
      <c r="E1852" s="181" t="s">
        <v>15</v>
      </c>
      <c r="F1852" s="181" t="s">
        <v>14</v>
      </c>
      <c r="G1852" s="181" t="s">
        <v>647</v>
      </c>
      <c r="H1852" s="8">
        <v>13975657.73</v>
      </c>
      <c r="I1852" s="8">
        <v>15557.25</v>
      </c>
      <c r="J1852" s="8">
        <v>-6022.7300000000005</v>
      </c>
      <c r="K1852" s="8">
        <v>0</v>
      </c>
      <c r="L1852" s="8">
        <v>0</v>
      </c>
      <c r="M1852" s="8">
        <v>0</v>
      </c>
      <c r="N1852" s="8">
        <v>0</v>
      </c>
      <c r="O1852" s="8">
        <v>13985192.25</v>
      </c>
    </row>
    <row r="1853" spans="1:15">
      <c r="A1853" s="191">
        <v>44562</v>
      </c>
      <c r="B1853" s="181" t="s">
        <v>133</v>
      </c>
      <c r="C1853" s="181" t="s">
        <v>724</v>
      </c>
      <c r="D1853" s="181" t="str">
        <f t="shared" si="34"/>
        <v>36802</v>
      </c>
      <c r="E1853" s="181" t="s">
        <v>15</v>
      </c>
      <c r="F1853" s="181" t="s">
        <v>14</v>
      </c>
      <c r="G1853" s="181" t="s">
        <v>793</v>
      </c>
      <c r="H1853" s="8">
        <v>-255031.75</v>
      </c>
      <c r="I1853" s="8">
        <v>0</v>
      </c>
      <c r="J1853" s="8">
        <v>0</v>
      </c>
      <c r="K1853" s="8">
        <v>-1412.69</v>
      </c>
      <c r="L1853" s="8">
        <v>0</v>
      </c>
      <c r="M1853" s="8">
        <v>0</v>
      </c>
      <c r="N1853" s="8">
        <v>0</v>
      </c>
      <c r="O1853" s="8">
        <v>-256444.44</v>
      </c>
    </row>
    <row r="1854" spans="1:15">
      <c r="A1854" s="191">
        <v>44593</v>
      </c>
      <c r="B1854" s="181" t="s">
        <v>132</v>
      </c>
      <c r="C1854" s="181" t="s">
        <v>724</v>
      </c>
      <c r="D1854" s="181" t="str">
        <f t="shared" si="34"/>
        <v>36802</v>
      </c>
      <c r="E1854" s="181" t="s">
        <v>15</v>
      </c>
      <c r="F1854" s="181" t="s">
        <v>14</v>
      </c>
      <c r="G1854" s="181" t="s">
        <v>647</v>
      </c>
      <c r="H1854" s="8">
        <v>13985192.25</v>
      </c>
      <c r="I1854" s="8">
        <v>15596.710000000001</v>
      </c>
      <c r="J1854" s="8">
        <v>-444.18</v>
      </c>
      <c r="K1854" s="8">
        <v>0</v>
      </c>
      <c r="L1854" s="8">
        <v>0</v>
      </c>
      <c r="M1854" s="8">
        <v>0</v>
      </c>
      <c r="N1854" s="8">
        <v>0</v>
      </c>
      <c r="O1854" s="8">
        <v>14000344.779999999</v>
      </c>
    </row>
    <row r="1855" spans="1:15">
      <c r="A1855" s="191">
        <v>44593</v>
      </c>
      <c r="B1855" s="181" t="s">
        <v>132</v>
      </c>
      <c r="C1855" s="181" t="s">
        <v>724</v>
      </c>
      <c r="D1855" s="181" t="str">
        <f t="shared" si="34"/>
        <v>36802</v>
      </c>
      <c r="E1855" s="181" t="s">
        <v>15</v>
      </c>
      <c r="F1855" s="181" t="s">
        <v>14</v>
      </c>
      <c r="G1855" s="181" t="s">
        <v>793</v>
      </c>
      <c r="H1855" s="8">
        <v>-256444.44</v>
      </c>
      <c r="I1855" s="8">
        <v>0</v>
      </c>
      <c r="J1855" s="8">
        <v>0</v>
      </c>
      <c r="K1855" s="8">
        <v>-1546.03</v>
      </c>
      <c r="L1855" s="8">
        <v>0</v>
      </c>
      <c r="M1855" s="8">
        <v>0</v>
      </c>
      <c r="N1855" s="8">
        <v>0</v>
      </c>
      <c r="O1855" s="8">
        <v>-257990.47</v>
      </c>
    </row>
    <row r="1856" spans="1:15">
      <c r="A1856" s="191">
        <v>44621</v>
      </c>
      <c r="B1856" s="181" t="s">
        <v>131</v>
      </c>
      <c r="C1856" s="181" t="s">
        <v>724</v>
      </c>
      <c r="D1856" s="181" t="str">
        <f t="shared" si="34"/>
        <v>36802</v>
      </c>
      <c r="E1856" s="181" t="s">
        <v>15</v>
      </c>
      <c r="F1856" s="181" t="s">
        <v>14</v>
      </c>
      <c r="G1856" s="181" t="s">
        <v>647</v>
      </c>
      <c r="H1856" s="8">
        <v>14000344.779999999</v>
      </c>
      <c r="I1856" s="8">
        <v>15704.41</v>
      </c>
      <c r="J1856" s="8">
        <v>-540.48</v>
      </c>
      <c r="K1856" s="8">
        <v>0</v>
      </c>
      <c r="L1856" s="8">
        <v>0</v>
      </c>
      <c r="M1856" s="8">
        <v>0</v>
      </c>
      <c r="N1856" s="8">
        <v>0</v>
      </c>
      <c r="O1856" s="8">
        <v>14015508.710000001</v>
      </c>
    </row>
    <row r="1857" spans="1:15">
      <c r="A1857" s="191">
        <v>44621</v>
      </c>
      <c r="B1857" s="181" t="s">
        <v>131</v>
      </c>
      <c r="C1857" s="181" t="s">
        <v>724</v>
      </c>
      <c r="D1857" s="181" t="str">
        <f t="shared" si="34"/>
        <v>36802</v>
      </c>
      <c r="E1857" s="181" t="s">
        <v>15</v>
      </c>
      <c r="F1857" s="181" t="s">
        <v>14</v>
      </c>
      <c r="G1857" s="181" t="s">
        <v>793</v>
      </c>
      <c r="H1857" s="8">
        <v>-257990.47</v>
      </c>
      <c r="I1857" s="8">
        <v>0</v>
      </c>
      <c r="J1857" s="8">
        <v>0</v>
      </c>
      <c r="K1857" s="8">
        <v>-830.38</v>
      </c>
      <c r="L1857" s="8">
        <v>0</v>
      </c>
      <c r="M1857" s="8">
        <v>0</v>
      </c>
      <c r="N1857" s="8">
        <v>0</v>
      </c>
      <c r="O1857" s="8">
        <v>-258820.85</v>
      </c>
    </row>
    <row r="1858" spans="1:15">
      <c r="A1858" s="191">
        <v>44652</v>
      </c>
      <c r="B1858" s="181" t="s">
        <v>130</v>
      </c>
      <c r="C1858" s="181" t="s">
        <v>724</v>
      </c>
      <c r="D1858" s="181" t="str">
        <f t="shared" si="34"/>
        <v>36802</v>
      </c>
      <c r="E1858" s="181" t="s">
        <v>15</v>
      </c>
      <c r="F1858" s="181" t="s">
        <v>14</v>
      </c>
      <c r="G1858" s="181" t="s">
        <v>647</v>
      </c>
      <c r="H1858" s="8">
        <v>14015508.710000001</v>
      </c>
      <c r="I1858" s="8">
        <v>15854.18</v>
      </c>
      <c r="J1858" s="8">
        <v>24042.11</v>
      </c>
      <c r="K1858" s="8">
        <v>0</v>
      </c>
      <c r="L1858" s="8">
        <v>0</v>
      </c>
      <c r="M1858" s="8">
        <v>0</v>
      </c>
      <c r="N1858" s="8">
        <v>0</v>
      </c>
      <c r="O1858" s="8">
        <v>14055405</v>
      </c>
    </row>
    <row r="1859" spans="1:15">
      <c r="A1859" s="191">
        <v>44652</v>
      </c>
      <c r="B1859" s="181" t="s">
        <v>130</v>
      </c>
      <c r="C1859" s="181" t="s">
        <v>724</v>
      </c>
      <c r="D1859" s="181" t="str">
        <f t="shared" si="34"/>
        <v>36802</v>
      </c>
      <c r="E1859" s="181" t="s">
        <v>15</v>
      </c>
      <c r="F1859" s="181" t="s">
        <v>14</v>
      </c>
      <c r="G1859" s="181" t="s">
        <v>793</v>
      </c>
      <c r="H1859" s="8">
        <v>-258820.85</v>
      </c>
      <c r="I1859" s="8">
        <v>0</v>
      </c>
      <c r="J1859" s="8">
        <v>0</v>
      </c>
      <c r="K1859" s="8">
        <v>-2172</v>
      </c>
      <c r="L1859" s="8">
        <v>0</v>
      </c>
      <c r="M1859" s="8">
        <v>0</v>
      </c>
      <c r="N1859" s="8">
        <v>0</v>
      </c>
      <c r="O1859" s="8">
        <v>-260992.85</v>
      </c>
    </row>
    <row r="1860" spans="1:15">
      <c r="A1860" s="191">
        <v>44682</v>
      </c>
      <c r="B1860" s="181" t="s">
        <v>129</v>
      </c>
      <c r="C1860" s="181" t="s">
        <v>724</v>
      </c>
      <c r="D1860" s="181" t="str">
        <f t="shared" si="34"/>
        <v>36802</v>
      </c>
      <c r="E1860" s="181" t="s">
        <v>15</v>
      </c>
      <c r="F1860" s="181" t="s">
        <v>14</v>
      </c>
      <c r="G1860" s="181" t="s">
        <v>647</v>
      </c>
      <c r="H1860" s="8">
        <v>14055405</v>
      </c>
      <c r="I1860" s="8">
        <v>15918.24</v>
      </c>
      <c r="J1860" s="8">
        <v>-532.44000000000005</v>
      </c>
      <c r="K1860" s="8">
        <v>0</v>
      </c>
      <c r="L1860" s="8">
        <v>0</v>
      </c>
      <c r="M1860" s="8">
        <v>0</v>
      </c>
      <c r="N1860" s="8">
        <v>0</v>
      </c>
      <c r="O1860" s="8">
        <v>14070790.800000001</v>
      </c>
    </row>
    <row r="1861" spans="1:15">
      <c r="A1861" s="191">
        <v>44682</v>
      </c>
      <c r="B1861" s="181" t="s">
        <v>129</v>
      </c>
      <c r="C1861" s="181" t="s">
        <v>724</v>
      </c>
      <c r="D1861" s="181" t="str">
        <f t="shared" si="34"/>
        <v>36802</v>
      </c>
      <c r="E1861" s="181" t="s">
        <v>15</v>
      </c>
      <c r="F1861" s="181" t="s">
        <v>14</v>
      </c>
      <c r="G1861" s="181" t="s">
        <v>793</v>
      </c>
      <c r="H1861" s="8">
        <v>-260992.85</v>
      </c>
      <c r="I1861" s="8">
        <v>0</v>
      </c>
      <c r="J1861" s="8">
        <v>0</v>
      </c>
      <c r="K1861" s="8">
        <v>-1415.6200000000001</v>
      </c>
      <c r="L1861" s="8">
        <v>0</v>
      </c>
      <c r="M1861" s="8">
        <v>0</v>
      </c>
      <c r="N1861" s="8">
        <v>0</v>
      </c>
      <c r="O1861" s="8">
        <v>-262408.47000000003</v>
      </c>
    </row>
    <row r="1862" spans="1:15">
      <c r="A1862" s="191">
        <v>44713</v>
      </c>
      <c r="B1862" s="181" t="s">
        <v>128</v>
      </c>
      <c r="C1862" s="181" t="s">
        <v>724</v>
      </c>
      <c r="D1862" s="181" t="str">
        <f t="shared" si="34"/>
        <v>36802</v>
      </c>
      <c r="E1862" s="181" t="s">
        <v>15</v>
      </c>
      <c r="F1862" s="181" t="s">
        <v>14</v>
      </c>
      <c r="G1862" s="181" t="s">
        <v>647</v>
      </c>
      <c r="H1862" s="8">
        <v>14070790.800000001</v>
      </c>
      <c r="I1862" s="8">
        <v>16012.17</v>
      </c>
      <c r="J1862" s="8">
        <v>3322.39</v>
      </c>
      <c r="K1862" s="8">
        <v>0</v>
      </c>
      <c r="L1862" s="8">
        <v>0</v>
      </c>
      <c r="M1862" s="8">
        <v>0</v>
      </c>
      <c r="N1862" s="8">
        <v>0</v>
      </c>
      <c r="O1862" s="8">
        <v>14090125.359999999</v>
      </c>
    </row>
    <row r="1863" spans="1:15">
      <c r="A1863" s="191">
        <v>44713</v>
      </c>
      <c r="B1863" s="181" t="s">
        <v>128</v>
      </c>
      <c r="C1863" s="181" t="s">
        <v>724</v>
      </c>
      <c r="D1863" s="181" t="str">
        <f t="shared" si="34"/>
        <v>36802</v>
      </c>
      <c r="E1863" s="181" t="s">
        <v>15</v>
      </c>
      <c r="F1863" s="181" t="s">
        <v>14</v>
      </c>
      <c r="G1863" s="181" t="s">
        <v>793</v>
      </c>
      <c r="H1863" s="8">
        <v>-262408.47000000003</v>
      </c>
      <c r="I1863" s="8">
        <v>0</v>
      </c>
      <c r="J1863" s="8">
        <v>0</v>
      </c>
      <c r="K1863" s="8">
        <v>-211.61</v>
      </c>
      <c r="L1863" s="8">
        <v>0</v>
      </c>
      <c r="M1863" s="8">
        <v>0</v>
      </c>
      <c r="N1863" s="8">
        <v>0</v>
      </c>
      <c r="O1863" s="8">
        <v>-262620.08</v>
      </c>
    </row>
    <row r="1864" spans="1:15">
      <c r="A1864" s="191">
        <v>44743</v>
      </c>
      <c r="B1864" s="181" t="s">
        <v>127</v>
      </c>
      <c r="C1864" s="181" t="s">
        <v>724</v>
      </c>
      <c r="D1864" s="181" t="str">
        <f t="shared" si="34"/>
        <v>36802</v>
      </c>
      <c r="E1864" s="181" t="s">
        <v>15</v>
      </c>
      <c r="F1864" s="181" t="s">
        <v>14</v>
      </c>
      <c r="G1864" s="181" t="s">
        <v>647</v>
      </c>
      <c r="H1864" s="8">
        <v>14090125.359999999</v>
      </c>
      <c r="I1864" s="8">
        <v>16088.51</v>
      </c>
      <c r="J1864" s="8">
        <v>-503.25</v>
      </c>
      <c r="K1864" s="8">
        <v>0</v>
      </c>
      <c r="L1864" s="8">
        <v>0</v>
      </c>
      <c r="M1864" s="8">
        <v>0</v>
      </c>
      <c r="N1864" s="8">
        <v>0</v>
      </c>
      <c r="O1864" s="8">
        <v>14105710.619999999</v>
      </c>
    </row>
    <row r="1865" spans="1:15">
      <c r="A1865" s="191">
        <v>44743</v>
      </c>
      <c r="B1865" s="181" t="s">
        <v>127</v>
      </c>
      <c r="C1865" s="181" t="s">
        <v>724</v>
      </c>
      <c r="D1865" s="181" t="str">
        <f t="shared" si="34"/>
        <v>36802</v>
      </c>
      <c r="E1865" s="181" t="s">
        <v>15</v>
      </c>
      <c r="F1865" s="181" t="s">
        <v>14</v>
      </c>
      <c r="G1865" s="181" t="s">
        <v>793</v>
      </c>
      <c r="H1865" s="8">
        <v>-262620.08</v>
      </c>
      <c r="I1865" s="8">
        <v>0</v>
      </c>
      <c r="J1865" s="8">
        <v>0</v>
      </c>
      <c r="K1865" s="8">
        <v>-12443.64</v>
      </c>
      <c r="L1865" s="8">
        <v>0</v>
      </c>
      <c r="M1865" s="8">
        <v>0</v>
      </c>
      <c r="N1865" s="8">
        <v>0</v>
      </c>
      <c r="O1865" s="8">
        <v>-275063.72000000003</v>
      </c>
    </row>
    <row r="1866" spans="1:15">
      <c r="A1866" s="191">
        <v>44774</v>
      </c>
      <c r="B1866" s="181" t="s">
        <v>126</v>
      </c>
      <c r="C1866" s="181" t="s">
        <v>724</v>
      </c>
      <c r="D1866" s="181" t="str">
        <f t="shared" si="34"/>
        <v>36802</v>
      </c>
      <c r="E1866" s="181" t="s">
        <v>15</v>
      </c>
      <c r="F1866" s="181" t="s">
        <v>14</v>
      </c>
      <c r="G1866" s="181" t="s">
        <v>647</v>
      </c>
      <c r="H1866" s="8">
        <v>14105710.619999999</v>
      </c>
      <c r="I1866" s="8">
        <v>16160.12</v>
      </c>
      <c r="J1866" s="8">
        <v>0.03</v>
      </c>
      <c r="K1866" s="8">
        <v>0</v>
      </c>
      <c r="L1866" s="8">
        <v>0</v>
      </c>
      <c r="M1866" s="8">
        <v>0</v>
      </c>
      <c r="N1866" s="8">
        <v>0</v>
      </c>
      <c r="O1866" s="8">
        <v>14121870.77</v>
      </c>
    </row>
    <row r="1867" spans="1:15">
      <c r="A1867" s="191">
        <v>44774</v>
      </c>
      <c r="B1867" s="181" t="s">
        <v>126</v>
      </c>
      <c r="C1867" s="181" t="s">
        <v>724</v>
      </c>
      <c r="D1867" s="181" t="str">
        <f t="shared" si="34"/>
        <v>36802</v>
      </c>
      <c r="E1867" s="181" t="s">
        <v>15</v>
      </c>
      <c r="F1867" s="181" t="s">
        <v>14</v>
      </c>
      <c r="G1867" s="181" t="s">
        <v>793</v>
      </c>
      <c r="H1867" s="8">
        <v>-275063.72000000003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-275063.72000000003</v>
      </c>
    </row>
    <row r="1868" spans="1:15">
      <c r="A1868" s="191">
        <v>44805</v>
      </c>
      <c r="B1868" s="181" t="s">
        <v>125</v>
      </c>
      <c r="C1868" s="181" t="s">
        <v>724</v>
      </c>
      <c r="D1868" s="181" t="str">
        <f t="shared" si="34"/>
        <v>36802</v>
      </c>
      <c r="E1868" s="181" t="s">
        <v>15</v>
      </c>
      <c r="F1868" s="181" t="s">
        <v>14</v>
      </c>
      <c r="G1868" s="181" t="s">
        <v>647</v>
      </c>
      <c r="H1868" s="8">
        <v>14121870.77</v>
      </c>
      <c r="I1868" s="8">
        <v>16290.06</v>
      </c>
      <c r="J1868" s="8">
        <v>5824.08</v>
      </c>
      <c r="K1868" s="8">
        <v>0</v>
      </c>
      <c r="L1868" s="8">
        <v>0</v>
      </c>
      <c r="M1868" s="8">
        <v>0</v>
      </c>
      <c r="N1868" s="8">
        <v>0</v>
      </c>
      <c r="O1868" s="8">
        <v>14143984.91</v>
      </c>
    </row>
    <row r="1869" spans="1:15">
      <c r="A1869" s="191">
        <v>44805</v>
      </c>
      <c r="B1869" s="181" t="s">
        <v>125</v>
      </c>
      <c r="C1869" s="181" t="s">
        <v>724</v>
      </c>
      <c r="D1869" s="181" t="str">
        <f t="shared" si="34"/>
        <v>36802</v>
      </c>
      <c r="E1869" s="181" t="s">
        <v>15</v>
      </c>
      <c r="F1869" s="181" t="s">
        <v>14</v>
      </c>
      <c r="G1869" s="181" t="s">
        <v>793</v>
      </c>
      <c r="H1869" s="8">
        <v>-275063.72000000003</v>
      </c>
      <c r="I1869" s="8">
        <v>0</v>
      </c>
      <c r="J1869" s="8">
        <v>0</v>
      </c>
      <c r="K1869" s="8">
        <v>-91.600000000000009</v>
      </c>
      <c r="L1869" s="8">
        <v>0</v>
      </c>
      <c r="M1869" s="8">
        <v>0</v>
      </c>
      <c r="N1869" s="8">
        <v>0</v>
      </c>
      <c r="O1869" s="8">
        <v>-275155.32</v>
      </c>
    </row>
    <row r="1870" spans="1:15">
      <c r="A1870" s="191">
        <v>44835</v>
      </c>
      <c r="B1870" s="181" t="s">
        <v>124</v>
      </c>
      <c r="C1870" s="181" t="s">
        <v>724</v>
      </c>
      <c r="D1870" s="181" t="str">
        <f t="shared" si="34"/>
        <v>36802</v>
      </c>
      <c r="E1870" s="181" t="s">
        <v>15</v>
      </c>
      <c r="F1870" s="181" t="s">
        <v>14</v>
      </c>
      <c r="G1870" s="181" t="s">
        <v>647</v>
      </c>
      <c r="H1870" s="8">
        <v>14143984.91</v>
      </c>
      <c r="I1870" s="8">
        <v>16346.29</v>
      </c>
      <c r="J1870" s="8">
        <v>5823.93</v>
      </c>
      <c r="K1870" s="8">
        <v>0</v>
      </c>
      <c r="L1870" s="8">
        <v>0</v>
      </c>
      <c r="M1870" s="8">
        <v>0</v>
      </c>
      <c r="N1870" s="8">
        <v>0</v>
      </c>
      <c r="O1870" s="8">
        <v>14166155.130000001</v>
      </c>
    </row>
    <row r="1871" spans="1:15">
      <c r="A1871" s="191">
        <v>44835</v>
      </c>
      <c r="B1871" s="181" t="s">
        <v>124</v>
      </c>
      <c r="C1871" s="181" t="s">
        <v>724</v>
      </c>
      <c r="D1871" s="181" t="str">
        <f t="shared" si="34"/>
        <v>36802</v>
      </c>
      <c r="E1871" s="181" t="s">
        <v>15</v>
      </c>
      <c r="F1871" s="181" t="s">
        <v>14</v>
      </c>
      <c r="G1871" s="181" t="s">
        <v>793</v>
      </c>
      <c r="H1871" s="8">
        <v>-275155.32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-275155.32</v>
      </c>
    </row>
    <row r="1872" spans="1:15">
      <c r="A1872" s="191">
        <v>44866</v>
      </c>
      <c r="B1872" s="181" t="s">
        <v>123</v>
      </c>
      <c r="C1872" s="181" t="s">
        <v>724</v>
      </c>
      <c r="D1872" s="181" t="str">
        <f t="shared" si="34"/>
        <v>36802</v>
      </c>
      <c r="E1872" s="181" t="s">
        <v>15</v>
      </c>
      <c r="F1872" s="181" t="s">
        <v>14</v>
      </c>
      <c r="G1872" s="181" t="s">
        <v>647</v>
      </c>
      <c r="H1872" s="8">
        <v>14166155.130000001</v>
      </c>
      <c r="I1872" s="8">
        <v>16378.82</v>
      </c>
      <c r="J1872" s="8">
        <v>0.03</v>
      </c>
      <c r="K1872" s="8">
        <v>0</v>
      </c>
      <c r="L1872" s="8">
        <v>0</v>
      </c>
      <c r="M1872" s="8">
        <v>0</v>
      </c>
      <c r="N1872" s="8">
        <v>0</v>
      </c>
      <c r="O1872" s="8">
        <v>14182533.98</v>
      </c>
    </row>
    <row r="1873" spans="1:15">
      <c r="A1873" s="191">
        <v>44866</v>
      </c>
      <c r="B1873" s="181" t="s">
        <v>123</v>
      </c>
      <c r="C1873" s="181" t="s">
        <v>724</v>
      </c>
      <c r="D1873" s="181" t="str">
        <f t="shared" si="34"/>
        <v>36802</v>
      </c>
      <c r="E1873" s="181" t="s">
        <v>15</v>
      </c>
      <c r="F1873" s="181" t="s">
        <v>14</v>
      </c>
      <c r="G1873" s="181" t="s">
        <v>793</v>
      </c>
      <c r="H1873" s="8">
        <v>-275155.32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-275155.32</v>
      </c>
    </row>
    <row r="1874" spans="1:15">
      <c r="A1874" s="191">
        <v>44896</v>
      </c>
      <c r="B1874" s="181" t="s">
        <v>122</v>
      </c>
      <c r="C1874" s="181" t="s">
        <v>724</v>
      </c>
      <c r="D1874" s="181" t="str">
        <f t="shared" si="34"/>
        <v>36802</v>
      </c>
      <c r="E1874" s="181" t="s">
        <v>15</v>
      </c>
      <c r="F1874" s="181" t="s">
        <v>14</v>
      </c>
      <c r="G1874" s="181" t="s">
        <v>647</v>
      </c>
      <c r="H1874" s="8">
        <v>14182533.98</v>
      </c>
      <c r="I1874" s="8">
        <v>16300.82</v>
      </c>
      <c r="J1874" s="8">
        <v>1941.18</v>
      </c>
      <c r="K1874" s="8">
        <v>0</v>
      </c>
      <c r="L1874" s="8">
        <v>0</v>
      </c>
      <c r="M1874" s="8">
        <v>0</v>
      </c>
      <c r="N1874" s="8">
        <v>0</v>
      </c>
      <c r="O1874" s="8">
        <v>14200775.98</v>
      </c>
    </row>
    <row r="1875" spans="1:15">
      <c r="A1875" s="191">
        <v>44896</v>
      </c>
      <c r="B1875" s="181" t="s">
        <v>122</v>
      </c>
      <c r="C1875" s="181" t="s">
        <v>724</v>
      </c>
      <c r="D1875" s="181" t="str">
        <f t="shared" si="34"/>
        <v>36802</v>
      </c>
      <c r="E1875" s="181" t="s">
        <v>15</v>
      </c>
      <c r="F1875" s="181" t="s">
        <v>14</v>
      </c>
      <c r="G1875" s="181" t="s">
        <v>793</v>
      </c>
      <c r="H1875" s="8">
        <v>-275155.32</v>
      </c>
      <c r="I1875" s="8">
        <v>0</v>
      </c>
      <c r="J1875" s="8">
        <v>0</v>
      </c>
      <c r="K1875" s="8">
        <v>-1.3800000000000001</v>
      </c>
      <c r="L1875" s="8">
        <v>0</v>
      </c>
      <c r="M1875" s="8">
        <v>0</v>
      </c>
      <c r="N1875" s="8">
        <v>0</v>
      </c>
      <c r="O1875" s="8">
        <v>-275156.7</v>
      </c>
    </row>
    <row r="1876" spans="1:15">
      <c r="A1876" s="191">
        <v>44531</v>
      </c>
      <c r="B1876" s="181" t="s">
        <v>13</v>
      </c>
      <c r="C1876" s="181" t="s">
        <v>725</v>
      </c>
      <c r="D1876" s="181" t="str">
        <f t="shared" si="34"/>
        <v>36803</v>
      </c>
      <c r="E1876" s="181" t="s">
        <v>15</v>
      </c>
      <c r="F1876" s="181" t="s">
        <v>14</v>
      </c>
      <c r="G1876" s="181" t="s">
        <v>647</v>
      </c>
      <c r="H1876" s="8">
        <v>10778467.25</v>
      </c>
      <c r="I1876" s="8">
        <v>27829.9</v>
      </c>
      <c r="J1876" s="8">
        <v>-14.46</v>
      </c>
      <c r="K1876" s="8">
        <v>0</v>
      </c>
      <c r="L1876" s="8">
        <v>0</v>
      </c>
      <c r="M1876" s="8">
        <v>0</v>
      </c>
      <c r="N1876" s="8">
        <v>0</v>
      </c>
      <c r="O1876" s="8">
        <v>10806282.689999999</v>
      </c>
    </row>
    <row r="1877" spans="1:15">
      <c r="A1877" s="191">
        <v>44531</v>
      </c>
      <c r="B1877" s="181" t="s">
        <v>13</v>
      </c>
      <c r="C1877" s="181" t="s">
        <v>725</v>
      </c>
      <c r="D1877" s="181" t="str">
        <f t="shared" si="34"/>
        <v>36803</v>
      </c>
      <c r="E1877" s="181" t="s">
        <v>15</v>
      </c>
      <c r="F1877" s="181" t="s">
        <v>14</v>
      </c>
      <c r="G1877" s="181" t="s">
        <v>793</v>
      </c>
      <c r="H1877" s="8">
        <v>-32203.07</v>
      </c>
      <c r="I1877" s="8">
        <v>0</v>
      </c>
      <c r="J1877" s="8">
        <v>0</v>
      </c>
      <c r="K1877" s="8">
        <v>-0.1</v>
      </c>
      <c r="L1877" s="8">
        <v>0</v>
      </c>
      <c r="M1877" s="8">
        <v>0</v>
      </c>
      <c r="N1877" s="8">
        <v>0</v>
      </c>
      <c r="O1877" s="8">
        <v>-32203.170000000002</v>
      </c>
    </row>
    <row r="1878" spans="1:15">
      <c r="A1878" s="191">
        <v>44562</v>
      </c>
      <c r="B1878" s="181" t="s">
        <v>133</v>
      </c>
      <c r="C1878" s="181" t="s">
        <v>725</v>
      </c>
      <c r="D1878" s="181" t="str">
        <f t="shared" si="34"/>
        <v>36803</v>
      </c>
      <c r="E1878" s="181" t="s">
        <v>15</v>
      </c>
      <c r="F1878" s="181" t="s">
        <v>14</v>
      </c>
      <c r="G1878" s="181" t="s">
        <v>647</v>
      </c>
      <c r="H1878" s="8">
        <v>10806282.689999999</v>
      </c>
      <c r="I1878" s="8">
        <v>27939.98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10834222.67</v>
      </c>
    </row>
    <row r="1879" spans="1:15">
      <c r="A1879" s="191">
        <v>44562</v>
      </c>
      <c r="B1879" s="181" t="s">
        <v>133</v>
      </c>
      <c r="C1879" s="181" t="s">
        <v>725</v>
      </c>
      <c r="D1879" s="181" t="str">
        <f t="shared" si="34"/>
        <v>36803</v>
      </c>
      <c r="E1879" s="181" t="s">
        <v>15</v>
      </c>
      <c r="F1879" s="181" t="s">
        <v>14</v>
      </c>
      <c r="G1879" s="181" t="s">
        <v>793</v>
      </c>
      <c r="H1879" s="8">
        <v>-32203.170000000002</v>
      </c>
      <c r="I1879" s="8">
        <v>0</v>
      </c>
      <c r="J1879" s="8">
        <v>0</v>
      </c>
      <c r="K1879" s="8">
        <v>0.53</v>
      </c>
      <c r="L1879" s="8">
        <v>0</v>
      </c>
      <c r="M1879" s="8">
        <v>0</v>
      </c>
      <c r="N1879" s="8">
        <v>0</v>
      </c>
      <c r="O1879" s="8">
        <v>-32202.639999999999</v>
      </c>
    </row>
    <row r="1880" spans="1:15">
      <c r="A1880" s="191">
        <v>44593</v>
      </c>
      <c r="B1880" s="181" t="s">
        <v>132</v>
      </c>
      <c r="C1880" s="181" t="s">
        <v>725</v>
      </c>
      <c r="D1880" s="181" t="str">
        <f t="shared" si="34"/>
        <v>36803</v>
      </c>
      <c r="E1880" s="181" t="s">
        <v>15</v>
      </c>
      <c r="F1880" s="181" t="s">
        <v>14</v>
      </c>
      <c r="G1880" s="181" t="s">
        <v>647</v>
      </c>
      <c r="H1880" s="8">
        <v>10834222.67</v>
      </c>
      <c r="I1880" s="8">
        <v>28060.63</v>
      </c>
      <c r="J1880" s="8">
        <v>179.94</v>
      </c>
      <c r="K1880" s="8">
        <v>0</v>
      </c>
      <c r="L1880" s="8">
        <v>0</v>
      </c>
      <c r="M1880" s="8">
        <v>0</v>
      </c>
      <c r="N1880" s="8">
        <v>0</v>
      </c>
      <c r="O1880" s="8">
        <v>10862463.24</v>
      </c>
    </row>
    <row r="1881" spans="1:15">
      <c r="A1881" s="191">
        <v>44593</v>
      </c>
      <c r="B1881" s="181" t="s">
        <v>132</v>
      </c>
      <c r="C1881" s="181" t="s">
        <v>725</v>
      </c>
      <c r="D1881" s="181" t="str">
        <f t="shared" si="34"/>
        <v>36803</v>
      </c>
      <c r="E1881" s="181" t="s">
        <v>15</v>
      </c>
      <c r="F1881" s="181" t="s">
        <v>14</v>
      </c>
      <c r="G1881" s="181" t="s">
        <v>793</v>
      </c>
      <c r="H1881" s="8">
        <v>-32202.639999999999</v>
      </c>
      <c r="I1881" s="8">
        <v>0</v>
      </c>
      <c r="J1881" s="8">
        <v>0</v>
      </c>
      <c r="K1881" s="8">
        <v>-1082.4000000000001</v>
      </c>
      <c r="L1881" s="8">
        <v>0</v>
      </c>
      <c r="M1881" s="8">
        <v>0</v>
      </c>
      <c r="N1881" s="8">
        <v>0</v>
      </c>
      <c r="O1881" s="8">
        <v>-33285.040000000001</v>
      </c>
    </row>
    <row r="1882" spans="1:15">
      <c r="A1882" s="191">
        <v>44621</v>
      </c>
      <c r="B1882" s="181" t="s">
        <v>131</v>
      </c>
      <c r="C1882" s="181" t="s">
        <v>725</v>
      </c>
      <c r="D1882" s="181" t="str">
        <f t="shared" si="34"/>
        <v>36803</v>
      </c>
      <c r="E1882" s="181" t="s">
        <v>15</v>
      </c>
      <c r="F1882" s="181" t="s">
        <v>14</v>
      </c>
      <c r="G1882" s="181" t="s">
        <v>647</v>
      </c>
      <c r="H1882" s="8">
        <v>10862463.24</v>
      </c>
      <c r="I1882" s="8">
        <v>28701.350000000002</v>
      </c>
      <c r="J1882" s="8">
        <v>-101.17</v>
      </c>
      <c r="K1882" s="8">
        <v>0</v>
      </c>
      <c r="L1882" s="8">
        <v>0</v>
      </c>
      <c r="M1882" s="8">
        <v>0</v>
      </c>
      <c r="N1882" s="8">
        <v>0</v>
      </c>
      <c r="O1882" s="8">
        <v>10891063.42</v>
      </c>
    </row>
    <row r="1883" spans="1:15">
      <c r="A1883" s="191">
        <v>44621</v>
      </c>
      <c r="B1883" s="181" t="s">
        <v>131</v>
      </c>
      <c r="C1883" s="181" t="s">
        <v>725</v>
      </c>
      <c r="D1883" s="181" t="str">
        <f t="shared" si="34"/>
        <v>36803</v>
      </c>
      <c r="E1883" s="181" t="s">
        <v>15</v>
      </c>
      <c r="F1883" s="181" t="s">
        <v>14</v>
      </c>
      <c r="G1883" s="181" t="s">
        <v>793</v>
      </c>
      <c r="H1883" s="8">
        <v>-33285.040000000001</v>
      </c>
      <c r="I1883" s="8">
        <v>0</v>
      </c>
      <c r="J1883" s="8">
        <v>0</v>
      </c>
      <c r="K1883" s="8">
        <v>-2692.08</v>
      </c>
      <c r="L1883" s="8">
        <v>0</v>
      </c>
      <c r="M1883" s="8">
        <v>0</v>
      </c>
      <c r="N1883" s="8">
        <v>0</v>
      </c>
      <c r="O1883" s="8">
        <v>-35977.120000000003</v>
      </c>
    </row>
    <row r="1884" spans="1:15">
      <c r="A1884" s="191">
        <v>44652</v>
      </c>
      <c r="B1884" s="181" t="s">
        <v>130</v>
      </c>
      <c r="C1884" s="181" t="s">
        <v>725</v>
      </c>
      <c r="D1884" s="181" t="str">
        <f t="shared" si="34"/>
        <v>36803</v>
      </c>
      <c r="E1884" s="181" t="s">
        <v>15</v>
      </c>
      <c r="F1884" s="181" t="s">
        <v>14</v>
      </c>
      <c r="G1884" s="181" t="s">
        <v>647</v>
      </c>
      <c r="H1884" s="8">
        <v>10891063.42</v>
      </c>
      <c r="I1884" s="8">
        <v>29467.86</v>
      </c>
      <c r="J1884" s="8">
        <v>-0.59</v>
      </c>
      <c r="K1884" s="8">
        <v>0</v>
      </c>
      <c r="L1884" s="8">
        <v>0</v>
      </c>
      <c r="M1884" s="8">
        <v>0</v>
      </c>
      <c r="N1884" s="8">
        <v>0</v>
      </c>
      <c r="O1884" s="8">
        <v>10920530.689999999</v>
      </c>
    </row>
    <row r="1885" spans="1:15">
      <c r="A1885" s="191">
        <v>44652</v>
      </c>
      <c r="B1885" s="181" t="s">
        <v>130</v>
      </c>
      <c r="C1885" s="181" t="s">
        <v>725</v>
      </c>
      <c r="D1885" s="181" t="str">
        <f t="shared" si="34"/>
        <v>36803</v>
      </c>
      <c r="E1885" s="181" t="s">
        <v>15</v>
      </c>
      <c r="F1885" s="181" t="s">
        <v>14</v>
      </c>
      <c r="G1885" s="181" t="s">
        <v>793</v>
      </c>
      <c r="H1885" s="8">
        <v>-35977.120000000003</v>
      </c>
      <c r="I1885" s="8">
        <v>0</v>
      </c>
      <c r="J1885" s="8">
        <v>0</v>
      </c>
      <c r="K1885" s="8">
        <v>-1130.72</v>
      </c>
      <c r="L1885" s="8">
        <v>0</v>
      </c>
      <c r="M1885" s="8">
        <v>0</v>
      </c>
      <c r="N1885" s="8">
        <v>0</v>
      </c>
      <c r="O1885" s="8">
        <v>-37107.840000000004</v>
      </c>
    </row>
    <row r="1886" spans="1:15">
      <c r="A1886" s="191">
        <v>44682</v>
      </c>
      <c r="B1886" s="181" t="s">
        <v>129</v>
      </c>
      <c r="C1886" s="181" t="s">
        <v>725</v>
      </c>
      <c r="D1886" s="181" t="str">
        <f t="shared" si="34"/>
        <v>36803</v>
      </c>
      <c r="E1886" s="181" t="s">
        <v>15</v>
      </c>
      <c r="F1886" s="181" t="s">
        <v>14</v>
      </c>
      <c r="G1886" s="181" t="s">
        <v>647</v>
      </c>
      <c r="H1886" s="8">
        <v>10920530.689999999</v>
      </c>
      <c r="I1886" s="8">
        <v>29690</v>
      </c>
      <c r="J1886" s="8">
        <v>-28.900000000000002</v>
      </c>
      <c r="K1886" s="8">
        <v>0</v>
      </c>
      <c r="L1886" s="8">
        <v>0</v>
      </c>
      <c r="M1886" s="8">
        <v>0</v>
      </c>
      <c r="N1886" s="8">
        <v>0</v>
      </c>
      <c r="O1886" s="8">
        <v>10950191.789999999</v>
      </c>
    </row>
    <row r="1887" spans="1:15">
      <c r="A1887" s="191">
        <v>44682</v>
      </c>
      <c r="B1887" s="181" t="s">
        <v>129</v>
      </c>
      <c r="C1887" s="181" t="s">
        <v>725</v>
      </c>
      <c r="D1887" s="181" t="str">
        <f t="shared" si="34"/>
        <v>36803</v>
      </c>
      <c r="E1887" s="181" t="s">
        <v>15</v>
      </c>
      <c r="F1887" s="181" t="s">
        <v>14</v>
      </c>
      <c r="G1887" s="181" t="s">
        <v>793</v>
      </c>
      <c r="H1887" s="8">
        <v>-37107.840000000004</v>
      </c>
      <c r="I1887" s="8">
        <v>0</v>
      </c>
      <c r="J1887" s="8">
        <v>0</v>
      </c>
      <c r="K1887" s="8">
        <v>-0.12</v>
      </c>
      <c r="L1887" s="8">
        <v>0</v>
      </c>
      <c r="M1887" s="8">
        <v>0</v>
      </c>
      <c r="N1887" s="8">
        <v>0</v>
      </c>
      <c r="O1887" s="8">
        <v>-37107.96</v>
      </c>
    </row>
    <row r="1888" spans="1:15">
      <c r="A1888" s="191">
        <v>44713</v>
      </c>
      <c r="B1888" s="181" t="s">
        <v>128</v>
      </c>
      <c r="C1888" s="181" t="s">
        <v>725</v>
      </c>
      <c r="D1888" s="181" t="str">
        <f t="shared" si="34"/>
        <v>36803</v>
      </c>
      <c r="E1888" s="181" t="s">
        <v>15</v>
      </c>
      <c r="F1888" s="181" t="s">
        <v>14</v>
      </c>
      <c r="G1888" s="181" t="s">
        <v>647</v>
      </c>
      <c r="H1888" s="8">
        <v>10950191.789999999</v>
      </c>
      <c r="I1888" s="8">
        <v>29922.920000000002</v>
      </c>
      <c r="J1888" s="8">
        <v>-57.85</v>
      </c>
      <c r="K1888" s="8">
        <v>0</v>
      </c>
      <c r="L1888" s="8">
        <v>0</v>
      </c>
      <c r="M1888" s="8">
        <v>0</v>
      </c>
      <c r="N1888" s="8">
        <v>0</v>
      </c>
      <c r="O1888" s="8">
        <v>10980056.859999999</v>
      </c>
    </row>
    <row r="1889" spans="1:15">
      <c r="A1889" s="191">
        <v>44713</v>
      </c>
      <c r="B1889" s="181" t="s">
        <v>128</v>
      </c>
      <c r="C1889" s="181" t="s">
        <v>725</v>
      </c>
      <c r="D1889" s="181" t="str">
        <f t="shared" si="34"/>
        <v>36803</v>
      </c>
      <c r="E1889" s="181" t="s">
        <v>15</v>
      </c>
      <c r="F1889" s="181" t="s">
        <v>14</v>
      </c>
      <c r="G1889" s="181" t="s">
        <v>793</v>
      </c>
      <c r="H1889" s="8">
        <v>-37107.96</v>
      </c>
      <c r="I1889" s="8">
        <v>0</v>
      </c>
      <c r="J1889" s="8">
        <v>0</v>
      </c>
      <c r="K1889" s="8">
        <v>-1933.33</v>
      </c>
      <c r="L1889" s="8">
        <v>0</v>
      </c>
      <c r="M1889" s="8">
        <v>0</v>
      </c>
      <c r="N1889" s="8">
        <v>0</v>
      </c>
      <c r="O1889" s="8">
        <v>-39041.29</v>
      </c>
    </row>
    <row r="1890" spans="1:15">
      <c r="A1890" s="191">
        <v>44743</v>
      </c>
      <c r="B1890" s="181" t="s">
        <v>127</v>
      </c>
      <c r="C1890" s="181" t="s">
        <v>725</v>
      </c>
      <c r="D1890" s="181" t="str">
        <f t="shared" si="34"/>
        <v>36803</v>
      </c>
      <c r="E1890" s="181" t="s">
        <v>15</v>
      </c>
      <c r="F1890" s="181" t="s">
        <v>14</v>
      </c>
      <c r="G1890" s="181" t="s">
        <v>647</v>
      </c>
      <c r="H1890" s="8">
        <v>10980056.859999999</v>
      </c>
      <c r="I1890" s="8">
        <v>30001.03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11010057.890000001</v>
      </c>
    </row>
    <row r="1891" spans="1:15">
      <c r="A1891" s="191">
        <v>44743</v>
      </c>
      <c r="B1891" s="181" t="s">
        <v>127</v>
      </c>
      <c r="C1891" s="181" t="s">
        <v>725</v>
      </c>
      <c r="D1891" s="181" t="str">
        <f t="shared" si="34"/>
        <v>36803</v>
      </c>
      <c r="E1891" s="181" t="s">
        <v>15</v>
      </c>
      <c r="F1891" s="181" t="s">
        <v>14</v>
      </c>
      <c r="G1891" s="181" t="s">
        <v>793</v>
      </c>
      <c r="H1891" s="8">
        <v>-39041.29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-39041.29</v>
      </c>
    </row>
    <row r="1892" spans="1:15">
      <c r="A1892" s="191">
        <v>44774</v>
      </c>
      <c r="B1892" s="181" t="s">
        <v>126</v>
      </c>
      <c r="C1892" s="181" t="s">
        <v>725</v>
      </c>
      <c r="D1892" s="181" t="str">
        <f t="shared" si="34"/>
        <v>36803</v>
      </c>
      <c r="E1892" s="181" t="s">
        <v>15</v>
      </c>
      <c r="F1892" s="181" t="s">
        <v>14</v>
      </c>
      <c r="G1892" s="181" t="s">
        <v>647</v>
      </c>
      <c r="H1892" s="8">
        <v>11010057.890000001</v>
      </c>
      <c r="I1892" s="8">
        <v>30029.59</v>
      </c>
      <c r="J1892" s="8">
        <v>-14.46</v>
      </c>
      <c r="K1892" s="8">
        <v>0</v>
      </c>
      <c r="L1892" s="8">
        <v>0</v>
      </c>
      <c r="M1892" s="8">
        <v>0</v>
      </c>
      <c r="N1892" s="8">
        <v>0</v>
      </c>
      <c r="O1892" s="8">
        <v>11040073.02</v>
      </c>
    </row>
    <row r="1893" spans="1:15">
      <c r="A1893" s="191">
        <v>44774</v>
      </c>
      <c r="B1893" s="181" t="s">
        <v>126</v>
      </c>
      <c r="C1893" s="181" t="s">
        <v>725</v>
      </c>
      <c r="D1893" s="181" t="str">
        <f t="shared" si="34"/>
        <v>36803</v>
      </c>
      <c r="E1893" s="181" t="s">
        <v>15</v>
      </c>
      <c r="F1893" s="181" t="s">
        <v>14</v>
      </c>
      <c r="G1893" s="181" t="s">
        <v>793</v>
      </c>
      <c r="H1893" s="8">
        <v>-39041.29</v>
      </c>
      <c r="I1893" s="8">
        <v>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-39041.29</v>
      </c>
    </row>
    <row r="1894" spans="1:15">
      <c r="A1894" s="191">
        <v>44805</v>
      </c>
      <c r="B1894" s="181" t="s">
        <v>125</v>
      </c>
      <c r="C1894" s="181" t="s">
        <v>725</v>
      </c>
      <c r="D1894" s="181" t="str">
        <f t="shared" si="34"/>
        <v>36803</v>
      </c>
      <c r="E1894" s="181" t="s">
        <v>15</v>
      </c>
      <c r="F1894" s="181" t="s">
        <v>14</v>
      </c>
      <c r="G1894" s="181" t="s">
        <v>647</v>
      </c>
      <c r="H1894" s="8">
        <v>11040073.02</v>
      </c>
      <c r="I1894" s="8">
        <v>30324.690000000002</v>
      </c>
      <c r="J1894" s="8">
        <v>-43.410000000000004</v>
      </c>
      <c r="K1894" s="8">
        <v>0</v>
      </c>
      <c r="L1894" s="8">
        <v>0</v>
      </c>
      <c r="M1894" s="8">
        <v>0</v>
      </c>
      <c r="N1894" s="8">
        <v>0</v>
      </c>
      <c r="O1894" s="8">
        <v>11070354.300000001</v>
      </c>
    </row>
    <row r="1895" spans="1:15">
      <c r="A1895" s="191">
        <v>44805</v>
      </c>
      <c r="B1895" s="181" t="s">
        <v>125</v>
      </c>
      <c r="C1895" s="181" t="s">
        <v>725</v>
      </c>
      <c r="D1895" s="181" t="str">
        <f t="shared" si="34"/>
        <v>36803</v>
      </c>
      <c r="E1895" s="181" t="s">
        <v>15</v>
      </c>
      <c r="F1895" s="181" t="s">
        <v>14</v>
      </c>
      <c r="G1895" s="181" t="s">
        <v>793</v>
      </c>
      <c r="H1895" s="8">
        <v>-39041.29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-39041.29</v>
      </c>
    </row>
    <row r="1896" spans="1:15">
      <c r="A1896" s="191">
        <v>44835</v>
      </c>
      <c r="B1896" s="181" t="s">
        <v>124</v>
      </c>
      <c r="C1896" s="181" t="s">
        <v>725</v>
      </c>
      <c r="D1896" s="181" t="str">
        <f t="shared" si="34"/>
        <v>36803</v>
      </c>
      <c r="E1896" s="181" t="s">
        <v>15</v>
      </c>
      <c r="F1896" s="181" t="s">
        <v>14</v>
      </c>
      <c r="G1896" s="181" t="s">
        <v>647</v>
      </c>
      <c r="H1896" s="8">
        <v>11070354.300000001</v>
      </c>
      <c r="I1896" s="8">
        <v>30516.46</v>
      </c>
      <c r="J1896" s="8">
        <v>-43.4</v>
      </c>
      <c r="K1896" s="8">
        <v>0</v>
      </c>
      <c r="L1896" s="8">
        <v>0</v>
      </c>
      <c r="M1896" s="8">
        <v>0</v>
      </c>
      <c r="N1896" s="8">
        <v>0</v>
      </c>
      <c r="O1896" s="8">
        <v>11100827.359999999</v>
      </c>
    </row>
    <row r="1897" spans="1:15">
      <c r="A1897" s="191">
        <v>44835</v>
      </c>
      <c r="B1897" s="181" t="s">
        <v>124</v>
      </c>
      <c r="C1897" s="181" t="s">
        <v>725</v>
      </c>
      <c r="D1897" s="181" t="str">
        <f t="shared" si="34"/>
        <v>36803</v>
      </c>
      <c r="E1897" s="181" t="s">
        <v>15</v>
      </c>
      <c r="F1897" s="181" t="s">
        <v>14</v>
      </c>
      <c r="G1897" s="181" t="s">
        <v>793</v>
      </c>
      <c r="H1897" s="8">
        <v>-39041.29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-39041.29</v>
      </c>
    </row>
    <row r="1898" spans="1:15">
      <c r="A1898" s="191">
        <v>44866</v>
      </c>
      <c r="B1898" s="181" t="s">
        <v>123</v>
      </c>
      <c r="C1898" s="181" t="s">
        <v>725</v>
      </c>
      <c r="D1898" s="181" t="str">
        <f t="shared" si="34"/>
        <v>36803</v>
      </c>
      <c r="E1898" s="181" t="s">
        <v>15</v>
      </c>
      <c r="F1898" s="181" t="s">
        <v>14</v>
      </c>
      <c r="G1898" s="181" t="s">
        <v>647</v>
      </c>
      <c r="H1898" s="8">
        <v>11100827.359999999</v>
      </c>
      <c r="I1898" s="8">
        <v>30584.940000000002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11131412.300000001</v>
      </c>
    </row>
    <row r="1899" spans="1:15">
      <c r="A1899" s="191">
        <v>44866</v>
      </c>
      <c r="B1899" s="181" t="s">
        <v>123</v>
      </c>
      <c r="C1899" s="181" t="s">
        <v>725</v>
      </c>
      <c r="D1899" s="181" t="str">
        <f t="shared" si="34"/>
        <v>36803</v>
      </c>
      <c r="E1899" s="181" t="s">
        <v>15</v>
      </c>
      <c r="F1899" s="181" t="s">
        <v>14</v>
      </c>
      <c r="G1899" s="181" t="s">
        <v>793</v>
      </c>
      <c r="H1899" s="8">
        <v>-39041.29</v>
      </c>
      <c r="I1899" s="8">
        <v>0</v>
      </c>
      <c r="J1899" s="8">
        <v>0</v>
      </c>
      <c r="K1899" s="8">
        <v>-2.58</v>
      </c>
      <c r="L1899" s="8">
        <v>0</v>
      </c>
      <c r="M1899" s="8">
        <v>0</v>
      </c>
      <c r="N1899" s="8">
        <v>0</v>
      </c>
      <c r="O1899" s="8">
        <v>-39043.870000000003</v>
      </c>
    </row>
    <row r="1900" spans="1:15">
      <c r="A1900" s="191">
        <v>44896</v>
      </c>
      <c r="B1900" s="181" t="s">
        <v>122</v>
      </c>
      <c r="C1900" s="181" t="s">
        <v>725</v>
      </c>
      <c r="D1900" s="181" t="str">
        <f t="shared" si="34"/>
        <v>36803</v>
      </c>
      <c r="E1900" s="181" t="s">
        <v>15</v>
      </c>
      <c r="F1900" s="181" t="s">
        <v>14</v>
      </c>
      <c r="G1900" s="181" t="s">
        <v>647</v>
      </c>
      <c r="H1900" s="8">
        <v>11131412.300000001</v>
      </c>
      <c r="I1900" s="8">
        <v>30793.62</v>
      </c>
      <c r="J1900" s="8">
        <v>179.95000000000002</v>
      </c>
      <c r="K1900" s="8">
        <v>0</v>
      </c>
      <c r="L1900" s="8">
        <v>0</v>
      </c>
      <c r="M1900" s="8">
        <v>0</v>
      </c>
      <c r="N1900" s="8">
        <v>0</v>
      </c>
      <c r="O1900" s="8">
        <v>11162385.869999999</v>
      </c>
    </row>
    <row r="1901" spans="1:15">
      <c r="A1901" s="191">
        <v>44896</v>
      </c>
      <c r="B1901" s="181" t="s">
        <v>122</v>
      </c>
      <c r="C1901" s="181" t="s">
        <v>725</v>
      </c>
      <c r="D1901" s="181" t="str">
        <f t="shared" si="34"/>
        <v>36803</v>
      </c>
      <c r="E1901" s="181" t="s">
        <v>15</v>
      </c>
      <c r="F1901" s="181" t="s">
        <v>14</v>
      </c>
      <c r="G1901" s="181" t="s">
        <v>793</v>
      </c>
      <c r="H1901" s="8">
        <v>-39043.870000000003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-39043.870000000003</v>
      </c>
    </row>
    <row r="1902" spans="1:15">
      <c r="A1902" s="191">
        <v>44531</v>
      </c>
      <c r="B1902" s="181" t="s">
        <v>13</v>
      </c>
      <c r="C1902" s="181" t="s">
        <v>726</v>
      </c>
      <c r="D1902" s="181" t="str">
        <f t="shared" si="34"/>
        <v>36901</v>
      </c>
      <c r="E1902" s="181" t="s">
        <v>15</v>
      </c>
      <c r="F1902" s="181" t="s">
        <v>14</v>
      </c>
      <c r="G1902" s="181" t="s">
        <v>647</v>
      </c>
      <c r="H1902" s="8">
        <v>7590568.4000000004</v>
      </c>
      <c r="I1902" s="8">
        <v>17661.990000000002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7608230.3899999997</v>
      </c>
    </row>
    <row r="1903" spans="1:15">
      <c r="A1903" s="191">
        <v>44531</v>
      </c>
      <c r="B1903" s="181" t="s">
        <v>13</v>
      </c>
      <c r="C1903" s="181" t="s">
        <v>726</v>
      </c>
      <c r="D1903" s="181" t="str">
        <f t="shared" si="34"/>
        <v>36901</v>
      </c>
      <c r="E1903" s="181" t="s">
        <v>15</v>
      </c>
      <c r="F1903" s="181" t="s">
        <v>14</v>
      </c>
      <c r="G1903" s="181" t="s">
        <v>793</v>
      </c>
      <c r="H1903" s="8">
        <v>1134331.05</v>
      </c>
      <c r="I1903" s="8">
        <v>13180.59</v>
      </c>
      <c r="J1903" s="8">
        <v>0</v>
      </c>
      <c r="K1903" s="8">
        <v>-6.2</v>
      </c>
      <c r="L1903" s="8">
        <v>0</v>
      </c>
      <c r="M1903" s="8">
        <v>0</v>
      </c>
      <c r="N1903" s="8">
        <v>0</v>
      </c>
      <c r="O1903" s="8">
        <v>1147505.44</v>
      </c>
    </row>
    <row r="1904" spans="1:15">
      <c r="A1904" s="191">
        <v>44562</v>
      </c>
      <c r="B1904" s="181" t="s">
        <v>133</v>
      </c>
      <c r="C1904" s="181" t="s">
        <v>726</v>
      </c>
      <c r="D1904" s="181" t="str">
        <f t="shared" si="34"/>
        <v>36901</v>
      </c>
      <c r="E1904" s="181" t="s">
        <v>15</v>
      </c>
      <c r="F1904" s="181" t="s">
        <v>14</v>
      </c>
      <c r="G1904" s="181" t="s">
        <v>647</v>
      </c>
      <c r="H1904" s="8">
        <v>7608230.3899999997</v>
      </c>
      <c r="I1904" s="8">
        <v>17749.689999999999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7625980.0800000001</v>
      </c>
    </row>
    <row r="1905" spans="1:15">
      <c r="A1905" s="191">
        <v>44562</v>
      </c>
      <c r="B1905" s="181" t="s">
        <v>133</v>
      </c>
      <c r="C1905" s="181" t="s">
        <v>726</v>
      </c>
      <c r="D1905" s="181" t="str">
        <f t="shared" ref="D1905:D1968" si="35">MID(C1905,10,5)</f>
        <v>36901</v>
      </c>
      <c r="E1905" s="181" t="s">
        <v>15</v>
      </c>
      <c r="F1905" s="181" t="s">
        <v>14</v>
      </c>
      <c r="G1905" s="181" t="s">
        <v>793</v>
      </c>
      <c r="H1905" s="8">
        <v>1147505.44</v>
      </c>
      <c r="I1905" s="8">
        <v>13246.03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1160751.47</v>
      </c>
    </row>
    <row r="1906" spans="1:15">
      <c r="A1906" s="191">
        <v>44593</v>
      </c>
      <c r="B1906" s="181" t="s">
        <v>132</v>
      </c>
      <c r="C1906" s="181" t="s">
        <v>726</v>
      </c>
      <c r="D1906" s="181" t="str">
        <f t="shared" si="35"/>
        <v>36901</v>
      </c>
      <c r="E1906" s="181" t="s">
        <v>15</v>
      </c>
      <c r="F1906" s="181" t="s">
        <v>14</v>
      </c>
      <c r="G1906" s="181" t="s">
        <v>647</v>
      </c>
      <c r="H1906" s="8">
        <v>7625980.0800000001</v>
      </c>
      <c r="I1906" s="8">
        <v>17846.670000000002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7643826.75</v>
      </c>
    </row>
    <row r="1907" spans="1:15">
      <c r="A1907" s="191">
        <v>44593</v>
      </c>
      <c r="B1907" s="181" t="s">
        <v>132</v>
      </c>
      <c r="C1907" s="181" t="s">
        <v>726</v>
      </c>
      <c r="D1907" s="181" t="str">
        <f t="shared" si="35"/>
        <v>36901</v>
      </c>
      <c r="E1907" s="181" t="s">
        <v>15</v>
      </c>
      <c r="F1907" s="181" t="s">
        <v>14</v>
      </c>
      <c r="G1907" s="181" t="s">
        <v>793</v>
      </c>
      <c r="H1907" s="8">
        <v>1160751.47</v>
      </c>
      <c r="I1907" s="8">
        <v>13318.41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1174069.8799999999</v>
      </c>
    </row>
    <row r="1908" spans="1:15">
      <c r="A1908" s="191">
        <v>44621</v>
      </c>
      <c r="B1908" s="181" t="s">
        <v>131</v>
      </c>
      <c r="C1908" s="181" t="s">
        <v>726</v>
      </c>
      <c r="D1908" s="181" t="str">
        <f t="shared" si="35"/>
        <v>36901</v>
      </c>
      <c r="E1908" s="181" t="s">
        <v>15</v>
      </c>
      <c r="F1908" s="181" t="s">
        <v>14</v>
      </c>
      <c r="G1908" s="181" t="s">
        <v>647</v>
      </c>
      <c r="H1908" s="8">
        <v>7643826.75</v>
      </c>
      <c r="I1908" s="8">
        <v>17900.52</v>
      </c>
      <c r="J1908" s="8">
        <v>-2718.13</v>
      </c>
      <c r="K1908" s="8">
        <v>0</v>
      </c>
      <c r="L1908" s="8">
        <v>0</v>
      </c>
      <c r="M1908" s="8">
        <v>0</v>
      </c>
      <c r="N1908" s="8">
        <v>0</v>
      </c>
      <c r="O1908" s="8">
        <v>7659009.1399999997</v>
      </c>
    </row>
    <row r="1909" spans="1:15">
      <c r="A1909" s="191">
        <v>44621</v>
      </c>
      <c r="B1909" s="181" t="s">
        <v>131</v>
      </c>
      <c r="C1909" s="181" t="s">
        <v>726</v>
      </c>
      <c r="D1909" s="181" t="str">
        <f t="shared" si="35"/>
        <v>36901</v>
      </c>
      <c r="E1909" s="181" t="s">
        <v>15</v>
      </c>
      <c r="F1909" s="181" t="s">
        <v>14</v>
      </c>
      <c r="G1909" s="181" t="s">
        <v>793</v>
      </c>
      <c r="H1909" s="8">
        <v>1174069.8799999999</v>
      </c>
      <c r="I1909" s="8">
        <v>13358.6</v>
      </c>
      <c r="J1909" s="8">
        <v>0</v>
      </c>
      <c r="K1909" s="8">
        <v>-304.65000000000003</v>
      </c>
      <c r="L1909" s="8">
        <v>0</v>
      </c>
      <c r="M1909" s="8">
        <v>0</v>
      </c>
      <c r="N1909" s="8">
        <v>0</v>
      </c>
      <c r="O1909" s="8">
        <v>1187123.83</v>
      </c>
    </row>
    <row r="1910" spans="1:15">
      <c r="A1910" s="191">
        <v>44652</v>
      </c>
      <c r="B1910" s="181" t="s">
        <v>130</v>
      </c>
      <c r="C1910" s="181" t="s">
        <v>726</v>
      </c>
      <c r="D1910" s="181" t="str">
        <f t="shared" si="35"/>
        <v>36901</v>
      </c>
      <c r="E1910" s="181" t="s">
        <v>15</v>
      </c>
      <c r="F1910" s="181" t="s">
        <v>14</v>
      </c>
      <c r="G1910" s="181" t="s">
        <v>647</v>
      </c>
      <c r="H1910" s="8">
        <v>7659009.1399999997</v>
      </c>
      <c r="I1910" s="8">
        <v>17937.21</v>
      </c>
      <c r="J1910" s="8">
        <v>-544.70000000000005</v>
      </c>
      <c r="K1910" s="8">
        <v>0</v>
      </c>
      <c r="L1910" s="8">
        <v>0</v>
      </c>
      <c r="M1910" s="8">
        <v>0</v>
      </c>
      <c r="N1910" s="8">
        <v>0</v>
      </c>
      <c r="O1910" s="8">
        <v>7676401.6500000004</v>
      </c>
    </row>
    <row r="1911" spans="1:15">
      <c r="A1911" s="191">
        <v>44652</v>
      </c>
      <c r="B1911" s="181" t="s">
        <v>130</v>
      </c>
      <c r="C1911" s="181" t="s">
        <v>726</v>
      </c>
      <c r="D1911" s="181" t="str">
        <f t="shared" si="35"/>
        <v>36901</v>
      </c>
      <c r="E1911" s="181" t="s">
        <v>15</v>
      </c>
      <c r="F1911" s="181" t="s">
        <v>14</v>
      </c>
      <c r="G1911" s="181" t="s">
        <v>793</v>
      </c>
      <c r="H1911" s="8">
        <v>1187123.83</v>
      </c>
      <c r="I1911" s="8">
        <v>13385.98</v>
      </c>
      <c r="J1911" s="8">
        <v>0</v>
      </c>
      <c r="K1911" s="8">
        <v>-5.25</v>
      </c>
      <c r="L1911" s="8">
        <v>0</v>
      </c>
      <c r="M1911" s="8">
        <v>0</v>
      </c>
      <c r="N1911" s="8">
        <v>0</v>
      </c>
      <c r="O1911" s="8">
        <v>1200504.56</v>
      </c>
    </row>
    <row r="1912" spans="1:15">
      <c r="A1912" s="191">
        <v>44682</v>
      </c>
      <c r="B1912" s="181" t="s">
        <v>129</v>
      </c>
      <c r="C1912" s="181" t="s">
        <v>726</v>
      </c>
      <c r="D1912" s="181" t="str">
        <f t="shared" si="35"/>
        <v>36901</v>
      </c>
      <c r="E1912" s="181" t="s">
        <v>15</v>
      </c>
      <c r="F1912" s="181" t="s">
        <v>14</v>
      </c>
      <c r="G1912" s="181" t="s">
        <v>647</v>
      </c>
      <c r="H1912" s="8">
        <v>7676401.6500000004</v>
      </c>
      <c r="I1912" s="8">
        <v>17955.740000000002</v>
      </c>
      <c r="J1912" s="8">
        <v>-145.95000000000002</v>
      </c>
      <c r="K1912" s="8">
        <v>0</v>
      </c>
      <c r="L1912" s="8">
        <v>0</v>
      </c>
      <c r="M1912" s="8">
        <v>0</v>
      </c>
      <c r="N1912" s="8">
        <v>0</v>
      </c>
      <c r="O1912" s="8">
        <v>7694211.4400000004</v>
      </c>
    </row>
    <row r="1913" spans="1:15">
      <c r="A1913" s="191">
        <v>44682</v>
      </c>
      <c r="B1913" s="181" t="s">
        <v>129</v>
      </c>
      <c r="C1913" s="181" t="s">
        <v>726</v>
      </c>
      <c r="D1913" s="181" t="str">
        <f t="shared" si="35"/>
        <v>36901</v>
      </c>
      <c r="E1913" s="181" t="s">
        <v>15</v>
      </c>
      <c r="F1913" s="181" t="s">
        <v>14</v>
      </c>
      <c r="G1913" s="181" t="s">
        <v>793</v>
      </c>
      <c r="H1913" s="8">
        <v>1200504.56</v>
      </c>
      <c r="I1913" s="8">
        <v>13399.81</v>
      </c>
      <c r="J1913" s="8">
        <v>0</v>
      </c>
      <c r="K1913" s="8">
        <v>-934.19</v>
      </c>
      <c r="L1913" s="8">
        <v>0</v>
      </c>
      <c r="M1913" s="8">
        <v>0</v>
      </c>
      <c r="N1913" s="8">
        <v>0</v>
      </c>
      <c r="O1913" s="8">
        <v>1212970.18</v>
      </c>
    </row>
    <row r="1914" spans="1:15">
      <c r="A1914" s="191">
        <v>44713</v>
      </c>
      <c r="B1914" s="181" t="s">
        <v>128</v>
      </c>
      <c r="C1914" s="181" t="s">
        <v>726</v>
      </c>
      <c r="D1914" s="181" t="str">
        <f t="shared" si="35"/>
        <v>36901</v>
      </c>
      <c r="E1914" s="181" t="s">
        <v>15</v>
      </c>
      <c r="F1914" s="181" t="s">
        <v>14</v>
      </c>
      <c r="G1914" s="181" t="s">
        <v>647</v>
      </c>
      <c r="H1914" s="8">
        <v>7694211.4400000004</v>
      </c>
      <c r="I1914" s="8">
        <v>17904.740000000002</v>
      </c>
      <c r="J1914" s="8">
        <v>-977.37</v>
      </c>
      <c r="K1914" s="8">
        <v>0</v>
      </c>
      <c r="L1914" s="8">
        <v>0</v>
      </c>
      <c r="M1914" s="8">
        <v>0</v>
      </c>
      <c r="N1914" s="8">
        <v>0</v>
      </c>
      <c r="O1914" s="8">
        <v>7711138.8100000005</v>
      </c>
    </row>
    <row r="1915" spans="1:15">
      <c r="A1915" s="191">
        <v>44713</v>
      </c>
      <c r="B1915" s="181" t="s">
        <v>128</v>
      </c>
      <c r="C1915" s="181" t="s">
        <v>726</v>
      </c>
      <c r="D1915" s="181" t="str">
        <f t="shared" si="35"/>
        <v>36901</v>
      </c>
      <c r="E1915" s="181" t="s">
        <v>15</v>
      </c>
      <c r="F1915" s="181" t="s">
        <v>14</v>
      </c>
      <c r="G1915" s="181" t="s">
        <v>793</v>
      </c>
      <c r="H1915" s="8">
        <v>1212970.18</v>
      </c>
      <c r="I1915" s="8">
        <v>13361.75</v>
      </c>
      <c r="J1915" s="8">
        <v>0</v>
      </c>
      <c r="K1915" s="8">
        <v>-4939.79</v>
      </c>
      <c r="L1915" s="8">
        <v>0</v>
      </c>
      <c r="M1915" s="8">
        <v>0</v>
      </c>
      <c r="N1915" s="8">
        <v>0</v>
      </c>
      <c r="O1915" s="8">
        <v>1221392.1400000001</v>
      </c>
    </row>
    <row r="1916" spans="1:15">
      <c r="A1916" s="191">
        <v>44743</v>
      </c>
      <c r="B1916" s="181" t="s">
        <v>127</v>
      </c>
      <c r="C1916" s="181" t="s">
        <v>726</v>
      </c>
      <c r="D1916" s="181" t="str">
        <f t="shared" si="35"/>
        <v>36901</v>
      </c>
      <c r="E1916" s="181" t="s">
        <v>15</v>
      </c>
      <c r="F1916" s="181" t="s">
        <v>14</v>
      </c>
      <c r="G1916" s="181" t="s">
        <v>647</v>
      </c>
      <c r="H1916" s="8">
        <v>7711138.8100000005</v>
      </c>
      <c r="I1916" s="8">
        <v>18342.41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7729481.2199999997</v>
      </c>
    </row>
    <row r="1917" spans="1:15">
      <c r="A1917" s="191">
        <v>44743</v>
      </c>
      <c r="B1917" s="181" t="s">
        <v>127</v>
      </c>
      <c r="C1917" s="181" t="s">
        <v>726</v>
      </c>
      <c r="D1917" s="181" t="str">
        <f t="shared" si="35"/>
        <v>36901</v>
      </c>
      <c r="E1917" s="181" t="s">
        <v>15</v>
      </c>
      <c r="F1917" s="181" t="s">
        <v>14</v>
      </c>
      <c r="G1917" s="181" t="s">
        <v>793</v>
      </c>
      <c r="H1917" s="8">
        <v>1221392.1400000001</v>
      </c>
      <c r="I1917" s="8">
        <v>13688.36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1235080.5</v>
      </c>
    </row>
    <row r="1918" spans="1:15">
      <c r="A1918" s="191">
        <v>44774</v>
      </c>
      <c r="B1918" s="181" t="s">
        <v>126</v>
      </c>
      <c r="C1918" s="181" t="s">
        <v>726</v>
      </c>
      <c r="D1918" s="181" t="str">
        <f t="shared" si="35"/>
        <v>36901</v>
      </c>
      <c r="E1918" s="181" t="s">
        <v>15</v>
      </c>
      <c r="F1918" s="181" t="s">
        <v>14</v>
      </c>
      <c r="G1918" s="181" t="s">
        <v>647</v>
      </c>
      <c r="H1918" s="8">
        <v>7729481.2199999997</v>
      </c>
      <c r="I1918" s="8">
        <v>18853.27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7748334.4900000002</v>
      </c>
    </row>
    <row r="1919" spans="1:15">
      <c r="A1919" s="191">
        <v>44774</v>
      </c>
      <c r="B1919" s="181" t="s">
        <v>126</v>
      </c>
      <c r="C1919" s="181" t="s">
        <v>726</v>
      </c>
      <c r="D1919" s="181" t="str">
        <f t="shared" si="35"/>
        <v>36901</v>
      </c>
      <c r="E1919" s="181" t="s">
        <v>15</v>
      </c>
      <c r="F1919" s="181" t="s">
        <v>14</v>
      </c>
      <c r="G1919" s="181" t="s">
        <v>793</v>
      </c>
      <c r="H1919" s="8">
        <v>1235080.5</v>
      </c>
      <c r="I1919" s="8">
        <v>14069.6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1249150.1000000001</v>
      </c>
    </row>
    <row r="1920" spans="1:15">
      <c r="A1920" s="191">
        <v>44805</v>
      </c>
      <c r="B1920" s="181" t="s">
        <v>125</v>
      </c>
      <c r="C1920" s="181" t="s">
        <v>726</v>
      </c>
      <c r="D1920" s="181" t="str">
        <f t="shared" si="35"/>
        <v>36901</v>
      </c>
      <c r="E1920" s="181" t="s">
        <v>15</v>
      </c>
      <c r="F1920" s="181" t="s">
        <v>14</v>
      </c>
      <c r="G1920" s="181" t="s">
        <v>647</v>
      </c>
      <c r="H1920" s="8">
        <v>7748334.4900000002</v>
      </c>
      <c r="I1920" s="8">
        <v>18906.760000000002</v>
      </c>
      <c r="J1920" s="8">
        <v>-32.619999999999997</v>
      </c>
      <c r="K1920" s="8">
        <v>0</v>
      </c>
      <c r="L1920" s="8">
        <v>0</v>
      </c>
      <c r="M1920" s="8">
        <v>0</v>
      </c>
      <c r="N1920" s="8">
        <v>0</v>
      </c>
      <c r="O1920" s="8">
        <v>7767208.6299999999</v>
      </c>
    </row>
    <row r="1921" spans="1:15">
      <c r="A1921" s="191">
        <v>44805</v>
      </c>
      <c r="B1921" s="181" t="s">
        <v>125</v>
      </c>
      <c r="C1921" s="181" t="s">
        <v>726</v>
      </c>
      <c r="D1921" s="181" t="str">
        <f t="shared" si="35"/>
        <v>36901</v>
      </c>
      <c r="E1921" s="181" t="s">
        <v>15</v>
      </c>
      <c r="F1921" s="181" t="s">
        <v>14</v>
      </c>
      <c r="G1921" s="181" t="s">
        <v>793</v>
      </c>
      <c r="H1921" s="8">
        <v>1249150.1000000001</v>
      </c>
      <c r="I1921" s="8">
        <v>14109.52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1263259.6200000001</v>
      </c>
    </row>
    <row r="1922" spans="1:15">
      <c r="A1922" s="191">
        <v>44835</v>
      </c>
      <c r="B1922" s="181" t="s">
        <v>124</v>
      </c>
      <c r="C1922" s="181" t="s">
        <v>726</v>
      </c>
      <c r="D1922" s="181" t="str">
        <f t="shared" si="35"/>
        <v>36901</v>
      </c>
      <c r="E1922" s="181" t="s">
        <v>15</v>
      </c>
      <c r="F1922" s="181" t="s">
        <v>14</v>
      </c>
      <c r="G1922" s="181" t="s">
        <v>647</v>
      </c>
      <c r="H1922" s="8">
        <v>7767208.6299999999</v>
      </c>
      <c r="I1922" s="8">
        <v>18936.68</v>
      </c>
      <c r="J1922" s="8">
        <v>-60.61</v>
      </c>
      <c r="K1922" s="8">
        <v>0</v>
      </c>
      <c r="L1922" s="8">
        <v>0</v>
      </c>
      <c r="M1922" s="8">
        <v>0</v>
      </c>
      <c r="N1922" s="8">
        <v>0</v>
      </c>
      <c r="O1922" s="8">
        <v>7786084.7000000002</v>
      </c>
    </row>
    <row r="1923" spans="1:15">
      <c r="A1923" s="191">
        <v>44835</v>
      </c>
      <c r="B1923" s="181" t="s">
        <v>124</v>
      </c>
      <c r="C1923" s="181" t="s">
        <v>726</v>
      </c>
      <c r="D1923" s="181" t="str">
        <f t="shared" si="35"/>
        <v>36901</v>
      </c>
      <c r="E1923" s="181" t="s">
        <v>15</v>
      </c>
      <c r="F1923" s="181" t="s">
        <v>14</v>
      </c>
      <c r="G1923" s="181" t="s">
        <v>793</v>
      </c>
      <c r="H1923" s="8">
        <v>1263259.6200000001</v>
      </c>
      <c r="I1923" s="8">
        <v>14131.85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1277391.47</v>
      </c>
    </row>
    <row r="1924" spans="1:15">
      <c r="A1924" s="191">
        <v>44866</v>
      </c>
      <c r="B1924" s="181" t="s">
        <v>123</v>
      </c>
      <c r="C1924" s="181" t="s">
        <v>726</v>
      </c>
      <c r="D1924" s="181" t="str">
        <f t="shared" si="35"/>
        <v>36901</v>
      </c>
      <c r="E1924" s="181" t="s">
        <v>15</v>
      </c>
      <c r="F1924" s="181" t="s">
        <v>14</v>
      </c>
      <c r="G1924" s="181" t="s">
        <v>647</v>
      </c>
      <c r="H1924" s="8">
        <v>7786084.7000000002</v>
      </c>
      <c r="I1924" s="8">
        <v>18870.88</v>
      </c>
      <c r="J1924" s="8">
        <v>-82801.53</v>
      </c>
      <c r="K1924" s="8">
        <v>0</v>
      </c>
      <c r="L1924" s="8">
        <v>0</v>
      </c>
      <c r="M1924" s="8">
        <v>0</v>
      </c>
      <c r="N1924" s="8">
        <v>0</v>
      </c>
      <c r="O1924" s="8">
        <v>7722154.0499999998</v>
      </c>
    </row>
    <row r="1925" spans="1:15">
      <c r="A1925" s="191">
        <v>44866</v>
      </c>
      <c r="B1925" s="181" t="s">
        <v>123</v>
      </c>
      <c r="C1925" s="181" t="s">
        <v>726</v>
      </c>
      <c r="D1925" s="181" t="str">
        <f t="shared" si="35"/>
        <v>36901</v>
      </c>
      <c r="E1925" s="181" t="s">
        <v>15</v>
      </c>
      <c r="F1925" s="181" t="s">
        <v>14</v>
      </c>
      <c r="G1925" s="181" t="s">
        <v>793</v>
      </c>
      <c r="H1925" s="8">
        <v>1277391.47</v>
      </c>
      <c r="I1925" s="8">
        <v>14082.75</v>
      </c>
      <c r="J1925" s="8">
        <v>0</v>
      </c>
      <c r="K1925" s="8">
        <v>-4123.17</v>
      </c>
      <c r="L1925" s="8">
        <v>0</v>
      </c>
      <c r="M1925" s="8">
        <v>0</v>
      </c>
      <c r="N1925" s="8">
        <v>0</v>
      </c>
      <c r="O1925" s="8">
        <v>1287351.05</v>
      </c>
    </row>
    <row r="1926" spans="1:15">
      <c r="A1926" s="191">
        <v>44896</v>
      </c>
      <c r="B1926" s="181" t="s">
        <v>122</v>
      </c>
      <c r="C1926" s="181" t="s">
        <v>726</v>
      </c>
      <c r="D1926" s="181" t="str">
        <f t="shared" si="35"/>
        <v>36901</v>
      </c>
      <c r="E1926" s="181" t="s">
        <v>15</v>
      </c>
      <c r="F1926" s="181" t="s">
        <v>14</v>
      </c>
      <c r="G1926" s="181" t="s">
        <v>647</v>
      </c>
      <c r="H1926" s="8">
        <v>7722154.0499999998</v>
      </c>
      <c r="I1926" s="8">
        <v>18895.66</v>
      </c>
      <c r="J1926" s="8">
        <v>-12585.380000000001</v>
      </c>
      <c r="K1926" s="8">
        <v>0</v>
      </c>
      <c r="L1926" s="8">
        <v>0</v>
      </c>
      <c r="M1926" s="8">
        <v>0</v>
      </c>
      <c r="N1926" s="8">
        <v>0</v>
      </c>
      <c r="O1926" s="8">
        <v>7728464.3300000001</v>
      </c>
    </row>
    <row r="1927" spans="1:15">
      <c r="A1927" s="191">
        <v>44896</v>
      </c>
      <c r="B1927" s="181" t="s">
        <v>122</v>
      </c>
      <c r="C1927" s="181" t="s">
        <v>726</v>
      </c>
      <c r="D1927" s="181" t="str">
        <f t="shared" si="35"/>
        <v>36901</v>
      </c>
      <c r="E1927" s="181" t="s">
        <v>15</v>
      </c>
      <c r="F1927" s="181" t="s">
        <v>14</v>
      </c>
      <c r="G1927" s="181" t="s">
        <v>793</v>
      </c>
      <c r="H1927" s="8">
        <v>1287351.05</v>
      </c>
      <c r="I1927" s="8">
        <v>14101.24</v>
      </c>
      <c r="J1927" s="8">
        <v>0</v>
      </c>
      <c r="K1927" s="8">
        <v>-10631.74</v>
      </c>
      <c r="L1927" s="8">
        <v>0</v>
      </c>
      <c r="M1927" s="8">
        <v>0</v>
      </c>
      <c r="N1927" s="8">
        <v>0</v>
      </c>
      <c r="O1927" s="8">
        <v>1290820.55</v>
      </c>
    </row>
    <row r="1928" spans="1:15">
      <c r="A1928" s="191">
        <v>44531</v>
      </c>
      <c r="B1928" s="181" t="s">
        <v>13</v>
      </c>
      <c r="C1928" s="181" t="s">
        <v>727</v>
      </c>
      <c r="D1928" s="181" t="str">
        <f t="shared" si="35"/>
        <v>36902</v>
      </c>
      <c r="E1928" s="181" t="s">
        <v>15</v>
      </c>
      <c r="F1928" s="181" t="s">
        <v>14</v>
      </c>
      <c r="G1928" s="181" t="s">
        <v>647</v>
      </c>
      <c r="H1928" s="8">
        <v>7237903.5199999996</v>
      </c>
      <c r="I1928" s="8">
        <v>27678.31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7265581.8300000001</v>
      </c>
    </row>
    <row r="1929" spans="1:15">
      <c r="A1929" s="191">
        <v>44531</v>
      </c>
      <c r="B1929" s="181" t="s">
        <v>13</v>
      </c>
      <c r="C1929" s="181" t="s">
        <v>727</v>
      </c>
      <c r="D1929" s="181" t="str">
        <f t="shared" si="35"/>
        <v>36902</v>
      </c>
      <c r="E1929" s="181" t="s">
        <v>15</v>
      </c>
      <c r="F1929" s="181" t="s">
        <v>14</v>
      </c>
      <c r="G1929" s="181" t="s">
        <v>793</v>
      </c>
      <c r="H1929" s="8">
        <v>2870732.35</v>
      </c>
      <c r="I1929" s="8">
        <v>27795.600000000002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2898527.95</v>
      </c>
    </row>
    <row r="1930" spans="1:15">
      <c r="A1930" s="191">
        <v>44562</v>
      </c>
      <c r="B1930" s="181" t="s">
        <v>133</v>
      </c>
      <c r="C1930" s="181" t="s">
        <v>727</v>
      </c>
      <c r="D1930" s="181" t="str">
        <f t="shared" si="35"/>
        <v>36902</v>
      </c>
      <c r="E1930" s="181" t="s">
        <v>15</v>
      </c>
      <c r="F1930" s="181" t="s">
        <v>14</v>
      </c>
      <c r="G1930" s="181" t="s">
        <v>647</v>
      </c>
      <c r="H1930" s="8">
        <v>7265581.8300000001</v>
      </c>
      <c r="I1930" s="8">
        <v>27791.57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7293373.4000000004</v>
      </c>
    </row>
    <row r="1931" spans="1:15">
      <c r="A1931" s="191">
        <v>44562</v>
      </c>
      <c r="B1931" s="181" t="s">
        <v>133</v>
      </c>
      <c r="C1931" s="181" t="s">
        <v>727</v>
      </c>
      <c r="D1931" s="181" t="str">
        <f t="shared" si="35"/>
        <v>36902</v>
      </c>
      <c r="E1931" s="181" t="s">
        <v>15</v>
      </c>
      <c r="F1931" s="181" t="s">
        <v>14</v>
      </c>
      <c r="G1931" s="181" t="s">
        <v>793</v>
      </c>
      <c r="H1931" s="8">
        <v>2898527.95</v>
      </c>
      <c r="I1931" s="8">
        <v>27909.33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2926437.2800000003</v>
      </c>
    </row>
    <row r="1932" spans="1:15">
      <c r="A1932" s="191">
        <v>44593</v>
      </c>
      <c r="B1932" s="181" t="s">
        <v>132</v>
      </c>
      <c r="C1932" s="181" t="s">
        <v>727</v>
      </c>
      <c r="D1932" s="181" t="str">
        <f t="shared" si="35"/>
        <v>36902</v>
      </c>
      <c r="E1932" s="181" t="s">
        <v>15</v>
      </c>
      <c r="F1932" s="181" t="s">
        <v>14</v>
      </c>
      <c r="G1932" s="181" t="s">
        <v>647</v>
      </c>
      <c r="H1932" s="8">
        <v>7293373.4000000004</v>
      </c>
      <c r="I1932" s="8">
        <v>27955.43</v>
      </c>
      <c r="J1932" s="8">
        <v>-265.58</v>
      </c>
      <c r="K1932" s="8">
        <v>0</v>
      </c>
      <c r="L1932" s="8">
        <v>0</v>
      </c>
      <c r="M1932" s="8">
        <v>0</v>
      </c>
      <c r="N1932" s="8">
        <v>0</v>
      </c>
      <c r="O1932" s="8">
        <v>7321063.25</v>
      </c>
    </row>
    <row r="1933" spans="1:15">
      <c r="A1933" s="191">
        <v>44593</v>
      </c>
      <c r="B1933" s="181" t="s">
        <v>132</v>
      </c>
      <c r="C1933" s="181" t="s">
        <v>727</v>
      </c>
      <c r="D1933" s="181" t="str">
        <f t="shared" si="35"/>
        <v>36902</v>
      </c>
      <c r="E1933" s="181" t="s">
        <v>15</v>
      </c>
      <c r="F1933" s="181" t="s">
        <v>14</v>
      </c>
      <c r="G1933" s="181" t="s">
        <v>793</v>
      </c>
      <c r="H1933" s="8">
        <v>2926437.2800000003</v>
      </c>
      <c r="I1933" s="8">
        <v>28073.88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2954511.16</v>
      </c>
    </row>
    <row r="1934" spans="1:15">
      <c r="A1934" s="191">
        <v>44621</v>
      </c>
      <c r="B1934" s="181" t="s">
        <v>131</v>
      </c>
      <c r="C1934" s="181" t="s">
        <v>727</v>
      </c>
      <c r="D1934" s="181" t="str">
        <f t="shared" si="35"/>
        <v>36902</v>
      </c>
      <c r="E1934" s="181" t="s">
        <v>15</v>
      </c>
      <c r="F1934" s="181" t="s">
        <v>14</v>
      </c>
      <c r="G1934" s="181" t="s">
        <v>647</v>
      </c>
      <c r="H1934" s="8">
        <v>7321063.25</v>
      </c>
      <c r="I1934" s="8">
        <v>28111.279999999999</v>
      </c>
      <c r="J1934" s="8">
        <v>-318.54000000000002</v>
      </c>
      <c r="K1934" s="8">
        <v>0</v>
      </c>
      <c r="L1934" s="8">
        <v>0</v>
      </c>
      <c r="M1934" s="8">
        <v>0</v>
      </c>
      <c r="N1934" s="8">
        <v>0</v>
      </c>
      <c r="O1934" s="8">
        <v>7348855.9900000002</v>
      </c>
    </row>
    <row r="1935" spans="1:15">
      <c r="A1935" s="191">
        <v>44621</v>
      </c>
      <c r="B1935" s="181" t="s">
        <v>131</v>
      </c>
      <c r="C1935" s="181" t="s">
        <v>727</v>
      </c>
      <c r="D1935" s="181" t="str">
        <f t="shared" si="35"/>
        <v>36902</v>
      </c>
      <c r="E1935" s="181" t="s">
        <v>15</v>
      </c>
      <c r="F1935" s="181" t="s">
        <v>14</v>
      </c>
      <c r="G1935" s="181" t="s">
        <v>793</v>
      </c>
      <c r="H1935" s="8">
        <v>2954511.16</v>
      </c>
      <c r="I1935" s="8">
        <v>28230.39</v>
      </c>
      <c r="J1935" s="8">
        <v>0</v>
      </c>
      <c r="K1935" s="8">
        <v>-576.45000000000005</v>
      </c>
      <c r="L1935" s="8">
        <v>0</v>
      </c>
      <c r="M1935" s="8">
        <v>0</v>
      </c>
      <c r="N1935" s="8">
        <v>0</v>
      </c>
      <c r="O1935" s="8">
        <v>2982165.1</v>
      </c>
    </row>
    <row r="1936" spans="1:15">
      <c r="A1936" s="191">
        <v>44652</v>
      </c>
      <c r="B1936" s="181" t="s">
        <v>130</v>
      </c>
      <c r="C1936" s="181" t="s">
        <v>727</v>
      </c>
      <c r="D1936" s="181" t="str">
        <f t="shared" si="35"/>
        <v>36902</v>
      </c>
      <c r="E1936" s="181" t="s">
        <v>15</v>
      </c>
      <c r="F1936" s="181" t="s">
        <v>14</v>
      </c>
      <c r="G1936" s="181" t="s">
        <v>647</v>
      </c>
      <c r="H1936" s="8">
        <v>7348855.9900000002</v>
      </c>
      <c r="I1936" s="8">
        <v>28264.63</v>
      </c>
      <c r="J1936" s="8">
        <v>-682.29</v>
      </c>
      <c r="K1936" s="8">
        <v>0</v>
      </c>
      <c r="L1936" s="8">
        <v>0</v>
      </c>
      <c r="M1936" s="8">
        <v>0</v>
      </c>
      <c r="N1936" s="8">
        <v>0</v>
      </c>
      <c r="O1936" s="8">
        <v>7376438.3300000001</v>
      </c>
    </row>
    <row r="1937" spans="1:15">
      <c r="A1937" s="191">
        <v>44652</v>
      </c>
      <c r="B1937" s="181" t="s">
        <v>130</v>
      </c>
      <c r="C1937" s="181" t="s">
        <v>727</v>
      </c>
      <c r="D1937" s="181" t="str">
        <f t="shared" si="35"/>
        <v>36902</v>
      </c>
      <c r="E1937" s="181" t="s">
        <v>15</v>
      </c>
      <c r="F1937" s="181" t="s">
        <v>14</v>
      </c>
      <c r="G1937" s="181" t="s">
        <v>793</v>
      </c>
      <c r="H1937" s="8">
        <v>2982165.1</v>
      </c>
      <c r="I1937" s="8">
        <v>28384.39</v>
      </c>
      <c r="J1937" s="8">
        <v>0</v>
      </c>
      <c r="K1937" s="8">
        <v>-80.900000000000006</v>
      </c>
      <c r="L1937" s="8">
        <v>0</v>
      </c>
      <c r="M1937" s="8">
        <v>0</v>
      </c>
      <c r="N1937" s="8">
        <v>0</v>
      </c>
      <c r="O1937" s="8">
        <v>3010468.59</v>
      </c>
    </row>
    <row r="1938" spans="1:15">
      <c r="A1938" s="191">
        <v>44682</v>
      </c>
      <c r="B1938" s="181" t="s">
        <v>129</v>
      </c>
      <c r="C1938" s="181" t="s">
        <v>727</v>
      </c>
      <c r="D1938" s="181" t="str">
        <f t="shared" si="35"/>
        <v>36902</v>
      </c>
      <c r="E1938" s="181" t="s">
        <v>15</v>
      </c>
      <c r="F1938" s="181" t="s">
        <v>14</v>
      </c>
      <c r="G1938" s="181" t="s">
        <v>647</v>
      </c>
      <c r="H1938" s="8">
        <v>7376438.3300000001</v>
      </c>
      <c r="I1938" s="8">
        <v>28425.18</v>
      </c>
      <c r="J1938" s="8">
        <v>-205.34</v>
      </c>
      <c r="K1938" s="8">
        <v>0</v>
      </c>
      <c r="L1938" s="8">
        <v>0</v>
      </c>
      <c r="M1938" s="8">
        <v>0</v>
      </c>
      <c r="N1938" s="8">
        <v>0</v>
      </c>
      <c r="O1938" s="8">
        <v>7404658.1699999999</v>
      </c>
    </row>
    <row r="1939" spans="1:15">
      <c r="A1939" s="191">
        <v>44682</v>
      </c>
      <c r="B1939" s="181" t="s">
        <v>129</v>
      </c>
      <c r="C1939" s="181" t="s">
        <v>727</v>
      </c>
      <c r="D1939" s="181" t="str">
        <f t="shared" si="35"/>
        <v>36902</v>
      </c>
      <c r="E1939" s="181" t="s">
        <v>15</v>
      </c>
      <c r="F1939" s="181" t="s">
        <v>14</v>
      </c>
      <c r="G1939" s="181" t="s">
        <v>793</v>
      </c>
      <c r="H1939" s="8">
        <v>3010468.59</v>
      </c>
      <c r="I1939" s="8">
        <v>28545.62</v>
      </c>
      <c r="J1939" s="8">
        <v>0</v>
      </c>
      <c r="K1939" s="8">
        <v>-0.51</v>
      </c>
      <c r="L1939" s="8">
        <v>0</v>
      </c>
      <c r="M1939" s="8">
        <v>0</v>
      </c>
      <c r="N1939" s="8">
        <v>0</v>
      </c>
      <c r="O1939" s="8">
        <v>3039013.7</v>
      </c>
    </row>
    <row r="1940" spans="1:15">
      <c r="A1940" s="191">
        <v>44713</v>
      </c>
      <c r="B1940" s="181" t="s">
        <v>128</v>
      </c>
      <c r="C1940" s="181" t="s">
        <v>727</v>
      </c>
      <c r="D1940" s="181" t="str">
        <f t="shared" si="35"/>
        <v>36902</v>
      </c>
      <c r="E1940" s="181" t="s">
        <v>15</v>
      </c>
      <c r="F1940" s="181" t="s">
        <v>14</v>
      </c>
      <c r="G1940" s="181" t="s">
        <v>647</v>
      </c>
      <c r="H1940" s="8">
        <v>7404658.1699999999</v>
      </c>
      <c r="I1940" s="8">
        <v>28569.29</v>
      </c>
      <c r="J1940" s="8">
        <v>-2842.37</v>
      </c>
      <c r="K1940" s="8">
        <v>0</v>
      </c>
      <c r="L1940" s="8">
        <v>0</v>
      </c>
      <c r="M1940" s="8">
        <v>0</v>
      </c>
      <c r="N1940" s="8">
        <v>0</v>
      </c>
      <c r="O1940" s="8">
        <v>7430385.0899999999</v>
      </c>
    </row>
    <row r="1941" spans="1:15">
      <c r="A1941" s="191">
        <v>44713</v>
      </c>
      <c r="B1941" s="181" t="s">
        <v>128</v>
      </c>
      <c r="C1941" s="181" t="s">
        <v>727</v>
      </c>
      <c r="D1941" s="181" t="str">
        <f t="shared" si="35"/>
        <v>36902</v>
      </c>
      <c r="E1941" s="181" t="s">
        <v>15</v>
      </c>
      <c r="F1941" s="181" t="s">
        <v>14</v>
      </c>
      <c r="G1941" s="181" t="s">
        <v>793</v>
      </c>
      <c r="H1941" s="8">
        <v>3039013.7</v>
      </c>
      <c r="I1941" s="8">
        <v>28690.350000000002</v>
      </c>
      <c r="J1941" s="8">
        <v>0</v>
      </c>
      <c r="K1941" s="8">
        <v>-13466.23</v>
      </c>
      <c r="L1941" s="8">
        <v>0</v>
      </c>
      <c r="M1941" s="8">
        <v>0</v>
      </c>
      <c r="N1941" s="8">
        <v>0</v>
      </c>
      <c r="O1941" s="8">
        <v>3054237.82</v>
      </c>
    </row>
    <row r="1942" spans="1:15">
      <c r="A1942" s="191">
        <v>44743</v>
      </c>
      <c r="B1942" s="181" t="s">
        <v>127</v>
      </c>
      <c r="C1942" s="181" t="s">
        <v>727</v>
      </c>
      <c r="D1942" s="181" t="str">
        <f t="shared" si="35"/>
        <v>36902</v>
      </c>
      <c r="E1942" s="181" t="s">
        <v>15</v>
      </c>
      <c r="F1942" s="181" t="s">
        <v>14</v>
      </c>
      <c r="G1942" s="181" t="s">
        <v>647</v>
      </c>
      <c r="H1942" s="8">
        <v>7430385.0899999999</v>
      </c>
      <c r="I1942" s="8">
        <v>28608.13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7458993.2199999997</v>
      </c>
    </row>
    <row r="1943" spans="1:15">
      <c r="A1943" s="191">
        <v>44743</v>
      </c>
      <c r="B1943" s="181" t="s">
        <v>127</v>
      </c>
      <c r="C1943" s="181" t="s">
        <v>727</v>
      </c>
      <c r="D1943" s="181" t="str">
        <f t="shared" si="35"/>
        <v>36902</v>
      </c>
      <c r="E1943" s="181" t="s">
        <v>15</v>
      </c>
      <c r="F1943" s="181" t="s">
        <v>14</v>
      </c>
      <c r="G1943" s="181" t="s">
        <v>793</v>
      </c>
      <c r="H1943" s="8">
        <v>3054237.82</v>
      </c>
      <c r="I1943" s="8">
        <v>28729.350000000002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3082967.17</v>
      </c>
    </row>
    <row r="1944" spans="1:15">
      <c r="A1944" s="191">
        <v>44774</v>
      </c>
      <c r="B1944" s="181" t="s">
        <v>126</v>
      </c>
      <c r="C1944" s="181" t="s">
        <v>727</v>
      </c>
      <c r="D1944" s="181" t="str">
        <f t="shared" si="35"/>
        <v>36902</v>
      </c>
      <c r="E1944" s="181" t="s">
        <v>15</v>
      </c>
      <c r="F1944" s="181" t="s">
        <v>14</v>
      </c>
      <c r="G1944" s="181" t="s">
        <v>647</v>
      </c>
      <c r="H1944" s="8">
        <v>7458993.2199999997</v>
      </c>
      <c r="I1944" s="8">
        <v>28658.190000000002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7487651.4100000001</v>
      </c>
    </row>
    <row r="1945" spans="1:15">
      <c r="A1945" s="191">
        <v>44774</v>
      </c>
      <c r="B1945" s="181" t="s">
        <v>126</v>
      </c>
      <c r="C1945" s="181" t="s">
        <v>727</v>
      </c>
      <c r="D1945" s="181" t="str">
        <f t="shared" si="35"/>
        <v>36902</v>
      </c>
      <c r="E1945" s="181" t="s">
        <v>15</v>
      </c>
      <c r="F1945" s="181" t="s">
        <v>14</v>
      </c>
      <c r="G1945" s="181" t="s">
        <v>793</v>
      </c>
      <c r="H1945" s="8">
        <v>3082967.17</v>
      </c>
      <c r="I1945" s="8">
        <v>28779.63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3111746.8</v>
      </c>
    </row>
    <row r="1946" spans="1:15">
      <c r="A1946" s="191">
        <v>44805</v>
      </c>
      <c r="B1946" s="181" t="s">
        <v>125</v>
      </c>
      <c r="C1946" s="181" t="s">
        <v>727</v>
      </c>
      <c r="D1946" s="181" t="str">
        <f t="shared" si="35"/>
        <v>36902</v>
      </c>
      <c r="E1946" s="181" t="s">
        <v>15</v>
      </c>
      <c r="F1946" s="181" t="s">
        <v>14</v>
      </c>
      <c r="G1946" s="181" t="s">
        <v>647</v>
      </c>
      <c r="H1946" s="8">
        <v>7487651.4100000001</v>
      </c>
      <c r="I1946" s="8">
        <v>28838.03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7516489.4400000004</v>
      </c>
    </row>
    <row r="1947" spans="1:15">
      <c r="A1947" s="191">
        <v>44805</v>
      </c>
      <c r="B1947" s="181" t="s">
        <v>125</v>
      </c>
      <c r="C1947" s="181" t="s">
        <v>727</v>
      </c>
      <c r="D1947" s="181" t="str">
        <f t="shared" si="35"/>
        <v>36902</v>
      </c>
      <c r="E1947" s="181" t="s">
        <v>15</v>
      </c>
      <c r="F1947" s="181" t="s">
        <v>14</v>
      </c>
      <c r="G1947" s="181" t="s">
        <v>793</v>
      </c>
      <c r="H1947" s="8">
        <v>3111746.8</v>
      </c>
      <c r="I1947" s="8">
        <v>28960.22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3140707.02</v>
      </c>
    </row>
    <row r="1948" spans="1:15">
      <c r="A1948" s="191">
        <v>44835</v>
      </c>
      <c r="B1948" s="181" t="s">
        <v>124</v>
      </c>
      <c r="C1948" s="181" t="s">
        <v>727</v>
      </c>
      <c r="D1948" s="181" t="str">
        <f t="shared" si="35"/>
        <v>36902</v>
      </c>
      <c r="E1948" s="181" t="s">
        <v>15</v>
      </c>
      <c r="F1948" s="181" t="s">
        <v>14</v>
      </c>
      <c r="G1948" s="181" t="s">
        <v>647</v>
      </c>
      <c r="H1948" s="8">
        <v>7516489.4400000004</v>
      </c>
      <c r="I1948" s="8">
        <v>28952.75</v>
      </c>
      <c r="J1948" s="8">
        <v>-76.73</v>
      </c>
      <c r="K1948" s="8">
        <v>0</v>
      </c>
      <c r="L1948" s="8">
        <v>0</v>
      </c>
      <c r="M1948" s="8">
        <v>0</v>
      </c>
      <c r="N1948" s="8">
        <v>0</v>
      </c>
      <c r="O1948" s="8">
        <v>7545365.46</v>
      </c>
    </row>
    <row r="1949" spans="1:15">
      <c r="A1949" s="191">
        <v>44835</v>
      </c>
      <c r="B1949" s="181" t="s">
        <v>124</v>
      </c>
      <c r="C1949" s="181" t="s">
        <v>727</v>
      </c>
      <c r="D1949" s="181" t="str">
        <f t="shared" si="35"/>
        <v>36902</v>
      </c>
      <c r="E1949" s="181" t="s">
        <v>15</v>
      </c>
      <c r="F1949" s="181" t="s">
        <v>14</v>
      </c>
      <c r="G1949" s="181" t="s">
        <v>793</v>
      </c>
      <c r="H1949" s="8">
        <v>3140707.02</v>
      </c>
      <c r="I1949" s="8">
        <v>29075.43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3169782.45</v>
      </c>
    </row>
    <row r="1950" spans="1:15">
      <c r="A1950" s="191">
        <v>44866</v>
      </c>
      <c r="B1950" s="181" t="s">
        <v>123</v>
      </c>
      <c r="C1950" s="181" t="s">
        <v>727</v>
      </c>
      <c r="D1950" s="181" t="str">
        <f t="shared" si="35"/>
        <v>36902</v>
      </c>
      <c r="E1950" s="181" t="s">
        <v>15</v>
      </c>
      <c r="F1950" s="181" t="s">
        <v>14</v>
      </c>
      <c r="G1950" s="181" t="s">
        <v>647</v>
      </c>
      <c r="H1950" s="8">
        <v>7545365.46</v>
      </c>
      <c r="I1950" s="8">
        <v>29068.850000000002</v>
      </c>
      <c r="J1950" s="8">
        <v>-1325.6100000000001</v>
      </c>
      <c r="K1950" s="8">
        <v>0</v>
      </c>
      <c r="L1950" s="8">
        <v>0</v>
      </c>
      <c r="M1950" s="8">
        <v>0</v>
      </c>
      <c r="N1950" s="8">
        <v>0</v>
      </c>
      <c r="O1950" s="8">
        <v>7573108.7000000002</v>
      </c>
    </row>
    <row r="1951" spans="1:15">
      <c r="A1951" s="191">
        <v>44866</v>
      </c>
      <c r="B1951" s="181" t="s">
        <v>123</v>
      </c>
      <c r="C1951" s="181" t="s">
        <v>727</v>
      </c>
      <c r="D1951" s="181" t="str">
        <f t="shared" si="35"/>
        <v>36902</v>
      </c>
      <c r="E1951" s="181" t="s">
        <v>15</v>
      </c>
      <c r="F1951" s="181" t="s">
        <v>14</v>
      </c>
      <c r="G1951" s="181" t="s">
        <v>793</v>
      </c>
      <c r="H1951" s="8">
        <v>3169782.45</v>
      </c>
      <c r="I1951" s="8">
        <v>29192.02</v>
      </c>
      <c r="J1951" s="8">
        <v>0</v>
      </c>
      <c r="K1951" s="8">
        <v>-2.5500000000000003</v>
      </c>
      <c r="L1951" s="8">
        <v>0</v>
      </c>
      <c r="M1951" s="8">
        <v>0</v>
      </c>
      <c r="N1951" s="8">
        <v>0</v>
      </c>
      <c r="O1951" s="8">
        <v>3198971.92</v>
      </c>
    </row>
    <row r="1952" spans="1:15">
      <c r="A1952" s="191">
        <v>44896</v>
      </c>
      <c r="B1952" s="181" t="s">
        <v>122</v>
      </c>
      <c r="C1952" s="181" t="s">
        <v>727</v>
      </c>
      <c r="D1952" s="181" t="str">
        <f t="shared" si="35"/>
        <v>36902</v>
      </c>
      <c r="E1952" s="181" t="s">
        <v>15</v>
      </c>
      <c r="F1952" s="181" t="s">
        <v>14</v>
      </c>
      <c r="G1952" s="181" t="s">
        <v>647</v>
      </c>
      <c r="H1952" s="8">
        <v>7573108.7000000002</v>
      </c>
      <c r="I1952" s="8">
        <v>29210.850000000002</v>
      </c>
      <c r="J1952" s="8">
        <v>-3268.65</v>
      </c>
      <c r="K1952" s="8">
        <v>0</v>
      </c>
      <c r="L1952" s="8">
        <v>0</v>
      </c>
      <c r="M1952" s="8">
        <v>0</v>
      </c>
      <c r="N1952" s="8">
        <v>0</v>
      </c>
      <c r="O1952" s="8">
        <v>7599050.9000000004</v>
      </c>
    </row>
    <row r="1953" spans="1:15">
      <c r="A1953" s="191">
        <v>44896</v>
      </c>
      <c r="B1953" s="181" t="s">
        <v>122</v>
      </c>
      <c r="C1953" s="181" t="s">
        <v>727</v>
      </c>
      <c r="D1953" s="181" t="str">
        <f t="shared" si="35"/>
        <v>36902</v>
      </c>
      <c r="E1953" s="181" t="s">
        <v>15</v>
      </c>
      <c r="F1953" s="181" t="s">
        <v>14</v>
      </c>
      <c r="G1953" s="181" t="s">
        <v>793</v>
      </c>
      <c r="H1953" s="8">
        <v>3198971.92</v>
      </c>
      <c r="I1953" s="8">
        <v>29334.62</v>
      </c>
      <c r="J1953" s="8">
        <v>0</v>
      </c>
      <c r="K1953" s="8">
        <v>-1515.44</v>
      </c>
      <c r="L1953" s="8">
        <v>0</v>
      </c>
      <c r="M1953" s="8">
        <v>0</v>
      </c>
      <c r="N1953" s="8">
        <v>0</v>
      </c>
      <c r="O1953" s="8">
        <v>3226791.1</v>
      </c>
    </row>
    <row r="1954" spans="1:15">
      <c r="A1954" s="191">
        <v>44531</v>
      </c>
      <c r="B1954" s="181" t="s">
        <v>13</v>
      </c>
      <c r="C1954" s="181" t="s">
        <v>728</v>
      </c>
      <c r="D1954" s="181" t="str">
        <f t="shared" si="35"/>
        <v>37001</v>
      </c>
      <c r="E1954" s="181" t="s">
        <v>15</v>
      </c>
      <c r="F1954" s="181" t="s">
        <v>14</v>
      </c>
      <c r="G1954" s="181" t="s">
        <v>647</v>
      </c>
      <c r="H1954" s="8">
        <v>1203260.3600000001</v>
      </c>
      <c r="I1954" s="8">
        <v>15640.01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1218900.3700000001</v>
      </c>
    </row>
    <row r="1955" spans="1:15">
      <c r="A1955" s="191">
        <v>44531</v>
      </c>
      <c r="B1955" s="181" t="s">
        <v>13</v>
      </c>
      <c r="C1955" s="181" t="s">
        <v>728</v>
      </c>
      <c r="D1955" s="181" t="str">
        <f t="shared" si="35"/>
        <v>37001</v>
      </c>
      <c r="E1955" s="181" t="s">
        <v>15</v>
      </c>
      <c r="F1955" s="181" t="s">
        <v>14</v>
      </c>
      <c r="G1955" s="181" t="s">
        <v>793</v>
      </c>
      <c r="H1955" s="8">
        <v>85345.49</v>
      </c>
      <c r="I1955" s="8">
        <v>954.35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86299.839999999997</v>
      </c>
    </row>
    <row r="1956" spans="1:15">
      <c r="A1956" s="191">
        <v>44562</v>
      </c>
      <c r="B1956" s="181" t="s">
        <v>133</v>
      </c>
      <c r="C1956" s="181" t="s">
        <v>728</v>
      </c>
      <c r="D1956" s="181" t="str">
        <f t="shared" si="35"/>
        <v>37001</v>
      </c>
      <c r="E1956" s="181" t="s">
        <v>15</v>
      </c>
      <c r="F1956" s="181" t="s">
        <v>14</v>
      </c>
      <c r="G1956" s="181" t="s">
        <v>647</v>
      </c>
      <c r="H1956" s="8">
        <v>1218900.3700000001</v>
      </c>
      <c r="I1956" s="8">
        <v>15660.23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1234560.6000000001</v>
      </c>
    </row>
    <row r="1957" spans="1:15">
      <c r="A1957" s="191">
        <v>44562</v>
      </c>
      <c r="B1957" s="181" t="s">
        <v>133</v>
      </c>
      <c r="C1957" s="181" t="s">
        <v>728</v>
      </c>
      <c r="D1957" s="181" t="str">
        <f t="shared" si="35"/>
        <v>37001</v>
      </c>
      <c r="E1957" s="181" t="s">
        <v>15</v>
      </c>
      <c r="F1957" s="181" t="s">
        <v>14</v>
      </c>
      <c r="G1957" s="181" t="s">
        <v>793</v>
      </c>
      <c r="H1957" s="8">
        <v>86299.839999999997</v>
      </c>
      <c r="I1957" s="8">
        <v>955.59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87255.430000000008</v>
      </c>
    </row>
    <row r="1958" spans="1:15">
      <c r="A1958" s="191">
        <v>44593</v>
      </c>
      <c r="B1958" s="181" t="s">
        <v>132</v>
      </c>
      <c r="C1958" s="181" t="s">
        <v>728</v>
      </c>
      <c r="D1958" s="181" t="str">
        <f t="shared" si="35"/>
        <v>37001</v>
      </c>
      <c r="E1958" s="181" t="s">
        <v>15</v>
      </c>
      <c r="F1958" s="181" t="s">
        <v>14</v>
      </c>
      <c r="G1958" s="181" t="s">
        <v>647</v>
      </c>
      <c r="H1958" s="8">
        <v>1234560.6000000001</v>
      </c>
      <c r="I1958" s="8">
        <v>15715.78</v>
      </c>
      <c r="J1958" s="8">
        <v>0</v>
      </c>
      <c r="K1958" s="8">
        <v>0</v>
      </c>
      <c r="L1958" s="8">
        <v>0</v>
      </c>
      <c r="M1958" s="8">
        <v>158.71</v>
      </c>
      <c r="N1958" s="8">
        <v>0</v>
      </c>
      <c r="O1958" s="8">
        <v>1250435.0900000001</v>
      </c>
    </row>
    <row r="1959" spans="1:15">
      <c r="A1959" s="191">
        <v>44593</v>
      </c>
      <c r="B1959" s="181" t="s">
        <v>132</v>
      </c>
      <c r="C1959" s="181" t="s">
        <v>728</v>
      </c>
      <c r="D1959" s="181" t="str">
        <f t="shared" si="35"/>
        <v>37001</v>
      </c>
      <c r="E1959" s="181" t="s">
        <v>15</v>
      </c>
      <c r="F1959" s="181" t="s">
        <v>14</v>
      </c>
      <c r="G1959" s="181" t="s">
        <v>793</v>
      </c>
      <c r="H1959" s="8">
        <v>87255.430000000008</v>
      </c>
      <c r="I1959" s="8">
        <v>958.98</v>
      </c>
      <c r="J1959" s="8">
        <v>0</v>
      </c>
      <c r="K1959" s="8">
        <v>0</v>
      </c>
      <c r="L1959" s="8">
        <v>0</v>
      </c>
      <c r="M1959" s="8">
        <v>0.01</v>
      </c>
      <c r="N1959" s="8">
        <v>0</v>
      </c>
      <c r="O1959" s="8">
        <v>88214.42</v>
      </c>
    </row>
    <row r="1960" spans="1:15">
      <c r="A1960" s="191">
        <v>44621</v>
      </c>
      <c r="B1960" s="181" t="s">
        <v>131</v>
      </c>
      <c r="C1960" s="181" t="s">
        <v>728</v>
      </c>
      <c r="D1960" s="181" t="str">
        <f t="shared" si="35"/>
        <v>37001</v>
      </c>
      <c r="E1960" s="181" t="s">
        <v>15</v>
      </c>
      <c r="F1960" s="181" t="s">
        <v>14</v>
      </c>
      <c r="G1960" s="181" t="s">
        <v>647</v>
      </c>
      <c r="H1960" s="8">
        <v>1250435.0900000001</v>
      </c>
      <c r="I1960" s="8">
        <v>15747.59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1266182.68</v>
      </c>
    </row>
    <row r="1961" spans="1:15">
      <c r="A1961" s="191">
        <v>44621</v>
      </c>
      <c r="B1961" s="181" t="s">
        <v>131</v>
      </c>
      <c r="C1961" s="181" t="s">
        <v>728</v>
      </c>
      <c r="D1961" s="181" t="str">
        <f t="shared" si="35"/>
        <v>37001</v>
      </c>
      <c r="E1961" s="181" t="s">
        <v>15</v>
      </c>
      <c r="F1961" s="181" t="s">
        <v>14</v>
      </c>
      <c r="G1961" s="181" t="s">
        <v>793</v>
      </c>
      <c r="H1961" s="8">
        <v>88214.42</v>
      </c>
      <c r="I1961" s="8">
        <v>960.92000000000007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89175.34</v>
      </c>
    </row>
    <row r="1962" spans="1:15">
      <c r="A1962" s="191">
        <v>44652</v>
      </c>
      <c r="B1962" s="181" t="s">
        <v>130</v>
      </c>
      <c r="C1962" s="181" t="s">
        <v>728</v>
      </c>
      <c r="D1962" s="181" t="str">
        <f t="shared" si="35"/>
        <v>37001</v>
      </c>
      <c r="E1962" s="181" t="s">
        <v>15</v>
      </c>
      <c r="F1962" s="181" t="s">
        <v>14</v>
      </c>
      <c r="G1962" s="181" t="s">
        <v>647</v>
      </c>
      <c r="H1962" s="8">
        <v>1266182.68</v>
      </c>
      <c r="I1962" s="8">
        <v>15788.58</v>
      </c>
      <c r="J1962" s="8">
        <v>0</v>
      </c>
      <c r="K1962" s="8">
        <v>0</v>
      </c>
      <c r="L1962" s="8">
        <v>0</v>
      </c>
      <c r="M1962" s="8">
        <v>31.32</v>
      </c>
      <c r="N1962" s="8">
        <v>0</v>
      </c>
      <c r="O1962" s="8">
        <v>1282002.58</v>
      </c>
    </row>
    <row r="1963" spans="1:15">
      <c r="A1963" s="191">
        <v>44652</v>
      </c>
      <c r="B1963" s="181" t="s">
        <v>130</v>
      </c>
      <c r="C1963" s="181" t="s">
        <v>728</v>
      </c>
      <c r="D1963" s="181" t="str">
        <f t="shared" si="35"/>
        <v>37001</v>
      </c>
      <c r="E1963" s="181" t="s">
        <v>15</v>
      </c>
      <c r="F1963" s="181" t="s">
        <v>14</v>
      </c>
      <c r="G1963" s="181" t="s">
        <v>793</v>
      </c>
      <c r="H1963" s="8">
        <v>89175.34</v>
      </c>
      <c r="I1963" s="8">
        <v>963.42000000000007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90138.76</v>
      </c>
    </row>
    <row r="1964" spans="1:15">
      <c r="A1964" s="191">
        <v>44682</v>
      </c>
      <c r="B1964" s="181" t="s">
        <v>129</v>
      </c>
      <c r="C1964" s="181" t="s">
        <v>728</v>
      </c>
      <c r="D1964" s="181" t="str">
        <f t="shared" si="35"/>
        <v>37001</v>
      </c>
      <c r="E1964" s="181" t="s">
        <v>15</v>
      </c>
      <c r="F1964" s="181" t="s">
        <v>14</v>
      </c>
      <c r="G1964" s="181" t="s">
        <v>647</v>
      </c>
      <c r="H1964" s="8">
        <v>1282002.58</v>
      </c>
      <c r="I1964" s="8">
        <v>15868.01</v>
      </c>
      <c r="J1964" s="8">
        <v>0</v>
      </c>
      <c r="K1964" s="8">
        <v>0</v>
      </c>
      <c r="L1964" s="8">
        <v>0</v>
      </c>
      <c r="M1964" s="8">
        <v>21.63</v>
      </c>
      <c r="N1964" s="8">
        <v>0</v>
      </c>
      <c r="O1964" s="8">
        <v>1297892.22</v>
      </c>
    </row>
    <row r="1965" spans="1:15">
      <c r="A1965" s="191">
        <v>44682</v>
      </c>
      <c r="B1965" s="181" t="s">
        <v>129</v>
      </c>
      <c r="C1965" s="181" t="s">
        <v>728</v>
      </c>
      <c r="D1965" s="181" t="str">
        <f t="shared" si="35"/>
        <v>37001</v>
      </c>
      <c r="E1965" s="181" t="s">
        <v>15</v>
      </c>
      <c r="F1965" s="181" t="s">
        <v>14</v>
      </c>
      <c r="G1965" s="181" t="s">
        <v>793</v>
      </c>
      <c r="H1965" s="8">
        <v>90138.76</v>
      </c>
      <c r="I1965" s="8">
        <v>968.27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91107.03</v>
      </c>
    </row>
    <row r="1966" spans="1:15">
      <c r="A1966" s="191">
        <v>44713</v>
      </c>
      <c r="B1966" s="181" t="s">
        <v>128</v>
      </c>
      <c r="C1966" s="181" t="s">
        <v>728</v>
      </c>
      <c r="D1966" s="181" t="str">
        <f t="shared" si="35"/>
        <v>37001</v>
      </c>
      <c r="E1966" s="181" t="s">
        <v>15</v>
      </c>
      <c r="F1966" s="181" t="s">
        <v>14</v>
      </c>
      <c r="G1966" s="181" t="s">
        <v>647</v>
      </c>
      <c r="H1966" s="8">
        <v>1297892.22</v>
      </c>
      <c r="I1966" s="8">
        <v>15951.92</v>
      </c>
      <c r="J1966" s="8">
        <v>0</v>
      </c>
      <c r="K1966" s="8">
        <v>0</v>
      </c>
      <c r="L1966" s="8">
        <v>0</v>
      </c>
      <c r="M1966" s="8">
        <v>81.39</v>
      </c>
      <c r="N1966" s="8">
        <v>0</v>
      </c>
      <c r="O1966" s="8">
        <v>1313925.53</v>
      </c>
    </row>
    <row r="1967" spans="1:15">
      <c r="A1967" s="191">
        <v>44713</v>
      </c>
      <c r="B1967" s="181" t="s">
        <v>128</v>
      </c>
      <c r="C1967" s="181" t="s">
        <v>728</v>
      </c>
      <c r="D1967" s="181" t="str">
        <f t="shared" si="35"/>
        <v>37001</v>
      </c>
      <c r="E1967" s="181" t="s">
        <v>15</v>
      </c>
      <c r="F1967" s="181" t="s">
        <v>14</v>
      </c>
      <c r="G1967" s="181" t="s">
        <v>793</v>
      </c>
      <c r="H1967" s="8">
        <v>91107.03</v>
      </c>
      <c r="I1967" s="8">
        <v>973.39</v>
      </c>
      <c r="J1967" s="8">
        <v>0</v>
      </c>
      <c r="K1967" s="8">
        <v>0</v>
      </c>
      <c r="L1967" s="8">
        <v>0</v>
      </c>
      <c r="M1967" s="8">
        <v>0.01</v>
      </c>
      <c r="N1967" s="8">
        <v>0</v>
      </c>
      <c r="O1967" s="8">
        <v>92080.430000000008</v>
      </c>
    </row>
    <row r="1968" spans="1:15">
      <c r="A1968" s="191">
        <v>44743</v>
      </c>
      <c r="B1968" s="181" t="s">
        <v>127</v>
      </c>
      <c r="C1968" s="181" t="s">
        <v>728</v>
      </c>
      <c r="D1968" s="181" t="str">
        <f t="shared" si="35"/>
        <v>37001</v>
      </c>
      <c r="E1968" s="181" t="s">
        <v>15</v>
      </c>
      <c r="F1968" s="181" t="s">
        <v>14</v>
      </c>
      <c r="G1968" s="181" t="s">
        <v>647</v>
      </c>
      <c r="H1968" s="8">
        <v>1313925.53</v>
      </c>
      <c r="I1968" s="8">
        <v>16017.32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1329942.8500000001</v>
      </c>
    </row>
    <row r="1969" spans="1:15">
      <c r="A1969" s="191">
        <v>44743</v>
      </c>
      <c r="B1969" s="181" t="s">
        <v>127</v>
      </c>
      <c r="C1969" s="181" t="s">
        <v>728</v>
      </c>
      <c r="D1969" s="181" t="str">
        <f t="shared" ref="D1969:D2032" si="36">MID(C1969,10,5)</f>
        <v>37001</v>
      </c>
      <c r="E1969" s="181" t="s">
        <v>15</v>
      </c>
      <c r="F1969" s="181" t="s">
        <v>14</v>
      </c>
      <c r="G1969" s="181" t="s">
        <v>793</v>
      </c>
      <c r="H1969" s="8">
        <v>92080.430000000008</v>
      </c>
      <c r="I1969" s="8">
        <v>977.38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93057.81</v>
      </c>
    </row>
    <row r="1970" spans="1:15">
      <c r="A1970" s="191">
        <v>44774</v>
      </c>
      <c r="B1970" s="181" t="s">
        <v>126</v>
      </c>
      <c r="C1970" s="181" t="s">
        <v>728</v>
      </c>
      <c r="D1970" s="181" t="str">
        <f t="shared" si="36"/>
        <v>37001</v>
      </c>
      <c r="E1970" s="181" t="s">
        <v>15</v>
      </c>
      <c r="F1970" s="181" t="s">
        <v>14</v>
      </c>
      <c r="G1970" s="181" t="s">
        <v>647</v>
      </c>
      <c r="H1970" s="8">
        <v>1329942.8500000001</v>
      </c>
      <c r="I1970" s="8">
        <v>16038.25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1345981.1</v>
      </c>
    </row>
    <row r="1971" spans="1:15">
      <c r="A1971" s="191">
        <v>44774</v>
      </c>
      <c r="B1971" s="181" t="s">
        <v>126</v>
      </c>
      <c r="C1971" s="181" t="s">
        <v>728</v>
      </c>
      <c r="D1971" s="181" t="str">
        <f t="shared" si="36"/>
        <v>37001</v>
      </c>
      <c r="E1971" s="181" t="s">
        <v>15</v>
      </c>
      <c r="F1971" s="181" t="s">
        <v>14</v>
      </c>
      <c r="G1971" s="181" t="s">
        <v>793</v>
      </c>
      <c r="H1971" s="8">
        <v>93057.81</v>
      </c>
      <c r="I1971" s="8">
        <v>978.65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94036.46</v>
      </c>
    </row>
    <row r="1972" spans="1:15">
      <c r="A1972" s="191">
        <v>44805</v>
      </c>
      <c r="B1972" s="181" t="s">
        <v>125</v>
      </c>
      <c r="C1972" s="181" t="s">
        <v>728</v>
      </c>
      <c r="D1972" s="181" t="str">
        <f t="shared" si="36"/>
        <v>37001</v>
      </c>
      <c r="E1972" s="181" t="s">
        <v>15</v>
      </c>
      <c r="F1972" s="181" t="s">
        <v>14</v>
      </c>
      <c r="G1972" s="181" t="s">
        <v>647</v>
      </c>
      <c r="H1972" s="8">
        <v>1345981.1</v>
      </c>
      <c r="I1972" s="8">
        <v>16041.11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1362022.21</v>
      </c>
    </row>
    <row r="1973" spans="1:15">
      <c r="A1973" s="191">
        <v>44805</v>
      </c>
      <c r="B1973" s="181" t="s">
        <v>125</v>
      </c>
      <c r="C1973" s="181" t="s">
        <v>728</v>
      </c>
      <c r="D1973" s="181" t="str">
        <f t="shared" si="36"/>
        <v>37001</v>
      </c>
      <c r="E1973" s="181" t="s">
        <v>15</v>
      </c>
      <c r="F1973" s="181" t="s">
        <v>14</v>
      </c>
      <c r="G1973" s="181" t="s">
        <v>793</v>
      </c>
      <c r="H1973" s="8">
        <v>94036.46</v>
      </c>
      <c r="I1973" s="8">
        <v>978.83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95015.290000000008</v>
      </c>
    </row>
    <row r="1974" spans="1:15">
      <c r="A1974" s="191">
        <v>44835</v>
      </c>
      <c r="B1974" s="181" t="s">
        <v>124</v>
      </c>
      <c r="C1974" s="181" t="s">
        <v>728</v>
      </c>
      <c r="D1974" s="181" t="str">
        <f t="shared" si="36"/>
        <v>37001</v>
      </c>
      <c r="E1974" s="181" t="s">
        <v>15</v>
      </c>
      <c r="F1974" s="181" t="s">
        <v>14</v>
      </c>
      <c r="G1974" s="181" t="s">
        <v>647</v>
      </c>
      <c r="H1974" s="8">
        <v>1362022.21</v>
      </c>
      <c r="I1974" s="8">
        <v>16031.6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1378053.81</v>
      </c>
    </row>
    <row r="1975" spans="1:15">
      <c r="A1975" s="191">
        <v>44835</v>
      </c>
      <c r="B1975" s="181" t="s">
        <v>124</v>
      </c>
      <c r="C1975" s="181" t="s">
        <v>728</v>
      </c>
      <c r="D1975" s="181" t="str">
        <f t="shared" si="36"/>
        <v>37001</v>
      </c>
      <c r="E1975" s="181" t="s">
        <v>15</v>
      </c>
      <c r="F1975" s="181" t="s">
        <v>14</v>
      </c>
      <c r="G1975" s="181" t="s">
        <v>793</v>
      </c>
      <c r="H1975" s="8">
        <v>95015.290000000008</v>
      </c>
      <c r="I1975" s="8">
        <v>978.25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95993.540000000008</v>
      </c>
    </row>
    <row r="1976" spans="1:15">
      <c r="A1976" s="191">
        <v>44866</v>
      </c>
      <c r="B1976" s="181" t="s">
        <v>123</v>
      </c>
      <c r="C1976" s="181" t="s">
        <v>728</v>
      </c>
      <c r="D1976" s="181" t="str">
        <f t="shared" si="36"/>
        <v>37001</v>
      </c>
      <c r="E1976" s="181" t="s">
        <v>15</v>
      </c>
      <c r="F1976" s="181" t="s">
        <v>14</v>
      </c>
      <c r="G1976" s="181" t="s">
        <v>647</v>
      </c>
      <c r="H1976" s="8">
        <v>1378053.81</v>
      </c>
      <c r="I1976" s="8">
        <v>16028.29</v>
      </c>
      <c r="J1976" s="8">
        <v>0</v>
      </c>
      <c r="K1976" s="8">
        <v>0</v>
      </c>
      <c r="L1976" s="8">
        <v>0</v>
      </c>
      <c r="M1976" s="8">
        <v>66.86</v>
      </c>
      <c r="N1976" s="8">
        <v>0</v>
      </c>
      <c r="O1976" s="8">
        <v>1394148.96</v>
      </c>
    </row>
    <row r="1977" spans="1:15">
      <c r="A1977" s="191">
        <v>44866</v>
      </c>
      <c r="B1977" s="181" t="s">
        <v>123</v>
      </c>
      <c r="C1977" s="181" t="s">
        <v>728</v>
      </c>
      <c r="D1977" s="181" t="str">
        <f t="shared" si="36"/>
        <v>37001</v>
      </c>
      <c r="E1977" s="181" t="s">
        <v>15</v>
      </c>
      <c r="F1977" s="181" t="s">
        <v>14</v>
      </c>
      <c r="G1977" s="181" t="s">
        <v>793</v>
      </c>
      <c r="H1977" s="8">
        <v>95993.540000000008</v>
      </c>
      <c r="I1977" s="8">
        <v>978.05000000000007</v>
      </c>
      <c r="J1977" s="8">
        <v>0</v>
      </c>
      <c r="K1977" s="8">
        <v>0</v>
      </c>
      <c r="L1977" s="8">
        <v>0</v>
      </c>
      <c r="M1977" s="8">
        <v>0.02</v>
      </c>
      <c r="N1977" s="8">
        <v>0</v>
      </c>
      <c r="O1977" s="8">
        <v>96971.61</v>
      </c>
    </row>
    <row r="1978" spans="1:15">
      <c r="A1978" s="191">
        <v>44896</v>
      </c>
      <c r="B1978" s="181" t="s">
        <v>122</v>
      </c>
      <c r="C1978" s="181" t="s">
        <v>728</v>
      </c>
      <c r="D1978" s="181" t="str">
        <f t="shared" si="36"/>
        <v>37001</v>
      </c>
      <c r="E1978" s="181" t="s">
        <v>15</v>
      </c>
      <c r="F1978" s="181" t="s">
        <v>14</v>
      </c>
      <c r="G1978" s="181" t="s">
        <v>647</v>
      </c>
      <c r="H1978" s="8">
        <v>1394148.96</v>
      </c>
      <c r="I1978" s="8">
        <v>16050.23</v>
      </c>
      <c r="J1978" s="8">
        <v>0</v>
      </c>
      <c r="K1978" s="8">
        <v>0</v>
      </c>
      <c r="L1978" s="8">
        <v>0</v>
      </c>
      <c r="M1978" s="8">
        <v>35.64</v>
      </c>
      <c r="N1978" s="8">
        <v>0</v>
      </c>
      <c r="O1978" s="8">
        <v>1410234.83</v>
      </c>
    </row>
    <row r="1979" spans="1:15">
      <c r="A1979" s="191">
        <v>44896</v>
      </c>
      <c r="B1979" s="181" t="s">
        <v>122</v>
      </c>
      <c r="C1979" s="181" t="s">
        <v>728</v>
      </c>
      <c r="D1979" s="181" t="str">
        <f t="shared" si="36"/>
        <v>37001</v>
      </c>
      <c r="E1979" s="181" t="s">
        <v>15</v>
      </c>
      <c r="F1979" s="181" t="s">
        <v>14</v>
      </c>
      <c r="G1979" s="181" t="s">
        <v>793</v>
      </c>
      <c r="H1979" s="8">
        <v>96971.61</v>
      </c>
      <c r="I1979" s="8">
        <v>979.39</v>
      </c>
      <c r="J1979" s="8">
        <v>0</v>
      </c>
      <c r="K1979" s="8">
        <v>0</v>
      </c>
      <c r="L1979" s="8">
        <v>0</v>
      </c>
      <c r="M1979" s="8">
        <v>0.01</v>
      </c>
      <c r="N1979" s="8">
        <v>0</v>
      </c>
      <c r="O1979" s="8">
        <v>97951.010000000009</v>
      </c>
    </row>
    <row r="1980" spans="1:15">
      <c r="A1980" s="191">
        <v>44531</v>
      </c>
      <c r="B1980" s="181" t="s">
        <v>13</v>
      </c>
      <c r="C1980" s="181" t="s">
        <v>729</v>
      </c>
      <c r="D1980" s="181" t="str">
        <f t="shared" si="36"/>
        <v>37002</v>
      </c>
      <c r="E1980" s="181" t="s">
        <v>15</v>
      </c>
      <c r="F1980" s="181" t="s">
        <v>14</v>
      </c>
      <c r="G1980" s="181" t="s">
        <v>647</v>
      </c>
      <c r="H1980" s="8">
        <v>229.18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229.18</v>
      </c>
    </row>
    <row r="1981" spans="1:15">
      <c r="A1981" s="191">
        <v>44531</v>
      </c>
      <c r="B1981" s="181" t="s">
        <v>13</v>
      </c>
      <c r="C1981" s="181" t="s">
        <v>729</v>
      </c>
      <c r="D1981" s="181" t="str">
        <f t="shared" si="36"/>
        <v>37002</v>
      </c>
      <c r="E1981" s="181" t="s">
        <v>15</v>
      </c>
      <c r="F1981" s="181" t="s">
        <v>14</v>
      </c>
      <c r="G1981" s="181" t="s">
        <v>793</v>
      </c>
      <c r="H1981" s="8">
        <v>-229.18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-229.18</v>
      </c>
    </row>
    <row r="1982" spans="1:15">
      <c r="A1982" s="191">
        <v>44562</v>
      </c>
      <c r="B1982" s="181" t="s">
        <v>133</v>
      </c>
      <c r="C1982" s="181" t="s">
        <v>729</v>
      </c>
      <c r="D1982" s="181" t="str">
        <f t="shared" si="36"/>
        <v>37002</v>
      </c>
      <c r="E1982" s="181" t="s">
        <v>15</v>
      </c>
      <c r="F1982" s="181" t="s">
        <v>14</v>
      </c>
      <c r="G1982" s="181" t="s">
        <v>647</v>
      </c>
      <c r="H1982" s="8">
        <v>229.18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229.18</v>
      </c>
    </row>
    <row r="1983" spans="1:15">
      <c r="A1983" s="191">
        <v>44562</v>
      </c>
      <c r="B1983" s="181" t="s">
        <v>133</v>
      </c>
      <c r="C1983" s="181" t="s">
        <v>729</v>
      </c>
      <c r="D1983" s="181" t="str">
        <f t="shared" si="36"/>
        <v>37002</v>
      </c>
      <c r="E1983" s="181" t="s">
        <v>15</v>
      </c>
      <c r="F1983" s="181" t="s">
        <v>14</v>
      </c>
      <c r="G1983" s="181" t="s">
        <v>793</v>
      </c>
      <c r="H1983" s="8">
        <v>-229.18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-229.18</v>
      </c>
    </row>
    <row r="1984" spans="1:15">
      <c r="A1984" s="191">
        <v>44593</v>
      </c>
      <c r="B1984" s="181" t="s">
        <v>132</v>
      </c>
      <c r="C1984" s="181" t="s">
        <v>729</v>
      </c>
      <c r="D1984" s="181" t="str">
        <f t="shared" si="36"/>
        <v>37002</v>
      </c>
      <c r="E1984" s="181" t="s">
        <v>15</v>
      </c>
      <c r="F1984" s="181" t="s">
        <v>14</v>
      </c>
      <c r="G1984" s="181" t="s">
        <v>647</v>
      </c>
      <c r="H1984" s="8">
        <v>229.18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229.18</v>
      </c>
    </row>
    <row r="1985" spans="1:15">
      <c r="A1985" s="191">
        <v>44593</v>
      </c>
      <c r="B1985" s="181" t="s">
        <v>132</v>
      </c>
      <c r="C1985" s="181" t="s">
        <v>729</v>
      </c>
      <c r="D1985" s="181" t="str">
        <f t="shared" si="36"/>
        <v>37002</v>
      </c>
      <c r="E1985" s="181" t="s">
        <v>15</v>
      </c>
      <c r="F1985" s="181" t="s">
        <v>14</v>
      </c>
      <c r="G1985" s="181" t="s">
        <v>793</v>
      </c>
      <c r="H1985" s="8">
        <v>-229.18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-229.18</v>
      </c>
    </row>
    <row r="1986" spans="1:15">
      <c r="A1986" s="191">
        <v>44621</v>
      </c>
      <c r="B1986" s="181" t="s">
        <v>131</v>
      </c>
      <c r="C1986" s="181" t="s">
        <v>729</v>
      </c>
      <c r="D1986" s="181" t="str">
        <f t="shared" si="36"/>
        <v>37002</v>
      </c>
      <c r="E1986" s="181" t="s">
        <v>15</v>
      </c>
      <c r="F1986" s="181" t="s">
        <v>14</v>
      </c>
      <c r="G1986" s="181" t="s">
        <v>647</v>
      </c>
      <c r="H1986" s="8">
        <v>229.18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229.18</v>
      </c>
    </row>
    <row r="1987" spans="1:15">
      <c r="A1987" s="191">
        <v>44621</v>
      </c>
      <c r="B1987" s="181" t="s">
        <v>131</v>
      </c>
      <c r="C1987" s="181" t="s">
        <v>729</v>
      </c>
      <c r="D1987" s="181" t="str">
        <f t="shared" si="36"/>
        <v>37002</v>
      </c>
      <c r="E1987" s="181" t="s">
        <v>15</v>
      </c>
      <c r="F1987" s="181" t="s">
        <v>14</v>
      </c>
      <c r="G1987" s="181" t="s">
        <v>793</v>
      </c>
      <c r="H1987" s="8">
        <v>-229.18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-229.18</v>
      </c>
    </row>
    <row r="1988" spans="1:15">
      <c r="A1988" s="191">
        <v>44652</v>
      </c>
      <c r="B1988" s="181" t="s">
        <v>130</v>
      </c>
      <c r="C1988" s="181" t="s">
        <v>729</v>
      </c>
      <c r="D1988" s="181" t="str">
        <f t="shared" si="36"/>
        <v>37002</v>
      </c>
      <c r="E1988" s="181" t="s">
        <v>15</v>
      </c>
      <c r="F1988" s="181" t="s">
        <v>14</v>
      </c>
      <c r="G1988" s="181" t="s">
        <v>647</v>
      </c>
      <c r="H1988" s="8">
        <v>229.18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229.18</v>
      </c>
    </row>
    <row r="1989" spans="1:15">
      <c r="A1989" s="191">
        <v>44652</v>
      </c>
      <c r="B1989" s="181" t="s">
        <v>130</v>
      </c>
      <c r="C1989" s="181" t="s">
        <v>729</v>
      </c>
      <c r="D1989" s="181" t="str">
        <f t="shared" si="36"/>
        <v>37002</v>
      </c>
      <c r="E1989" s="181" t="s">
        <v>15</v>
      </c>
      <c r="F1989" s="181" t="s">
        <v>14</v>
      </c>
      <c r="G1989" s="181" t="s">
        <v>793</v>
      </c>
      <c r="H1989" s="8">
        <v>-229.18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-229.18</v>
      </c>
    </row>
    <row r="1990" spans="1:15">
      <c r="A1990" s="191">
        <v>44682</v>
      </c>
      <c r="B1990" s="181" t="s">
        <v>129</v>
      </c>
      <c r="C1990" s="181" t="s">
        <v>729</v>
      </c>
      <c r="D1990" s="181" t="str">
        <f t="shared" si="36"/>
        <v>37002</v>
      </c>
      <c r="E1990" s="181" t="s">
        <v>15</v>
      </c>
      <c r="F1990" s="181" t="s">
        <v>14</v>
      </c>
      <c r="G1990" s="181" t="s">
        <v>647</v>
      </c>
      <c r="H1990" s="8">
        <v>229.18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229.18</v>
      </c>
    </row>
    <row r="1991" spans="1:15">
      <c r="A1991" s="191">
        <v>44682</v>
      </c>
      <c r="B1991" s="181" t="s">
        <v>129</v>
      </c>
      <c r="C1991" s="181" t="s">
        <v>729</v>
      </c>
      <c r="D1991" s="181" t="str">
        <f t="shared" si="36"/>
        <v>37002</v>
      </c>
      <c r="E1991" s="181" t="s">
        <v>15</v>
      </c>
      <c r="F1991" s="181" t="s">
        <v>14</v>
      </c>
      <c r="G1991" s="181" t="s">
        <v>793</v>
      </c>
      <c r="H1991" s="8">
        <v>-229.18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-229.18</v>
      </c>
    </row>
    <row r="1992" spans="1:15">
      <c r="A1992" s="191">
        <v>44713</v>
      </c>
      <c r="B1992" s="181" t="s">
        <v>128</v>
      </c>
      <c r="C1992" s="181" t="s">
        <v>729</v>
      </c>
      <c r="D1992" s="181" t="str">
        <f t="shared" si="36"/>
        <v>37002</v>
      </c>
      <c r="E1992" s="181" t="s">
        <v>15</v>
      </c>
      <c r="F1992" s="181" t="s">
        <v>14</v>
      </c>
      <c r="G1992" s="181" t="s">
        <v>647</v>
      </c>
      <c r="H1992" s="8">
        <v>229.18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229.18</v>
      </c>
    </row>
    <row r="1993" spans="1:15">
      <c r="A1993" s="191">
        <v>44713</v>
      </c>
      <c r="B1993" s="181" t="s">
        <v>128</v>
      </c>
      <c r="C1993" s="181" t="s">
        <v>729</v>
      </c>
      <c r="D1993" s="181" t="str">
        <f t="shared" si="36"/>
        <v>37002</v>
      </c>
      <c r="E1993" s="181" t="s">
        <v>15</v>
      </c>
      <c r="F1993" s="181" t="s">
        <v>14</v>
      </c>
      <c r="G1993" s="181" t="s">
        <v>793</v>
      </c>
      <c r="H1993" s="8">
        <v>-229.18</v>
      </c>
      <c r="I1993" s="8">
        <v>0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-229.18</v>
      </c>
    </row>
    <row r="1994" spans="1:15">
      <c r="A1994" s="191">
        <v>44743</v>
      </c>
      <c r="B1994" s="181" t="s">
        <v>127</v>
      </c>
      <c r="C1994" s="181" t="s">
        <v>729</v>
      </c>
      <c r="D1994" s="181" t="str">
        <f t="shared" si="36"/>
        <v>37002</v>
      </c>
      <c r="E1994" s="181" t="s">
        <v>15</v>
      </c>
      <c r="F1994" s="181" t="s">
        <v>14</v>
      </c>
      <c r="G1994" s="181" t="s">
        <v>647</v>
      </c>
      <c r="H1994" s="8">
        <v>229.18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229.18</v>
      </c>
    </row>
    <row r="1995" spans="1:15">
      <c r="A1995" s="191">
        <v>44743</v>
      </c>
      <c r="B1995" s="181" t="s">
        <v>127</v>
      </c>
      <c r="C1995" s="181" t="s">
        <v>729</v>
      </c>
      <c r="D1995" s="181" t="str">
        <f t="shared" si="36"/>
        <v>37002</v>
      </c>
      <c r="E1995" s="181" t="s">
        <v>15</v>
      </c>
      <c r="F1995" s="181" t="s">
        <v>14</v>
      </c>
      <c r="G1995" s="181" t="s">
        <v>793</v>
      </c>
      <c r="H1995" s="8">
        <v>-229.18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-229.18</v>
      </c>
    </row>
    <row r="1996" spans="1:15">
      <c r="A1996" s="191">
        <v>44774</v>
      </c>
      <c r="B1996" s="181" t="s">
        <v>126</v>
      </c>
      <c r="C1996" s="181" t="s">
        <v>729</v>
      </c>
      <c r="D1996" s="181" t="str">
        <f t="shared" si="36"/>
        <v>37002</v>
      </c>
      <c r="E1996" s="181" t="s">
        <v>15</v>
      </c>
      <c r="F1996" s="181" t="s">
        <v>14</v>
      </c>
      <c r="G1996" s="181" t="s">
        <v>647</v>
      </c>
      <c r="H1996" s="8">
        <v>229.18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229.18</v>
      </c>
    </row>
    <row r="1997" spans="1:15">
      <c r="A1997" s="191">
        <v>44774</v>
      </c>
      <c r="B1997" s="181" t="s">
        <v>126</v>
      </c>
      <c r="C1997" s="181" t="s">
        <v>729</v>
      </c>
      <c r="D1997" s="181" t="str">
        <f t="shared" si="36"/>
        <v>37002</v>
      </c>
      <c r="E1997" s="181" t="s">
        <v>15</v>
      </c>
      <c r="F1997" s="181" t="s">
        <v>14</v>
      </c>
      <c r="G1997" s="181" t="s">
        <v>793</v>
      </c>
      <c r="H1997" s="8">
        <v>-229.18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-229.18</v>
      </c>
    </row>
    <row r="1998" spans="1:15">
      <c r="A1998" s="191">
        <v>44805</v>
      </c>
      <c r="B1998" s="181" t="s">
        <v>125</v>
      </c>
      <c r="C1998" s="181" t="s">
        <v>729</v>
      </c>
      <c r="D1998" s="181" t="str">
        <f t="shared" si="36"/>
        <v>37002</v>
      </c>
      <c r="E1998" s="181" t="s">
        <v>15</v>
      </c>
      <c r="F1998" s="181" t="s">
        <v>14</v>
      </c>
      <c r="G1998" s="181" t="s">
        <v>647</v>
      </c>
      <c r="H1998" s="8">
        <v>229.18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229.18</v>
      </c>
    </row>
    <row r="1999" spans="1:15">
      <c r="A1999" s="191">
        <v>44805</v>
      </c>
      <c r="B1999" s="181" t="s">
        <v>125</v>
      </c>
      <c r="C1999" s="181" t="s">
        <v>729</v>
      </c>
      <c r="D1999" s="181" t="str">
        <f t="shared" si="36"/>
        <v>37002</v>
      </c>
      <c r="E1999" s="181" t="s">
        <v>15</v>
      </c>
      <c r="F1999" s="181" t="s">
        <v>14</v>
      </c>
      <c r="G1999" s="181" t="s">
        <v>793</v>
      </c>
      <c r="H1999" s="8">
        <v>-229.18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-229.18</v>
      </c>
    </row>
    <row r="2000" spans="1:15">
      <c r="A2000" s="191">
        <v>44835</v>
      </c>
      <c r="B2000" s="181" t="s">
        <v>124</v>
      </c>
      <c r="C2000" s="181" t="s">
        <v>729</v>
      </c>
      <c r="D2000" s="181" t="str">
        <f t="shared" si="36"/>
        <v>37002</v>
      </c>
      <c r="E2000" s="181" t="s">
        <v>15</v>
      </c>
      <c r="F2000" s="181" t="s">
        <v>14</v>
      </c>
      <c r="G2000" s="181" t="s">
        <v>647</v>
      </c>
      <c r="H2000" s="8">
        <v>229.18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229.18</v>
      </c>
    </row>
    <row r="2001" spans="1:15">
      <c r="A2001" s="191">
        <v>44835</v>
      </c>
      <c r="B2001" s="181" t="s">
        <v>124</v>
      </c>
      <c r="C2001" s="181" t="s">
        <v>729</v>
      </c>
      <c r="D2001" s="181" t="str">
        <f t="shared" si="36"/>
        <v>37002</v>
      </c>
      <c r="E2001" s="181" t="s">
        <v>15</v>
      </c>
      <c r="F2001" s="181" t="s">
        <v>14</v>
      </c>
      <c r="G2001" s="181" t="s">
        <v>793</v>
      </c>
      <c r="H2001" s="8">
        <v>-229.18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-229.18</v>
      </c>
    </row>
    <row r="2002" spans="1:15">
      <c r="A2002" s="191">
        <v>44866</v>
      </c>
      <c r="B2002" s="181" t="s">
        <v>123</v>
      </c>
      <c r="C2002" s="181" t="s">
        <v>729</v>
      </c>
      <c r="D2002" s="181" t="str">
        <f t="shared" si="36"/>
        <v>37002</v>
      </c>
      <c r="E2002" s="181" t="s">
        <v>15</v>
      </c>
      <c r="F2002" s="181" t="s">
        <v>14</v>
      </c>
      <c r="G2002" s="181" t="s">
        <v>647</v>
      </c>
      <c r="H2002" s="8">
        <v>229.18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229.18</v>
      </c>
    </row>
    <row r="2003" spans="1:15">
      <c r="A2003" s="191">
        <v>44866</v>
      </c>
      <c r="B2003" s="181" t="s">
        <v>123</v>
      </c>
      <c r="C2003" s="181" t="s">
        <v>729</v>
      </c>
      <c r="D2003" s="181" t="str">
        <f t="shared" si="36"/>
        <v>37002</v>
      </c>
      <c r="E2003" s="181" t="s">
        <v>15</v>
      </c>
      <c r="F2003" s="181" t="s">
        <v>14</v>
      </c>
      <c r="G2003" s="181" t="s">
        <v>793</v>
      </c>
      <c r="H2003" s="8">
        <v>-229.18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-229.18</v>
      </c>
    </row>
    <row r="2004" spans="1:15">
      <c r="A2004" s="191">
        <v>44896</v>
      </c>
      <c r="B2004" s="181" t="s">
        <v>122</v>
      </c>
      <c r="C2004" s="181" t="s">
        <v>729</v>
      </c>
      <c r="D2004" s="181" t="str">
        <f t="shared" si="36"/>
        <v>37002</v>
      </c>
      <c r="E2004" s="181" t="s">
        <v>15</v>
      </c>
      <c r="F2004" s="181" t="s">
        <v>14</v>
      </c>
      <c r="G2004" s="181" t="s">
        <v>647</v>
      </c>
      <c r="H2004" s="8">
        <v>229.18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229.18</v>
      </c>
    </row>
    <row r="2005" spans="1:15">
      <c r="A2005" s="191">
        <v>44896</v>
      </c>
      <c r="B2005" s="181" t="s">
        <v>122</v>
      </c>
      <c r="C2005" s="181" t="s">
        <v>729</v>
      </c>
      <c r="D2005" s="181" t="str">
        <f t="shared" si="36"/>
        <v>37002</v>
      </c>
      <c r="E2005" s="181" t="s">
        <v>15</v>
      </c>
      <c r="F2005" s="181" t="s">
        <v>14</v>
      </c>
      <c r="G2005" s="181" t="s">
        <v>793</v>
      </c>
      <c r="H2005" s="8">
        <v>-229.18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-229.18</v>
      </c>
    </row>
    <row r="2006" spans="1:15">
      <c r="A2006" s="191">
        <v>44531</v>
      </c>
      <c r="B2006" s="181" t="s">
        <v>13</v>
      </c>
      <c r="C2006" s="181" t="s">
        <v>730</v>
      </c>
      <c r="D2006" s="181" t="str">
        <f t="shared" si="36"/>
        <v>37004</v>
      </c>
      <c r="E2006" s="181" t="s">
        <v>15</v>
      </c>
      <c r="F2006" s="181" t="s">
        <v>14</v>
      </c>
      <c r="G2006" s="181" t="s">
        <v>647</v>
      </c>
      <c r="H2006" s="8">
        <v>6819642.9800000004</v>
      </c>
      <c r="I2006" s="8">
        <v>101804.55</v>
      </c>
      <c r="J2006" s="8">
        <v>-331388.77</v>
      </c>
      <c r="K2006" s="8">
        <v>0</v>
      </c>
      <c r="L2006" s="8">
        <v>0</v>
      </c>
      <c r="M2006" s="8">
        <v>131660</v>
      </c>
      <c r="N2006" s="8">
        <v>0</v>
      </c>
      <c r="O2006" s="8">
        <v>6721718.7599999998</v>
      </c>
    </row>
    <row r="2007" spans="1:15">
      <c r="A2007" s="191">
        <v>44531</v>
      </c>
      <c r="B2007" s="181" t="s">
        <v>13</v>
      </c>
      <c r="C2007" s="181" t="s">
        <v>730</v>
      </c>
      <c r="D2007" s="181" t="str">
        <f t="shared" si="36"/>
        <v>37004</v>
      </c>
      <c r="E2007" s="181" t="s">
        <v>15</v>
      </c>
      <c r="F2007" s="181" t="s">
        <v>14</v>
      </c>
      <c r="G2007" s="181" t="s">
        <v>793</v>
      </c>
      <c r="H2007" s="8">
        <v>-22228.14</v>
      </c>
      <c r="I2007" s="8">
        <v>0</v>
      </c>
      <c r="J2007" s="8">
        <v>0</v>
      </c>
      <c r="K2007" s="8">
        <v>0</v>
      </c>
      <c r="L2007" s="8">
        <v>0</v>
      </c>
      <c r="M2007" s="8">
        <v>-481.91</v>
      </c>
      <c r="N2007" s="8">
        <v>0</v>
      </c>
      <c r="O2007" s="8">
        <v>-22710.05</v>
      </c>
    </row>
    <row r="2008" spans="1:15">
      <c r="A2008" s="191">
        <v>44562</v>
      </c>
      <c r="B2008" s="181" t="s">
        <v>133</v>
      </c>
      <c r="C2008" s="181" t="s">
        <v>730</v>
      </c>
      <c r="D2008" s="181" t="str">
        <f t="shared" si="36"/>
        <v>37004</v>
      </c>
      <c r="E2008" s="181" t="s">
        <v>15</v>
      </c>
      <c r="F2008" s="181" t="s">
        <v>14</v>
      </c>
      <c r="G2008" s="181" t="s">
        <v>647</v>
      </c>
      <c r="H2008" s="8">
        <v>6721718.7599999998</v>
      </c>
      <c r="I2008" s="8">
        <v>100693.90000000001</v>
      </c>
      <c r="J2008" s="8">
        <v>-381198.79</v>
      </c>
      <c r="K2008" s="8">
        <v>0</v>
      </c>
      <c r="L2008" s="8">
        <v>0</v>
      </c>
      <c r="M2008" s="8">
        <v>0</v>
      </c>
      <c r="N2008" s="8">
        <v>0</v>
      </c>
      <c r="O2008" s="8">
        <v>6441213.8700000001</v>
      </c>
    </row>
    <row r="2009" spans="1:15">
      <c r="A2009" s="191">
        <v>44562</v>
      </c>
      <c r="B2009" s="181" t="s">
        <v>133</v>
      </c>
      <c r="C2009" s="181" t="s">
        <v>730</v>
      </c>
      <c r="D2009" s="181" t="str">
        <f t="shared" si="36"/>
        <v>37004</v>
      </c>
      <c r="E2009" s="181" t="s">
        <v>15</v>
      </c>
      <c r="F2009" s="181" t="s">
        <v>14</v>
      </c>
      <c r="G2009" s="181" t="s">
        <v>793</v>
      </c>
      <c r="H2009" s="8">
        <v>-22710.05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-22710.05</v>
      </c>
    </row>
    <row r="2010" spans="1:15">
      <c r="A2010" s="191">
        <v>44593</v>
      </c>
      <c r="B2010" s="181" t="s">
        <v>132</v>
      </c>
      <c r="C2010" s="181" t="s">
        <v>730</v>
      </c>
      <c r="D2010" s="181" t="str">
        <f t="shared" si="36"/>
        <v>37004</v>
      </c>
      <c r="E2010" s="181" t="s">
        <v>15</v>
      </c>
      <c r="F2010" s="181" t="s">
        <v>14</v>
      </c>
      <c r="G2010" s="181" t="s">
        <v>647</v>
      </c>
      <c r="H2010" s="8">
        <v>6441213.8700000001</v>
      </c>
      <c r="I2010" s="8">
        <v>99465.82</v>
      </c>
      <c r="J2010" s="8">
        <v>-52255.98</v>
      </c>
      <c r="K2010" s="8">
        <v>0</v>
      </c>
      <c r="L2010" s="8">
        <v>0</v>
      </c>
      <c r="M2010" s="8">
        <v>-13014.92</v>
      </c>
      <c r="N2010" s="8">
        <v>0</v>
      </c>
      <c r="O2010" s="8">
        <v>6475408.79</v>
      </c>
    </row>
    <row r="2011" spans="1:15">
      <c r="A2011" s="191">
        <v>44593</v>
      </c>
      <c r="B2011" s="181" t="s">
        <v>132</v>
      </c>
      <c r="C2011" s="181" t="s">
        <v>730</v>
      </c>
      <c r="D2011" s="181" t="str">
        <f t="shared" si="36"/>
        <v>37004</v>
      </c>
      <c r="E2011" s="181" t="s">
        <v>15</v>
      </c>
      <c r="F2011" s="181" t="s">
        <v>14</v>
      </c>
      <c r="G2011" s="181" t="s">
        <v>793</v>
      </c>
      <c r="H2011" s="8">
        <v>-22710.05</v>
      </c>
      <c r="I2011" s="8">
        <v>0</v>
      </c>
      <c r="J2011" s="8">
        <v>0</v>
      </c>
      <c r="K2011" s="8">
        <v>0</v>
      </c>
      <c r="L2011" s="8">
        <v>0</v>
      </c>
      <c r="M2011" s="8">
        <v>53.980000000000004</v>
      </c>
      <c r="N2011" s="8">
        <v>0</v>
      </c>
      <c r="O2011" s="8">
        <v>-22656.07</v>
      </c>
    </row>
    <row r="2012" spans="1:15">
      <c r="A2012" s="191">
        <v>44621</v>
      </c>
      <c r="B2012" s="181" t="s">
        <v>131</v>
      </c>
      <c r="C2012" s="181" t="s">
        <v>730</v>
      </c>
      <c r="D2012" s="181" t="str">
        <f t="shared" si="36"/>
        <v>37004</v>
      </c>
      <c r="E2012" s="181" t="s">
        <v>15</v>
      </c>
      <c r="F2012" s="181" t="s">
        <v>14</v>
      </c>
      <c r="G2012" s="181" t="s">
        <v>647</v>
      </c>
      <c r="H2012" s="8">
        <v>6475408.79</v>
      </c>
      <c r="I2012" s="8">
        <v>99372.180000000008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6574780.9699999997</v>
      </c>
    </row>
    <row r="2013" spans="1:15">
      <c r="A2013" s="191">
        <v>44621</v>
      </c>
      <c r="B2013" s="181" t="s">
        <v>131</v>
      </c>
      <c r="C2013" s="181" t="s">
        <v>730</v>
      </c>
      <c r="D2013" s="181" t="str">
        <f t="shared" si="36"/>
        <v>37004</v>
      </c>
      <c r="E2013" s="181" t="s">
        <v>15</v>
      </c>
      <c r="F2013" s="181" t="s">
        <v>14</v>
      </c>
      <c r="G2013" s="181" t="s">
        <v>793</v>
      </c>
      <c r="H2013" s="8">
        <v>-22656.07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-22656.07</v>
      </c>
    </row>
    <row r="2014" spans="1:15">
      <c r="A2014" s="191">
        <v>44652</v>
      </c>
      <c r="B2014" s="181" t="s">
        <v>130</v>
      </c>
      <c r="C2014" s="181" t="s">
        <v>730</v>
      </c>
      <c r="D2014" s="181" t="str">
        <f t="shared" si="36"/>
        <v>37004</v>
      </c>
      <c r="E2014" s="181" t="s">
        <v>15</v>
      </c>
      <c r="F2014" s="181" t="s">
        <v>14</v>
      </c>
      <c r="G2014" s="181" t="s">
        <v>647</v>
      </c>
      <c r="H2014" s="8">
        <v>6574780.9699999997</v>
      </c>
      <c r="I2014" s="8">
        <v>99571.82</v>
      </c>
      <c r="J2014" s="8">
        <v>504.43</v>
      </c>
      <c r="K2014" s="8">
        <v>0</v>
      </c>
      <c r="L2014" s="8">
        <v>0</v>
      </c>
      <c r="M2014" s="8">
        <v>-472.2</v>
      </c>
      <c r="N2014" s="8">
        <v>0</v>
      </c>
      <c r="O2014" s="8">
        <v>6674385.0199999996</v>
      </c>
    </row>
    <row r="2015" spans="1:15">
      <c r="A2015" s="191">
        <v>44652</v>
      </c>
      <c r="B2015" s="181" t="s">
        <v>130</v>
      </c>
      <c r="C2015" s="181" t="s">
        <v>730</v>
      </c>
      <c r="D2015" s="181" t="str">
        <f t="shared" si="36"/>
        <v>37004</v>
      </c>
      <c r="E2015" s="181" t="s">
        <v>15</v>
      </c>
      <c r="F2015" s="181" t="s">
        <v>14</v>
      </c>
      <c r="G2015" s="181" t="s">
        <v>793</v>
      </c>
      <c r="H2015" s="8">
        <v>-22656.07</v>
      </c>
      <c r="I2015" s="8">
        <v>0</v>
      </c>
      <c r="J2015" s="8">
        <v>0</v>
      </c>
      <c r="K2015" s="8">
        <v>0</v>
      </c>
      <c r="L2015" s="8">
        <v>0</v>
      </c>
      <c r="M2015" s="8">
        <v>5.47</v>
      </c>
      <c r="N2015" s="8">
        <v>0</v>
      </c>
      <c r="O2015" s="8">
        <v>-22650.600000000002</v>
      </c>
    </row>
    <row r="2016" spans="1:15">
      <c r="A2016" s="191">
        <v>44682</v>
      </c>
      <c r="B2016" s="181" t="s">
        <v>129</v>
      </c>
      <c r="C2016" s="181" t="s">
        <v>730</v>
      </c>
      <c r="D2016" s="181" t="str">
        <f t="shared" si="36"/>
        <v>37004</v>
      </c>
      <c r="E2016" s="181" t="s">
        <v>15</v>
      </c>
      <c r="F2016" s="181" t="s">
        <v>14</v>
      </c>
      <c r="G2016" s="181" t="s">
        <v>647</v>
      </c>
      <c r="H2016" s="8">
        <v>6674385.0199999996</v>
      </c>
      <c r="I2016" s="8">
        <v>99753.06</v>
      </c>
      <c r="J2016" s="8">
        <v>0</v>
      </c>
      <c r="K2016" s="8">
        <v>0</v>
      </c>
      <c r="L2016" s="8">
        <v>0</v>
      </c>
      <c r="M2016" s="8">
        <v>52.07</v>
      </c>
      <c r="N2016" s="8">
        <v>0</v>
      </c>
      <c r="O2016" s="8">
        <v>6774190.1500000004</v>
      </c>
    </row>
    <row r="2017" spans="1:15">
      <c r="A2017" s="191">
        <v>44682</v>
      </c>
      <c r="B2017" s="181" t="s">
        <v>129</v>
      </c>
      <c r="C2017" s="181" t="s">
        <v>730</v>
      </c>
      <c r="D2017" s="181" t="str">
        <f t="shared" si="36"/>
        <v>37004</v>
      </c>
      <c r="E2017" s="181" t="s">
        <v>15</v>
      </c>
      <c r="F2017" s="181" t="s">
        <v>14</v>
      </c>
      <c r="G2017" s="181" t="s">
        <v>793</v>
      </c>
      <c r="H2017" s="8">
        <v>-22650.600000000002</v>
      </c>
      <c r="I2017" s="8">
        <v>0</v>
      </c>
      <c r="J2017" s="8">
        <v>0</v>
      </c>
      <c r="K2017" s="8">
        <v>0</v>
      </c>
      <c r="L2017" s="8">
        <v>0</v>
      </c>
      <c r="M2017" s="8">
        <v>0.01</v>
      </c>
      <c r="N2017" s="8">
        <v>0</v>
      </c>
      <c r="O2017" s="8">
        <v>-22650.59</v>
      </c>
    </row>
    <row r="2018" spans="1:15">
      <c r="A2018" s="191">
        <v>44713</v>
      </c>
      <c r="B2018" s="181" t="s">
        <v>128</v>
      </c>
      <c r="C2018" s="181" t="s">
        <v>730</v>
      </c>
      <c r="D2018" s="181" t="str">
        <f t="shared" si="36"/>
        <v>37004</v>
      </c>
      <c r="E2018" s="181" t="s">
        <v>15</v>
      </c>
      <c r="F2018" s="181" t="s">
        <v>14</v>
      </c>
      <c r="G2018" s="181" t="s">
        <v>647</v>
      </c>
      <c r="H2018" s="8">
        <v>6774190.1500000004</v>
      </c>
      <c r="I2018" s="8">
        <v>99783.180000000008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6873973.3300000001</v>
      </c>
    </row>
    <row r="2019" spans="1:15">
      <c r="A2019" s="191">
        <v>44713</v>
      </c>
      <c r="B2019" s="181" t="s">
        <v>128</v>
      </c>
      <c r="C2019" s="181" t="s">
        <v>730</v>
      </c>
      <c r="D2019" s="181" t="str">
        <f t="shared" si="36"/>
        <v>37004</v>
      </c>
      <c r="E2019" s="181" t="s">
        <v>15</v>
      </c>
      <c r="F2019" s="181" t="s">
        <v>14</v>
      </c>
      <c r="G2019" s="181" t="s">
        <v>793</v>
      </c>
      <c r="H2019" s="8">
        <v>-22650.59</v>
      </c>
      <c r="I2019" s="8">
        <v>0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-22650.59</v>
      </c>
    </row>
    <row r="2020" spans="1:15">
      <c r="A2020" s="191">
        <v>44743</v>
      </c>
      <c r="B2020" s="181" t="s">
        <v>127</v>
      </c>
      <c r="C2020" s="181" t="s">
        <v>730</v>
      </c>
      <c r="D2020" s="181" t="str">
        <f t="shared" si="36"/>
        <v>37004</v>
      </c>
      <c r="E2020" s="181" t="s">
        <v>15</v>
      </c>
      <c r="F2020" s="181" t="s">
        <v>14</v>
      </c>
      <c r="G2020" s="181" t="s">
        <v>647</v>
      </c>
      <c r="H2020" s="8">
        <v>6873973.3300000001</v>
      </c>
      <c r="I2020" s="8">
        <v>99063.400000000009</v>
      </c>
      <c r="J2020" s="8">
        <v>-254929.15</v>
      </c>
      <c r="K2020" s="8">
        <v>0</v>
      </c>
      <c r="L2020" s="8">
        <v>0</v>
      </c>
      <c r="M2020" s="8">
        <v>0</v>
      </c>
      <c r="N2020" s="8">
        <v>0</v>
      </c>
      <c r="O2020" s="8">
        <v>6718107.5800000001</v>
      </c>
    </row>
    <row r="2021" spans="1:15">
      <c r="A2021" s="191">
        <v>44743</v>
      </c>
      <c r="B2021" s="181" t="s">
        <v>127</v>
      </c>
      <c r="C2021" s="181" t="s">
        <v>730</v>
      </c>
      <c r="D2021" s="181" t="str">
        <f t="shared" si="36"/>
        <v>37004</v>
      </c>
      <c r="E2021" s="181" t="s">
        <v>15</v>
      </c>
      <c r="F2021" s="181" t="s">
        <v>14</v>
      </c>
      <c r="G2021" s="181" t="s">
        <v>793</v>
      </c>
      <c r="H2021" s="8">
        <v>-22650.59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-22650.59</v>
      </c>
    </row>
    <row r="2022" spans="1:15">
      <c r="A2022" s="191">
        <v>44774</v>
      </c>
      <c r="B2022" s="181" t="s">
        <v>126</v>
      </c>
      <c r="C2022" s="181" t="s">
        <v>730</v>
      </c>
      <c r="D2022" s="181" t="str">
        <f t="shared" si="36"/>
        <v>37004</v>
      </c>
      <c r="E2022" s="181" t="s">
        <v>15</v>
      </c>
      <c r="F2022" s="181" t="s">
        <v>14</v>
      </c>
      <c r="G2022" s="181" t="s">
        <v>647</v>
      </c>
      <c r="H2022" s="8">
        <v>6718107.5800000001</v>
      </c>
      <c r="I2022" s="8">
        <v>98409.63</v>
      </c>
      <c r="J2022" s="8">
        <v>1318.15</v>
      </c>
      <c r="K2022" s="8">
        <v>0</v>
      </c>
      <c r="L2022" s="8">
        <v>0</v>
      </c>
      <c r="M2022" s="8">
        <v>-2562.71</v>
      </c>
      <c r="N2022" s="8">
        <v>0</v>
      </c>
      <c r="O2022" s="8">
        <v>6815272.6500000004</v>
      </c>
    </row>
    <row r="2023" spans="1:15">
      <c r="A2023" s="191">
        <v>44774</v>
      </c>
      <c r="B2023" s="181" t="s">
        <v>126</v>
      </c>
      <c r="C2023" s="181" t="s">
        <v>730</v>
      </c>
      <c r="D2023" s="181" t="str">
        <f t="shared" si="36"/>
        <v>37004</v>
      </c>
      <c r="E2023" s="181" t="s">
        <v>15</v>
      </c>
      <c r="F2023" s="181" t="s">
        <v>14</v>
      </c>
      <c r="G2023" s="181" t="s">
        <v>793</v>
      </c>
      <c r="H2023" s="8">
        <v>-22650.59</v>
      </c>
      <c r="I2023" s="8">
        <v>0</v>
      </c>
      <c r="J2023" s="8">
        <v>0</v>
      </c>
      <c r="K2023" s="8">
        <v>0</v>
      </c>
      <c r="L2023" s="8">
        <v>0</v>
      </c>
      <c r="M2023" s="8">
        <v>36.270000000000003</v>
      </c>
      <c r="N2023" s="8">
        <v>0</v>
      </c>
      <c r="O2023" s="8">
        <v>-22614.32</v>
      </c>
    </row>
    <row r="2024" spans="1:15">
      <c r="A2024" s="191">
        <v>44805</v>
      </c>
      <c r="B2024" s="181" t="s">
        <v>125</v>
      </c>
      <c r="C2024" s="181" t="s">
        <v>730</v>
      </c>
      <c r="D2024" s="181" t="str">
        <f t="shared" si="36"/>
        <v>37004</v>
      </c>
      <c r="E2024" s="181" t="s">
        <v>15</v>
      </c>
      <c r="F2024" s="181" t="s">
        <v>14</v>
      </c>
      <c r="G2024" s="181" t="s">
        <v>647</v>
      </c>
      <c r="H2024" s="8">
        <v>6815272.6500000004</v>
      </c>
      <c r="I2024" s="8">
        <v>98731.98</v>
      </c>
      <c r="J2024" s="8">
        <v>0</v>
      </c>
      <c r="K2024" s="8">
        <v>0</v>
      </c>
      <c r="L2024" s="8">
        <v>0</v>
      </c>
      <c r="M2024" s="8">
        <v>-721.72</v>
      </c>
      <c r="N2024" s="8">
        <v>0</v>
      </c>
      <c r="O2024" s="8">
        <v>6913282.9100000001</v>
      </c>
    </row>
    <row r="2025" spans="1:15">
      <c r="A2025" s="191">
        <v>44805</v>
      </c>
      <c r="B2025" s="181" t="s">
        <v>125</v>
      </c>
      <c r="C2025" s="181" t="s">
        <v>730</v>
      </c>
      <c r="D2025" s="181" t="str">
        <f t="shared" si="36"/>
        <v>37004</v>
      </c>
      <c r="E2025" s="181" t="s">
        <v>15</v>
      </c>
      <c r="F2025" s="181" t="s">
        <v>14</v>
      </c>
      <c r="G2025" s="181" t="s">
        <v>793</v>
      </c>
      <c r="H2025" s="8">
        <v>-22614.32</v>
      </c>
      <c r="I2025" s="8">
        <v>0</v>
      </c>
      <c r="J2025" s="8">
        <v>0</v>
      </c>
      <c r="K2025" s="8">
        <v>0</v>
      </c>
      <c r="L2025" s="8">
        <v>0</v>
      </c>
      <c r="M2025" s="8">
        <v>7.03</v>
      </c>
      <c r="N2025" s="8">
        <v>0</v>
      </c>
      <c r="O2025" s="8">
        <v>-22607.29</v>
      </c>
    </row>
    <row r="2026" spans="1:15">
      <c r="A2026" s="191">
        <v>44835</v>
      </c>
      <c r="B2026" s="181" t="s">
        <v>124</v>
      </c>
      <c r="C2026" s="181" t="s">
        <v>730</v>
      </c>
      <c r="D2026" s="181" t="str">
        <f t="shared" si="36"/>
        <v>37004</v>
      </c>
      <c r="E2026" s="181" t="s">
        <v>15</v>
      </c>
      <c r="F2026" s="181" t="s">
        <v>14</v>
      </c>
      <c r="G2026" s="181" t="s">
        <v>647</v>
      </c>
      <c r="H2026" s="8">
        <v>6913282.9100000001</v>
      </c>
      <c r="I2026" s="8">
        <v>98973.64</v>
      </c>
      <c r="J2026" s="8">
        <v>1152.9100000000001</v>
      </c>
      <c r="K2026" s="8">
        <v>0</v>
      </c>
      <c r="L2026" s="8">
        <v>0</v>
      </c>
      <c r="M2026" s="8">
        <v>0</v>
      </c>
      <c r="N2026" s="8">
        <v>0</v>
      </c>
      <c r="O2026" s="8">
        <v>7013409.46</v>
      </c>
    </row>
    <row r="2027" spans="1:15">
      <c r="A2027" s="191">
        <v>44835</v>
      </c>
      <c r="B2027" s="181" t="s">
        <v>124</v>
      </c>
      <c r="C2027" s="181" t="s">
        <v>730</v>
      </c>
      <c r="D2027" s="181" t="str">
        <f t="shared" si="36"/>
        <v>37004</v>
      </c>
      <c r="E2027" s="181" t="s">
        <v>15</v>
      </c>
      <c r="F2027" s="181" t="s">
        <v>14</v>
      </c>
      <c r="G2027" s="181" t="s">
        <v>793</v>
      </c>
      <c r="H2027" s="8">
        <v>-22607.29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-22607.29</v>
      </c>
    </row>
    <row r="2028" spans="1:15">
      <c r="A2028" s="191">
        <v>44866</v>
      </c>
      <c r="B2028" s="181" t="s">
        <v>123</v>
      </c>
      <c r="C2028" s="181" t="s">
        <v>730</v>
      </c>
      <c r="D2028" s="181" t="str">
        <f t="shared" si="36"/>
        <v>37004</v>
      </c>
      <c r="E2028" s="181" t="s">
        <v>15</v>
      </c>
      <c r="F2028" s="181" t="s">
        <v>14</v>
      </c>
      <c r="G2028" s="181" t="s">
        <v>647</v>
      </c>
      <c r="H2028" s="8">
        <v>7013409.46</v>
      </c>
      <c r="I2028" s="8">
        <v>98161.55</v>
      </c>
      <c r="J2028" s="8">
        <v>-158430.48000000001</v>
      </c>
      <c r="K2028" s="8">
        <v>0</v>
      </c>
      <c r="L2028" s="8">
        <v>0</v>
      </c>
      <c r="M2028" s="8">
        <v>-14330.62</v>
      </c>
      <c r="N2028" s="8">
        <v>0</v>
      </c>
      <c r="O2028" s="8">
        <v>6938809.9100000001</v>
      </c>
    </row>
    <row r="2029" spans="1:15">
      <c r="A2029" s="191">
        <v>44866</v>
      </c>
      <c r="B2029" s="181" t="s">
        <v>123</v>
      </c>
      <c r="C2029" s="181" t="s">
        <v>730</v>
      </c>
      <c r="D2029" s="181" t="str">
        <f t="shared" si="36"/>
        <v>37004</v>
      </c>
      <c r="E2029" s="181" t="s">
        <v>15</v>
      </c>
      <c r="F2029" s="181" t="s">
        <v>14</v>
      </c>
      <c r="G2029" s="181" t="s">
        <v>793</v>
      </c>
      <c r="H2029" s="8">
        <v>-22607.29</v>
      </c>
      <c r="I2029" s="8">
        <v>0</v>
      </c>
      <c r="J2029" s="8">
        <v>0</v>
      </c>
      <c r="K2029" s="8">
        <v>0</v>
      </c>
      <c r="L2029" s="8">
        <v>0</v>
      </c>
      <c r="M2029" s="8">
        <v>46.19</v>
      </c>
      <c r="N2029" s="8">
        <v>0</v>
      </c>
      <c r="O2029" s="8">
        <v>-22561.100000000002</v>
      </c>
    </row>
    <row r="2030" spans="1:15">
      <c r="A2030" s="191">
        <v>44896</v>
      </c>
      <c r="B2030" s="181" t="s">
        <v>122</v>
      </c>
      <c r="C2030" s="181" t="s">
        <v>730</v>
      </c>
      <c r="D2030" s="181" t="str">
        <f t="shared" si="36"/>
        <v>37004</v>
      </c>
      <c r="E2030" s="181" t="s">
        <v>15</v>
      </c>
      <c r="F2030" s="181" t="s">
        <v>14</v>
      </c>
      <c r="G2030" s="181" t="s">
        <v>647</v>
      </c>
      <c r="H2030" s="8">
        <v>6938809.9100000001</v>
      </c>
      <c r="I2030" s="8">
        <v>97377.05</v>
      </c>
      <c r="J2030" s="8">
        <v>11381.050000000001</v>
      </c>
      <c r="K2030" s="8">
        <v>0</v>
      </c>
      <c r="L2030" s="8">
        <v>0</v>
      </c>
      <c r="M2030" s="8">
        <v>5.48</v>
      </c>
      <c r="N2030" s="8">
        <v>0</v>
      </c>
      <c r="O2030" s="8">
        <v>7047573.4900000002</v>
      </c>
    </row>
    <row r="2031" spans="1:15">
      <c r="A2031" s="191">
        <v>44896</v>
      </c>
      <c r="B2031" s="181" t="s">
        <v>122</v>
      </c>
      <c r="C2031" s="181" t="s">
        <v>730</v>
      </c>
      <c r="D2031" s="181" t="str">
        <f t="shared" si="36"/>
        <v>37004</v>
      </c>
      <c r="E2031" s="181" t="s">
        <v>15</v>
      </c>
      <c r="F2031" s="181" t="s">
        <v>14</v>
      </c>
      <c r="G2031" s="181" t="s">
        <v>793</v>
      </c>
      <c r="H2031" s="8">
        <v>-22561.100000000002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-22561.100000000002</v>
      </c>
    </row>
    <row r="2032" spans="1:15">
      <c r="A2032" s="191">
        <v>44531</v>
      </c>
      <c r="B2032" s="181" t="s">
        <v>13</v>
      </c>
      <c r="C2032" s="181" t="s">
        <v>731</v>
      </c>
      <c r="D2032" s="181" t="str">
        <f t="shared" si="36"/>
        <v>37100</v>
      </c>
      <c r="E2032" s="181" t="s">
        <v>15</v>
      </c>
      <c r="F2032" s="181" t="s">
        <v>14</v>
      </c>
      <c r="G2032" s="181" t="s">
        <v>647</v>
      </c>
      <c r="H2032" s="8">
        <v>1399092.96</v>
      </c>
      <c r="I2032" s="8">
        <v>1255.8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1400348.76</v>
      </c>
    </row>
    <row r="2033" spans="1:15">
      <c r="A2033" s="191">
        <v>44531</v>
      </c>
      <c r="B2033" s="181" t="s">
        <v>13</v>
      </c>
      <c r="C2033" s="181" t="s">
        <v>731</v>
      </c>
      <c r="D2033" s="181" t="str">
        <f t="shared" ref="D2033:D2096" si="37">MID(C2033,10,5)</f>
        <v>37100</v>
      </c>
      <c r="E2033" s="181" t="s">
        <v>15</v>
      </c>
      <c r="F2033" s="181" t="s">
        <v>14</v>
      </c>
      <c r="G2033" s="181" t="s">
        <v>793</v>
      </c>
      <c r="H2033" s="8">
        <v>-68877.17</v>
      </c>
      <c r="I2033" s="8">
        <v>264.38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-68612.790000000008</v>
      </c>
    </row>
    <row r="2034" spans="1:15">
      <c r="A2034" s="191">
        <v>44562</v>
      </c>
      <c r="B2034" s="181" t="s">
        <v>133</v>
      </c>
      <c r="C2034" s="181" t="s">
        <v>731</v>
      </c>
      <c r="D2034" s="181" t="str">
        <f t="shared" si="37"/>
        <v>37100</v>
      </c>
      <c r="E2034" s="181" t="s">
        <v>15</v>
      </c>
      <c r="F2034" s="181" t="s">
        <v>14</v>
      </c>
      <c r="G2034" s="181" t="s">
        <v>647</v>
      </c>
      <c r="H2034" s="8">
        <v>1400348.76</v>
      </c>
      <c r="I2034" s="8">
        <v>1256.9000000000001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1401605.6600000001</v>
      </c>
    </row>
    <row r="2035" spans="1:15">
      <c r="A2035" s="191">
        <v>44562</v>
      </c>
      <c r="B2035" s="181" t="s">
        <v>133</v>
      </c>
      <c r="C2035" s="181" t="s">
        <v>731</v>
      </c>
      <c r="D2035" s="181" t="str">
        <f t="shared" si="37"/>
        <v>37100</v>
      </c>
      <c r="E2035" s="181" t="s">
        <v>15</v>
      </c>
      <c r="F2035" s="181" t="s">
        <v>14</v>
      </c>
      <c r="G2035" s="181" t="s">
        <v>793</v>
      </c>
      <c r="H2035" s="8">
        <v>-68612.790000000008</v>
      </c>
      <c r="I2035" s="8">
        <v>264.61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-68348.180000000008</v>
      </c>
    </row>
    <row r="2036" spans="1:15">
      <c r="A2036" s="191">
        <v>44593</v>
      </c>
      <c r="B2036" s="181" t="s">
        <v>132</v>
      </c>
      <c r="C2036" s="181" t="s">
        <v>731</v>
      </c>
      <c r="D2036" s="181" t="str">
        <f t="shared" si="37"/>
        <v>37100</v>
      </c>
      <c r="E2036" s="181" t="s">
        <v>15</v>
      </c>
      <c r="F2036" s="181" t="s">
        <v>14</v>
      </c>
      <c r="G2036" s="181" t="s">
        <v>647</v>
      </c>
      <c r="H2036" s="8">
        <v>1401605.6600000001</v>
      </c>
      <c r="I2036" s="8">
        <v>1258.28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1402863.94</v>
      </c>
    </row>
    <row r="2037" spans="1:15">
      <c r="A2037" s="191">
        <v>44593</v>
      </c>
      <c r="B2037" s="181" t="s">
        <v>132</v>
      </c>
      <c r="C2037" s="181" t="s">
        <v>731</v>
      </c>
      <c r="D2037" s="181" t="str">
        <f t="shared" si="37"/>
        <v>37100</v>
      </c>
      <c r="E2037" s="181" t="s">
        <v>15</v>
      </c>
      <c r="F2037" s="181" t="s">
        <v>14</v>
      </c>
      <c r="G2037" s="181" t="s">
        <v>793</v>
      </c>
      <c r="H2037" s="8">
        <v>-68348.180000000008</v>
      </c>
      <c r="I2037" s="8">
        <v>264.89999999999998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-68083.28</v>
      </c>
    </row>
    <row r="2038" spans="1:15">
      <c r="A2038" s="191">
        <v>44621</v>
      </c>
      <c r="B2038" s="181" t="s">
        <v>131</v>
      </c>
      <c r="C2038" s="181" t="s">
        <v>731</v>
      </c>
      <c r="D2038" s="181" t="str">
        <f t="shared" si="37"/>
        <v>37100</v>
      </c>
      <c r="E2038" s="181" t="s">
        <v>15</v>
      </c>
      <c r="F2038" s="181" t="s">
        <v>14</v>
      </c>
      <c r="G2038" s="181" t="s">
        <v>647</v>
      </c>
      <c r="H2038" s="8">
        <v>1402863.94</v>
      </c>
      <c r="I2038" s="8">
        <v>1259.79</v>
      </c>
      <c r="J2038" s="8">
        <v>-125.82000000000001</v>
      </c>
      <c r="K2038" s="8">
        <v>0</v>
      </c>
      <c r="L2038" s="8">
        <v>0</v>
      </c>
      <c r="M2038" s="8">
        <v>0</v>
      </c>
      <c r="N2038" s="8">
        <v>0</v>
      </c>
      <c r="O2038" s="8">
        <v>1403997.9100000001</v>
      </c>
    </row>
    <row r="2039" spans="1:15">
      <c r="A2039" s="191">
        <v>44621</v>
      </c>
      <c r="B2039" s="181" t="s">
        <v>131</v>
      </c>
      <c r="C2039" s="181" t="s">
        <v>731</v>
      </c>
      <c r="D2039" s="181" t="str">
        <f t="shared" si="37"/>
        <v>37100</v>
      </c>
      <c r="E2039" s="181" t="s">
        <v>15</v>
      </c>
      <c r="F2039" s="181" t="s">
        <v>14</v>
      </c>
      <c r="G2039" s="181" t="s">
        <v>793</v>
      </c>
      <c r="H2039" s="8">
        <v>-68083.28</v>
      </c>
      <c r="I2039" s="8">
        <v>265.22000000000003</v>
      </c>
      <c r="J2039" s="8">
        <v>0</v>
      </c>
      <c r="K2039" s="8">
        <v>-0.39</v>
      </c>
      <c r="L2039" s="8">
        <v>0</v>
      </c>
      <c r="M2039" s="8">
        <v>0</v>
      </c>
      <c r="N2039" s="8">
        <v>0</v>
      </c>
      <c r="O2039" s="8">
        <v>-67818.45</v>
      </c>
    </row>
    <row r="2040" spans="1:15">
      <c r="A2040" s="191">
        <v>44652</v>
      </c>
      <c r="B2040" s="181" t="s">
        <v>130</v>
      </c>
      <c r="C2040" s="181" t="s">
        <v>731</v>
      </c>
      <c r="D2040" s="181" t="str">
        <f t="shared" si="37"/>
        <v>37100</v>
      </c>
      <c r="E2040" s="181" t="s">
        <v>15</v>
      </c>
      <c r="F2040" s="181" t="s">
        <v>14</v>
      </c>
      <c r="G2040" s="181" t="s">
        <v>647</v>
      </c>
      <c r="H2040" s="8">
        <v>1403997.9100000001</v>
      </c>
      <c r="I2040" s="8">
        <v>1259.5</v>
      </c>
      <c r="J2040" s="8">
        <v>-2595.65</v>
      </c>
      <c r="K2040" s="8">
        <v>0</v>
      </c>
      <c r="L2040" s="8">
        <v>0</v>
      </c>
      <c r="M2040" s="8">
        <v>0</v>
      </c>
      <c r="N2040" s="8">
        <v>0</v>
      </c>
      <c r="O2040" s="8">
        <v>1402661.76</v>
      </c>
    </row>
    <row r="2041" spans="1:15">
      <c r="A2041" s="191">
        <v>44652</v>
      </c>
      <c r="B2041" s="181" t="s">
        <v>130</v>
      </c>
      <c r="C2041" s="181" t="s">
        <v>731</v>
      </c>
      <c r="D2041" s="181" t="str">
        <f t="shared" si="37"/>
        <v>37100</v>
      </c>
      <c r="E2041" s="181" t="s">
        <v>15</v>
      </c>
      <c r="F2041" s="181" t="s">
        <v>14</v>
      </c>
      <c r="G2041" s="181" t="s">
        <v>793</v>
      </c>
      <c r="H2041" s="8">
        <v>-67818.45</v>
      </c>
      <c r="I2041" s="8">
        <v>265.16000000000003</v>
      </c>
      <c r="J2041" s="8">
        <v>0</v>
      </c>
      <c r="K2041" s="8">
        <v>-572.41</v>
      </c>
      <c r="L2041" s="8">
        <v>0</v>
      </c>
      <c r="M2041" s="8">
        <v>0</v>
      </c>
      <c r="N2041" s="8">
        <v>0</v>
      </c>
      <c r="O2041" s="8">
        <v>-68125.7</v>
      </c>
    </row>
    <row r="2042" spans="1:15">
      <c r="A2042" s="191">
        <v>44682</v>
      </c>
      <c r="B2042" s="181" t="s">
        <v>129</v>
      </c>
      <c r="C2042" s="181" t="s">
        <v>731</v>
      </c>
      <c r="D2042" s="181" t="str">
        <f t="shared" si="37"/>
        <v>37100</v>
      </c>
      <c r="E2042" s="181" t="s">
        <v>15</v>
      </c>
      <c r="F2042" s="181" t="s">
        <v>14</v>
      </c>
      <c r="G2042" s="181" t="s">
        <v>647</v>
      </c>
      <c r="H2042" s="8">
        <v>1402661.76</v>
      </c>
      <c r="I2042" s="8">
        <v>1251.76</v>
      </c>
      <c r="J2042" s="8">
        <v>-2013.18</v>
      </c>
      <c r="K2042" s="8">
        <v>0</v>
      </c>
      <c r="L2042" s="8">
        <v>0</v>
      </c>
      <c r="M2042" s="8">
        <v>0</v>
      </c>
      <c r="N2042" s="8">
        <v>0</v>
      </c>
      <c r="O2042" s="8">
        <v>1401900.34</v>
      </c>
    </row>
    <row r="2043" spans="1:15">
      <c r="A2043" s="191">
        <v>44682</v>
      </c>
      <c r="B2043" s="181" t="s">
        <v>129</v>
      </c>
      <c r="C2043" s="181" t="s">
        <v>731</v>
      </c>
      <c r="D2043" s="181" t="str">
        <f t="shared" si="37"/>
        <v>37100</v>
      </c>
      <c r="E2043" s="181" t="s">
        <v>15</v>
      </c>
      <c r="F2043" s="181" t="s">
        <v>14</v>
      </c>
      <c r="G2043" s="181" t="s">
        <v>793</v>
      </c>
      <c r="H2043" s="8">
        <v>-68125.7</v>
      </c>
      <c r="I2043" s="8">
        <v>263.53000000000003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-67862.17</v>
      </c>
    </row>
    <row r="2044" spans="1:15">
      <c r="A2044" s="191">
        <v>44713</v>
      </c>
      <c r="B2044" s="181" t="s">
        <v>128</v>
      </c>
      <c r="C2044" s="181" t="s">
        <v>731</v>
      </c>
      <c r="D2044" s="181" t="str">
        <f t="shared" si="37"/>
        <v>37100</v>
      </c>
      <c r="E2044" s="181" t="s">
        <v>15</v>
      </c>
      <c r="F2044" s="181" t="s">
        <v>14</v>
      </c>
      <c r="G2044" s="181" t="s">
        <v>647</v>
      </c>
      <c r="H2044" s="8">
        <v>1401900.34</v>
      </c>
      <c r="I2044" s="8">
        <v>1248.3900000000001</v>
      </c>
      <c r="J2044" s="8">
        <v>400.67</v>
      </c>
      <c r="K2044" s="8">
        <v>0</v>
      </c>
      <c r="L2044" s="8">
        <v>0</v>
      </c>
      <c r="M2044" s="8">
        <v>0</v>
      </c>
      <c r="N2044" s="8">
        <v>0</v>
      </c>
      <c r="O2044" s="8">
        <v>1403549.4</v>
      </c>
    </row>
    <row r="2045" spans="1:15">
      <c r="A2045" s="191">
        <v>44713</v>
      </c>
      <c r="B2045" s="181" t="s">
        <v>128</v>
      </c>
      <c r="C2045" s="181" t="s">
        <v>731</v>
      </c>
      <c r="D2045" s="181" t="str">
        <f t="shared" si="37"/>
        <v>37100</v>
      </c>
      <c r="E2045" s="181" t="s">
        <v>15</v>
      </c>
      <c r="F2045" s="181" t="s">
        <v>14</v>
      </c>
      <c r="G2045" s="181" t="s">
        <v>793</v>
      </c>
      <c r="H2045" s="8">
        <v>-67862.17</v>
      </c>
      <c r="I2045" s="8">
        <v>262.82</v>
      </c>
      <c r="J2045" s="8">
        <v>0</v>
      </c>
      <c r="K2045" s="8">
        <v>-1.29</v>
      </c>
      <c r="L2045" s="8">
        <v>0</v>
      </c>
      <c r="M2045" s="8">
        <v>0</v>
      </c>
      <c r="N2045" s="8">
        <v>0</v>
      </c>
      <c r="O2045" s="8">
        <v>-67600.639999999999</v>
      </c>
    </row>
    <row r="2046" spans="1:15">
      <c r="A2046" s="191">
        <v>44743</v>
      </c>
      <c r="B2046" s="181" t="s">
        <v>127</v>
      </c>
      <c r="C2046" s="181" t="s">
        <v>731</v>
      </c>
      <c r="D2046" s="181" t="str">
        <f t="shared" si="37"/>
        <v>37100</v>
      </c>
      <c r="E2046" s="181" t="s">
        <v>15</v>
      </c>
      <c r="F2046" s="181" t="s">
        <v>14</v>
      </c>
      <c r="G2046" s="181" t="s">
        <v>647</v>
      </c>
      <c r="H2046" s="8">
        <v>1403549.4</v>
      </c>
      <c r="I2046" s="8">
        <v>1257.45</v>
      </c>
      <c r="J2046" s="8">
        <v>-1068.07</v>
      </c>
      <c r="K2046" s="8">
        <v>0</v>
      </c>
      <c r="L2046" s="8">
        <v>0</v>
      </c>
      <c r="M2046" s="8">
        <v>0</v>
      </c>
      <c r="N2046" s="8">
        <v>0</v>
      </c>
      <c r="O2046" s="8">
        <v>1403738.78</v>
      </c>
    </row>
    <row r="2047" spans="1:15">
      <c r="A2047" s="191">
        <v>44743</v>
      </c>
      <c r="B2047" s="181" t="s">
        <v>127</v>
      </c>
      <c r="C2047" s="181" t="s">
        <v>731</v>
      </c>
      <c r="D2047" s="181" t="str">
        <f t="shared" si="37"/>
        <v>37100</v>
      </c>
      <c r="E2047" s="181" t="s">
        <v>15</v>
      </c>
      <c r="F2047" s="181" t="s">
        <v>14</v>
      </c>
      <c r="G2047" s="181" t="s">
        <v>793</v>
      </c>
      <c r="H2047" s="8">
        <v>-67600.639999999999</v>
      </c>
      <c r="I2047" s="8">
        <v>264.73</v>
      </c>
      <c r="J2047" s="8">
        <v>0</v>
      </c>
      <c r="K2047" s="8">
        <v>-1159.06</v>
      </c>
      <c r="L2047" s="8">
        <v>0</v>
      </c>
      <c r="M2047" s="8">
        <v>0</v>
      </c>
      <c r="N2047" s="8">
        <v>0</v>
      </c>
      <c r="O2047" s="8">
        <v>-68494.97</v>
      </c>
    </row>
    <row r="2048" spans="1:15">
      <c r="A2048" s="191">
        <v>44774</v>
      </c>
      <c r="B2048" s="181" t="s">
        <v>126</v>
      </c>
      <c r="C2048" s="181" t="s">
        <v>731</v>
      </c>
      <c r="D2048" s="181" t="str">
        <f t="shared" si="37"/>
        <v>37100</v>
      </c>
      <c r="E2048" s="181" t="s">
        <v>15</v>
      </c>
      <c r="F2048" s="181" t="s">
        <v>14</v>
      </c>
      <c r="G2048" s="181" t="s">
        <v>647</v>
      </c>
      <c r="H2048" s="8">
        <v>1403738.78</v>
      </c>
      <c r="I2048" s="8">
        <v>1271.01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1405009.79</v>
      </c>
    </row>
    <row r="2049" spans="1:15">
      <c r="A2049" s="191">
        <v>44774</v>
      </c>
      <c r="B2049" s="181" t="s">
        <v>126</v>
      </c>
      <c r="C2049" s="181" t="s">
        <v>731</v>
      </c>
      <c r="D2049" s="181" t="str">
        <f t="shared" si="37"/>
        <v>37100</v>
      </c>
      <c r="E2049" s="181" t="s">
        <v>15</v>
      </c>
      <c r="F2049" s="181" t="s">
        <v>14</v>
      </c>
      <c r="G2049" s="181" t="s">
        <v>793</v>
      </c>
      <c r="H2049" s="8">
        <v>-68494.97</v>
      </c>
      <c r="I2049" s="8">
        <v>267.58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-68227.39</v>
      </c>
    </row>
    <row r="2050" spans="1:15">
      <c r="A2050" s="191">
        <v>44805</v>
      </c>
      <c r="B2050" s="181" t="s">
        <v>125</v>
      </c>
      <c r="C2050" s="181" t="s">
        <v>731</v>
      </c>
      <c r="D2050" s="181" t="str">
        <f t="shared" si="37"/>
        <v>37100</v>
      </c>
      <c r="E2050" s="181" t="s">
        <v>15</v>
      </c>
      <c r="F2050" s="181" t="s">
        <v>14</v>
      </c>
      <c r="G2050" s="181" t="s">
        <v>647</v>
      </c>
      <c r="H2050" s="8">
        <v>1405009.79</v>
      </c>
      <c r="I2050" s="8">
        <v>1286.08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1406295.87</v>
      </c>
    </row>
    <row r="2051" spans="1:15">
      <c r="A2051" s="191">
        <v>44805</v>
      </c>
      <c r="B2051" s="181" t="s">
        <v>125</v>
      </c>
      <c r="C2051" s="181" t="s">
        <v>731</v>
      </c>
      <c r="D2051" s="181" t="str">
        <f t="shared" si="37"/>
        <v>37100</v>
      </c>
      <c r="E2051" s="181" t="s">
        <v>15</v>
      </c>
      <c r="F2051" s="181" t="s">
        <v>14</v>
      </c>
      <c r="G2051" s="181" t="s">
        <v>793</v>
      </c>
      <c r="H2051" s="8">
        <v>-68227.39</v>
      </c>
      <c r="I2051" s="8">
        <v>270.75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-67956.639999999999</v>
      </c>
    </row>
    <row r="2052" spans="1:15">
      <c r="A2052" s="191">
        <v>44835</v>
      </c>
      <c r="B2052" s="181" t="s">
        <v>124</v>
      </c>
      <c r="C2052" s="181" t="s">
        <v>731</v>
      </c>
      <c r="D2052" s="181" t="str">
        <f t="shared" si="37"/>
        <v>37100</v>
      </c>
      <c r="E2052" s="181" t="s">
        <v>15</v>
      </c>
      <c r="F2052" s="181" t="s">
        <v>14</v>
      </c>
      <c r="G2052" s="181" t="s">
        <v>647</v>
      </c>
      <c r="H2052" s="8">
        <v>1406295.87</v>
      </c>
      <c r="I2052" s="8">
        <v>1294.4000000000001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1407590.27</v>
      </c>
    </row>
    <row r="2053" spans="1:15">
      <c r="A2053" s="191">
        <v>44835</v>
      </c>
      <c r="B2053" s="181" t="s">
        <v>124</v>
      </c>
      <c r="C2053" s="181" t="s">
        <v>731</v>
      </c>
      <c r="D2053" s="181" t="str">
        <f t="shared" si="37"/>
        <v>37100</v>
      </c>
      <c r="E2053" s="181" t="s">
        <v>15</v>
      </c>
      <c r="F2053" s="181" t="s">
        <v>14</v>
      </c>
      <c r="G2053" s="181" t="s">
        <v>793</v>
      </c>
      <c r="H2053" s="8">
        <v>-67956.639999999999</v>
      </c>
      <c r="I2053" s="8">
        <v>272.5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-67684.14</v>
      </c>
    </row>
    <row r="2054" spans="1:15">
      <c r="A2054" s="191">
        <v>44866</v>
      </c>
      <c r="B2054" s="181" t="s">
        <v>123</v>
      </c>
      <c r="C2054" s="181" t="s">
        <v>731</v>
      </c>
      <c r="D2054" s="181" t="str">
        <f t="shared" si="37"/>
        <v>37100</v>
      </c>
      <c r="E2054" s="181" t="s">
        <v>15</v>
      </c>
      <c r="F2054" s="181" t="s">
        <v>14</v>
      </c>
      <c r="G2054" s="181" t="s">
        <v>647</v>
      </c>
      <c r="H2054" s="8">
        <v>1407590.27</v>
      </c>
      <c r="I2054" s="8">
        <v>1299.55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1408889.82</v>
      </c>
    </row>
    <row r="2055" spans="1:15">
      <c r="A2055" s="191">
        <v>44866</v>
      </c>
      <c r="B2055" s="181" t="s">
        <v>123</v>
      </c>
      <c r="C2055" s="181" t="s">
        <v>731</v>
      </c>
      <c r="D2055" s="181" t="str">
        <f t="shared" si="37"/>
        <v>37100</v>
      </c>
      <c r="E2055" s="181" t="s">
        <v>15</v>
      </c>
      <c r="F2055" s="181" t="s">
        <v>14</v>
      </c>
      <c r="G2055" s="181" t="s">
        <v>793</v>
      </c>
      <c r="H2055" s="8">
        <v>-67684.14</v>
      </c>
      <c r="I2055" s="8">
        <v>273.59000000000003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-67410.55</v>
      </c>
    </row>
    <row r="2056" spans="1:15">
      <c r="A2056" s="191">
        <v>44896</v>
      </c>
      <c r="B2056" s="181" t="s">
        <v>122</v>
      </c>
      <c r="C2056" s="181" t="s">
        <v>731</v>
      </c>
      <c r="D2056" s="181" t="str">
        <f t="shared" si="37"/>
        <v>37100</v>
      </c>
      <c r="E2056" s="181" t="s">
        <v>15</v>
      </c>
      <c r="F2056" s="181" t="s">
        <v>14</v>
      </c>
      <c r="G2056" s="181" t="s">
        <v>647</v>
      </c>
      <c r="H2056" s="8">
        <v>1408889.82</v>
      </c>
      <c r="I2056" s="8">
        <v>1304.21</v>
      </c>
      <c r="J2056" s="8">
        <v>-14990.300000000001</v>
      </c>
      <c r="K2056" s="8">
        <v>0</v>
      </c>
      <c r="L2056" s="8">
        <v>0</v>
      </c>
      <c r="M2056" s="8">
        <v>0</v>
      </c>
      <c r="N2056" s="8">
        <v>0</v>
      </c>
      <c r="O2056" s="8">
        <v>1395203.73</v>
      </c>
    </row>
    <row r="2057" spans="1:15">
      <c r="A2057" s="191">
        <v>44896</v>
      </c>
      <c r="B2057" s="181" t="s">
        <v>122</v>
      </c>
      <c r="C2057" s="181" t="s">
        <v>731</v>
      </c>
      <c r="D2057" s="181" t="str">
        <f t="shared" si="37"/>
        <v>37100</v>
      </c>
      <c r="E2057" s="181" t="s">
        <v>15</v>
      </c>
      <c r="F2057" s="181" t="s">
        <v>14</v>
      </c>
      <c r="G2057" s="181" t="s">
        <v>793</v>
      </c>
      <c r="H2057" s="8">
        <v>-67410.55</v>
      </c>
      <c r="I2057" s="8">
        <v>274.57</v>
      </c>
      <c r="J2057" s="8">
        <v>0</v>
      </c>
      <c r="K2057" s="8">
        <v>-5085.21</v>
      </c>
      <c r="L2057" s="8">
        <v>0</v>
      </c>
      <c r="M2057" s="8">
        <v>0</v>
      </c>
      <c r="N2057" s="8">
        <v>0</v>
      </c>
      <c r="O2057" s="8">
        <v>-72221.19</v>
      </c>
    </row>
    <row r="2058" spans="1:15">
      <c r="A2058" s="191">
        <v>44531</v>
      </c>
      <c r="B2058" s="181" t="s">
        <v>13</v>
      </c>
      <c r="C2058" s="181" t="s">
        <v>732</v>
      </c>
      <c r="D2058" s="181" t="str">
        <f t="shared" si="37"/>
        <v>37300</v>
      </c>
      <c r="E2058" s="181" t="s">
        <v>15</v>
      </c>
      <c r="F2058" s="181" t="s">
        <v>14</v>
      </c>
      <c r="G2058" s="181" t="s">
        <v>647</v>
      </c>
      <c r="H2058" s="8">
        <v>5943902</v>
      </c>
      <c r="I2058" s="8">
        <v>13516.87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5957418.8700000001</v>
      </c>
    </row>
    <row r="2059" spans="1:15">
      <c r="A2059" s="191">
        <v>44531</v>
      </c>
      <c r="B2059" s="181" t="s">
        <v>13</v>
      </c>
      <c r="C2059" s="181" t="s">
        <v>732</v>
      </c>
      <c r="D2059" s="181" t="str">
        <f t="shared" si="37"/>
        <v>37300</v>
      </c>
      <c r="E2059" s="181" t="s">
        <v>15</v>
      </c>
      <c r="F2059" s="181" t="s">
        <v>14</v>
      </c>
      <c r="G2059" s="181" t="s">
        <v>793</v>
      </c>
      <c r="H2059" s="8">
        <v>115907.42</v>
      </c>
      <c r="I2059" s="8">
        <v>3356.54</v>
      </c>
      <c r="J2059" s="8">
        <v>0</v>
      </c>
      <c r="K2059" s="8">
        <v>-10.290000000000001</v>
      </c>
      <c r="L2059" s="8">
        <v>0</v>
      </c>
      <c r="M2059" s="8">
        <v>0</v>
      </c>
      <c r="N2059" s="8">
        <v>0</v>
      </c>
      <c r="O2059" s="8">
        <v>119253.67</v>
      </c>
    </row>
    <row r="2060" spans="1:15">
      <c r="A2060" s="191">
        <v>44562</v>
      </c>
      <c r="B2060" s="181" t="s">
        <v>133</v>
      </c>
      <c r="C2060" s="181" t="s">
        <v>732</v>
      </c>
      <c r="D2060" s="181" t="str">
        <f t="shared" si="37"/>
        <v>37300</v>
      </c>
      <c r="E2060" s="181" t="s">
        <v>15</v>
      </c>
      <c r="F2060" s="181" t="s">
        <v>14</v>
      </c>
      <c r="G2060" s="181" t="s">
        <v>647</v>
      </c>
      <c r="H2060" s="8">
        <v>5957418.8700000001</v>
      </c>
      <c r="I2060" s="8">
        <v>13656.25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5971075.1200000001</v>
      </c>
    </row>
    <row r="2061" spans="1:15">
      <c r="A2061" s="191">
        <v>44562</v>
      </c>
      <c r="B2061" s="181" t="s">
        <v>133</v>
      </c>
      <c r="C2061" s="181" t="s">
        <v>732</v>
      </c>
      <c r="D2061" s="181" t="str">
        <f t="shared" si="37"/>
        <v>37300</v>
      </c>
      <c r="E2061" s="181" t="s">
        <v>15</v>
      </c>
      <c r="F2061" s="181" t="s">
        <v>14</v>
      </c>
      <c r="G2061" s="181" t="s">
        <v>793</v>
      </c>
      <c r="H2061" s="8">
        <v>119253.67</v>
      </c>
      <c r="I2061" s="8">
        <v>3391.15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122644.82</v>
      </c>
    </row>
    <row r="2062" spans="1:15">
      <c r="A2062" s="191">
        <v>44593</v>
      </c>
      <c r="B2062" s="181" t="s">
        <v>132</v>
      </c>
      <c r="C2062" s="181" t="s">
        <v>732</v>
      </c>
      <c r="D2062" s="181" t="str">
        <f t="shared" si="37"/>
        <v>37300</v>
      </c>
      <c r="E2062" s="181" t="s">
        <v>15</v>
      </c>
      <c r="F2062" s="181" t="s">
        <v>14</v>
      </c>
      <c r="G2062" s="181" t="s">
        <v>647</v>
      </c>
      <c r="H2062" s="8">
        <v>5971075.1200000001</v>
      </c>
      <c r="I2062" s="8">
        <v>13908.52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5984983.6399999997</v>
      </c>
    </row>
    <row r="2063" spans="1:15">
      <c r="A2063" s="191">
        <v>44593</v>
      </c>
      <c r="B2063" s="181" t="s">
        <v>132</v>
      </c>
      <c r="C2063" s="181" t="s">
        <v>732</v>
      </c>
      <c r="D2063" s="181" t="str">
        <f t="shared" si="37"/>
        <v>37300</v>
      </c>
      <c r="E2063" s="181" t="s">
        <v>15</v>
      </c>
      <c r="F2063" s="181" t="s">
        <v>14</v>
      </c>
      <c r="G2063" s="181" t="s">
        <v>793</v>
      </c>
      <c r="H2063" s="8">
        <v>122644.82</v>
      </c>
      <c r="I2063" s="8">
        <v>3453.79</v>
      </c>
      <c r="J2063" s="8">
        <v>0</v>
      </c>
      <c r="K2063" s="8">
        <v>0.19</v>
      </c>
      <c r="L2063" s="8">
        <v>0</v>
      </c>
      <c r="M2063" s="8">
        <v>0</v>
      </c>
      <c r="N2063" s="8">
        <v>0</v>
      </c>
      <c r="O2063" s="8">
        <v>126098.8</v>
      </c>
    </row>
    <row r="2064" spans="1:15">
      <c r="A2064" s="191">
        <v>44621</v>
      </c>
      <c r="B2064" s="181" t="s">
        <v>131</v>
      </c>
      <c r="C2064" s="181" t="s">
        <v>732</v>
      </c>
      <c r="D2064" s="181" t="str">
        <f t="shared" si="37"/>
        <v>37300</v>
      </c>
      <c r="E2064" s="181" t="s">
        <v>15</v>
      </c>
      <c r="F2064" s="181" t="s">
        <v>14</v>
      </c>
      <c r="G2064" s="181" t="s">
        <v>647</v>
      </c>
      <c r="H2064" s="8">
        <v>5984983.6399999997</v>
      </c>
      <c r="I2064" s="8">
        <v>14116.77</v>
      </c>
      <c r="J2064" s="8">
        <v>-557.98</v>
      </c>
      <c r="K2064" s="8">
        <v>0</v>
      </c>
      <c r="L2064" s="8">
        <v>0</v>
      </c>
      <c r="M2064" s="8">
        <v>0</v>
      </c>
      <c r="N2064" s="8">
        <v>0</v>
      </c>
      <c r="O2064" s="8">
        <v>5998542.4299999997</v>
      </c>
    </row>
    <row r="2065" spans="1:15">
      <c r="A2065" s="191">
        <v>44621</v>
      </c>
      <c r="B2065" s="181" t="s">
        <v>131</v>
      </c>
      <c r="C2065" s="181" t="s">
        <v>732</v>
      </c>
      <c r="D2065" s="181" t="str">
        <f t="shared" si="37"/>
        <v>37300</v>
      </c>
      <c r="E2065" s="181" t="s">
        <v>15</v>
      </c>
      <c r="F2065" s="181" t="s">
        <v>14</v>
      </c>
      <c r="G2065" s="181" t="s">
        <v>793</v>
      </c>
      <c r="H2065" s="8">
        <v>126098.8</v>
      </c>
      <c r="I2065" s="8">
        <v>3505.51</v>
      </c>
      <c r="J2065" s="8">
        <v>0</v>
      </c>
      <c r="K2065" s="8">
        <v>-576.16</v>
      </c>
      <c r="L2065" s="8">
        <v>0</v>
      </c>
      <c r="M2065" s="8">
        <v>0</v>
      </c>
      <c r="N2065" s="8">
        <v>0</v>
      </c>
      <c r="O2065" s="8">
        <v>129028.15000000001</v>
      </c>
    </row>
    <row r="2066" spans="1:15">
      <c r="A2066" s="191">
        <v>44652</v>
      </c>
      <c r="B2066" s="181" t="s">
        <v>130</v>
      </c>
      <c r="C2066" s="181" t="s">
        <v>732</v>
      </c>
      <c r="D2066" s="181" t="str">
        <f t="shared" si="37"/>
        <v>37300</v>
      </c>
      <c r="E2066" s="181" t="s">
        <v>15</v>
      </c>
      <c r="F2066" s="181" t="s">
        <v>14</v>
      </c>
      <c r="G2066" s="181" t="s">
        <v>647</v>
      </c>
      <c r="H2066" s="8">
        <v>5998542.4299999997</v>
      </c>
      <c r="I2066" s="8">
        <v>14147.14</v>
      </c>
      <c r="J2066" s="8">
        <v>-670.62</v>
      </c>
      <c r="K2066" s="8">
        <v>0</v>
      </c>
      <c r="L2066" s="8">
        <v>0</v>
      </c>
      <c r="M2066" s="8">
        <v>0</v>
      </c>
      <c r="N2066" s="8">
        <v>0</v>
      </c>
      <c r="O2066" s="8">
        <v>6012018.9500000002</v>
      </c>
    </row>
    <row r="2067" spans="1:15">
      <c r="A2067" s="191">
        <v>44652</v>
      </c>
      <c r="B2067" s="181" t="s">
        <v>130</v>
      </c>
      <c r="C2067" s="181" t="s">
        <v>732</v>
      </c>
      <c r="D2067" s="181" t="str">
        <f t="shared" si="37"/>
        <v>37300</v>
      </c>
      <c r="E2067" s="181" t="s">
        <v>15</v>
      </c>
      <c r="F2067" s="181" t="s">
        <v>14</v>
      </c>
      <c r="G2067" s="181" t="s">
        <v>793</v>
      </c>
      <c r="H2067" s="8">
        <v>129028.15000000001</v>
      </c>
      <c r="I2067" s="8">
        <v>3513.05</v>
      </c>
      <c r="J2067" s="8">
        <v>0</v>
      </c>
      <c r="K2067" s="8">
        <v>-338.77</v>
      </c>
      <c r="L2067" s="8">
        <v>0</v>
      </c>
      <c r="M2067" s="8">
        <v>0</v>
      </c>
      <c r="N2067" s="8">
        <v>0</v>
      </c>
      <c r="O2067" s="8">
        <v>132202.43</v>
      </c>
    </row>
    <row r="2068" spans="1:15">
      <c r="A2068" s="191">
        <v>44682</v>
      </c>
      <c r="B2068" s="181" t="s">
        <v>129</v>
      </c>
      <c r="C2068" s="181" t="s">
        <v>732</v>
      </c>
      <c r="D2068" s="181" t="str">
        <f t="shared" si="37"/>
        <v>37300</v>
      </c>
      <c r="E2068" s="181" t="s">
        <v>15</v>
      </c>
      <c r="F2068" s="181" t="s">
        <v>14</v>
      </c>
      <c r="G2068" s="181" t="s">
        <v>647</v>
      </c>
      <c r="H2068" s="8">
        <v>6012018.9500000002</v>
      </c>
      <c r="I2068" s="8">
        <v>14144.050000000001</v>
      </c>
      <c r="J2068" s="8">
        <v>-2765.38</v>
      </c>
      <c r="K2068" s="8">
        <v>0</v>
      </c>
      <c r="L2068" s="8">
        <v>0</v>
      </c>
      <c r="M2068" s="8">
        <v>0</v>
      </c>
      <c r="N2068" s="8">
        <v>0</v>
      </c>
      <c r="O2068" s="8">
        <v>6023397.6200000001</v>
      </c>
    </row>
    <row r="2069" spans="1:15">
      <c r="A2069" s="191">
        <v>44682</v>
      </c>
      <c r="B2069" s="181" t="s">
        <v>129</v>
      </c>
      <c r="C2069" s="181" t="s">
        <v>732</v>
      </c>
      <c r="D2069" s="181" t="str">
        <f t="shared" si="37"/>
        <v>37300</v>
      </c>
      <c r="E2069" s="181" t="s">
        <v>15</v>
      </c>
      <c r="F2069" s="181" t="s">
        <v>14</v>
      </c>
      <c r="G2069" s="181" t="s">
        <v>793</v>
      </c>
      <c r="H2069" s="8">
        <v>132202.43</v>
      </c>
      <c r="I2069" s="8">
        <v>3512.28</v>
      </c>
      <c r="J2069" s="8">
        <v>0</v>
      </c>
      <c r="K2069" s="8">
        <v>-1462.58</v>
      </c>
      <c r="L2069" s="8">
        <v>0</v>
      </c>
      <c r="M2069" s="8">
        <v>0</v>
      </c>
      <c r="N2069" s="8">
        <v>0</v>
      </c>
      <c r="O2069" s="8">
        <v>134252.13</v>
      </c>
    </row>
    <row r="2070" spans="1:15">
      <c r="A2070" s="191">
        <v>44713</v>
      </c>
      <c r="B2070" s="181" t="s">
        <v>128</v>
      </c>
      <c r="C2070" s="181" t="s">
        <v>732</v>
      </c>
      <c r="D2070" s="181" t="str">
        <f t="shared" si="37"/>
        <v>37300</v>
      </c>
      <c r="E2070" s="181" t="s">
        <v>15</v>
      </c>
      <c r="F2070" s="181" t="s">
        <v>14</v>
      </c>
      <c r="G2070" s="181" t="s">
        <v>647</v>
      </c>
      <c r="H2070" s="8">
        <v>6023397.6200000001</v>
      </c>
      <c r="I2070" s="8">
        <v>14139.710000000001</v>
      </c>
      <c r="J2070" s="8">
        <v>-2498.41</v>
      </c>
      <c r="K2070" s="8">
        <v>0</v>
      </c>
      <c r="L2070" s="8">
        <v>0</v>
      </c>
      <c r="M2070" s="8">
        <v>0</v>
      </c>
      <c r="N2070" s="8">
        <v>0</v>
      </c>
      <c r="O2070" s="8">
        <v>6035038.9199999999</v>
      </c>
    </row>
    <row r="2071" spans="1:15">
      <c r="A2071" s="191">
        <v>44713</v>
      </c>
      <c r="B2071" s="181" t="s">
        <v>128</v>
      </c>
      <c r="C2071" s="181" t="s">
        <v>732</v>
      </c>
      <c r="D2071" s="181" t="str">
        <f t="shared" si="37"/>
        <v>37300</v>
      </c>
      <c r="E2071" s="181" t="s">
        <v>15</v>
      </c>
      <c r="F2071" s="181" t="s">
        <v>14</v>
      </c>
      <c r="G2071" s="181" t="s">
        <v>793</v>
      </c>
      <c r="H2071" s="8">
        <v>134252.13</v>
      </c>
      <c r="I2071" s="8">
        <v>3511.2000000000003</v>
      </c>
      <c r="J2071" s="8">
        <v>0</v>
      </c>
      <c r="K2071" s="8">
        <v>-1721.19</v>
      </c>
      <c r="L2071" s="8">
        <v>0</v>
      </c>
      <c r="M2071" s="8">
        <v>0</v>
      </c>
      <c r="N2071" s="8">
        <v>0</v>
      </c>
      <c r="O2071" s="8">
        <v>136042.14000000001</v>
      </c>
    </row>
    <row r="2072" spans="1:15">
      <c r="A2072" s="191">
        <v>44743</v>
      </c>
      <c r="B2072" s="181" t="s">
        <v>127</v>
      </c>
      <c r="C2072" s="181" t="s">
        <v>732</v>
      </c>
      <c r="D2072" s="181" t="str">
        <f t="shared" si="37"/>
        <v>37300</v>
      </c>
      <c r="E2072" s="181" t="s">
        <v>15</v>
      </c>
      <c r="F2072" s="181" t="s">
        <v>14</v>
      </c>
      <c r="G2072" s="181" t="s">
        <v>647</v>
      </c>
      <c r="H2072" s="8">
        <v>6035038.9199999999</v>
      </c>
      <c r="I2072" s="8">
        <v>14106.83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6049145.75</v>
      </c>
    </row>
    <row r="2073" spans="1:15">
      <c r="A2073" s="191">
        <v>44743</v>
      </c>
      <c r="B2073" s="181" t="s">
        <v>127</v>
      </c>
      <c r="C2073" s="181" t="s">
        <v>732</v>
      </c>
      <c r="D2073" s="181" t="str">
        <f t="shared" si="37"/>
        <v>37300</v>
      </c>
      <c r="E2073" s="181" t="s">
        <v>15</v>
      </c>
      <c r="F2073" s="181" t="s">
        <v>14</v>
      </c>
      <c r="G2073" s="181" t="s">
        <v>793</v>
      </c>
      <c r="H2073" s="8">
        <v>136042.14000000001</v>
      </c>
      <c r="I2073" s="8">
        <v>3503.04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139545.18</v>
      </c>
    </row>
    <row r="2074" spans="1:15">
      <c r="A2074" s="191">
        <v>44774</v>
      </c>
      <c r="B2074" s="181" t="s">
        <v>126</v>
      </c>
      <c r="C2074" s="181" t="s">
        <v>732</v>
      </c>
      <c r="D2074" s="181" t="str">
        <f t="shared" si="37"/>
        <v>37300</v>
      </c>
      <c r="E2074" s="181" t="s">
        <v>15</v>
      </c>
      <c r="F2074" s="181" t="s">
        <v>14</v>
      </c>
      <c r="G2074" s="181" t="s">
        <v>647</v>
      </c>
      <c r="H2074" s="8">
        <v>6049145.75</v>
      </c>
      <c r="I2074" s="8">
        <v>14076.43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6063222.1799999997</v>
      </c>
    </row>
    <row r="2075" spans="1:15">
      <c r="A2075" s="191">
        <v>44774</v>
      </c>
      <c r="B2075" s="181" t="s">
        <v>126</v>
      </c>
      <c r="C2075" s="181" t="s">
        <v>732</v>
      </c>
      <c r="D2075" s="181" t="str">
        <f t="shared" si="37"/>
        <v>37300</v>
      </c>
      <c r="E2075" s="181" t="s">
        <v>15</v>
      </c>
      <c r="F2075" s="181" t="s">
        <v>14</v>
      </c>
      <c r="G2075" s="181" t="s">
        <v>793</v>
      </c>
      <c r="H2075" s="8">
        <v>139545.18</v>
      </c>
      <c r="I2075" s="8">
        <v>3495.4900000000002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143040.67000000001</v>
      </c>
    </row>
    <row r="2076" spans="1:15">
      <c r="A2076" s="191">
        <v>44805</v>
      </c>
      <c r="B2076" s="181" t="s">
        <v>125</v>
      </c>
      <c r="C2076" s="181" t="s">
        <v>732</v>
      </c>
      <c r="D2076" s="181" t="str">
        <f t="shared" si="37"/>
        <v>37300</v>
      </c>
      <c r="E2076" s="181" t="s">
        <v>15</v>
      </c>
      <c r="F2076" s="181" t="s">
        <v>14</v>
      </c>
      <c r="G2076" s="181" t="s">
        <v>647</v>
      </c>
      <c r="H2076" s="8">
        <v>6063222.1799999997</v>
      </c>
      <c r="I2076" s="8">
        <v>14179.85</v>
      </c>
      <c r="J2076" s="8">
        <v>-168.03</v>
      </c>
      <c r="K2076" s="8">
        <v>0</v>
      </c>
      <c r="L2076" s="8">
        <v>0</v>
      </c>
      <c r="M2076" s="8">
        <v>0</v>
      </c>
      <c r="N2076" s="8">
        <v>0</v>
      </c>
      <c r="O2076" s="8">
        <v>6077234</v>
      </c>
    </row>
    <row r="2077" spans="1:15">
      <c r="A2077" s="191">
        <v>44805</v>
      </c>
      <c r="B2077" s="181" t="s">
        <v>125</v>
      </c>
      <c r="C2077" s="181" t="s">
        <v>732</v>
      </c>
      <c r="D2077" s="181" t="str">
        <f t="shared" si="37"/>
        <v>37300</v>
      </c>
      <c r="E2077" s="181" t="s">
        <v>15</v>
      </c>
      <c r="F2077" s="181" t="s">
        <v>14</v>
      </c>
      <c r="G2077" s="181" t="s">
        <v>793</v>
      </c>
      <c r="H2077" s="8">
        <v>143040.67000000001</v>
      </c>
      <c r="I2077" s="8">
        <v>3521.17</v>
      </c>
      <c r="J2077" s="8">
        <v>0</v>
      </c>
      <c r="K2077" s="8">
        <v>-2.06</v>
      </c>
      <c r="L2077" s="8">
        <v>0</v>
      </c>
      <c r="M2077" s="8">
        <v>0</v>
      </c>
      <c r="N2077" s="8">
        <v>0</v>
      </c>
      <c r="O2077" s="8">
        <v>146559.78</v>
      </c>
    </row>
    <row r="2078" spans="1:15">
      <c r="A2078" s="191">
        <v>44835</v>
      </c>
      <c r="B2078" s="181" t="s">
        <v>124</v>
      </c>
      <c r="C2078" s="181" t="s">
        <v>732</v>
      </c>
      <c r="D2078" s="181" t="str">
        <f t="shared" si="37"/>
        <v>37300</v>
      </c>
      <c r="E2078" s="181" t="s">
        <v>15</v>
      </c>
      <c r="F2078" s="181" t="s">
        <v>14</v>
      </c>
      <c r="G2078" s="181" t="s">
        <v>647</v>
      </c>
      <c r="H2078" s="8">
        <v>6077234</v>
      </c>
      <c r="I2078" s="8">
        <v>14285.16</v>
      </c>
      <c r="J2078" s="8">
        <v>-1378.02</v>
      </c>
      <c r="K2078" s="8">
        <v>0</v>
      </c>
      <c r="L2078" s="8">
        <v>0</v>
      </c>
      <c r="M2078" s="8">
        <v>0</v>
      </c>
      <c r="N2078" s="8">
        <v>0</v>
      </c>
      <c r="O2078" s="8">
        <v>6090141.1399999997</v>
      </c>
    </row>
    <row r="2079" spans="1:15">
      <c r="A2079" s="191">
        <v>44835</v>
      </c>
      <c r="B2079" s="181" t="s">
        <v>124</v>
      </c>
      <c r="C2079" s="181" t="s">
        <v>732</v>
      </c>
      <c r="D2079" s="181" t="str">
        <f t="shared" si="37"/>
        <v>37300</v>
      </c>
      <c r="E2079" s="181" t="s">
        <v>15</v>
      </c>
      <c r="F2079" s="181" t="s">
        <v>14</v>
      </c>
      <c r="G2079" s="181" t="s">
        <v>793</v>
      </c>
      <c r="H2079" s="8">
        <v>146559.78</v>
      </c>
      <c r="I2079" s="8">
        <v>3547.32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150107.1</v>
      </c>
    </row>
    <row r="2080" spans="1:15">
      <c r="A2080" s="191">
        <v>44866</v>
      </c>
      <c r="B2080" s="181" t="s">
        <v>123</v>
      </c>
      <c r="C2080" s="181" t="s">
        <v>732</v>
      </c>
      <c r="D2080" s="181" t="str">
        <f t="shared" si="37"/>
        <v>37300</v>
      </c>
      <c r="E2080" s="181" t="s">
        <v>15</v>
      </c>
      <c r="F2080" s="181" t="s">
        <v>14</v>
      </c>
      <c r="G2080" s="181" t="s">
        <v>647</v>
      </c>
      <c r="H2080" s="8">
        <v>6090141.1399999997</v>
      </c>
      <c r="I2080" s="8">
        <v>14335.35</v>
      </c>
      <c r="J2080" s="8">
        <v>-2800.12</v>
      </c>
      <c r="K2080" s="8">
        <v>0</v>
      </c>
      <c r="L2080" s="8">
        <v>0</v>
      </c>
      <c r="M2080" s="8">
        <v>0</v>
      </c>
      <c r="N2080" s="8">
        <v>0</v>
      </c>
      <c r="O2080" s="8">
        <v>6101676.3700000001</v>
      </c>
    </row>
    <row r="2081" spans="1:15">
      <c r="A2081" s="191">
        <v>44866</v>
      </c>
      <c r="B2081" s="181" t="s">
        <v>123</v>
      </c>
      <c r="C2081" s="181" t="s">
        <v>732</v>
      </c>
      <c r="D2081" s="181" t="str">
        <f t="shared" si="37"/>
        <v>37300</v>
      </c>
      <c r="E2081" s="181" t="s">
        <v>15</v>
      </c>
      <c r="F2081" s="181" t="s">
        <v>14</v>
      </c>
      <c r="G2081" s="181" t="s">
        <v>793</v>
      </c>
      <c r="H2081" s="8">
        <v>150107.1</v>
      </c>
      <c r="I2081" s="8">
        <v>3559.79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153666.89000000001</v>
      </c>
    </row>
    <row r="2082" spans="1:15">
      <c r="A2082" s="191">
        <v>44896</v>
      </c>
      <c r="B2082" s="181" t="s">
        <v>122</v>
      </c>
      <c r="C2082" s="181" t="s">
        <v>732</v>
      </c>
      <c r="D2082" s="181" t="str">
        <f t="shared" si="37"/>
        <v>37300</v>
      </c>
      <c r="E2082" s="181" t="s">
        <v>15</v>
      </c>
      <c r="F2082" s="181" t="s">
        <v>14</v>
      </c>
      <c r="G2082" s="181" t="s">
        <v>647</v>
      </c>
      <c r="H2082" s="8">
        <v>6101676.3700000001</v>
      </c>
      <c r="I2082" s="8">
        <v>14384.18</v>
      </c>
      <c r="J2082" s="8">
        <v>-20048.09</v>
      </c>
      <c r="K2082" s="8">
        <v>0</v>
      </c>
      <c r="L2082" s="8">
        <v>0</v>
      </c>
      <c r="M2082" s="8">
        <v>0</v>
      </c>
      <c r="N2082" s="8">
        <v>0</v>
      </c>
      <c r="O2082" s="8">
        <v>6096012.46</v>
      </c>
    </row>
    <row r="2083" spans="1:15">
      <c r="A2083" s="191">
        <v>44896</v>
      </c>
      <c r="B2083" s="181" t="s">
        <v>122</v>
      </c>
      <c r="C2083" s="181" t="s">
        <v>732</v>
      </c>
      <c r="D2083" s="181" t="str">
        <f t="shared" si="37"/>
        <v>37300</v>
      </c>
      <c r="E2083" s="181" t="s">
        <v>15</v>
      </c>
      <c r="F2083" s="181" t="s">
        <v>14</v>
      </c>
      <c r="G2083" s="181" t="s">
        <v>793</v>
      </c>
      <c r="H2083" s="8">
        <v>153666.89000000001</v>
      </c>
      <c r="I2083" s="8">
        <v>3571.91</v>
      </c>
      <c r="J2083" s="8">
        <v>0</v>
      </c>
      <c r="K2083" s="8">
        <v>-28910.07</v>
      </c>
      <c r="L2083" s="8">
        <v>0</v>
      </c>
      <c r="M2083" s="8">
        <v>0</v>
      </c>
      <c r="N2083" s="8">
        <v>0</v>
      </c>
      <c r="O2083" s="8">
        <v>128328.73</v>
      </c>
    </row>
    <row r="2084" spans="1:15">
      <c r="A2084" s="191">
        <v>44531</v>
      </c>
      <c r="B2084" s="181" t="s">
        <v>13</v>
      </c>
      <c r="C2084" s="181" t="s">
        <v>812</v>
      </c>
      <c r="D2084" s="181" t="str">
        <f t="shared" si="37"/>
        <v>38901</v>
      </c>
      <c r="E2084" s="181" t="s">
        <v>15</v>
      </c>
      <c r="F2084" s="181" t="s">
        <v>14</v>
      </c>
      <c r="G2084" s="181" t="s">
        <v>801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0</v>
      </c>
    </row>
    <row r="2085" spans="1:15">
      <c r="A2085" s="191">
        <v>44562</v>
      </c>
      <c r="B2085" s="181" t="s">
        <v>133</v>
      </c>
      <c r="C2085" s="181" t="s">
        <v>812</v>
      </c>
      <c r="D2085" s="181" t="str">
        <f t="shared" si="37"/>
        <v>38901</v>
      </c>
      <c r="E2085" s="181" t="s">
        <v>15</v>
      </c>
      <c r="F2085" s="181" t="s">
        <v>14</v>
      </c>
      <c r="G2085" s="181" t="s">
        <v>801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0</v>
      </c>
    </row>
    <row r="2086" spans="1:15">
      <c r="A2086" s="191">
        <v>44593</v>
      </c>
      <c r="B2086" s="181" t="s">
        <v>132</v>
      </c>
      <c r="C2086" s="181" t="s">
        <v>812</v>
      </c>
      <c r="D2086" s="181" t="str">
        <f t="shared" si="37"/>
        <v>38901</v>
      </c>
      <c r="E2086" s="181" t="s">
        <v>15</v>
      </c>
      <c r="F2086" s="181" t="s">
        <v>14</v>
      </c>
      <c r="G2086" s="181" t="s">
        <v>801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0</v>
      </c>
    </row>
    <row r="2087" spans="1:15">
      <c r="A2087" s="191">
        <v>44621</v>
      </c>
      <c r="B2087" s="181" t="s">
        <v>131</v>
      </c>
      <c r="C2087" s="181" t="s">
        <v>812</v>
      </c>
      <c r="D2087" s="181" t="str">
        <f t="shared" si="37"/>
        <v>38901</v>
      </c>
      <c r="E2087" s="181" t="s">
        <v>15</v>
      </c>
      <c r="F2087" s="181" t="s">
        <v>14</v>
      </c>
      <c r="G2087" s="181" t="s">
        <v>801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0</v>
      </c>
    </row>
    <row r="2088" spans="1:15">
      <c r="A2088" s="191">
        <v>44652</v>
      </c>
      <c r="B2088" s="181" t="s">
        <v>130</v>
      </c>
      <c r="C2088" s="181" t="s">
        <v>812</v>
      </c>
      <c r="D2088" s="181" t="str">
        <f t="shared" si="37"/>
        <v>38901</v>
      </c>
      <c r="E2088" s="181" t="s">
        <v>15</v>
      </c>
      <c r="F2088" s="181" t="s">
        <v>14</v>
      </c>
      <c r="G2088" s="181" t="s">
        <v>801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0</v>
      </c>
    </row>
    <row r="2089" spans="1:15">
      <c r="A2089" s="191">
        <v>44682</v>
      </c>
      <c r="B2089" s="181" t="s">
        <v>129</v>
      </c>
      <c r="C2089" s="181" t="s">
        <v>812</v>
      </c>
      <c r="D2089" s="181" t="str">
        <f t="shared" si="37"/>
        <v>38901</v>
      </c>
      <c r="E2089" s="181" t="s">
        <v>15</v>
      </c>
      <c r="F2089" s="181" t="s">
        <v>14</v>
      </c>
      <c r="G2089" s="181" t="s">
        <v>801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0</v>
      </c>
    </row>
    <row r="2090" spans="1:15">
      <c r="A2090" s="191">
        <v>44713</v>
      </c>
      <c r="B2090" s="181" t="s">
        <v>128</v>
      </c>
      <c r="C2090" s="181" t="s">
        <v>812</v>
      </c>
      <c r="D2090" s="181" t="str">
        <f t="shared" si="37"/>
        <v>38901</v>
      </c>
      <c r="E2090" s="181" t="s">
        <v>15</v>
      </c>
      <c r="F2090" s="181" t="s">
        <v>14</v>
      </c>
      <c r="G2090" s="181" t="s">
        <v>801</v>
      </c>
      <c r="H2090" s="8">
        <v>0</v>
      </c>
      <c r="I2090" s="8">
        <v>0</v>
      </c>
      <c r="J2090" s="8">
        <v>-952022.88</v>
      </c>
      <c r="K2090" s="8">
        <v>-30764.95</v>
      </c>
      <c r="L2090" s="8">
        <v>2576810.08</v>
      </c>
      <c r="M2090" s="8">
        <v>0</v>
      </c>
      <c r="N2090" s="8">
        <v>-1594022.25</v>
      </c>
      <c r="O2090" s="8">
        <v>0</v>
      </c>
    </row>
    <row r="2091" spans="1:15">
      <c r="A2091" s="191">
        <v>44743</v>
      </c>
      <c r="B2091" s="181" t="s">
        <v>127</v>
      </c>
      <c r="C2091" s="181" t="s">
        <v>812</v>
      </c>
      <c r="D2091" s="181" t="str">
        <f t="shared" si="37"/>
        <v>38901</v>
      </c>
      <c r="E2091" s="181" t="s">
        <v>15</v>
      </c>
      <c r="F2091" s="181" t="s">
        <v>14</v>
      </c>
      <c r="G2091" s="181" t="s">
        <v>801</v>
      </c>
      <c r="H2091" s="8">
        <v>0</v>
      </c>
      <c r="I2091" s="8">
        <v>0</v>
      </c>
      <c r="J2091" s="8">
        <v>0</v>
      </c>
      <c r="K2091" s="8">
        <v>604.41999999999996</v>
      </c>
      <c r="L2091" s="8">
        <v>0</v>
      </c>
      <c r="M2091" s="8">
        <v>0</v>
      </c>
      <c r="N2091" s="8">
        <v>0</v>
      </c>
      <c r="O2091" s="8">
        <v>604.41999999999996</v>
      </c>
    </row>
    <row r="2092" spans="1:15">
      <c r="A2092" s="191">
        <v>44774</v>
      </c>
      <c r="B2092" s="181" t="s">
        <v>126</v>
      </c>
      <c r="C2092" s="181" t="s">
        <v>812</v>
      </c>
      <c r="D2092" s="181" t="str">
        <f t="shared" si="37"/>
        <v>38901</v>
      </c>
      <c r="E2092" s="181" t="s">
        <v>15</v>
      </c>
      <c r="F2092" s="181" t="s">
        <v>14</v>
      </c>
      <c r="G2092" s="181" t="s">
        <v>801</v>
      </c>
      <c r="H2092" s="8">
        <v>604.41999999999996</v>
      </c>
      <c r="I2092" s="8">
        <v>0</v>
      </c>
      <c r="J2092" s="8">
        <v>0</v>
      </c>
      <c r="K2092" s="8">
        <v>-5845.5</v>
      </c>
      <c r="L2092" s="8">
        <v>0</v>
      </c>
      <c r="M2092" s="8">
        <v>0</v>
      </c>
      <c r="N2092" s="8">
        <v>0</v>
      </c>
      <c r="O2092" s="8">
        <v>-5241.08</v>
      </c>
    </row>
    <row r="2093" spans="1:15">
      <c r="A2093" s="191">
        <v>44805</v>
      </c>
      <c r="B2093" s="181" t="s">
        <v>125</v>
      </c>
      <c r="C2093" s="181" t="s">
        <v>812</v>
      </c>
      <c r="D2093" s="181" t="str">
        <f t="shared" si="37"/>
        <v>38901</v>
      </c>
      <c r="E2093" s="181" t="s">
        <v>15</v>
      </c>
      <c r="F2093" s="181" t="s">
        <v>14</v>
      </c>
      <c r="G2093" s="181" t="s">
        <v>801</v>
      </c>
      <c r="H2093" s="8">
        <v>-5241.08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-5241.08</v>
      </c>
    </row>
    <row r="2094" spans="1:15">
      <c r="A2094" s="191">
        <v>44835</v>
      </c>
      <c r="B2094" s="181" t="s">
        <v>124</v>
      </c>
      <c r="C2094" s="181" t="s">
        <v>812</v>
      </c>
      <c r="D2094" s="181" t="str">
        <f t="shared" si="37"/>
        <v>38901</v>
      </c>
      <c r="E2094" s="181" t="s">
        <v>15</v>
      </c>
      <c r="F2094" s="181" t="s">
        <v>14</v>
      </c>
      <c r="G2094" s="181" t="s">
        <v>801</v>
      </c>
      <c r="H2094" s="8">
        <v>-5241.08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-5241.08</v>
      </c>
    </row>
    <row r="2095" spans="1:15">
      <c r="A2095" s="191">
        <v>44866</v>
      </c>
      <c r="B2095" s="181" t="s">
        <v>123</v>
      </c>
      <c r="C2095" s="181" t="s">
        <v>812</v>
      </c>
      <c r="D2095" s="181" t="str">
        <f t="shared" si="37"/>
        <v>38901</v>
      </c>
      <c r="E2095" s="181" t="s">
        <v>15</v>
      </c>
      <c r="F2095" s="181" t="s">
        <v>14</v>
      </c>
      <c r="G2095" s="181" t="s">
        <v>801</v>
      </c>
      <c r="H2095" s="8">
        <v>-5241.08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-5241.08</v>
      </c>
    </row>
    <row r="2096" spans="1:15">
      <c r="A2096" s="191">
        <v>44896</v>
      </c>
      <c r="B2096" s="181" t="s">
        <v>122</v>
      </c>
      <c r="C2096" s="181" t="s">
        <v>812</v>
      </c>
      <c r="D2096" s="181" t="str">
        <f t="shared" si="37"/>
        <v>38901</v>
      </c>
      <c r="E2096" s="181" t="s">
        <v>15</v>
      </c>
      <c r="F2096" s="181" t="s">
        <v>14</v>
      </c>
      <c r="G2096" s="181" t="s">
        <v>801</v>
      </c>
      <c r="H2096" s="8">
        <v>-5241.08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-5241.08</v>
      </c>
    </row>
    <row r="2097" spans="1:15">
      <c r="A2097" s="191">
        <v>44531</v>
      </c>
      <c r="B2097" s="181" t="s">
        <v>13</v>
      </c>
      <c r="C2097" s="181" t="s">
        <v>813</v>
      </c>
      <c r="D2097" s="181" t="str">
        <f t="shared" ref="D2097:D2160" si="38">MID(C2097,10,5)</f>
        <v>38902</v>
      </c>
      <c r="E2097" s="181" t="s">
        <v>15</v>
      </c>
      <c r="F2097" s="181" t="s">
        <v>14</v>
      </c>
      <c r="G2097" s="181" t="s">
        <v>801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0</v>
      </c>
    </row>
    <row r="2098" spans="1:15">
      <c r="A2098" s="191">
        <v>44562</v>
      </c>
      <c r="B2098" s="181" t="s">
        <v>133</v>
      </c>
      <c r="C2098" s="181" t="s">
        <v>813</v>
      </c>
      <c r="D2098" s="181" t="str">
        <f t="shared" si="38"/>
        <v>38902</v>
      </c>
      <c r="E2098" s="181" t="s">
        <v>15</v>
      </c>
      <c r="F2098" s="181" t="s">
        <v>14</v>
      </c>
      <c r="G2098" s="181" t="s">
        <v>801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0</v>
      </c>
    </row>
    <row r="2099" spans="1:15">
      <c r="A2099" s="191">
        <v>44593</v>
      </c>
      <c r="B2099" s="181" t="s">
        <v>132</v>
      </c>
      <c r="C2099" s="181" t="s">
        <v>813</v>
      </c>
      <c r="D2099" s="181" t="str">
        <f t="shared" si="38"/>
        <v>38902</v>
      </c>
      <c r="E2099" s="181" t="s">
        <v>15</v>
      </c>
      <c r="F2099" s="181" t="s">
        <v>14</v>
      </c>
      <c r="G2099" s="181" t="s">
        <v>801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0</v>
      </c>
    </row>
    <row r="2100" spans="1:15">
      <c r="A2100" s="191">
        <v>44621</v>
      </c>
      <c r="B2100" s="181" t="s">
        <v>131</v>
      </c>
      <c r="C2100" s="181" t="s">
        <v>813</v>
      </c>
      <c r="D2100" s="181" t="str">
        <f t="shared" si="38"/>
        <v>38902</v>
      </c>
      <c r="E2100" s="181" t="s">
        <v>15</v>
      </c>
      <c r="F2100" s="181" t="s">
        <v>14</v>
      </c>
      <c r="G2100" s="181" t="s">
        <v>801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0</v>
      </c>
    </row>
    <row r="2101" spans="1:15">
      <c r="A2101" s="191">
        <v>44652</v>
      </c>
      <c r="B2101" s="181" t="s">
        <v>130</v>
      </c>
      <c r="C2101" s="181" t="s">
        <v>813</v>
      </c>
      <c r="D2101" s="181" t="str">
        <f t="shared" si="38"/>
        <v>38902</v>
      </c>
      <c r="E2101" s="181" t="s">
        <v>15</v>
      </c>
      <c r="F2101" s="181" t="s">
        <v>14</v>
      </c>
      <c r="G2101" s="181" t="s">
        <v>801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0</v>
      </c>
    </row>
    <row r="2102" spans="1:15">
      <c r="A2102" s="191">
        <v>44682</v>
      </c>
      <c r="B2102" s="181" t="s">
        <v>129</v>
      </c>
      <c r="C2102" s="181" t="s">
        <v>813</v>
      </c>
      <c r="D2102" s="181" t="str">
        <f t="shared" si="38"/>
        <v>38902</v>
      </c>
      <c r="E2102" s="181" t="s">
        <v>15</v>
      </c>
      <c r="F2102" s="181" t="s">
        <v>14</v>
      </c>
      <c r="G2102" s="181" t="s">
        <v>801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0</v>
      </c>
    </row>
    <row r="2103" spans="1:15">
      <c r="A2103" s="191">
        <v>44713</v>
      </c>
      <c r="B2103" s="181" t="s">
        <v>128</v>
      </c>
      <c r="C2103" s="181" t="s">
        <v>813</v>
      </c>
      <c r="D2103" s="181" t="str">
        <f t="shared" si="38"/>
        <v>38902</v>
      </c>
      <c r="E2103" s="181" t="s">
        <v>15</v>
      </c>
      <c r="F2103" s="181" t="s">
        <v>14</v>
      </c>
      <c r="G2103" s="181" t="s">
        <v>801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0</v>
      </c>
    </row>
    <row r="2104" spans="1:15">
      <c r="A2104" s="191">
        <v>44743</v>
      </c>
      <c r="B2104" s="181" t="s">
        <v>127</v>
      </c>
      <c r="C2104" s="181" t="s">
        <v>813</v>
      </c>
      <c r="D2104" s="181" t="str">
        <f t="shared" si="38"/>
        <v>38902</v>
      </c>
      <c r="E2104" s="181" t="s">
        <v>15</v>
      </c>
      <c r="F2104" s="181" t="s">
        <v>14</v>
      </c>
      <c r="G2104" s="181" t="s">
        <v>801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0</v>
      </c>
    </row>
    <row r="2105" spans="1:15">
      <c r="A2105" s="191">
        <v>44774</v>
      </c>
      <c r="B2105" s="181" t="s">
        <v>126</v>
      </c>
      <c r="C2105" s="181" t="s">
        <v>813</v>
      </c>
      <c r="D2105" s="181" t="str">
        <f t="shared" si="38"/>
        <v>38902</v>
      </c>
      <c r="E2105" s="181" t="s">
        <v>15</v>
      </c>
      <c r="F2105" s="181" t="s">
        <v>14</v>
      </c>
      <c r="G2105" s="181" t="s">
        <v>801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0</v>
      </c>
    </row>
    <row r="2106" spans="1:15">
      <c r="A2106" s="191">
        <v>44805</v>
      </c>
      <c r="B2106" s="181" t="s">
        <v>125</v>
      </c>
      <c r="C2106" s="181" t="s">
        <v>813</v>
      </c>
      <c r="D2106" s="181" t="str">
        <f t="shared" si="38"/>
        <v>38902</v>
      </c>
      <c r="E2106" s="181" t="s">
        <v>15</v>
      </c>
      <c r="F2106" s="181" t="s">
        <v>14</v>
      </c>
      <c r="G2106" s="181" t="s">
        <v>801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0</v>
      </c>
    </row>
    <row r="2107" spans="1:15">
      <c r="A2107" s="191">
        <v>44835</v>
      </c>
      <c r="B2107" s="181" t="s">
        <v>124</v>
      </c>
      <c r="C2107" s="181" t="s">
        <v>813</v>
      </c>
      <c r="D2107" s="181" t="str">
        <f t="shared" si="38"/>
        <v>38902</v>
      </c>
      <c r="E2107" s="181" t="s">
        <v>15</v>
      </c>
      <c r="F2107" s="181" t="s">
        <v>14</v>
      </c>
      <c r="G2107" s="181" t="s">
        <v>801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0</v>
      </c>
    </row>
    <row r="2108" spans="1:15">
      <c r="A2108" s="191">
        <v>44866</v>
      </c>
      <c r="B2108" s="181" t="s">
        <v>123</v>
      </c>
      <c r="C2108" s="181" t="s">
        <v>813</v>
      </c>
      <c r="D2108" s="181" t="str">
        <f t="shared" si="38"/>
        <v>38902</v>
      </c>
      <c r="E2108" s="181" t="s">
        <v>15</v>
      </c>
      <c r="F2108" s="181" t="s">
        <v>14</v>
      </c>
      <c r="G2108" s="181" t="s">
        <v>801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0</v>
      </c>
    </row>
    <row r="2109" spans="1:15">
      <c r="A2109" s="191">
        <v>44896</v>
      </c>
      <c r="B2109" s="181" t="s">
        <v>122</v>
      </c>
      <c r="C2109" s="181" t="s">
        <v>813</v>
      </c>
      <c r="D2109" s="181" t="str">
        <f t="shared" si="38"/>
        <v>38902</v>
      </c>
      <c r="E2109" s="181" t="s">
        <v>15</v>
      </c>
      <c r="F2109" s="181" t="s">
        <v>14</v>
      </c>
      <c r="G2109" s="181" t="s">
        <v>801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0</v>
      </c>
    </row>
    <row r="2110" spans="1:15">
      <c r="A2110" s="191">
        <v>44531</v>
      </c>
      <c r="B2110" s="181" t="s">
        <v>13</v>
      </c>
      <c r="C2110" s="181" t="s">
        <v>733</v>
      </c>
      <c r="D2110" s="181" t="str">
        <f t="shared" si="38"/>
        <v>39001</v>
      </c>
      <c r="E2110" s="181" t="s">
        <v>15</v>
      </c>
      <c r="F2110" s="181" t="s">
        <v>14</v>
      </c>
      <c r="G2110" s="181" t="s">
        <v>647</v>
      </c>
      <c r="H2110" s="8">
        <v>2058.17</v>
      </c>
      <c r="I2110" s="8">
        <v>65.510000000000005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2123.6799999999998</v>
      </c>
    </row>
    <row r="2111" spans="1:15">
      <c r="A2111" s="191">
        <v>44531</v>
      </c>
      <c r="B2111" s="181" t="s">
        <v>13</v>
      </c>
      <c r="C2111" s="181" t="s">
        <v>734</v>
      </c>
      <c r="D2111" s="181" t="str">
        <f t="shared" si="38"/>
        <v>39001</v>
      </c>
      <c r="E2111" s="181" t="s">
        <v>15</v>
      </c>
      <c r="F2111" s="181" t="s">
        <v>14</v>
      </c>
      <c r="G2111" s="181" t="s">
        <v>647</v>
      </c>
      <c r="H2111" s="8">
        <v>4794716.5</v>
      </c>
      <c r="I2111" s="8">
        <v>18046.060000000001</v>
      </c>
      <c r="J2111" s="8">
        <v>0</v>
      </c>
      <c r="K2111" s="8">
        <v>0</v>
      </c>
      <c r="L2111" s="8">
        <v>0</v>
      </c>
      <c r="M2111" s="8">
        <v>-12738.28</v>
      </c>
      <c r="N2111" s="8">
        <v>0</v>
      </c>
      <c r="O2111" s="8">
        <v>4800024.28</v>
      </c>
    </row>
    <row r="2112" spans="1:15">
      <c r="A2112" s="191">
        <v>44531</v>
      </c>
      <c r="B2112" s="181" t="s">
        <v>13</v>
      </c>
      <c r="C2112" s="181" t="s">
        <v>733</v>
      </c>
      <c r="D2112" s="181" t="str">
        <f t="shared" si="38"/>
        <v>39001</v>
      </c>
      <c r="E2112" s="181" t="s">
        <v>15</v>
      </c>
      <c r="F2112" s="181" t="s">
        <v>14</v>
      </c>
      <c r="G2112" s="181" t="s">
        <v>793</v>
      </c>
      <c r="H2112" s="8">
        <v>202.97</v>
      </c>
      <c r="I2112" s="8">
        <v>6.46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209.43</v>
      </c>
    </row>
    <row r="2113" spans="1:15">
      <c r="A2113" s="191">
        <v>44531</v>
      </c>
      <c r="B2113" s="181" t="s">
        <v>13</v>
      </c>
      <c r="C2113" s="181" t="s">
        <v>734</v>
      </c>
      <c r="D2113" s="181" t="str">
        <f t="shared" si="38"/>
        <v>39001</v>
      </c>
      <c r="E2113" s="181" t="s">
        <v>15</v>
      </c>
      <c r="F2113" s="181" t="s">
        <v>14</v>
      </c>
      <c r="G2113" s="181" t="s">
        <v>793</v>
      </c>
      <c r="H2113" s="8">
        <v>233802.26</v>
      </c>
      <c r="I2113" s="8">
        <v>1779.19</v>
      </c>
      <c r="J2113" s="8">
        <v>0</v>
      </c>
      <c r="K2113" s="8">
        <v>0</v>
      </c>
      <c r="L2113" s="8">
        <v>0</v>
      </c>
      <c r="M2113" s="8">
        <v>10304.42</v>
      </c>
      <c r="N2113" s="8">
        <v>0</v>
      </c>
      <c r="O2113" s="8">
        <v>245885.87</v>
      </c>
    </row>
    <row r="2114" spans="1:15">
      <c r="A2114" s="191">
        <v>44562</v>
      </c>
      <c r="B2114" s="181" t="s">
        <v>133</v>
      </c>
      <c r="C2114" s="181" t="s">
        <v>733</v>
      </c>
      <c r="D2114" s="181" t="str">
        <f t="shared" si="38"/>
        <v>39001</v>
      </c>
      <c r="E2114" s="181" t="s">
        <v>15</v>
      </c>
      <c r="F2114" s="181" t="s">
        <v>14</v>
      </c>
      <c r="G2114" s="181" t="s">
        <v>647</v>
      </c>
      <c r="H2114" s="8">
        <v>2123.6799999999998</v>
      </c>
      <c r="I2114" s="8">
        <v>65.510000000000005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2189.19</v>
      </c>
    </row>
    <row r="2115" spans="1:15">
      <c r="A2115" s="191">
        <v>44562</v>
      </c>
      <c r="B2115" s="181" t="s">
        <v>133</v>
      </c>
      <c r="C2115" s="181" t="s">
        <v>734</v>
      </c>
      <c r="D2115" s="181" t="str">
        <f t="shared" si="38"/>
        <v>39001</v>
      </c>
      <c r="E2115" s="181" t="s">
        <v>15</v>
      </c>
      <c r="F2115" s="181" t="s">
        <v>14</v>
      </c>
      <c r="G2115" s="181" t="s">
        <v>647</v>
      </c>
      <c r="H2115" s="8">
        <v>4800024.28</v>
      </c>
      <c r="I2115" s="8">
        <v>18089.810000000001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4818114.09</v>
      </c>
    </row>
    <row r="2116" spans="1:15">
      <c r="A2116" s="191">
        <v>44562</v>
      </c>
      <c r="B2116" s="181" t="s">
        <v>133</v>
      </c>
      <c r="C2116" s="181" t="s">
        <v>733</v>
      </c>
      <c r="D2116" s="181" t="str">
        <f t="shared" si="38"/>
        <v>39001</v>
      </c>
      <c r="E2116" s="181" t="s">
        <v>15</v>
      </c>
      <c r="F2116" s="181" t="s">
        <v>14</v>
      </c>
      <c r="G2116" s="181" t="s">
        <v>793</v>
      </c>
      <c r="H2116" s="8">
        <v>209.43</v>
      </c>
      <c r="I2116" s="8">
        <v>6.46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215.89000000000001</v>
      </c>
    </row>
    <row r="2117" spans="1:15">
      <c r="A2117" s="191">
        <v>44562</v>
      </c>
      <c r="B2117" s="181" t="s">
        <v>133</v>
      </c>
      <c r="C2117" s="181" t="s">
        <v>734</v>
      </c>
      <c r="D2117" s="181" t="str">
        <f t="shared" si="38"/>
        <v>39001</v>
      </c>
      <c r="E2117" s="181" t="s">
        <v>15</v>
      </c>
      <c r="F2117" s="181" t="s">
        <v>14</v>
      </c>
      <c r="G2117" s="181" t="s">
        <v>793</v>
      </c>
      <c r="H2117" s="8">
        <v>245885.87</v>
      </c>
      <c r="I2117" s="8">
        <v>1783.5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247669.37</v>
      </c>
    </row>
    <row r="2118" spans="1:15">
      <c r="A2118" s="191">
        <v>44593</v>
      </c>
      <c r="B2118" s="181" t="s">
        <v>132</v>
      </c>
      <c r="C2118" s="181" t="s">
        <v>733</v>
      </c>
      <c r="D2118" s="181" t="str">
        <f t="shared" si="38"/>
        <v>39001</v>
      </c>
      <c r="E2118" s="181" t="s">
        <v>15</v>
      </c>
      <c r="F2118" s="181" t="s">
        <v>14</v>
      </c>
      <c r="G2118" s="181" t="s">
        <v>647</v>
      </c>
      <c r="H2118" s="8">
        <v>2189.19</v>
      </c>
      <c r="I2118" s="8">
        <v>65.510000000000005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2254.7000000000003</v>
      </c>
    </row>
    <row r="2119" spans="1:15">
      <c r="A2119" s="191">
        <v>44593</v>
      </c>
      <c r="B2119" s="181" t="s">
        <v>132</v>
      </c>
      <c r="C2119" s="181" t="s">
        <v>734</v>
      </c>
      <c r="D2119" s="181" t="str">
        <f t="shared" si="38"/>
        <v>39001</v>
      </c>
      <c r="E2119" s="181" t="s">
        <v>15</v>
      </c>
      <c r="F2119" s="181" t="s">
        <v>14</v>
      </c>
      <c r="G2119" s="181" t="s">
        <v>647</v>
      </c>
      <c r="H2119" s="8">
        <v>4818114.09</v>
      </c>
      <c r="I2119" s="8">
        <v>18089.810000000001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4836203.9000000004</v>
      </c>
    </row>
    <row r="2120" spans="1:15">
      <c r="A2120" s="191">
        <v>44593</v>
      </c>
      <c r="B2120" s="181" t="s">
        <v>132</v>
      </c>
      <c r="C2120" s="181" t="s">
        <v>733</v>
      </c>
      <c r="D2120" s="181" t="str">
        <f t="shared" si="38"/>
        <v>39001</v>
      </c>
      <c r="E2120" s="181" t="s">
        <v>15</v>
      </c>
      <c r="F2120" s="181" t="s">
        <v>14</v>
      </c>
      <c r="G2120" s="181" t="s">
        <v>793</v>
      </c>
      <c r="H2120" s="8">
        <v>215.89000000000001</v>
      </c>
      <c r="I2120" s="8">
        <v>6.46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222.35</v>
      </c>
    </row>
    <row r="2121" spans="1:15">
      <c r="A2121" s="191">
        <v>44593</v>
      </c>
      <c r="B2121" s="181" t="s">
        <v>132</v>
      </c>
      <c r="C2121" s="181" t="s">
        <v>734</v>
      </c>
      <c r="D2121" s="181" t="str">
        <f t="shared" si="38"/>
        <v>39001</v>
      </c>
      <c r="E2121" s="181" t="s">
        <v>15</v>
      </c>
      <c r="F2121" s="181" t="s">
        <v>14</v>
      </c>
      <c r="G2121" s="181" t="s">
        <v>793</v>
      </c>
      <c r="H2121" s="8">
        <v>247669.37</v>
      </c>
      <c r="I2121" s="8">
        <v>1783.5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249452.87</v>
      </c>
    </row>
    <row r="2122" spans="1:15">
      <c r="A2122" s="191">
        <v>44621</v>
      </c>
      <c r="B2122" s="181" t="s">
        <v>131</v>
      </c>
      <c r="C2122" s="181" t="s">
        <v>733</v>
      </c>
      <c r="D2122" s="181" t="str">
        <f t="shared" si="38"/>
        <v>39001</v>
      </c>
      <c r="E2122" s="181" t="s">
        <v>15</v>
      </c>
      <c r="F2122" s="181" t="s">
        <v>14</v>
      </c>
      <c r="G2122" s="181" t="s">
        <v>647</v>
      </c>
      <c r="H2122" s="8">
        <v>2254.7000000000003</v>
      </c>
      <c r="I2122" s="8">
        <v>65.510000000000005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2320.21</v>
      </c>
    </row>
    <row r="2123" spans="1:15">
      <c r="A2123" s="191">
        <v>44621</v>
      </c>
      <c r="B2123" s="181" t="s">
        <v>131</v>
      </c>
      <c r="C2123" s="181" t="s">
        <v>734</v>
      </c>
      <c r="D2123" s="181" t="str">
        <f t="shared" si="38"/>
        <v>39001</v>
      </c>
      <c r="E2123" s="181" t="s">
        <v>15</v>
      </c>
      <c r="F2123" s="181" t="s">
        <v>14</v>
      </c>
      <c r="G2123" s="181" t="s">
        <v>647</v>
      </c>
      <c r="H2123" s="8">
        <v>4836203.9000000004</v>
      </c>
      <c r="I2123" s="8">
        <v>18059.07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4854262.97</v>
      </c>
    </row>
    <row r="2124" spans="1:15">
      <c r="A2124" s="191">
        <v>44621</v>
      </c>
      <c r="B2124" s="181" t="s">
        <v>131</v>
      </c>
      <c r="C2124" s="181" t="s">
        <v>733</v>
      </c>
      <c r="D2124" s="181" t="str">
        <f t="shared" si="38"/>
        <v>39001</v>
      </c>
      <c r="E2124" s="181" t="s">
        <v>15</v>
      </c>
      <c r="F2124" s="181" t="s">
        <v>14</v>
      </c>
      <c r="G2124" s="181" t="s">
        <v>793</v>
      </c>
      <c r="H2124" s="8">
        <v>222.35</v>
      </c>
      <c r="I2124" s="8">
        <v>6.46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228.81</v>
      </c>
    </row>
    <row r="2125" spans="1:15">
      <c r="A2125" s="191">
        <v>44621</v>
      </c>
      <c r="B2125" s="181" t="s">
        <v>131</v>
      </c>
      <c r="C2125" s="181" t="s">
        <v>734</v>
      </c>
      <c r="D2125" s="181" t="str">
        <f t="shared" si="38"/>
        <v>39001</v>
      </c>
      <c r="E2125" s="181" t="s">
        <v>15</v>
      </c>
      <c r="F2125" s="181" t="s">
        <v>14</v>
      </c>
      <c r="G2125" s="181" t="s">
        <v>793</v>
      </c>
      <c r="H2125" s="8">
        <v>249452.87</v>
      </c>
      <c r="I2125" s="8">
        <v>1780.47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251233.34</v>
      </c>
    </row>
    <row r="2126" spans="1:15">
      <c r="A2126" s="191">
        <v>44652</v>
      </c>
      <c r="B2126" s="181" t="s">
        <v>130</v>
      </c>
      <c r="C2126" s="181" t="s">
        <v>733</v>
      </c>
      <c r="D2126" s="181" t="str">
        <f t="shared" si="38"/>
        <v>39001</v>
      </c>
      <c r="E2126" s="181" t="s">
        <v>15</v>
      </c>
      <c r="F2126" s="181" t="s">
        <v>14</v>
      </c>
      <c r="G2126" s="181" t="s">
        <v>647</v>
      </c>
      <c r="H2126" s="8">
        <v>2320.21</v>
      </c>
      <c r="I2126" s="8">
        <v>65.510000000000005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2385.7200000000003</v>
      </c>
    </row>
    <row r="2127" spans="1:15">
      <c r="A2127" s="191">
        <v>44652</v>
      </c>
      <c r="B2127" s="181" t="s">
        <v>130</v>
      </c>
      <c r="C2127" s="181" t="s">
        <v>734</v>
      </c>
      <c r="D2127" s="181" t="str">
        <f t="shared" si="38"/>
        <v>39001</v>
      </c>
      <c r="E2127" s="181" t="s">
        <v>15</v>
      </c>
      <c r="F2127" s="181" t="s">
        <v>14</v>
      </c>
      <c r="G2127" s="181" t="s">
        <v>647</v>
      </c>
      <c r="H2127" s="8">
        <v>4854262.97</v>
      </c>
      <c r="I2127" s="8">
        <v>18028.34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4872291.3100000005</v>
      </c>
    </row>
    <row r="2128" spans="1:15">
      <c r="A2128" s="191">
        <v>44652</v>
      </c>
      <c r="B2128" s="181" t="s">
        <v>130</v>
      </c>
      <c r="C2128" s="181" t="s">
        <v>733</v>
      </c>
      <c r="D2128" s="181" t="str">
        <f t="shared" si="38"/>
        <v>39001</v>
      </c>
      <c r="E2128" s="181" t="s">
        <v>15</v>
      </c>
      <c r="F2128" s="181" t="s">
        <v>14</v>
      </c>
      <c r="G2128" s="181" t="s">
        <v>793</v>
      </c>
      <c r="H2128" s="8">
        <v>228.81</v>
      </c>
      <c r="I2128" s="8">
        <v>6.46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235.27</v>
      </c>
    </row>
    <row r="2129" spans="1:15">
      <c r="A2129" s="191">
        <v>44652</v>
      </c>
      <c r="B2129" s="181" t="s">
        <v>130</v>
      </c>
      <c r="C2129" s="181" t="s">
        <v>734</v>
      </c>
      <c r="D2129" s="181" t="str">
        <f t="shared" si="38"/>
        <v>39001</v>
      </c>
      <c r="E2129" s="181" t="s">
        <v>15</v>
      </c>
      <c r="F2129" s="181" t="s">
        <v>14</v>
      </c>
      <c r="G2129" s="181" t="s">
        <v>793</v>
      </c>
      <c r="H2129" s="8">
        <v>251233.34</v>
      </c>
      <c r="I2129" s="8">
        <v>1777.44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253010.78</v>
      </c>
    </row>
    <row r="2130" spans="1:15">
      <c r="A2130" s="191">
        <v>44682</v>
      </c>
      <c r="B2130" s="181" t="s">
        <v>129</v>
      </c>
      <c r="C2130" s="181" t="s">
        <v>733</v>
      </c>
      <c r="D2130" s="181" t="str">
        <f t="shared" si="38"/>
        <v>39001</v>
      </c>
      <c r="E2130" s="181" t="s">
        <v>15</v>
      </c>
      <c r="F2130" s="181" t="s">
        <v>14</v>
      </c>
      <c r="G2130" s="181" t="s">
        <v>647</v>
      </c>
      <c r="H2130" s="8">
        <v>2385.7200000000003</v>
      </c>
      <c r="I2130" s="8">
        <v>65.510000000000005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2451.23</v>
      </c>
    </row>
    <row r="2131" spans="1:15">
      <c r="A2131" s="191">
        <v>44682</v>
      </c>
      <c r="B2131" s="181" t="s">
        <v>129</v>
      </c>
      <c r="C2131" s="181" t="s">
        <v>734</v>
      </c>
      <c r="D2131" s="181" t="str">
        <f t="shared" si="38"/>
        <v>39001</v>
      </c>
      <c r="E2131" s="181" t="s">
        <v>15</v>
      </c>
      <c r="F2131" s="181" t="s">
        <v>14</v>
      </c>
      <c r="G2131" s="181" t="s">
        <v>647</v>
      </c>
      <c r="H2131" s="8">
        <v>4872291.3100000005</v>
      </c>
      <c r="I2131" s="8">
        <v>18028.350000000002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4890319.66</v>
      </c>
    </row>
    <row r="2132" spans="1:15">
      <c r="A2132" s="191">
        <v>44682</v>
      </c>
      <c r="B2132" s="181" t="s">
        <v>129</v>
      </c>
      <c r="C2132" s="181" t="s">
        <v>733</v>
      </c>
      <c r="D2132" s="181" t="str">
        <f t="shared" si="38"/>
        <v>39001</v>
      </c>
      <c r="E2132" s="181" t="s">
        <v>15</v>
      </c>
      <c r="F2132" s="181" t="s">
        <v>14</v>
      </c>
      <c r="G2132" s="181" t="s">
        <v>793</v>
      </c>
      <c r="H2132" s="8">
        <v>235.27</v>
      </c>
      <c r="I2132" s="8">
        <v>6.46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241.73000000000002</v>
      </c>
    </row>
    <row r="2133" spans="1:15">
      <c r="A2133" s="191">
        <v>44682</v>
      </c>
      <c r="B2133" s="181" t="s">
        <v>129</v>
      </c>
      <c r="C2133" s="181" t="s">
        <v>734</v>
      </c>
      <c r="D2133" s="181" t="str">
        <f t="shared" si="38"/>
        <v>39001</v>
      </c>
      <c r="E2133" s="181" t="s">
        <v>15</v>
      </c>
      <c r="F2133" s="181" t="s">
        <v>14</v>
      </c>
      <c r="G2133" s="181" t="s">
        <v>793</v>
      </c>
      <c r="H2133" s="8">
        <v>253010.78</v>
      </c>
      <c r="I2133" s="8">
        <v>1777.44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254788.22</v>
      </c>
    </row>
    <row r="2134" spans="1:15">
      <c r="A2134" s="191">
        <v>44713</v>
      </c>
      <c r="B2134" s="181" t="s">
        <v>128</v>
      </c>
      <c r="C2134" s="181" t="s">
        <v>733</v>
      </c>
      <c r="D2134" s="181" t="str">
        <f t="shared" si="38"/>
        <v>39001</v>
      </c>
      <c r="E2134" s="181" t="s">
        <v>15</v>
      </c>
      <c r="F2134" s="181" t="s">
        <v>14</v>
      </c>
      <c r="G2134" s="181" t="s">
        <v>647</v>
      </c>
      <c r="H2134" s="8">
        <v>2451.23</v>
      </c>
      <c r="I2134" s="8">
        <v>65.510000000000005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2516.7400000000002</v>
      </c>
    </row>
    <row r="2135" spans="1:15">
      <c r="A2135" s="191">
        <v>44713</v>
      </c>
      <c r="B2135" s="181" t="s">
        <v>128</v>
      </c>
      <c r="C2135" s="181" t="s">
        <v>734</v>
      </c>
      <c r="D2135" s="181" t="str">
        <f t="shared" si="38"/>
        <v>39001</v>
      </c>
      <c r="E2135" s="181" t="s">
        <v>15</v>
      </c>
      <c r="F2135" s="181" t="s">
        <v>14</v>
      </c>
      <c r="G2135" s="181" t="s">
        <v>647</v>
      </c>
      <c r="H2135" s="8">
        <v>4890319.66</v>
      </c>
      <c r="I2135" s="8">
        <v>18145.66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4908465.32</v>
      </c>
    </row>
    <row r="2136" spans="1:15">
      <c r="A2136" s="191">
        <v>44713</v>
      </c>
      <c r="B2136" s="181" t="s">
        <v>128</v>
      </c>
      <c r="C2136" s="181" t="s">
        <v>733</v>
      </c>
      <c r="D2136" s="181" t="str">
        <f t="shared" si="38"/>
        <v>39001</v>
      </c>
      <c r="E2136" s="181" t="s">
        <v>15</v>
      </c>
      <c r="F2136" s="181" t="s">
        <v>14</v>
      </c>
      <c r="G2136" s="181" t="s">
        <v>793</v>
      </c>
      <c r="H2136" s="8">
        <v>241.73000000000002</v>
      </c>
      <c r="I2136" s="8">
        <v>6.46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248.19</v>
      </c>
    </row>
    <row r="2137" spans="1:15">
      <c r="A2137" s="191">
        <v>44713</v>
      </c>
      <c r="B2137" s="181" t="s">
        <v>128</v>
      </c>
      <c r="C2137" s="181" t="s">
        <v>734</v>
      </c>
      <c r="D2137" s="181" t="str">
        <f t="shared" si="38"/>
        <v>39001</v>
      </c>
      <c r="E2137" s="181" t="s">
        <v>15</v>
      </c>
      <c r="F2137" s="181" t="s">
        <v>14</v>
      </c>
      <c r="G2137" s="181" t="s">
        <v>793</v>
      </c>
      <c r="H2137" s="8">
        <v>254788.22</v>
      </c>
      <c r="I2137" s="8">
        <v>1789.01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256577.23</v>
      </c>
    </row>
    <row r="2138" spans="1:15">
      <c r="A2138" s="191">
        <v>44743</v>
      </c>
      <c r="B2138" s="181" t="s">
        <v>127</v>
      </c>
      <c r="C2138" s="181" t="s">
        <v>733</v>
      </c>
      <c r="D2138" s="181" t="str">
        <f t="shared" si="38"/>
        <v>39001</v>
      </c>
      <c r="E2138" s="181" t="s">
        <v>15</v>
      </c>
      <c r="F2138" s="181" t="s">
        <v>14</v>
      </c>
      <c r="G2138" s="181" t="s">
        <v>647</v>
      </c>
      <c r="H2138" s="8">
        <v>2516.7400000000002</v>
      </c>
      <c r="I2138" s="8">
        <v>65.510000000000005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2582.25</v>
      </c>
    </row>
    <row r="2139" spans="1:15">
      <c r="A2139" s="191">
        <v>44743</v>
      </c>
      <c r="B2139" s="181" t="s">
        <v>127</v>
      </c>
      <c r="C2139" s="181" t="s">
        <v>734</v>
      </c>
      <c r="D2139" s="181" t="str">
        <f t="shared" si="38"/>
        <v>39001</v>
      </c>
      <c r="E2139" s="181" t="s">
        <v>15</v>
      </c>
      <c r="F2139" s="181" t="s">
        <v>14</v>
      </c>
      <c r="G2139" s="181" t="s">
        <v>647</v>
      </c>
      <c r="H2139" s="8">
        <v>4908465.32</v>
      </c>
      <c r="I2139" s="8">
        <v>18375.45</v>
      </c>
      <c r="J2139" s="8">
        <v>-160897.93</v>
      </c>
      <c r="K2139" s="8">
        <v>0</v>
      </c>
      <c r="L2139" s="8">
        <v>0</v>
      </c>
      <c r="M2139" s="8">
        <v>0</v>
      </c>
      <c r="N2139" s="8">
        <v>0</v>
      </c>
      <c r="O2139" s="8">
        <v>4765942.84</v>
      </c>
    </row>
    <row r="2140" spans="1:15">
      <c r="A2140" s="191">
        <v>44743</v>
      </c>
      <c r="B2140" s="181" t="s">
        <v>127</v>
      </c>
      <c r="C2140" s="181" t="s">
        <v>733</v>
      </c>
      <c r="D2140" s="181" t="str">
        <f t="shared" si="38"/>
        <v>39001</v>
      </c>
      <c r="E2140" s="181" t="s">
        <v>15</v>
      </c>
      <c r="F2140" s="181" t="s">
        <v>14</v>
      </c>
      <c r="G2140" s="181" t="s">
        <v>793</v>
      </c>
      <c r="H2140" s="8">
        <v>248.19</v>
      </c>
      <c r="I2140" s="8">
        <v>6.46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254.65</v>
      </c>
    </row>
    <row r="2141" spans="1:15">
      <c r="A2141" s="191">
        <v>44743</v>
      </c>
      <c r="B2141" s="181" t="s">
        <v>127</v>
      </c>
      <c r="C2141" s="181" t="s">
        <v>734</v>
      </c>
      <c r="D2141" s="181" t="str">
        <f t="shared" si="38"/>
        <v>39001</v>
      </c>
      <c r="E2141" s="181" t="s">
        <v>15</v>
      </c>
      <c r="F2141" s="181" t="s">
        <v>14</v>
      </c>
      <c r="G2141" s="181" t="s">
        <v>793</v>
      </c>
      <c r="H2141" s="8">
        <v>256577.23</v>
      </c>
      <c r="I2141" s="8">
        <v>1811.66</v>
      </c>
      <c r="J2141" s="8">
        <v>0</v>
      </c>
      <c r="K2141" s="8">
        <v>-42556.32</v>
      </c>
      <c r="L2141" s="8">
        <v>0</v>
      </c>
      <c r="M2141" s="8">
        <v>0</v>
      </c>
      <c r="N2141" s="8">
        <v>0</v>
      </c>
      <c r="O2141" s="8">
        <v>215832.57</v>
      </c>
    </row>
    <row r="2142" spans="1:15">
      <c r="A2142" s="191">
        <v>44774</v>
      </c>
      <c r="B2142" s="181" t="s">
        <v>126</v>
      </c>
      <c r="C2142" s="181" t="s">
        <v>733</v>
      </c>
      <c r="D2142" s="181" t="str">
        <f t="shared" si="38"/>
        <v>39001</v>
      </c>
      <c r="E2142" s="181" t="s">
        <v>15</v>
      </c>
      <c r="F2142" s="181" t="s">
        <v>14</v>
      </c>
      <c r="G2142" s="181" t="s">
        <v>647</v>
      </c>
      <c r="H2142" s="8">
        <v>2582.25</v>
      </c>
      <c r="I2142" s="8">
        <v>65.510000000000005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2647.76</v>
      </c>
    </row>
    <row r="2143" spans="1:15">
      <c r="A2143" s="191">
        <v>44774</v>
      </c>
      <c r="B2143" s="181" t="s">
        <v>126</v>
      </c>
      <c r="C2143" s="181" t="s">
        <v>734</v>
      </c>
      <c r="D2143" s="181" t="str">
        <f t="shared" si="38"/>
        <v>39001</v>
      </c>
      <c r="E2143" s="181" t="s">
        <v>15</v>
      </c>
      <c r="F2143" s="181" t="s">
        <v>14</v>
      </c>
      <c r="G2143" s="181" t="s">
        <v>647</v>
      </c>
      <c r="H2143" s="8">
        <v>4765942.84</v>
      </c>
      <c r="I2143" s="8">
        <v>18487.95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4784430.79</v>
      </c>
    </row>
    <row r="2144" spans="1:15">
      <c r="A2144" s="191">
        <v>44774</v>
      </c>
      <c r="B2144" s="181" t="s">
        <v>126</v>
      </c>
      <c r="C2144" s="181" t="s">
        <v>733</v>
      </c>
      <c r="D2144" s="181" t="str">
        <f t="shared" si="38"/>
        <v>39001</v>
      </c>
      <c r="E2144" s="181" t="s">
        <v>15</v>
      </c>
      <c r="F2144" s="181" t="s">
        <v>14</v>
      </c>
      <c r="G2144" s="181" t="s">
        <v>793</v>
      </c>
      <c r="H2144" s="8">
        <v>254.65</v>
      </c>
      <c r="I2144" s="8">
        <v>6.46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261.11</v>
      </c>
    </row>
    <row r="2145" spans="1:15">
      <c r="A2145" s="191">
        <v>44774</v>
      </c>
      <c r="B2145" s="181" t="s">
        <v>126</v>
      </c>
      <c r="C2145" s="181" t="s">
        <v>734</v>
      </c>
      <c r="D2145" s="181" t="str">
        <f t="shared" si="38"/>
        <v>39001</v>
      </c>
      <c r="E2145" s="181" t="s">
        <v>15</v>
      </c>
      <c r="F2145" s="181" t="s">
        <v>14</v>
      </c>
      <c r="G2145" s="181" t="s">
        <v>793</v>
      </c>
      <c r="H2145" s="8">
        <v>215832.57</v>
      </c>
      <c r="I2145" s="8">
        <v>1822.76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217655.33000000002</v>
      </c>
    </row>
    <row r="2146" spans="1:15">
      <c r="A2146" s="191">
        <v>44805</v>
      </c>
      <c r="B2146" s="181" t="s">
        <v>125</v>
      </c>
      <c r="C2146" s="181" t="s">
        <v>733</v>
      </c>
      <c r="D2146" s="181" t="str">
        <f t="shared" si="38"/>
        <v>39001</v>
      </c>
      <c r="E2146" s="181" t="s">
        <v>15</v>
      </c>
      <c r="F2146" s="181" t="s">
        <v>14</v>
      </c>
      <c r="G2146" s="181" t="s">
        <v>647</v>
      </c>
      <c r="H2146" s="8">
        <v>2647.76</v>
      </c>
      <c r="I2146" s="8">
        <v>65.510000000000005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2713.27</v>
      </c>
    </row>
    <row r="2147" spans="1:15">
      <c r="A2147" s="191">
        <v>44805</v>
      </c>
      <c r="B2147" s="181" t="s">
        <v>125</v>
      </c>
      <c r="C2147" s="181" t="s">
        <v>734</v>
      </c>
      <c r="D2147" s="181" t="str">
        <f t="shared" si="38"/>
        <v>39001</v>
      </c>
      <c r="E2147" s="181" t="s">
        <v>15</v>
      </c>
      <c r="F2147" s="181" t="s">
        <v>14</v>
      </c>
      <c r="G2147" s="181" t="s">
        <v>647</v>
      </c>
      <c r="H2147" s="8">
        <v>4784430.79</v>
      </c>
      <c r="I2147" s="8">
        <v>18487.95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4802918.74</v>
      </c>
    </row>
    <row r="2148" spans="1:15">
      <c r="A2148" s="191">
        <v>44805</v>
      </c>
      <c r="B2148" s="181" t="s">
        <v>125</v>
      </c>
      <c r="C2148" s="181" t="s">
        <v>733</v>
      </c>
      <c r="D2148" s="181" t="str">
        <f t="shared" si="38"/>
        <v>39001</v>
      </c>
      <c r="E2148" s="181" t="s">
        <v>15</v>
      </c>
      <c r="F2148" s="181" t="s">
        <v>14</v>
      </c>
      <c r="G2148" s="181" t="s">
        <v>793</v>
      </c>
      <c r="H2148" s="8">
        <v>261.11</v>
      </c>
      <c r="I2148" s="8">
        <v>6.46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267.57</v>
      </c>
    </row>
    <row r="2149" spans="1:15">
      <c r="A2149" s="191">
        <v>44805</v>
      </c>
      <c r="B2149" s="181" t="s">
        <v>125</v>
      </c>
      <c r="C2149" s="181" t="s">
        <v>734</v>
      </c>
      <c r="D2149" s="181" t="str">
        <f t="shared" si="38"/>
        <v>39001</v>
      </c>
      <c r="E2149" s="181" t="s">
        <v>15</v>
      </c>
      <c r="F2149" s="181" t="s">
        <v>14</v>
      </c>
      <c r="G2149" s="181" t="s">
        <v>793</v>
      </c>
      <c r="H2149" s="8">
        <v>217655.33000000002</v>
      </c>
      <c r="I2149" s="8">
        <v>1822.76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219478.09</v>
      </c>
    </row>
    <row r="2150" spans="1:15">
      <c r="A2150" s="191">
        <v>44835</v>
      </c>
      <c r="B2150" s="181" t="s">
        <v>124</v>
      </c>
      <c r="C2150" s="181" t="s">
        <v>733</v>
      </c>
      <c r="D2150" s="181" t="str">
        <f t="shared" si="38"/>
        <v>39001</v>
      </c>
      <c r="E2150" s="181" t="s">
        <v>15</v>
      </c>
      <c r="F2150" s="181" t="s">
        <v>14</v>
      </c>
      <c r="G2150" s="181" t="s">
        <v>647</v>
      </c>
      <c r="H2150" s="8">
        <v>2713.27</v>
      </c>
      <c r="I2150" s="8">
        <v>65.510000000000005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2778.78</v>
      </c>
    </row>
    <row r="2151" spans="1:15">
      <c r="A2151" s="191">
        <v>44835</v>
      </c>
      <c r="B2151" s="181" t="s">
        <v>124</v>
      </c>
      <c r="C2151" s="181" t="s">
        <v>734</v>
      </c>
      <c r="D2151" s="181" t="str">
        <f t="shared" si="38"/>
        <v>39001</v>
      </c>
      <c r="E2151" s="181" t="s">
        <v>15</v>
      </c>
      <c r="F2151" s="181" t="s">
        <v>14</v>
      </c>
      <c r="G2151" s="181" t="s">
        <v>647</v>
      </c>
      <c r="H2151" s="8">
        <v>4802918.74</v>
      </c>
      <c r="I2151" s="8">
        <v>18519.45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4821438.1900000004</v>
      </c>
    </row>
    <row r="2152" spans="1:15">
      <c r="A2152" s="191">
        <v>44835</v>
      </c>
      <c r="B2152" s="181" t="s">
        <v>124</v>
      </c>
      <c r="C2152" s="181" t="s">
        <v>733</v>
      </c>
      <c r="D2152" s="181" t="str">
        <f t="shared" si="38"/>
        <v>39001</v>
      </c>
      <c r="E2152" s="181" t="s">
        <v>15</v>
      </c>
      <c r="F2152" s="181" t="s">
        <v>14</v>
      </c>
      <c r="G2152" s="181" t="s">
        <v>793</v>
      </c>
      <c r="H2152" s="8">
        <v>267.57</v>
      </c>
      <c r="I2152" s="8">
        <v>6.46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274.03000000000003</v>
      </c>
    </row>
    <row r="2153" spans="1:15">
      <c r="A2153" s="191">
        <v>44835</v>
      </c>
      <c r="B2153" s="181" t="s">
        <v>124</v>
      </c>
      <c r="C2153" s="181" t="s">
        <v>734</v>
      </c>
      <c r="D2153" s="181" t="str">
        <f t="shared" si="38"/>
        <v>39001</v>
      </c>
      <c r="E2153" s="181" t="s">
        <v>15</v>
      </c>
      <c r="F2153" s="181" t="s">
        <v>14</v>
      </c>
      <c r="G2153" s="181" t="s">
        <v>793</v>
      </c>
      <c r="H2153" s="8">
        <v>219478.09</v>
      </c>
      <c r="I2153" s="8">
        <v>1825.8600000000001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221303.95</v>
      </c>
    </row>
    <row r="2154" spans="1:15">
      <c r="A2154" s="191">
        <v>44866</v>
      </c>
      <c r="B2154" s="181" t="s">
        <v>123</v>
      </c>
      <c r="C2154" s="181" t="s">
        <v>733</v>
      </c>
      <c r="D2154" s="181" t="str">
        <f t="shared" si="38"/>
        <v>39001</v>
      </c>
      <c r="E2154" s="181" t="s">
        <v>15</v>
      </c>
      <c r="F2154" s="181" t="s">
        <v>14</v>
      </c>
      <c r="G2154" s="181" t="s">
        <v>647</v>
      </c>
      <c r="H2154" s="8">
        <v>2778.78</v>
      </c>
      <c r="I2154" s="8">
        <v>65.510000000000005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2844.29</v>
      </c>
    </row>
    <row r="2155" spans="1:15">
      <c r="A2155" s="191">
        <v>44866</v>
      </c>
      <c r="B2155" s="181" t="s">
        <v>123</v>
      </c>
      <c r="C2155" s="181" t="s">
        <v>734</v>
      </c>
      <c r="D2155" s="181" t="str">
        <f t="shared" si="38"/>
        <v>39001</v>
      </c>
      <c r="E2155" s="181" t="s">
        <v>15</v>
      </c>
      <c r="F2155" s="181" t="s">
        <v>14</v>
      </c>
      <c r="G2155" s="181" t="s">
        <v>647</v>
      </c>
      <c r="H2155" s="8">
        <v>4821438.1900000004</v>
      </c>
      <c r="I2155" s="8">
        <v>18550.96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4839989.1500000004</v>
      </c>
    </row>
    <row r="2156" spans="1:15">
      <c r="A2156" s="191">
        <v>44866</v>
      </c>
      <c r="B2156" s="181" t="s">
        <v>123</v>
      </c>
      <c r="C2156" s="181" t="s">
        <v>733</v>
      </c>
      <c r="D2156" s="181" t="str">
        <f t="shared" si="38"/>
        <v>39001</v>
      </c>
      <c r="E2156" s="181" t="s">
        <v>15</v>
      </c>
      <c r="F2156" s="181" t="s">
        <v>14</v>
      </c>
      <c r="G2156" s="181" t="s">
        <v>793</v>
      </c>
      <c r="H2156" s="8">
        <v>274.03000000000003</v>
      </c>
      <c r="I2156" s="8">
        <v>6.46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280.49</v>
      </c>
    </row>
    <row r="2157" spans="1:15">
      <c r="A2157" s="191">
        <v>44866</v>
      </c>
      <c r="B2157" s="181" t="s">
        <v>123</v>
      </c>
      <c r="C2157" s="181" t="s">
        <v>734</v>
      </c>
      <c r="D2157" s="181" t="str">
        <f t="shared" si="38"/>
        <v>39001</v>
      </c>
      <c r="E2157" s="181" t="s">
        <v>15</v>
      </c>
      <c r="F2157" s="181" t="s">
        <v>14</v>
      </c>
      <c r="G2157" s="181" t="s">
        <v>793</v>
      </c>
      <c r="H2157" s="8">
        <v>221303.95</v>
      </c>
      <c r="I2157" s="8">
        <v>1828.97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223132.92</v>
      </c>
    </row>
    <row r="2158" spans="1:15">
      <c r="A2158" s="191">
        <v>44896</v>
      </c>
      <c r="B2158" s="181" t="s">
        <v>122</v>
      </c>
      <c r="C2158" s="181" t="s">
        <v>733</v>
      </c>
      <c r="D2158" s="181" t="str">
        <f t="shared" si="38"/>
        <v>39001</v>
      </c>
      <c r="E2158" s="181" t="s">
        <v>15</v>
      </c>
      <c r="F2158" s="181" t="s">
        <v>14</v>
      </c>
      <c r="G2158" s="181" t="s">
        <v>647</v>
      </c>
      <c r="H2158" s="8">
        <v>2844.29</v>
      </c>
      <c r="I2158" s="8">
        <v>65.460000000000008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2909.75</v>
      </c>
    </row>
    <row r="2159" spans="1:15">
      <c r="A2159" s="191">
        <v>44896</v>
      </c>
      <c r="B2159" s="181" t="s">
        <v>122</v>
      </c>
      <c r="C2159" s="181" t="s">
        <v>734</v>
      </c>
      <c r="D2159" s="181" t="str">
        <f t="shared" si="38"/>
        <v>39001</v>
      </c>
      <c r="E2159" s="181" t="s">
        <v>15</v>
      </c>
      <c r="F2159" s="181" t="s">
        <v>14</v>
      </c>
      <c r="G2159" s="181" t="s">
        <v>647</v>
      </c>
      <c r="H2159" s="8">
        <v>4839989.1500000004</v>
      </c>
      <c r="I2159" s="8">
        <v>18421.560000000001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4858410.71</v>
      </c>
    </row>
    <row r="2160" spans="1:15">
      <c r="A2160" s="191">
        <v>44896</v>
      </c>
      <c r="B2160" s="181" t="s">
        <v>122</v>
      </c>
      <c r="C2160" s="181" t="s">
        <v>733</v>
      </c>
      <c r="D2160" s="181" t="str">
        <f t="shared" si="38"/>
        <v>39001</v>
      </c>
      <c r="E2160" s="181" t="s">
        <v>15</v>
      </c>
      <c r="F2160" s="181" t="s">
        <v>14</v>
      </c>
      <c r="G2160" s="181" t="s">
        <v>793</v>
      </c>
      <c r="H2160" s="8">
        <v>280.49</v>
      </c>
      <c r="I2160" s="8">
        <v>6.45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286.94</v>
      </c>
    </row>
    <row r="2161" spans="1:15">
      <c r="A2161" s="191">
        <v>44896</v>
      </c>
      <c r="B2161" s="181" t="s">
        <v>122</v>
      </c>
      <c r="C2161" s="181" t="s">
        <v>734</v>
      </c>
      <c r="D2161" s="181" t="str">
        <f t="shared" ref="D2161:D2224" si="39">MID(C2161,10,5)</f>
        <v>39001</v>
      </c>
      <c r="E2161" s="181" t="s">
        <v>15</v>
      </c>
      <c r="F2161" s="181" t="s">
        <v>14</v>
      </c>
      <c r="G2161" s="181" t="s">
        <v>793</v>
      </c>
      <c r="H2161" s="8">
        <v>223132.92</v>
      </c>
      <c r="I2161" s="8">
        <v>1828.97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224961.89</v>
      </c>
    </row>
    <row r="2162" spans="1:15">
      <c r="A2162" s="191">
        <v>44531</v>
      </c>
      <c r="B2162" s="181" t="s">
        <v>13</v>
      </c>
      <c r="C2162" s="181" t="s">
        <v>735</v>
      </c>
      <c r="D2162" s="181" t="str">
        <f t="shared" si="39"/>
        <v>39051</v>
      </c>
      <c r="E2162" s="181" t="s">
        <v>15</v>
      </c>
      <c r="F2162" s="181" t="s">
        <v>14</v>
      </c>
      <c r="G2162" s="181" t="s">
        <v>647</v>
      </c>
      <c r="H2162" s="8">
        <v>339804.96</v>
      </c>
      <c r="I2162" s="8">
        <v>4756.2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344561.16000000003</v>
      </c>
    </row>
    <row r="2163" spans="1:15">
      <c r="A2163" s="191">
        <v>44531</v>
      </c>
      <c r="B2163" s="181" t="s">
        <v>13</v>
      </c>
      <c r="C2163" s="181" t="s">
        <v>735</v>
      </c>
      <c r="D2163" s="181" t="str">
        <f t="shared" si="39"/>
        <v>39051</v>
      </c>
      <c r="E2163" s="181" t="s">
        <v>15</v>
      </c>
      <c r="F2163" s="181" t="s">
        <v>14</v>
      </c>
      <c r="G2163" s="181" t="s">
        <v>793</v>
      </c>
      <c r="H2163" s="8">
        <v>52807.56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52807.56</v>
      </c>
    </row>
    <row r="2164" spans="1:15">
      <c r="A2164" s="191">
        <v>44562</v>
      </c>
      <c r="B2164" s="181" t="s">
        <v>133</v>
      </c>
      <c r="C2164" s="181" t="s">
        <v>735</v>
      </c>
      <c r="D2164" s="181" t="str">
        <f t="shared" si="39"/>
        <v>39051</v>
      </c>
      <c r="E2164" s="181" t="s">
        <v>15</v>
      </c>
      <c r="F2164" s="181" t="s">
        <v>14</v>
      </c>
      <c r="G2164" s="181" t="s">
        <v>647</v>
      </c>
      <c r="H2164" s="8">
        <v>344561.16000000003</v>
      </c>
      <c r="I2164" s="8">
        <v>4756.2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349317.36</v>
      </c>
    </row>
    <row r="2165" spans="1:15">
      <c r="A2165" s="191">
        <v>44562</v>
      </c>
      <c r="B2165" s="181" t="s">
        <v>133</v>
      </c>
      <c r="C2165" s="181" t="s">
        <v>735</v>
      </c>
      <c r="D2165" s="181" t="str">
        <f t="shared" si="39"/>
        <v>39051</v>
      </c>
      <c r="E2165" s="181" t="s">
        <v>15</v>
      </c>
      <c r="F2165" s="181" t="s">
        <v>14</v>
      </c>
      <c r="G2165" s="181" t="s">
        <v>793</v>
      </c>
      <c r="H2165" s="8">
        <v>52807.56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52807.56</v>
      </c>
    </row>
    <row r="2166" spans="1:15">
      <c r="A2166" s="191">
        <v>44593</v>
      </c>
      <c r="B2166" s="181" t="s">
        <v>132</v>
      </c>
      <c r="C2166" s="181" t="s">
        <v>735</v>
      </c>
      <c r="D2166" s="181" t="str">
        <f t="shared" si="39"/>
        <v>39051</v>
      </c>
      <c r="E2166" s="181" t="s">
        <v>15</v>
      </c>
      <c r="F2166" s="181" t="s">
        <v>14</v>
      </c>
      <c r="G2166" s="181" t="s">
        <v>647</v>
      </c>
      <c r="H2166" s="8">
        <v>349317.36</v>
      </c>
      <c r="I2166" s="8">
        <v>4756.2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354073.56</v>
      </c>
    </row>
    <row r="2167" spans="1:15">
      <c r="A2167" s="191">
        <v>44593</v>
      </c>
      <c r="B2167" s="181" t="s">
        <v>132</v>
      </c>
      <c r="C2167" s="181" t="s">
        <v>735</v>
      </c>
      <c r="D2167" s="181" t="str">
        <f t="shared" si="39"/>
        <v>39051</v>
      </c>
      <c r="E2167" s="181" t="s">
        <v>15</v>
      </c>
      <c r="F2167" s="181" t="s">
        <v>14</v>
      </c>
      <c r="G2167" s="181" t="s">
        <v>793</v>
      </c>
      <c r="H2167" s="8">
        <v>52807.56</v>
      </c>
      <c r="I2167" s="8">
        <v>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52807.56</v>
      </c>
    </row>
    <row r="2168" spans="1:15">
      <c r="A2168" s="191">
        <v>44621</v>
      </c>
      <c r="B2168" s="181" t="s">
        <v>131</v>
      </c>
      <c r="C2168" s="181" t="s">
        <v>735</v>
      </c>
      <c r="D2168" s="181" t="str">
        <f t="shared" si="39"/>
        <v>39051</v>
      </c>
      <c r="E2168" s="181" t="s">
        <v>15</v>
      </c>
      <c r="F2168" s="181" t="s">
        <v>14</v>
      </c>
      <c r="G2168" s="181" t="s">
        <v>647</v>
      </c>
      <c r="H2168" s="8">
        <v>354073.56</v>
      </c>
      <c r="I2168" s="8">
        <v>4756.2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358829.76</v>
      </c>
    </row>
    <row r="2169" spans="1:15">
      <c r="A2169" s="191">
        <v>44621</v>
      </c>
      <c r="B2169" s="181" t="s">
        <v>131</v>
      </c>
      <c r="C2169" s="181" t="s">
        <v>735</v>
      </c>
      <c r="D2169" s="181" t="str">
        <f t="shared" si="39"/>
        <v>39051</v>
      </c>
      <c r="E2169" s="181" t="s">
        <v>15</v>
      </c>
      <c r="F2169" s="181" t="s">
        <v>14</v>
      </c>
      <c r="G2169" s="181" t="s">
        <v>793</v>
      </c>
      <c r="H2169" s="8">
        <v>52807.56</v>
      </c>
      <c r="I2169" s="8">
        <v>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52807.56</v>
      </c>
    </row>
    <row r="2170" spans="1:15">
      <c r="A2170" s="191">
        <v>44652</v>
      </c>
      <c r="B2170" s="181" t="s">
        <v>130</v>
      </c>
      <c r="C2170" s="181" t="s">
        <v>735</v>
      </c>
      <c r="D2170" s="181" t="str">
        <f t="shared" si="39"/>
        <v>39051</v>
      </c>
      <c r="E2170" s="181" t="s">
        <v>15</v>
      </c>
      <c r="F2170" s="181" t="s">
        <v>14</v>
      </c>
      <c r="G2170" s="181" t="s">
        <v>647</v>
      </c>
      <c r="H2170" s="8">
        <v>358829.76</v>
      </c>
      <c r="I2170" s="8">
        <v>4756.2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363585.96</v>
      </c>
    </row>
    <row r="2171" spans="1:15">
      <c r="A2171" s="191">
        <v>44652</v>
      </c>
      <c r="B2171" s="181" t="s">
        <v>130</v>
      </c>
      <c r="C2171" s="181" t="s">
        <v>735</v>
      </c>
      <c r="D2171" s="181" t="str">
        <f t="shared" si="39"/>
        <v>39051</v>
      </c>
      <c r="E2171" s="181" t="s">
        <v>15</v>
      </c>
      <c r="F2171" s="181" t="s">
        <v>14</v>
      </c>
      <c r="G2171" s="181" t="s">
        <v>793</v>
      </c>
      <c r="H2171" s="8">
        <v>52807.56</v>
      </c>
      <c r="I2171" s="8">
        <v>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52807.56</v>
      </c>
    </row>
    <row r="2172" spans="1:15">
      <c r="A2172" s="191">
        <v>44682</v>
      </c>
      <c r="B2172" s="181" t="s">
        <v>129</v>
      </c>
      <c r="C2172" s="181" t="s">
        <v>735</v>
      </c>
      <c r="D2172" s="181" t="str">
        <f t="shared" si="39"/>
        <v>39051</v>
      </c>
      <c r="E2172" s="181" t="s">
        <v>15</v>
      </c>
      <c r="F2172" s="181" t="s">
        <v>14</v>
      </c>
      <c r="G2172" s="181" t="s">
        <v>647</v>
      </c>
      <c r="H2172" s="8">
        <v>363585.96</v>
      </c>
      <c r="I2172" s="8">
        <v>4756.2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368342.16000000003</v>
      </c>
    </row>
    <row r="2173" spans="1:15">
      <c r="A2173" s="191">
        <v>44682</v>
      </c>
      <c r="B2173" s="181" t="s">
        <v>129</v>
      </c>
      <c r="C2173" s="181" t="s">
        <v>735</v>
      </c>
      <c r="D2173" s="181" t="str">
        <f t="shared" si="39"/>
        <v>39051</v>
      </c>
      <c r="E2173" s="181" t="s">
        <v>15</v>
      </c>
      <c r="F2173" s="181" t="s">
        <v>14</v>
      </c>
      <c r="G2173" s="181" t="s">
        <v>793</v>
      </c>
      <c r="H2173" s="8">
        <v>52807.56</v>
      </c>
      <c r="I2173" s="8">
        <v>0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52807.56</v>
      </c>
    </row>
    <row r="2174" spans="1:15">
      <c r="A2174" s="191">
        <v>44713</v>
      </c>
      <c r="B2174" s="181" t="s">
        <v>128</v>
      </c>
      <c r="C2174" s="181" t="s">
        <v>735</v>
      </c>
      <c r="D2174" s="181" t="str">
        <f t="shared" si="39"/>
        <v>39051</v>
      </c>
      <c r="E2174" s="181" t="s">
        <v>15</v>
      </c>
      <c r="F2174" s="181" t="s">
        <v>14</v>
      </c>
      <c r="G2174" s="181" t="s">
        <v>647</v>
      </c>
      <c r="H2174" s="8">
        <v>368342.16000000003</v>
      </c>
      <c r="I2174" s="8">
        <v>4756.2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373098.36</v>
      </c>
    </row>
    <row r="2175" spans="1:15">
      <c r="A2175" s="191">
        <v>44713</v>
      </c>
      <c r="B2175" s="181" t="s">
        <v>128</v>
      </c>
      <c r="C2175" s="181" t="s">
        <v>735</v>
      </c>
      <c r="D2175" s="181" t="str">
        <f t="shared" si="39"/>
        <v>39051</v>
      </c>
      <c r="E2175" s="181" t="s">
        <v>15</v>
      </c>
      <c r="F2175" s="181" t="s">
        <v>14</v>
      </c>
      <c r="G2175" s="181" t="s">
        <v>793</v>
      </c>
      <c r="H2175" s="8">
        <v>52807.56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52807.56</v>
      </c>
    </row>
    <row r="2176" spans="1:15">
      <c r="A2176" s="191">
        <v>44743</v>
      </c>
      <c r="B2176" s="181" t="s">
        <v>127</v>
      </c>
      <c r="C2176" s="181" t="s">
        <v>735</v>
      </c>
      <c r="D2176" s="181" t="str">
        <f t="shared" si="39"/>
        <v>39051</v>
      </c>
      <c r="E2176" s="181" t="s">
        <v>15</v>
      </c>
      <c r="F2176" s="181" t="s">
        <v>14</v>
      </c>
      <c r="G2176" s="181" t="s">
        <v>647</v>
      </c>
      <c r="H2176" s="8">
        <v>373098.36</v>
      </c>
      <c r="I2176" s="8">
        <v>4756.2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377854.56</v>
      </c>
    </row>
    <row r="2177" spans="1:15">
      <c r="A2177" s="191">
        <v>44743</v>
      </c>
      <c r="B2177" s="181" t="s">
        <v>127</v>
      </c>
      <c r="C2177" s="181" t="s">
        <v>735</v>
      </c>
      <c r="D2177" s="181" t="str">
        <f t="shared" si="39"/>
        <v>39051</v>
      </c>
      <c r="E2177" s="181" t="s">
        <v>15</v>
      </c>
      <c r="F2177" s="181" t="s">
        <v>14</v>
      </c>
      <c r="G2177" s="181" t="s">
        <v>793</v>
      </c>
      <c r="H2177" s="8">
        <v>52807.56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52807.56</v>
      </c>
    </row>
    <row r="2178" spans="1:15">
      <c r="A2178" s="191">
        <v>44774</v>
      </c>
      <c r="B2178" s="181" t="s">
        <v>126</v>
      </c>
      <c r="C2178" s="181" t="s">
        <v>735</v>
      </c>
      <c r="D2178" s="181" t="str">
        <f t="shared" si="39"/>
        <v>39051</v>
      </c>
      <c r="E2178" s="181" t="s">
        <v>15</v>
      </c>
      <c r="F2178" s="181" t="s">
        <v>14</v>
      </c>
      <c r="G2178" s="181" t="s">
        <v>647</v>
      </c>
      <c r="H2178" s="8">
        <v>377854.56</v>
      </c>
      <c r="I2178" s="8">
        <v>4756.2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382610.76</v>
      </c>
    </row>
    <row r="2179" spans="1:15">
      <c r="A2179" s="191">
        <v>44774</v>
      </c>
      <c r="B2179" s="181" t="s">
        <v>126</v>
      </c>
      <c r="C2179" s="181" t="s">
        <v>735</v>
      </c>
      <c r="D2179" s="181" t="str">
        <f t="shared" si="39"/>
        <v>39051</v>
      </c>
      <c r="E2179" s="181" t="s">
        <v>15</v>
      </c>
      <c r="F2179" s="181" t="s">
        <v>14</v>
      </c>
      <c r="G2179" s="181" t="s">
        <v>793</v>
      </c>
      <c r="H2179" s="8">
        <v>52807.56</v>
      </c>
      <c r="I2179" s="8">
        <v>0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52807.56</v>
      </c>
    </row>
    <row r="2180" spans="1:15">
      <c r="A2180" s="191">
        <v>44805</v>
      </c>
      <c r="B2180" s="181" t="s">
        <v>125</v>
      </c>
      <c r="C2180" s="181" t="s">
        <v>735</v>
      </c>
      <c r="D2180" s="181" t="str">
        <f t="shared" si="39"/>
        <v>39051</v>
      </c>
      <c r="E2180" s="181" t="s">
        <v>15</v>
      </c>
      <c r="F2180" s="181" t="s">
        <v>14</v>
      </c>
      <c r="G2180" s="181" t="s">
        <v>647</v>
      </c>
      <c r="H2180" s="8">
        <v>382610.76</v>
      </c>
      <c r="I2180" s="8">
        <v>4756.2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387366.96</v>
      </c>
    </row>
    <row r="2181" spans="1:15">
      <c r="A2181" s="191">
        <v>44805</v>
      </c>
      <c r="B2181" s="181" t="s">
        <v>125</v>
      </c>
      <c r="C2181" s="181" t="s">
        <v>735</v>
      </c>
      <c r="D2181" s="181" t="str">
        <f t="shared" si="39"/>
        <v>39051</v>
      </c>
      <c r="E2181" s="181" t="s">
        <v>15</v>
      </c>
      <c r="F2181" s="181" t="s">
        <v>14</v>
      </c>
      <c r="G2181" s="181" t="s">
        <v>793</v>
      </c>
      <c r="H2181" s="8">
        <v>52807.56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52807.56</v>
      </c>
    </row>
    <row r="2182" spans="1:15">
      <c r="A2182" s="191">
        <v>44835</v>
      </c>
      <c r="B2182" s="181" t="s">
        <v>124</v>
      </c>
      <c r="C2182" s="181" t="s">
        <v>735</v>
      </c>
      <c r="D2182" s="181" t="str">
        <f t="shared" si="39"/>
        <v>39051</v>
      </c>
      <c r="E2182" s="181" t="s">
        <v>15</v>
      </c>
      <c r="F2182" s="181" t="s">
        <v>14</v>
      </c>
      <c r="G2182" s="181" t="s">
        <v>647</v>
      </c>
      <c r="H2182" s="8">
        <v>387366.96</v>
      </c>
      <c r="I2182" s="8">
        <v>4756.2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392123.16000000003</v>
      </c>
    </row>
    <row r="2183" spans="1:15">
      <c r="A2183" s="191">
        <v>44835</v>
      </c>
      <c r="B2183" s="181" t="s">
        <v>124</v>
      </c>
      <c r="C2183" s="181" t="s">
        <v>735</v>
      </c>
      <c r="D2183" s="181" t="str">
        <f t="shared" si="39"/>
        <v>39051</v>
      </c>
      <c r="E2183" s="181" t="s">
        <v>15</v>
      </c>
      <c r="F2183" s="181" t="s">
        <v>14</v>
      </c>
      <c r="G2183" s="181" t="s">
        <v>793</v>
      </c>
      <c r="H2183" s="8">
        <v>52807.56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52807.56</v>
      </c>
    </row>
    <row r="2184" spans="1:15">
      <c r="A2184" s="191">
        <v>44866</v>
      </c>
      <c r="B2184" s="181" t="s">
        <v>123</v>
      </c>
      <c r="C2184" s="181" t="s">
        <v>735</v>
      </c>
      <c r="D2184" s="181" t="str">
        <f t="shared" si="39"/>
        <v>39051</v>
      </c>
      <c r="E2184" s="181" t="s">
        <v>15</v>
      </c>
      <c r="F2184" s="181" t="s">
        <v>14</v>
      </c>
      <c r="G2184" s="181" t="s">
        <v>647</v>
      </c>
      <c r="H2184" s="8">
        <v>392123.16000000003</v>
      </c>
      <c r="I2184" s="8">
        <v>4756.2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396879.35999999999</v>
      </c>
    </row>
    <row r="2185" spans="1:15">
      <c r="A2185" s="191">
        <v>44866</v>
      </c>
      <c r="B2185" s="181" t="s">
        <v>123</v>
      </c>
      <c r="C2185" s="181" t="s">
        <v>735</v>
      </c>
      <c r="D2185" s="181" t="str">
        <f t="shared" si="39"/>
        <v>39051</v>
      </c>
      <c r="E2185" s="181" t="s">
        <v>15</v>
      </c>
      <c r="F2185" s="181" t="s">
        <v>14</v>
      </c>
      <c r="G2185" s="181" t="s">
        <v>793</v>
      </c>
      <c r="H2185" s="8">
        <v>52807.56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52807.56</v>
      </c>
    </row>
    <row r="2186" spans="1:15">
      <c r="A2186" s="191">
        <v>44896</v>
      </c>
      <c r="B2186" s="181" t="s">
        <v>122</v>
      </c>
      <c r="C2186" s="181" t="s">
        <v>735</v>
      </c>
      <c r="D2186" s="181" t="str">
        <f t="shared" si="39"/>
        <v>39051</v>
      </c>
      <c r="E2186" s="181" t="s">
        <v>15</v>
      </c>
      <c r="F2186" s="181" t="s">
        <v>14</v>
      </c>
      <c r="G2186" s="181" t="s">
        <v>647</v>
      </c>
      <c r="H2186" s="8">
        <v>396879.35999999999</v>
      </c>
      <c r="I2186" s="8">
        <v>4756.2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401635.56</v>
      </c>
    </row>
    <row r="2187" spans="1:15">
      <c r="A2187" s="191">
        <v>44896</v>
      </c>
      <c r="B2187" s="181" t="s">
        <v>122</v>
      </c>
      <c r="C2187" s="181" t="s">
        <v>735</v>
      </c>
      <c r="D2187" s="181" t="str">
        <f t="shared" si="39"/>
        <v>39051</v>
      </c>
      <c r="E2187" s="181" t="s">
        <v>15</v>
      </c>
      <c r="F2187" s="181" t="s">
        <v>14</v>
      </c>
      <c r="G2187" s="181" t="s">
        <v>793</v>
      </c>
      <c r="H2187" s="8">
        <v>52807.56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52807.56</v>
      </c>
    </row>
    <row r="2188" spans="1:15">
      <c r="A2188" s="191">
        <v>44531</v>
      </c>
      <c r="B2188" s="181" t="s">
        <v>13</v>
      </c>
      <c r="C2188" s="181" t="s">
        <v>736</v>
      </c>
      <c r="D2188" s="181" t="str">
        <f t="shared" si="39"/>
        <v>39101</v>
      </c>
      <c r="E2188" s="181" t="s">
        <v>15</v>
      </c>
      <c r="F2188" s="181" t="s">
        <v>14</v>
      </c>
      <c r="G2188" s="181" t="s">
        <v>647</v>
      </c>
      <c r="H2188" s="8">
        <v>987497.61</v>
      </c>
      <c r="I2188" s="8">
        <v>10240.66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997738.27</v>
      </c>
    </row>
    <row r="2189" spans="1:15">
      <c r="A2189" s="191">
        <v>44531</v>
      </c>
      <c r="B2189" s="181" t="s">
        <v>13</v>
      </c>
      <c r="C2189" s="181" t="s">
        <v>736</v>
      </c>
      <c r="D2189" s="181" t="str">
        <f t="shared" si="39"/>
        <v>39101</v>
      </c>
      <c r="E2189" s="181" t="s">
        <v>15</v>
      </c>
      <c r="F2189" s="181" t="s">
        <v>14</v>
      </c>
      <c r="G2189" s="181" t="s">
        <v>793</v>
      </c>
      <c r="H2189" s="8">
        <v>92909.61</v>
      </c>
      <c r="I2189" s="8">
        <v>0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92909.61</v>
      </c>
    </row>
    <row r="2190" spans="1:15">
      <c r="A2190" s="191">
        <v>44562</v>
      </c>
      <c r="B2190" s="181" t="s">
        <v>133</v>
      </c>
      <c r="C2190" s="181" t="s">
        <v>736</v>
      </c>
      <c r="D2190" s="181" t="str">
        <f t="shared" si="39"/>
        <v>39101</v>
      </c>
      <c r="E2190" s="181" t="s">
        <v>15</v>
      </c>
      <c r="F2190" s="181" t="s">
        <v>14</v>
      </c>
      <c r="G2190" s="181" t="s">
        <v>647</v>
      </c>
      <c r="H2190" s="8">
        <v>997738.27</v>
      </c>
      <c r="I2190" s="8">
        <v>10240.66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1007978.93</v>
      </c>
    </row>
    <row r="2191" spans="1:15">
      <c r="A2191" s="191">
        <v>44562</v>
      </c>
      <c r="B2191" s="181" t="s">
        <v>133</v>
      </c>
      <c r="C2191" s="181" t="s">
        <v>736</v>
      </c>
      <c r="D2191" s="181" t="str">
        <f t="shared" si="39"/>
        <v>39101</v>
      </c>
      <c r="E2191" s="181" t="s">
        <v>15</v>
      </c>
      <c r="F2191" s="181" t="s">
        <v>14</v>
      </c>
      <c r="G2191" s="181" t="s">
        <v>793</v>
      </c>
      <c r="H2191" s="8">
        <v>92909.61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92909.61</v>
      </c>
    </row>
    <row r="2192" spans="1:15">
      <c r="A2192" s="191">
        <v>44593</v>
      </c>
      <c r="B2192" s="181" t="s">
        <v>132</v>
      </c>
      <c r="C2192" s="181" t="s">
        <v>736</v>
      </c>
      <c r="D2192" s="181" t="str">
        <f t="shared" si="39"/>
        <v>39101</v>
      </c>
      <c r="E2192" s="181" t="s">
        <v>15</v>
      </c>
      <c r="F2192" s="181" t="s">
        <v>14</v>
      </c>
      <c r="G2192" s="181" t="s">
        <v>647</v>
      </c>
      <c r="H2192" s="8">
        <v>1007978.93</v>
      </c>
      <c r="I2192" s="8">
        <v>10240.66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1018219.59</v>
      </c>
    </row>
    <row r="2193" spans="1:15">
      <c r="A2193" s="191">
        <v>44593</v>
      </c>
      <c r="B2193" s="181" t="s">
        <v>132</v>
      </c>
      <c r="C2193" s="181" t="s">
        <v>736</v>
      </c>
      <c r="D2193" s="181" t="str">
        <f t="shared" si="39"/>
        <v>39101</v>
      </c>
      <c r="E2193" s="181" t="s">
        <v>15</v>
      </c>
      <c r="F2193" s="181" t="s">
        <v>14</v>
      </c>
      <c r="G2193" s="181" t="s">
        <v>793</v>
      </c>
      <c r="H2193" s="8">
        <v>92909.61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92909.61</v>
      </c>
    </row>
    <row r="2194" spans="1:15">
      <c r="A2194" s="191">
        <v>44621</v>
      </c>
      <c r="B2194" s="181" t="s">
        <v>131</v>
      </c>
      <c r="C2194" s="181" t="s">
        <v>736</v>
      </c>
      <c r="D2194" s="181" t="str">
        <f t="shared" si="39"/>
        <v>39101</v>
      </c>
      <c r="E2194" s="181" t="s">
        <v>15</v>
      </c>
      <c r="F2194" s="181" t="s">
        <v>14</v>
      </c>
      <c r="G2194" s="181" t="s">
        <v>647</v>
      </c>
      <c r="H2194" s="8">
        <v>1018219.59</v>
      </c>
      <c r="I2194" s="8">
        <v>10316.24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1028535.83</v>
      </c>
    </row>
    <row r="2195" spans="1:15">
      <c r="A2195" s="191">
        <v>44621</v>
      </c>
      <c r="B2195" s="181" t="s">
        <v>131</v>
      </c>
      <c r="C2195" s="181" t="s">
        <v>736</v>
      </c>
      <c r="D2195" s="181" t="str">
        <f t="shared" si="39"/>
        <v>39101</v>
      </c>
      <c r="E2195" s="181" t="s">
        <v>15</v>
      </c>
      <c r="F2195" s="181" t="s">
        <v>14</v>
      </c>
      <c r="G2195" s="181" t="s">
        <v>793</v>
      </c>
      <c r="H2195" s="8">
        <v>92909.61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92909.61</v>
      </c>
    </row>
    <row r="2196" spans="1:15">
      <c r="A2196" s="191">
        <v>44652</v>
      </c>
      <c r="B2196" s="181" t="s">
        <v>130</v>
      </c>
      <c r="C2196" s="181" t="s">
        <v>736</v>
      </c>
      <c r="D2196" s="181" t="str">
        <f t="shared" si="39"/>
        <v>39101</v>
      </c>
      <c r="E2196" s="181" t="s">
        <v>15</v>
      </c>
      <c r="F2196" s="181" t="s">
        <v>14</v>
      </c>
      <c r="G2196" s="181" t="s">
        <v>647</v>
      </c>
      <c r="H2196" s="8">
        <v>1028535.83</v>
      </c>
      <c r="I2196" s="8">
        <v>10391.83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1038927.66</v>
      </c>
    </row>
    <row r="2197" spans="1:15">
      <c r="A2197" s="191">
        <v>44652</v>
      </c>
      <c r="B2197" s="181" t="s">
        <v>130</v>
      </c>
      <c r="C2197" s="181" t="s">
        <v>736</v>
      </c>
      <c r="D2197" s="181" t="str">
        <f t="shared" si="39"/>
        <v>39101</v>
      </c>
      <c r="E2197" s="181" t="s">
        <v>15</v>
      </c>
      <c r="F2197" s="181" t="s">
        <v>14</v>
      </c>
      <c r="G2197" s="181" t="s">
        <v>793</v>
      </c>
      <c r="H2197" s="8">
        <v>92909.61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92909.61</v>
      </c>
    </row>
    <row r="2198" spans="1:15">
      <c r="A2198" s="191">
        <v>44682</v>
      </c>
      <c r="B2198" s="181" t="s">
        <v>129</v>
      </c>
      <c r="C2198" s="181" t="s">
        <v>736</v>
      </c>
      <c r="D2198" s="181" t="str">
        <f t="shared" si="39"/>
        <v>39101</v>
      </c>
      <c r="E2198" s="181" t="s">
        <v>15</v>
      </c>
      <c r="F2198" s="181" t="s">
        <v>14</v>
      </c>
      <c r="G2198" s="181" t="s">
        <v>647</v>
      </c>
      <c r="H2198" s="8">
        <v>1038927.66</v>
      </c>
      <c r="I2198" s="8">
        <v>10388.41</v>
      </c>
      <c r="J2198" s="8">
        <v>-1174.56</v>
      </c>
      <c r="K2198" s="8">
        <v>0</v>
      </c>
      <c r="L2198" s="8">
        <v>0</v>
      </c>
      <c r="M2198" s="8">
        <v>0</v>
      </c>
      <c r="N2198" s="8">
        <v>0</v>
      </c>
      <c r="O2198" s="8">
        <v>1048141.51</v>
      </c>
    </row>
    <row r="2199" spans="1:15">
      <c r="A2199" s="191">
        <v>44682</v>
      </c>
      <c r="B2199" s="181" t="s">
        <v>129</v>
      </c>
      <c r="C2199" s="181" t="s">
        <v>736</v>
      </c>
      <c r="D2199" s="181" t="str">
        <f t="shared" si="39"/>
        <v>39101</v>
      </c>
      <c r="E2199" s="181" t="s">
        <v>15</v>
      </c>
      <c r="F2199" s="181" t="s">
        <v>14</v>
      </c>
      <c r="G2199" s="181" t="s">
        <v>793</v>
      </c>
      <c r="H2199" s="8">
        <v>92909.61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92909.61</v>
      </c>
    </row>
    <row r="2200" spans="1:15">
      <c r="A2200" s="191">
        <v>44713</v>
      </c>
      <c r="B2200" s="181" t="s">
        <v>128</v>
      </c>
      <c r="C2200" s="181" t="s">
        <v>736</v>
      </c>
      <c r="D2200" s="181" t="str">
        <f t="shared" si="39"/>
        <v>39101</v>
      </c>
      <c r="E2200" s="181" t="s">
        <v>15</v>
      </c>
      <c r="F2200" s="181" t="s">
        <v>14</v>
      </c>
      <c r="G2200" s="181" t="s">
        <v>647</v>
      </c>
      <c r="H2200" s="8">
        <v>1048141.51</v>
      </c>
      <c r="I2200" s="8">
        <v>10385</v>
      </c>
      <c r="J2200" s="8">
        <v>0.01</v>
      </c>
      <c r="K2200" s="8">
        <v>0</v>
      </c>
      <c r="L2200" s="8">
        <v>0</v>
      </c>
      <c r="M2200" s="8">
        <v>0</v>
      </c>
      <c r="N2200" s="8">
        <v>0</v>
      </c>
      <c r="O2200" s="8">
        <v>1058526.52</v>
      </c>
    </row>
    <row r="2201" spans="1:15">
      <c r="A2201" s="191">
        <v>44713</v>
      </c>
      <c r="B2201" s="181" t="s">
        <v>128</v>
      </c>
      <c r="C2201" s="181" t="s">
        <v>736</v>
      </c>
      <c r="D2201" s="181" t="str">
        <f t="shared" si="39"/>
        <v>39101</v>
      </c>
      <c r="E2201" s="181" t="s">
        <v>15</v>
      </c>
      <c r="F2201" s="181" t="s">
        <v>14</v>
      </c>
      <c r="G2201" s="181" t="s">
        <v>793</v>
      </c>
      <c r="H2201" s="8">
        <v>92909.61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92909.61</v>
      </c>
    </row>
    <row r="2202" spans="1:15">
      <c r="A2202" s="191">
        <v>44743</v>
      </c>
      <c r="B2202" s="181" t="s">
        <v>127</v>
      </c>
      <c r="C2202" s="181" t="s">
        <v>736</v>
      </c>
      <c r="D2202" s="181" t="str">
        <f t="shared" si="39"/>
        <v>39101</v>
      </c>
      <c r="E2202" s="181" t="s">
        <v>15</v>
      </c>
      <c r="F2202" s="181" t="s">
        <v>14</v>
      </c>
      <c r="G2202" s="181" t="s">
        <v>647</v>
      </c>
      <c r="H2202" s="8">
        <v>1058526.52</v>
      </c>
      <c r="I2202" s="8">
        <v>9083.630000000001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1067610.1499999999</v>
      </c>
    </row>
    <row r="2203" spans="1:15">
      <c r="A2203" s="191">
        <v>44743</v>
      </c>
      <c r="B2203" s="181" t="s">
        <v>127</v>
      </c>
      <c r="C2203" s="181" t="s">
        <v>736</v>
      </c>
      <c r="D2203" s="181" t="str">
        <f t="shared" si="39"/>
        <v>39101</v>
      </c>
      <c r="E2203" s="181" t="s">
        <v>15</v>
      </c>
      <c r="F2203" s="181" t="s">
        <v>14</v>
      </c>
      <c r="G2203" s="181" t="s">
        <v>793</v>
      </c>
      <c r="H2203" s="8">
        <v>92909.61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92909.61</v>
      </c>
    </row>
    <row r="2204" spans="1:15">
      <c r="A2204" s="191">
        <v>44774</v>
      </c>
      <c r="B2204" s="181" t="s">
        <v>126</v>
      </c>
      <c r="C2204" s="181" t="s">
        <v>736</v>
      </c>
      <c r="D2204" s="181" t="str">
        <f t="shared" si="39"/>
        <v>39101</v>
      </c>
      <c r="E2204" s="181" t="s">
        <v>15</v>
      </c>
      <c r="F2204" s="181" t="s">
        <v>14</v>
      </c>
      <c r="G2204" s="181" t="s">
        <v>647</v>
      </c>
      <c r="H2204" s="8">
        <v>1067610.1499999999</v>
      </c>
      <c r="I2204" s="8">
        <v>7782.27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1075392.42</v>
      </c>
    </row>
    <row r="2205" spans="1:15">
      <c r="A2205" s="191">
        <v>44774</v>
      </c>
      <c r="B2205" s="181" t="s">
        <v>126</v>
      </c>
      <c r="C2205" s="181" t="s">
        <v>736</v>
      </c>
      <c r="D2205" s="181" t="str">
        <f t="shared" si="39"/>
        <v>39101</v>
      </c>
      <c r="E2205" s="181" t="s">
        <v>15</v>
      </c>
      <c r="F2205" s="181" t="s">
        <v>14</v>
      </c>
      <c r="G2205" s="181" t="s">
        <v>793</v>
      </c>
      <c r="H2205" s="8">
        <v>92909.61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92909.61</v>
      </c>
    </row>
    <row r="2206" spans="1:15">
      <c r="A2206" s="191">
        <v>44805</v>
      </c>
      <c r="B2206" s="181" t="s">
        <v>125</v>
      </c>
      <c r="C2206" s="181" t="s">
        <v>736</v>
      </c>
      <c r="D2206" s="181" t="str">
        <f t="shared" si="39"/>
        <v>39101</v>
      </c>
      <c r="E2206" s="181" t="s">
        <v>15</v>
      </c>
      <c r="F2206" s="181" t="s">
        <v>14</v>
      </c>
      <c r="G2206" s="181" t="s">
        <v>647</v>
      </c>
      <c r="H2206" s="8">
        <v>1075392.42</v>
      </c>
      <c r="I2206" s="8">
        <v>7782.27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1083174.69</v>
      </c>
    </row>
    <row r="2207" spans="1:15">
      <c r="A2207" s="191">
        <v>44805</v>
      </c>
      <c r="B2207" s="181" t="s">
        <v>125</v>
      </c>
      <c r="C2207" s="181" t="s">
        <v>736</v>
      </c>
      <c r="D2207" s="181" t="str">
        <f t="shared" si="39"/>
        <v>39101</v>
      </c>
      <c r="E2207" s="181" t="s">
        <v>15</v>
      </c>
      <c r="F2207" s="181" t="s">
        <v>14</v>
      </c>
      <c r="G2207" s="181" t="s">
        <v>793</v>
      </c>
      <c r="H2207" s="8">
        <v>92909.61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92909.61</v>
      </c>
    </row>
    <row r="2208" spans="1:15">
      <c r="A2208" s="191">
        <v>44835</v>
      </c>
      <c r="B2208" s="181" t="s">
        <v>124</v>
      </c>
      <c r="C2208" s="181" t="s">
        <v>736</v>
      </c>
      <c r="D2208" s="181" t="str">
        <f t="shared" si="39"/>
        <v>39101</v>
      </c>
      <c r="E2208" s="181" t="s">
        <v>15</v>
      </c>
      <c r="F2208" s="181" t="s">
        <v>14</v>
      </c>
      <c r="G2208" s="181" t="s">
        <v>647</v>
      </c>
      <c r="H2208" s="8">
        <v>1083174.69</v>
      </c>
      <c r="I2208" s="8">
        <v>7782.27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1090956.96</v>
      </c>
    </row>
    <row r="2209" spans="1:15">
      <c r="A2209" s="191">
        <v>44835</v>
      </c>
      <c r="B2209" s="181" t="s">
        <v>124</v>
      </c>
      <c r="C2209" s="181" t="s">
        <v>736</v>
      </c>
      <c r="D2209" s="181" t="str">
        <f t="shared" si="39"/>
        <v>39101</v>
      </c>
      <c r="E2209" s="181" t="s">
        <v>15</v>
      </c>
      <c r="F2209" s="181" t="s">
        <v>14</v>
      </c>
      <c r="G2209" s="181" t="s">
        <v>793</v>
      </c>
      <c r="H2209" s="8">
        <v>92909.61</v>
      </c>
      <c r="I2209" s="8">
        <v>0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92909.61</v>
      </c>
    </row>
    <row r="2210" spans="1:15">
      <c r="A2210" s="191">
        <v>44866</v>
      </c>
      <c r="B2210" s="181" t="s">
        <v>123</v>
      </c>
      <c r="C2210" s="181" t="s">
        <v>736</v>
      </c>
      <c r="D2210" s="181" t="str">
        <f t="shared" si="39"/>
        <v>39101</v>
      </c>
      <c r="E2210" s="181" t="s">
        <v>15</v>
      </c>
      <c r="F2210" s="181" t="s">
        <v>14</v>
      </c>
      <c r="G2210" s="181" t="s">
        <v>647</v>
      </c>
      <c r="H2210" s="8">
        <v>1090956.96</v>
      </c>
      <c r="I2210" s="8">
        <v>7782.27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1098739.23</v>
      </c>
    </row>
    <row r="2211" spans="1:15">
      <c r="A2211" s="191">
        <v>44866</v>
      </c>
      <c r="B2211" s="181" t="s">
        <v>123</v>
      </c>
      <c r="C2211" s="181" t="s">
        <v>736</v>
      </c>
      <c r="D2211" s="181" t="str">
        <f t="shared" si="39"/>
        <v>39101</v>
      </c>
      <c r="E2211" s="181" t="s">
        <v>15</v>
      </c>
      <c r="F2211" s="181" t="s">
        <v>14</v>
      </c>
      <c r="G2211" s="181" t="s">
        <v>793</v>
      </c>
      <c r="H2211" s="8">
        <v>92909.61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92909.61</v>
      </c>
    </row>
    <row r="2212" spans="1:15">
      <c r="A2212" s="191">
        <v>44896</v>
      </c>
      <c r="B2212" s="181" t="s">
        <v>122</v>
      </c>
      <c r="C2212" s="181" t="s">
        <v>736</v>
      </c>
      <c r="D2212" s="181" t="str">
        <f t="shared" si="39"/>
        <v>39101</v>
      </c>
      <c r="E2212" s="181" t="s">
        <v>15</v>
      </c>
      <c r="F2212" s="181" t="s">
        <v>14</v>
      </c>
      <c r="G2212" s="181" t="s">
        <v>647</v>
      </c>
      <c r="H2212" s="8">
        <v>1098739.23</v>
      </c>
      <c r="I2212" s="8">
        <v>7664.6100000000006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1106403.8400000001</v>
      </c>
    </row>
    <row r="2213" spans="1:15">
      <c r="A2213" s="191">
        <v>44896</v>
      </c>
      <c r="B2213" s="181" t="s">
        <v>122</v>
      </c>
      <c r="C2213" s="181" t="s">
        <v>736</v>
      </c>
      <c r="D2213" s="181" t="str">
        <f t="shared" si="39"/>
        <v>39101</v>
      </c>
      <c r="E2213" s="181" t="s">
        <v>15</v>
      </c>
      <c r="F2213" s="181" t="s">
        <v>14</v>
      </c>
      <c r="G2213" s="181" t="s">
        <v>793</v>
      </c>
      <c r="H2213" s="8">
        <v>92909.61</v>
      </c>
      <c r="I2213" s="8">
        <v>0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92909.61</v>
      </c>
    </row>
    <row r="2214" spans="1:15">
      <c r="A2214" s="191">
        <v>44531</v>
      </c>
      <c r="B2214" s="181" t="s">
        <v>13</v>
      </c>
      <c r="C2214" s="181" t="s">
        <v>737</v>
      </c>
      <c r="D2214" s="181" t="str">
        <f t="shared" si="39"/>
        <v>39103</v>
      </c>
      <c r="E2214" s="181" t="s">
        <v>15</v>
      </c>
      <c r="F2214" s="181" t="s">
        <v>14</v>
      </c>
      <c r="G2214" s="181" t="s">
        <v>647</v>
      </c>
      <c r="H2214" s="8">
        <v>37828.92</v>
      </c>
      <c r="I2214" s="8">
        <v>27579.34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65408.26</v>
      </c>
    </row>
    <row r="2215" spans="1:15">
      <c r="A2215" s="191">
        <v>44531</v>
      </c>
      <c r="B2215" s="181" t="s">
        <v>13</v>
      </c>
      <c r="C2215" s="181" t="s">
        <v>738</v>
      </c>
      <c r="D2215" s="181" t="str">
        <f t="shared" si="39"/>
        <v>39103</v>
      </c>
      <c r="E2215" s="181" t="s">
        <v>15</v>
      </c>
      <c r="F2215" s="181" t="s">
        <v>14</v>
      </c>
      <c r="G2215" s="181" t="s">
        <v>647</v>
      </c>
      <c r="H2215" s="8">
        <v>26.76</v>
      </c>
      <c r="I2215" s="8">
        <v>0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26.76</v>
      </c>
    </row>
    <row r="2216" spans="1:15">
      <c r="A2216" s="191">
        <v>44531</v>
      </c>
      <c r="B2216" s="181" t="s">
        <v>13</v>
      </c>
      <c r="C2216" s="181" t="s">
        <v>737</v>
      </c>
      <c r="D2216" s="181" t="str">
        <f t="shared" si="39"/>
        <v>39103</v>
      </c>
      <c r="E2216" s="181" t="s">
        <v>15</v>
      </c>
      <c r="F2216" s="181" t="s">
        <v>14</v>
      </c>
      <c r="G2216" s="181" t="s">
        <v>793</v>
      </c>
      <c r="H2216" s="8">
        <v>45107.88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45107.88</v>
      </c>
    </row>
    <row r="2217" spans="1:15">
      <c r="A2217" s="191">
        <v>44531</v>
      </c>
      <c r="B2217" s="181" t="s">
        <v>13</v>
      </c>
      <c r="C2217" s="181" t="s">
        <v>738</v>
      </c>
      <c r="D2217" s="181" t="str">
        <f t="shared" si="39"/>
        <v>39103</v>
      </c>
      <c r="E2217" s="181" t="s">
        <v>15</v>
      </c>
      <c r="F2217" s="181" t="s">
        <v>14</v>
      </c>
      <c r="G2217" s="181" t="s">
        <v>793</v>
      </c>
      <c r="H2217" s="8">
        <v>-26.76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-26.76</v>
      </c>
    </row>
    <row r="2218" spans="1:15">
      <c r="A2218" s="191">
        <v>44562</v>
      </c>
      <c r="B2218" s="181" t="s">
        <v>133</v>
      </c>
      <c r="C2218" s="181" t="s">
        <v>737</v>
      </c>
      <c r="D2218" s="181" t="str">
        <f t="shared" si="39"/>
        <v>39103</v>
      </c>
      <c r="E2218" s="181" t="s">
        <v>15</v>
      </c>
      <c r="F2218" s="181" t="s">
        <v>14</v>
      </c>
      <c r="G2218" s="181" t="s">
        <v>647</v>
      </c>
      <c r="H2218" s="8">
        <v>65408.26</v>
      </c>
      <c r="I2218" s="8">
        <v>28943.53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94351.790000000008</v>
      </c>
    </row>
    <row r="2219" spans="1:15">
      <c r="A2219" s="191">
        <v>44562</v>
      </c>
      <c r="B2219" s="181" t="s">
        <v>133</v>
      </c>
      <c r="C2219" s="181" t="s">
        <v>738</v>
      </c>
      <c r="D2219" s="181" t="str">
        <f t="shared" si="39"/>
        <v>39103</v>
      </c>
      <c r="E2219" s="181" t="s">
        <v>15</v>
      </c>
      <c r="F2219" s="181" t="s">
        <v>14</v>
      </c>
      <c r="G2219" s="181" t="s">
        <v>647</v>
      </c>
      <c r="H2219" s="8">
        <v>26.76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26.76</v>
      </c>
    </row>
    <row r="2220" spans="1:15">
      <c r="A2220" s="191">
        <v>44562</v>
      </c>
      <c r="B2220" s="181" t="s">
        <v>133</v>
      </c>
      <c r="C2220" s="181" t="s">
        <v>737</v>
      </c>
      <c r="D2220" s="181" t="str">
        <f t="shared" si="39"/>
        <v>39103</v>
      </c>
      <c r="E2220" s="181" t="s">
        <v>15</v>
      </c>
      <c r="F2220" s="181" t="s">
        <v>14</v>
      </c>
      <c r="G2220" s="181" t="s">
        <v>793</v>
      </c>
      <c r="H2220" s="8">
        <v>45107.88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45107.88</v>
      </c>
    </row>
    <row r="2221" spans="1:15">
      <c r="A2221" s="191">
        <v>44562</v>
      </c>
      <c r="B2221" s="181" t="s">
        <v>133</v>
      </c>
      <c r="C2221" s="181" t="s">
        <v>738</v>
      </c>
      <c r="D2221" s="181" t="str">
        <f t="shared" si="39"/>
        <v>39103</v>
      </c>
      <c r="E2221" s="181" t="s">
        <v>15</v>
      </c>
      <c r="F2221" s="181" t="s">
        <v>14</v>
      </c>
      <c r="G2221" s="181" t="s">
        <v>793</v>
      </c>
      <c r="H2221" s="8">
        <v>-26.76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-26.76</v>
      </c>
    </row>
    <row r="2222" spans="1:15">
      <c r="A2222" s="191">
        <v>44593</v>
      </c>
      <c r="B2222" s="181" t="s">
        <v>132</v>
      </c>
      <c r="C2222" s="181" t="s">
        <v>737</v>
      </c>
      <c r="D2222" s="181" t="str">
        <f t="shared" si="39"/>
        <v>39103</v>
      </c>
      <c r="E2222" s="181" t="s">
        <v>15</v>
      </c>
      <c r="F2222" s="181" t="s">
        <v>14</v>
      </c>
      <c r="G2222" s="181" t="s">
        <v>647</v>
      </c>
      <c r="H2222" s="8">
        <v>94351.790000000008</v>
      </c>
      <c r="I2222" s="8">
        <v>29456.53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123808.32000000001</v>
      </c>
    </row>
    <row r="2223" spans="1:15">
      <c r="A2223" s="191">
        <v>44593</v>
      </c>
      <c r="B2223" s="181" t="s">
        <v>132</v>
      </c>
      <c r="C2223" s="181" t="s">
        <v>738</v>
      </c>
      <c r="D2223" s="181" t="str">
        <f t="shared" si="39"/>
        <v>39103</v>
      </c>
      <c r="E2223" s="181" t="s">
        <v>15</v>
      </c>
      <c r="F2223" s="181" t="s">
        <v>14</v>
      </c>
      <c r="G2223" s="181" t="s">
        <v>647</v>
      </c>
      <c r="H2223" s="8">
        <v>26.76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26.76</v>
      </c>
    </row>
    <row r="2224" spans="1:15">
      <c r="A2224" s="191">
        <v>44593</v>
      </c>
      <c r="B2224" s="181" t="s">
        <v>132</v>
      </c>
      <c r="C2224" s="181" t="s">
        <v>737</v>
      </c>
      <c r="D2224" s="181" t="str">
        <f t="shared" si="39"/>
        <v>39103</v>
      </c>
      <c r="E2224" s="181" t="s">
        <v>15</v>
      </c>
      <c r="F2224" s="181" t="s">
        <v>14</v>
      </c>
      <c r="G2224" s="181" t="s">
        <v>793</v>
      </c>
      <c r="H2224" s="8">
        <v>45107.88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45107.88</v>
      </c>
    </row>
    <row r="2225" spans="1:15">
      <c r="A2225" s="191">
        <v>44593</v>
      </c>
      <c r="B2225" s="181" t="s">
        <v>132</v>
      </c>
      <c r="C2225" s="181" t="s">
        <v>738</v>
      </c>
      <c r="D2225" s="181" t="str">
        <f t="shared" ref="D2225:D2288" si="40">MID(C2225,10,5)</f>
        <v>39103</v>
      </c>
      <c r="E2225" s="181" t="s">
        <v>15</v>
      </c>
      <c r="F2225" s="181" t="s">
        <v>14</v>
      </c>
      <c r="G2225" s="181" t="s">
        <v>793</v>
      </c>
      <c r="H2225" s="8">
        <v>-26.76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-26.76</v>
      </c>
    </row>
    <row r="2226" spans="1:15">
      <c r="A2226" s="191">
        <v>44621</v>
      </c>
      <c r="B2226" s="181" t="s">
        <v>131</v>
      </c>
      <c r="C2226" s="181" t="s">
        <v>737</v>
      </c>
      <c r="D2226" s="181" t="str">
        <f t="shared" si="40"/>
        <v>39103</v>
      </c>
      <c r="E2226" s="181" t="s">
        <v>15</v>
      </c>
      <c r="F2226" s="181" t="s">
        <v>14</v>
      </c>
      <c r="G2226" s="181" t="s">
        <v>647</v>
      </c>
      <c r="H2226" s="8">
        <v>123808.32000000001</v>
      </c>
      <c r="I2226" s="8">
        <v>29456.53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153264.85</v>
      </c>
    </row>
    <row r="2227" spans="1:15">
      <c r="A2227" s="191">
        <v>44621</v>
      </c>
      <c r="B2227" s="181" t="s">
        <v>131</v>
      </c>
      <c r="C2227" s="181" t="s">
        <v>738</v>
      </c>
      <c r="D2227" s="181" t="str">
        <f t="shared" si="40"/>
        <v>39103</v>
      </c>
      <c r="E2227" s="181" t="s">
        <v>15</v>
      </c>
      <c r="F2227" s="181" t="s">
        <v>14</v>
      </c>
      <c r="G2227" s="181" t="s">
        <v>647</v>
      </c>
      <c r="H2227" s="8">
        <v>26.76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26.76</v>
      </c>
    </row>
    <row r="2228" spans="1:15">
      <c r="A2228" s="191">
        <v>44621</v>
      </c>
      <c r="B2228" s="181" t="s">
        <v>131</v>
      </c>
      <c r="C2228" s="181" t="s">
        <v>737</v>
      </c>
      <c r="D2228" s="181" t="str">
        <f t="shared" si="40"/>
        <v>39103</v>
      </c>
      <c r="E2228" s="181" t="s">
        <v>15</v>
      </c>
      <c r="F2228" s="181" t="s">
        <v>14</v>
      </c>
      <c r="G2228" s="181" t="s">
        <v>793</v>
      </c>
      <c r="H2228" s="8">
        <v>45107.88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45107.88</v>
      </c>
    </row>
    <row r="2229" spans="1:15">
      <c r="A2229" s="191">
        <v>44621</v>
      </c>
      <c r="B2229" s="181" t="s">
        <v>131</v>
      </c>
      <c r="C2229" s="181" t="s">
        <v>738</v>
      </c>
      <c r="D2229" s="181" t="str">
        <f t="shared" si="40"/>
        <v>39103</v>
      </c>
      <c r="E2229" s="181" t="s">
        <v>15</v>
      </c>
      <c r="F2229" s="181" t="s">
        <v>14</v>
      </c>
      <c r="G2229" s="181" t="s">
        <v>793</v>
      </c>
      <c r="H2229" s="8">
        <v>-26.76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-26.76</v>
      </c>
    </row>
    <row r="2230" spans="1:15">
      <c r="A2230" s="191">
        <v>44652</v>
      </c>
      <c r="B2230" s="181" t="s">
        <v>130</v>
      </c>
      <c r="C2230" s="181" t="s">
        <v>737</v>
      </c>
      <c r="D2230" s="181" t="str">
        <f t="shared" si="40"/>
        <v>39103</v>
      </c>
      <c r="E2230" s="181" t="s">
        <v>15</v>
      </c>
      <c r="F2230" s="181" t="s">
        <v>14</v>
      </c>
      <c r="G2230" s="181" t="s">
        <v>647</v>
      </c>
      <c r="H2230" s="8">
        <v>153264.85</v>
      </c>
      <c r="I2230" s="8">
        <v>29189.81</v>
      </c>
      <c r="J2230" s="8">
        <v>-28023.920000000002</v>
      </c>
      <c r="K2230" s="8">
        <v>0</v>
      </c>
      <c r="L2230" s="8">
        <v>0</v>
      </c>
      <c r="M2230" s="8">
        <v>0</v>
      </c>
      <c r="N2230" s="8">
        <v>0</v>
      </c>
      <c r="O2230" s="8">
        <v>154430.74</v>
      </c>
    </row>
    <row r="2231" spans="1:15">
      <c r="A2231" s="191">
        <v>44652</v>
      </c>
      <c r="B2231" s="181" t="s">
        <v>130</v>
      </c>
      <c r="C2231" s="181" t="s">
        <v>738</v>
      </c>
      <c r="D2231" s="181" t="str">
        <f t="shared" si="40"/>
        <v>39103</v>
      </c>
      <c r="E2231" s="181" t="s">
        <v>15</v>
      </c>
      <c r="F2231" s="181" t="s">
        <v>14</v>
      </c>
      <c r="G2231" s="181" t="s">
        <v>647</v>
      </c>
      <c r="H2231" s="8">
        <v>26.76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26.76</v>
      </c>
    </row>
    <row r="2232" spans="1:15">
      <c r="A2232" s="191">
        <v>44652</v>
      </c>
      <c r="B2232" s="181" t="s">
        <v>130</v>
      </c>
      <c r="C2232" s="181" t="s">
        <v>737</v>
      </c>
      <c r="D2232" s="181" t="str">
        <f t="shared" si="40"/>
        <v>39103</v>
      </c>
      <c r="E2232" s="181" t="s">
        <v>15</v>
      </c>
      <c r="F2232" s="181" t="s">
        <v>14</v>
      </c>
      <c r="G2232" s="181" t="s">
        <v>793</v>
      </c>
      <c r="H2232" s="8">
        <v>45107.88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45107.88</v>
      </c>
    </row>
    <row r="2233" spans="1:15">
      <c r="A2233" s="191">
        <v>44652</v>
      </c>
      <c r="B2233" s="181" t="s">
        <v>130</v>
      </c>
      <c r="C2233" s="181" t="s">
        <v>738</v>
      </c>
      <c r="D2233" s="181" t="str">
        <f t="shared" si="40"/>
        <v>39103</v>
      </c>
      <c r="E2233" s="181" t="s">
        <v>15</v>
      </c>
      <c r="F2233" s="181" t="s">
        <v>14</v>
      </c>
      <c r="G2233" s="181" t="s">
        <v>793</v>
      </c>
      <c r="H2233" s="8">
        <v>-26.76</v>
      </c>
      <c r="I2233" s="8">
        <v>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-26.76</v>
      </c>
    </row>
    <row r="2234" spans="1:15">
      <c r="A2234" s="191">
        <v>44682</v>
      </c>
      <c r="B2234" s="181" t="s">
        <v>129</v>
      </c>
      <c r="C2234" s="181" t="s">
        <v>737</v>
      </c>
      <c r="D2234" s="181" t="str">
        <f t="shared" si="40"/>
        <v>39103</v>
      </c>
      <c r="E2234" s="181" t="s">
        <v>15</v>
      </c>
      <c r="F2234" s="181" t="s">
        <v>14</v>
      </c>
      <c r="G2234" s="181" t="s">
        <v>647</v>
      </c>
      <c r="H2234" s="8">
        <v>154430.74</v>
      </c>
      <c r="I2234" s="8">
        <v>27401.99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181832.73</v>
      </c>
    </row>
    <row r="2235" spans="1:15">
      <c r="A2235" s="191">
        <v>44682</v>
      </c>
      <c r="B2235" s="181" t="s">
        <v>129</v>
      </c>
      <c r="C2235" s="181" t="s">
        <v>738</v>
      </c>
      <c r="D2235" s="181" t="str">
        <f t="shared" si="40"/>
        <v>39103</v>
      </c>
      <c r="E2235" s="181" t="s">
        <v>15</v>
      </c>
      <c r="F2235" s="181" t="s">
        <v>14</v>
      </c>
      <c r="G2235" s="181" t="s">
        <v>647</v>
      </c>
      <c r="H2235" s="8">
        <v>26.76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26.76</v>
      </c>
    </row>
    <row r="2236" spans="1:15">
      <c r="A2236" s="191">
        <v>44682</v>
      </c>
      <c r="B2236" s="181" t="s">
        <v>129</v>
      </c>
      <c r="C2236" s="181" t="s">
        <v>737</v>
      </c>
      <c r="D2236" s="181" t="str">
        <f t="shared" si="40"/>
        <v>39103</v>
      </c>
      <c r="E2236" s="181" t="s">
        <v>15</v>
      </c>
      <c r="F2236" s="181" t="s">
        <v>14</v>
      </c>
      <c r="G2236" s="181" t="s">
        <v>793</v>
      </c>
      <c r="H2236" s="8">
        <v>45107.88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45107.88</v>
      </c>
    </row>
    <row r="2237" spans="1:15">
      <c r="A2237" s="191">
        <v>44682</v>
      </c>
      <c r="B2237" s="181" t="s">
        <v>129</v>
      </c>
      <c r="C2237" s="181" t="s">
        <v>738</v>
      </c>
      <c r="D2237" s="181" t="str">
        <f t="shared" si="40"/>
        <v>39103</v>
      </c>
      <c r="E2237" s="181" t="s">
        <v>15</v>
      </c>
      <c r="F2237" s="181" t="s">
        <v>14</v>
      </c>
      <c r="G2237" s="181" t="s">
        <v>793</v>
      </c>
      <c r="H2237" s="8">
        <v>-26.76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-26.76</v>
      </c>
    </row>
    <row r="2238" spans="1:15">
      <c r="A2238" s="191">
        <v>44713</v>
      </c>
      <c r="B2238" s="181" t="s">
        <v>128</v>
      </c>
      <c r="C2238" s="181" t="s">
        <v>737</v>
      </c>
      <c r="D2238" s="181" t="str">
        <f t="shared" si="40"/>
        <v>39103</v>
      </c>
      <c r="E2238" s="181" t="s">
        <v>15</v>
      </c>
      <c r="F2238" s="181" t="s">
        <v>14</v>
      </c>
      <c r="G2238" s="181" t="s">
        <v>647</v>
      </c>
      <c r="H2238" s="8">
        <v>181832.73</v>
      </c>
      <c r="I2238" s="8">
        <v>25880.91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207713.64</v>
      </c>
    </row>
    <row r="2239" spans="1:15">
      <c r="A2239" s="191">
        <v>44713</v>
      </c>
      <c r="B2239" s="181" t="s">
        <v>128</v>
      </c>
      <c r="C2239" s="181" t="s">
        <v>738</v>
      </c>
      <c r="D2239" s="181" t="str">
        <f t="shared" si="40"/>
        <v>39103</v>
      </c>
      <c r="E2239" s="181" t="s">
        <v>15</v>
      </c>
      <c r="F2239" s="181" t="s">
        <v>14</v>
      </c>
      <c r="G2239" s="181" t="s">
        <v>647</v>
      </c>
      <c r="H2239" s="8">
        <v>26.76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26.76</v>
      </c>
    </row>
    <row r="2240" spans="1:15">
      <c r="A2240" s="191">
        <v>44713</v>
      </c>
      <c r="B2240" s="181" t="s">
        <v>128</v>
      </c>
      <c r="C2240" s="181" t="s">
        <v>737</v>
      </c>
      <c r="D2240" s="181" t="str">
        <f t="shared" si="40"/>
        <v>39103</v>
      </c>
      <c r="E2240" s="181" t="s">
        <v>15</v>
      </c>
      <c r="F2240" s="181" t="s">
        <v>14</v>
      </c>
      <c r="G2240" s="181" t="s">
        <v>793</v>
      </c>
      <c r="H2240" s="8">
        <v>45107.88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45107.88</v>
      </c>
    </row>
    <row r="2241" spans="1:15">
      <c r="A2241" s="191">
        <v>44713</v>
      </c>
      <c r="B2241" s="181" t="s">
        <v>128</v>
      </c>
      <c r="C2241" s="181" t="s">
        <v>738</v>
      </c>
      <c r="D2241" s="181" t="str">
        <f t="shared" si="40"/>
        <v>39103</v>
      </c>
      <c r="E2241" s="181" t="s">
        <v>15</v>
      </c>
      <c r="F2241" s="181" t="s">
        <v>14</v>
      </c>
      <c r="G2241" s="181" t="s">
        <v>793</v>
      </c>
      <c r="H2241" s="8">
        <v>-26.76</v>
      </c>
      <c r="I2241" s="8">
        <v>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-26.76</v>
      </c>
    </row>
    <row r="2242" spans="1:15">
      <c r="A2242" s="191">
        <v>44743</v>
      </c>
      <c r="B2242" s="181" t="s">
        <v>127</v>
      </c>
      <c r="C2242" s="181" t="s">
        <v>737</v>
      </c>
      <c r="D2242" s="181" t="str">
        <f t="shared" si="40"/>
        <v>39103</v>
      </c>
      <c r="E2242" s="181" t="s">
        <v>15</v>
      </c>
      <c r="F2242" s="181" t="s">
        <v>14</v>
      </c>
      <c r="G2242" s="181" t="s">
        <v>647</v>
      </c>
      <c r="H2242" s="8">
        <v>207713.64</v>
      </c>
      <c r="I2242" s="8">
        <v>25880.91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233594.55000000002</v>
      </c>
    </row>
    <row r="2243" spans="1:15">
      <c r="A2243" s="191">
        <v>44743</v>
      </c>
      <c r="B2243" s="181" t="s">
        <v>127</v>
      </c>
      <c r="C2243" s="181" t="s">
        <v>738</v>
      </c>
      <c r="D2243" s="181" t="str">
        <f t="shared" si="40"/>
        <v>39103</v>
      </c>
      <c r="E2243" s="181" t="s">
        <v>15</v>
      </c>
      <c r="F2243" s="181" t="s">
        <v>14</v>
      </c>
      <c r="G2243" s="181" t="s">
        <v>647</v>
      </c>
      <c r="H2243" s="8">
        <v>26.76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26.76</v>
      </c>
    </row>
    <row r="2244" spans="1:15">
      <c r="A2244" s="191">
        <v>44743</v>
      </c>
      <c r="B2244" s="181" t="s">
        <v>127</v>
      </c>
      <c r="C2244" s="181" t="s">
        <v>737</v>
      </c>
      <c r="D2244" s="181" t="str">
        <f t="shared" si="40"/>
        <v>39103</v>
      </c>
      <c r="E2244" s="181" t="s">
        <v>15</v>
      </c>
      <c r="F2244" s="181" t="s">
        <v>14</v>
      </c>
      <c r="G2244" s="181" t="s">
        <v>793</v>
      </c>
      <c r="H2244" s="8">
        <v>45107.88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45107.88</v>
      </c>
    </row>
    <row r="2245" spans="1:15">
      <c r="A2245" s="191">
        <v>44743</v>
      </c>
      <c r="B2245" s="181" t="s">
        <v>127</v>
      </c>
      <c r="C2245" s="181" t="s">
        <v>738</v>
      </c>
      <c r="D2245" s="181" t="str">
        <f t="shared" si="40"/>
        <v>39103</v>
      </c>
      <c r="E2245" s="181" t="s">
        <v>15</v>
      </c>
      <c r="F2245" s="181" t="s">
        <v>14</v>
      </c>
      <c r="G2245" s="181" t="s">
        <v>793</v>
      </c>
      <c r="H2245" s="8">
        <v>-26.76</v>
      </c>
      <c r="I2245" s="8">
        <v>0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-26.76</v>
      </c>
    </row>
    <row r="2246" spans="1:15">
      <c r="A2246" s="191">
        <v>44774</v>
      </c>
      <c r="B2246" s="181" t="s">
        <v>126</v>
      </c>
      <c r="C2246" s="181" t="s">
        <v>737</v>
      </c>
      <c r="D2246" s="181" t="str">
        <f t="shared" si="40"/>
        <v>39103</v>
      </c>
      <c r="E2246" s="181" t="s">
        <v>15</v>
      </c>
      <c r="F2246" s="181" t="s">
        <v>14</v>
      </c>
      <c r="G2246" s="181" t="s">
        <v>647</v>
      </c>
      <c r="H2246" s="8">
        <v>233594.55000000002</v>
      </c>
      <c r="I2246" s="8">
        <v>25880.91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259475.46</v>
      </c>
    </row>
    <row r="2247" spans="1:15">
      <c r="A2247" s="191">
        <v>44774</v>
      </c>
      <c r="B2247" s="181" t="s">
        <v>126</v>
      </c>
      <c r="C2247" s="181" t="s">
        <v>738</v>
      </c>
      <c r="D2247" s="181" t="str">
        <f t="shared" si="40"/>
        <v>39103</v>
      </c>
      <c r="E2247" s="181" t="s">
        <v>15</v>
      </c>
      <c r="F2247" s="181" t="s">
        <v>14</v>
      </c>
      <c r="G2247" s="181" t="s">
        <v>647</v>
      </c>
      <c r="H2247" s="8">
        <v>26.76</v>
      </c>
      <c r="I2247" s="8">
        <v>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26.76</v>
      </c>
    </row>
    <row r="2248" spans="1:15">
      <c r="A2248" s="191">
        <v>44774</v>
      </c>
      <c r="B2248" s="181" t="s">
        <v>126</v>
      </c>
      <c r="C2248" s="181" t="s">
        <v>737</v>
      </c>
      <c r="D2248" s="181" t="str">
        <f t="shared" si="40"/>
        <v>39103</v>
      </c>
      <c r="E2248" s="181" t="s">
        <v>15</v>
      </c>
      <c r="F2248" s="181" t="s">
        <v>14</v>
      </c>
      <c r="G2248" s="181" t="s">
        <v>793</v>
      </c>
      <c r="H2248" s="8">
        <v>45107.88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45107.88</v>
      </c>
    </row>
    <row r="2249" spans="1:15">
      <c r="A2249" s="191">
        <v>44774</v>
      </c>
      <c r="B2249" s="181" t="s">
        <v>126</v>
      </c>
      <c r="C2249" s="181" t="s">
        <v>738</v>
      </c>
      <c r="D2249" s="181" t="str">
        <f t="shared" si="40"/>
        <v>39103</v>
      </c>
      <c r="E2249" s="181" t="s">
        <v>15</v>
      </c>
      <c r="F2249" s="181" t="s">
        <v>14</v>
      </c>
      <c r="G2249" s="181" t="s">
        <v>793</v>
      </c>
      <c r="H2249" s="8">
        <v>-26.76</v>
      </c>
      <c r="I2249" s="8">
        <v>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-26.76</v>
      </c>
    </row>
    <row r="2250" spans="1:15">
      <c r="A2250" s="191">
        <v>44805</v>
      </c>
      <c r="B2250" s="181" t="s">
        <v>125</v>
      </c>
      <c r="C2250" s="181" t="s">
        <v>737</v>
      </c>
      <c r="D2250" s="181" t="str">
        <f t="shared" si="40"/>
        <v>39103</v>
      </c>
      <c r="E2250" s="181" t="s">
        <v>15</v>
      </c>
      <c r="F2250" s="181" t="s">
        <v>14</v>
      </c>
      <c r="G2250" s="181" t="s">
        <v>647</v>
      </c>
      <c r="H2250" s="8">
        <v>259475.46</v>
      </c>
      <c r="I2250" s="8">
        <v>25880.91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285356.37</v>
      </c>
    </row>
    <row r="2251" spans="1:15">
      <c r="A2251" s="191">
        <v>44805</v>
      </c>
      <c r="B2251" s="181" t="s">
        <v>125</v>
      </c>
      <c r="C2251" s="181" t="s">
        <v>738</v>
      </c>
      <c r="D2251" s="181" t="str">
        <f t="shared" si="40"/>
        <v>39103</v>
      </c>
      <c r="E2251" s="181" t="s">
        <v>15</v>
      </c>
      <c r="F2251" s="181" t="s">
        <v>14</v>
      </c>
      <c r="G2251" s="181" t="s">
        <v>647</v>
      </c>
      <c r="H2251" s="8">
        <v>26.76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26.76</v>
      </c>
    </row>
    <row r="2252" spans="1:15">
      <c r="A2252" s="191">
        <v>44805</v>
      </c>
      <c r="B2252" s="181" t="s">
        <v>125</v>
      </c>
      <c r="C2252" s="181" t="s">
        <v>737</v>
      </c>
      <c r="D2252" s="181" t="str">
        <f t="shared" si="40"/>
        <v>39103</v>
      </c>
      <c r="E2252" s="181" t="s">
        <v>15</v>
      </c>
      <c r="F2252" s="181" t="s">
        <v>14</v>
      </c>
      <c r="G2252" s="181" t="s">
        <v>793</v>
      </c>
      <c r="H2252" s="8">
        <v>45107.88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45107.88</v>
      </c>
    </row>
    <row r="2253" spans="1:15">
      <c r="A2253" s="191">
        <v>44805</v>
      </c>
      <c r="B2253" s="181" t="s">
        <v>125</v>
      </c>
      <c r="C2253" s="181" t="s">
        <v>738</v>
      </c>
      <c r="D2253" s="181" t="str">
        <f t="shared" si="40"/>
        <v>39103</v>
      </c>
      <c r="E2253" s="181" t="s">
        <v>15</v>
      </c>
      <c r="F2253" s="181" t="s">
        <v>14</v>
      </c>
      <c r="G2253" s="181" t="s">
        <v>793</v>
      </c>
      <c r="H2253" s="8">
        <v>-26.76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-26.76</v>
      </c>
    </row>
    <row r="2254" spans="1:15">
      <c r="A2254" s="191">
        <v>44835</v>
      </c>
      <c r="B2254" s="181" t="s">
        <v>124</v>
      </c>
      <c r="C2254" s="181" t="s">
        <v>737</v>
      </c>
      <c r="D2254" s="181" t="str">
        <f t="shared" si="40"/>
        <v>39103</v>
      </c>
      <c r="E2254" s="181" t="s">
        <v>15</v>
      </c>
      <c r="F2254" s="181" t="s">
        <v>14</v>
      </c>
      <c r="G2254" s="181" t="s">
        <v>647</v>
      </c>
      <c r="H2254" s="8">
        <v>285356.37</v>
      </c>
      <c r="I2254" s="8">
        <v>26558.41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311914.78000000003</v>
      </c>
    </row>
    <row r="2255" spans="1:15">
      <c r="A2255" s="191">
        <v>44835</v>
      </c>
      <c r="B2255" s="181" t="s">
        <v>124</v>
      </c>
      <c r="C2255" s="181" t="s">
        <v>738</v>
      </c>
      <c r="D2255" s="181" t="str">
        <f t="shared" si="40"/>
        <v>39103</v>
      </c>
      <c r="E2255" s="181" t="s">
        <v>15</v>
      </c>
      <c r="F2255" s="181" t="s">
        <v>14</v>
      </c>
      <c r="G2255" s="181" t="s">
        <v>647</v>
      </c>
      <c r="H2255" s="8">
        <v>26.76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26.76</v>
      </c>
    </row>
    <row r="2256" spans="1:15">
      <c r="A2256" s="191">
        <v>44835</v>
      </c>
      <c r="B2256" s="181" t="s">
        <v>124</v>
      </c>
      <c r="C2256" s="181" t="s">
        <v>737</v>
      </c>
      <c r="D2256" s="181" t="str">
        <f t="shared" si="40"/>
        <v>39103</v>
      </c>
      <c r="E2256" s="181" t="s">
        <v>15</v>
      </c>
      <c r="F2256" s="181" t="s">
        <v>14</v>
      </c>
      <c r="G2256" s="181" t="s">
        <v>793</v>
      </c>
      <c r="H2256" s="8">
        <v>45107.88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45107.88</v>
      </c>
    </row>
    <row r="2257" spans="1:15">
      <c r="A2257" s="191">
        <v>44835</v>
      </c>
      <c r="B2257" s="181" t="s">
        <v>124</v>
      </c>
      <c r="C2257" s="181" t="s">
        <v>738</v>
      </c>
      <c r="D2257" s="181" t="str">
        <f t="shared" si="40"/>
        <v>39103</v>
      </c>
      <c r="E2257" s="181" t="s">
        <v>15</v>
      </c>
      <c r="F2257" s="181" t="s">
        <v>14</v>
      </c>
      <c r="G2257" s="181" t="s">
        <v>793</v>
      </c>
      <c r="H2257" s="8">
        <v>-26.76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-26.76</v>
      </c>
    </row>
    <row r="2258" spans="1:15">
      <c r="A2258" s="191">
        <v>44866</v>
      </c>
      <c r="B2258" s="181" t="s">
        <v>123</v>
      </c>
      <c r="C2258" s="181" t="s">
        <v>737</v>
      </c>
      <c r="D2258" s="181" t="str">
        <f t="shared" si="40"/>
        <v>39103</v>
      </c>
      <c r="E2258" s="181" t="s">
        <v>15</v>
      </c>
      <c r="F2258" s="181" t="s">
        <v>14</v>
      </c>
      <c r="G2258" s="181" t="s">
        <v>647</v>
      </c>
      <c r="H2258" s="8">
        <v>311914.78000000003</v>
      </c>
      <c r="I2258" s="8">
        <v>27235.91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339150.69</v>
      </c>
    </row>
    <row r="2259" spans="1:15">
      <c r="A2259" s="191">
        <v>44866</v>
      </c>
      <c r="B2259" s="181" t="s">
        <v>123</v>
      </c>
      <c r="C2259" s="181" t="s">
        <v>738</v>
      </c>
      <c r="D2259" s="181" t="str">
        <f t="shared" si="40"/>
        <v>39103</v>
      </c>
      <c r="E2259" s="181" t="s">
        <v>15</v>
      </c>
      <c r="F2259" s="181" t="s">
        <v>14</v>
      </c>
      <c r="G2259" s="181" t="s">
        <v>647</v>
      </c>
      <c r="H2259" s="8">
        <v>26.76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26.76</v>
      </c>
    </row>
    <row r="2260" spans="1:15">
      <c r="A2260" s="191">
        <v>44866</v>
      </c>
      <c r="B2260" s="181" t="s">
        <v>123</v>
      </c>
      <c r="C2260" s="181" t="s">
        <v>737</v>
      </c>
      <c r="D2260" s="181" t="str">
        <f t="shared" si="40"/>
        <v>39103</v>
      </c>
      <c r="E2260" s="181" t="s">
        <v>15</v>
      </c>
      <c r="F2260" s="181" t="s">
        <v>14</v>
      </c>
      <c r="G2260" s="181" t="s">
        <v>793</v>
      </c>
      <c r="H2260" s="8">
        <v>45107.88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45107.88</v>
      </c>
    </row>
    <row r="2261" spans="1:15">
      <c r="A2261" s="191">
        <v>44866</v>
      </c>
      <c r="B2261" s="181" t="s">
        <v>123</v>
      </c>
      <c r="C2261" s="181" t="s">
        <v>738</v>
      </c>
      <c r="D2261" s="181" t="str">
        <f t="shared" si="40"/>
        <v>39103</v>
      </c>
      <c r="E2261" s="181" t="s">
        <v>15</v>
      </c>
      <c r="F2261" s="181" t="s">
        <v>14</v>
      </c>
      <c r="G2261" s="181" t="s">
        <v>793</v>
      </c>
      <c r="H2261" s="8">
        <v>-26.76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-26.76</v>
      </c>
    </row>
    <row r="2262" spans="1:15">
      <c r="A2262" s="191">
        <v>44896</v>
      </c>
      <c r="B2262" s="181" t="s">
        <v>122</v>
      </c>
      <c r="C2262" s="181" t="s">
        <v>737</v>
      </c>
      <c r="D2262" s="181" t="str">
        <f t="shared" si="40"/>
        <v>39103</v>
      </c>
      <c r="E2262" s="181" t="s">
        <v>15</v>
      </c>
      <c r="F2262" s="181" t="s">
        <v>14</v>
      </c>
      <c r="G2262" s="181" t="s">
        <v>647</v>
      </c>
      <c r="H2262" s="8">
        <v>339150.69</v>
      </c>
      <c r="I2262" s="8">
        <v>32230.240000000002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371380.93</v>
      </c>
    </row>
    <row r="2263" spans="1:15">
      <c r="A2263" s="191">
        <v>44896</v>
      </c>
      <c r="B2263" s="181" t="s">
        <v>122</v>
      </c>
      <c r="C2263" s="181" t="s">
        <v>738</v>
      </c>
      <c r="D2263" s="181" t="str">
        <f t="shared" si="40"/>
        <v>39103</v>
      </c>
      <c r="E2263" s="181" t="s">
        <v>15</v>
      </c>
      <c r="F2263" s="181" t="s">
        <v>14</v>
      </c>
      <c r="G2263" s="181" t="s">
        <v>647</v>
      </c>
      <c r="H2263" s="8">
        <v>26.76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26.76</v>
      </c>
    </row>
    <row r="2264" spans="1:15">
      <c r="A2264" s="191">
        <v>44896</v>
      </c>
      <c r="B2264" s="181" t="s">
        <v>122</v>
      </c>
      <c r="C2264" s="181" t="s">
        <v>737</v>
      </c>
      <c r="D2264" s="181" t="str">
        <f t="shared" si="40"/>
        <v>39103</v>
      </c>
      <c r="E2264" s="181" t="s">
        <v>15</v>
      </c>
      <c r="F2264" s="181" t="s">
        <v>14</v>
      </c>
      <c r="G2264" s="181" t="s">
        <v>793</v>
      </c>
      <c r="H2264" s="8">
        <v>45107.88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45107.88</v>
      </c>
    </row>
    <row r="2265" spans="1:15">
      <c r="A2265" s="191">
        <v>44896</v>
      </c>
      <c r="B2265" s="181" t="s">
        <v>122</v>
      </c>
      <c r="C2265" s="181" t="s">
        <v>738</v>
      </c>
      <c r="D2265" s="181" t="str">
        <f t="shared" si="40"/>
        <v>39103</v>
      </c>
      <c r="E2265" s="181" t="s">
        <v>15</v>
      </c>
      <c r="F2265" s="181" t="s">
        <v>14</v>
      </c>
      <c r="G2265" s="181" t="s">
        <v>793</v>
      </c>
      <c r="H2265" s="8">
        <v>-26.76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-26.76</v>
      </c>
    </row>
    <row r="2266" spans="1:15">
      <c r="A2266" s="191">
        <v>44531</v>
      </c>
      <c r="B2266" s="181" t="s">
        <v>13</v>
      </c>
      <c r="C2266" s="181" t="s">
        <v>739</v>
      </c>
      <c r="D2266" s="181" t="str">
        <f t="shared" si="40"/>
        <v>39104</v>
      </c>
      <c r="E2266" s="181" t="s">
        <v>15</v>
      </c>
      <c r="F2266" s="181" t="s">
        <v>14</v>
      </c>
      <c r="G2266" s="181" t="s">
        <v>647</v>
      </c>
      <c r="H2266" s="8">
        <v>3082</v>
      </c>
      <c r="I2266" s="8">
        <v>225.95000000000002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3307.9500000000003</v>
      </c>
    </row>
    <row r="2267" spans="1:15">
      <c r="A2267" s="191">
        <v>44531</v>
      </c>
      <c r="B2267" s="181" t="s">
        <v>13</v>
      </c>
      <c r="C2267" s="181" t="s">
        <v>740</v>
      </c>
      <c r="D2267" s="181" t="str">
        <f t="shared" si="40"/>
        <v>39104</v>
      </c>
      <c r="E2267" s="181" t="s">
        <v>15</v>
      </c>
      <c r="F2267" s="181" t="s">
        <v>14</v>
      </c>
      <c r="G2267" s="181" t="s">
        <v>647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0</v>
      </c>
    </row>
    <row r="2268" spans="1:15">
      <c r="A2268" s="191">
        <v>44531</v>
      </c>
      <c r="B2268" s="181" t="s">
        <v>13</v>
      </c>
      <c r="C2268" s="181" t="s">
        <v>739</v>
      </c>
      <c r="D2268" s="181" t="str">
        <f t="shared" si="40"/>
        <v>39104</v>
      </c>
      <c r="E2268" s="181" t="s">
        <v>15</v>
      </c>
      <c r="F2268" s="181" t="s">
        <v>14</v>
      </c>
      <c r="G2268" s="181" t="s">
        <v>793</v>
      </c>
      <c r="H2268" s="8">
        <v>9427.4500000000007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9427.4500000000007</v>
      </c>
    </row>
    <row r="2269" spans="1:15">
      <c r="A2269" s="191">
        <v>44562</v>
      </c>
      <c r="B2269" s="181" t="s">
        <v>133</v>
      </c>
      <c r="C2269" s="181" t="s">
        <v>739</v>
      </c>
      <c r="D2269" s="181" t="str">
        <f t="shared" si="40"/>
        <v>39104</v>
      </c>
      <c r="E2269" s="181" t="s">
        <v>15</v>
      </c>
      <c r="F2269" s="181" t="s">
        <v>14</v>
      </c>
      <c r="G2269" s="181" t="s">
        <v>647</v>
      </c>
      <c r="H2269" s="8">
        <v>3307.9500000000003</v>
      </c>
      <c r="I2269" s="8">
        <v>225.95000000000002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3533.9</v>
      </c>
    </row>
    <row r="2270" spans="1:15">
      <c r="A2270" s="191">
        <v>44562</v>
      </c>
      <c r="B2270" s="181" t="s">
        <v>133</v>
      </c>
      <c r="C2270" s="181" t="s">
        <v>740</v>
      </c>
      <c r="D2270" s="181" t="str">
        <f t="shared" si="40"/>
        <v>39104</v>
      </c>
      <c r="E2270" s="181" t="s">
        <v>15</v>
      </c>
      <c r="F2270" s="181" t="s">
        <v>14</v>
      </c>
      <c r="G2270" s="181" t="s">
        <v>647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0</v>
      </c>
    </row>
    <row r="2271" spans="1:15">
      <c r="A2271" s="191">
        <v>44562</v>
      </c>
      <c r="B2271" s="181" t="s">
        <v>133</v>
      </c>
      <c r="C2271" s="181" t="s">
        <v>739</v>
      </c>
      <c r="D2271" s="181" t="str">
        <f t="shared" si="40"/>
        <v>39104</v>
      </c>
      <c r="E2271" s="181" t="s">
        <v>15</v>
      </c>
      <c r="F2271" s="181" t="s">
        <v>14</v>
      </c>
      <c r="G2271" s="181" t="s">
        <v>793</v>
      </c>
      <c r="H2271" s="8">
        <v>9427.4500000000007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9427.4500000000007</v>
      </c>
    </row>
    <row r="2272" spans="1:15">
      <c r="A2272" s="191">
        <v>44593</v>
      </c>
      <c r="B2272" s="181" t="s">
        <v>132</v>
      </c>
      <c r="C2272" s="181" t="s">
        <v>739</v>
      </c>
      <c r="D2272" s="181" t="str">
        <f t="shared" si="40"/>
        <v>39104</v>
      </c>
      <c r="E2272" s="181" t="s">
        <v>15</v>
      </c>
      <c r="F2272" s="181" t="s">
        <v>14</v>
      </c>
      <c r="G2272" s="181" t="s">
        <v>647</v>
      </c>
      <c r="H2272" s="8">
        <v>3533.9</v>
      </c>
      <c r="I2272" s="8">
        <v>225.95000000000002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3759.85</v>
      </c>
    </row>
    <row r="2273" spans="1:15">
      <c r="A2273" s="191">
        <v>44593</v>
      </c>
      <c r="B2273" s="181" t="s">
        <v>132</v>
      </c>
      <c r="C2273" s="181" t="s">
        <v>740</v>
      </c>
      <c r="D2273" s="181" t="str">
        <f t="shared" si="40"/>
        <v>39104</v>
      </c>
      <c r="E2273" s="181" t="s">
        <v>15</v>
      </c>
      <c r="F2273" s="181" t="s">
        <v>14</v>
      </c>
      <c r="G2273" s="181" t="s">
        <v>647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0</v>
      </c>
    </row>
    <row r="2274" spans="1:15">
      <c r="A2274" s="191">
        <v>44593</v>
      </c>
      <c r="B2274" s="181" t="s">
        <v>132</v>
      </c>
      <c r="C2274" s="181" t="s">
        <v>739</v>
      </c>
      <c r="D2274" s="181" t="str">
        <f t="shared" si="40"/>
        <v>39104</v>
      </c>
      <c r="E2274" s="181" t="s">
        <v>15</v>
      </c>
      <c r="F2274" s="181" t="s">
        <v>14</v>
      </c>
      <c r="G2274" s="181" t="s">
        <v>793</v>
      </c>
      <c r="H2274" s="8">
        <v>9427.4500000000007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9427.4500000000007</v>
      </c>
    </row>
    <row r="2275" spans="1:15">
      <c r="A2275" s="191">
        <v>44621</v>
      </c>
      <c r="B2275" s="181" t="s">
        <v>131</v>
      </c>
      <c r="C2275" s="181" t="s">
        <v>739</v>
      </c>
      <c r="D2275" s="181" t="str">
        <f t="shared" si="40"/>
        <v>39104</v>
      </c>
      <c r="E2275" s="181" t="s">
        <v>15</v>
      </c>
      <c r="F2275" s="181" t="s">
        <v>14</v>
      </c>
      <c r="G2275" s="181" t="s">
        <v>647</v>
      </c>
      <c r="H2275" s="8">
        <v>3759.85</v>
      </c>
      <c r="I2275" s="8">
        <v>225.95000000000002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3985.8</v>
      </c>
    </row>
    <row r="2276" spans="1:15">
      <c r="A2276" s="191">
        <v>44621</v>
      </c>
      <c r="B2276" s="181" t="s">
        <v>131</v>
      </c>
      <c r="C2276" s="181" t="s">
        <v>740</v>
      </c>
      <c r="D2276" s="181" t="str">
        <f t="shared" si="40"/>
        <v>39104</v>
      </c>
      <c r="E2276" s="181" t="s">
        <v>15</v>
      </c>
      <c r="F2276" s="181" t="s">
        <v>14</v>
      </c>
      <c r="G2276" s="181" t="s">
        <v>647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0</v>
      </c>
    </row>
    <row r="2277" spans="1:15">
      <c r="A2277" s="191">
        <v>44621</v>
      </c>
      <c r="B2277" s="181" t="s">
        <v>131</v>
      </c>
      <c r="C2277" s="181" t="s">
        <v>739</v>
      </c>
      <c r="D2277" s="181" t="str">
        <f t="shared" si="40"/>
        <v>39104</v>
      </c>
      <c r="E2277" s="181" t="s">
        <v>15</v>
      </c>
      <c r="F2277" s="181" t="s">
        <v>14</v>
      </c>
      <c r="G2277" s="181" t="s">
        <v>793</v>
      </c>
      <c r="H2277" s="8">
        <v>9427.4500000000007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9427.4500000000007</v>
      </c>
    </row>
    <row r="2278" spans="1:15">
      <c r="A2278" s="191">
        <v>44652</v>
      </c>
      <c r="B2278" s="181" t="s">
        <v>130</v>
      </c>
      <c r="C2278" s="181" t="s">
        <v>739</v>
      </c>
      <c r="D2278" s="181" t="str">
        <f t="shared" si="40"/>
        <v>39104</v>
      </c>
      <c r="E2278" s="181" t="s">
        <v>15</v>
      </c>
      <c r="F2278" s="181" t="s">
        <v>14</v>
      </c>
      <c r="G2278" s="181" t="s">
        <v>647</v>
      </c>
      <c r="H2278" s="8">
        <v>3985.8</v>
      </c>
      <c r="I2278" s="8">
        <v>225.95000000000002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4211.75</v>
      </c>
    </row>
    <row r="2279" spans="1:15">
      <c r="A2279" s="191">
        <v>44652</v>
      </c>
      <c r="B2279" s="181" t="s">
        <v>130</v>
      </c>
      <c r="C2279" s="181" t="s">
        <v>740</v>
      </c>
      <c r="D2279" s="181" t="str">
        <f t="shared" si="40"/>
        <v>39104</v>
      </c>
      <c r="E2279" s="181" t="s">
        <v>15</v>
      </c>
      <c r="F2279" s="181" t="s">
        <v>14</v>
      </c>
      <c r="G2279" s="181" t="s">
        <v>647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0</v>
      </c>
    </row>
    <row r="2280" spans="1:15">
      <c r="A2280" s="191">
        <v>44652</v>
      </c>
      <c r="B2280" s="181" t="s">
        <v>130</v>
      </c>
      <c r="C2280" s="181" t="s">
        <v>739</v>
      </c>
      <c r="D2280" s="181" t="str">
        <f t="shared" si="40"/>
        <v>39104</v>
      </c>
      <c r="E2280" s="181" t="s">
        <v>15</v>
      </c>
      <c r="F2280" s="181" t="s">
        <v>14</v>
      </c>
      <c r="G2280" s="181" t="s">
        <v>793</v>
      </c>
      <c r="H2280" s="8">
        <v>9427.4500000000007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9427.4500000000007</v>
      </c>
    </row>
    <row r="2281" spans="1:15">
      <c r="A2281" s="191">
        <v>44682</v>
      </c>
      <c r="B2281" s="181" t="s">
        <v>129</v>
      </c>
      <c r="C2281" s="181" t="s">
        <v>739</v>
      </c>
      <c r="D2281" s="181" t="str">
        <f t="shared" si="40"/>
        <v>39104</v>
      </c>
      <c r="E2281" s="181" t="s">
        <v>15</v>
      </c>
      <c r="F2281" s="181" t="s">
        <v>14</v>
      </c>
      <c r="G2281" s="181" t="s">
        <v>647</v>
      </c>
      <c r="H2281" s="8">
        <v>4211.75</v>
      </c>
      <c r="I2281" s="8">
        <v>225.95000000000002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4437.7</v>
      </c>
    </row>
    <row r="2282" spans="1:15">
      <c r="A2282" s="191">
        <v>44682</v>
      </c>
      <c r="B2282" s="181" t="s">
        <v>129</v>
      </c>
      <c r="C2282" s="181" t="s">
        <v>740</v>
      </c>
      <c r="D2282" s="181" t="str">
        <f t="shared" si="40"/>
        <v>39104</v>
      </c>
      <c r="E2282" s="181" t="s">
        <v>15</v>
      </c>
      <c r="F2282" s="181" t="s">
        <v>14</v>
      </c>
      <c r="G2282" s="181" t="s">
        <v>647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0</v>
      </c>
    </row>
    <row r="2283" spans="1:15">
      <c r="A2283" s="191">
        <v>44682</v>
      </c>
      <c r="B2283" s="181" t="s">
        <v>129</v>
      </c>
      <c r="C2283" s="181" t="s">
        <v>739</v>
      </c>
      <c r="D2283" s="181" t="str">
        <f t="shared" si="40"/>
        <v>39104</v>
      </c>
      <c r="E2283" s="181" t="s">
        <v>15</v>
      </c>
      <c r="F2283" s="181" t="s">
        <v>14</v>
      </c>
      <c r="G2283" s="181" t="s">
        <v>793</v>
      </c>
      <c r="H2283" s="8">
        <v>9427.4500000000007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9427.4500000000007</v>
      </c>
    </row>
    <row r="2284" spans="1:15">
      <c r="A2284" s="191">
        <v>44713</v>
      </c>
      <c r="B2284" s="181" t="s">
        <v>128</v>
      </c>
      <c r="C2284" s="181" t="s">
        <v>739</v>
      </c>
      <c r="D2284" s="181" t="str">
        <f t="shared" si="40"/>
        <v>39104</v>
      </c>
      <c r="E2284" s="181" t="s">
        <v>15</v>
      </c>
      <c r="F2284" s="181" t="s">
        <v>14</v>
      </c>
      <c r="G2284" s="181" t="s">
        <v>647</v>
      </c>
      <c r="H2284" s="8">
        <v>4437.7</v>
      </c>
      <c r="I2284" s="8">
        <v>225.95000000000002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4663.6500000000005</v>
      </c>
    </row>
    <row r="2285" spans="1:15">
      <c r="A2285" s="191">
        <v>44713</v>
      </c>
      <c r="B2285" s="181" t="s">
        <v>128</v>
      </c>
      <c r="C2285" s="181" t="s">
        <v>740</v>
      </c>
      <c r="D2285" s="181" t="str">
        <f t="shared" si="40"/>
        <v>39104</v>
      </c>
      <c r="E2285" s="181" t="s">
        <v>15</v>
      </c>
      <c r="F2285" s="181" t="s">
        <v>14</v>
      </c>
      <c r="G2285" s="181" t="s">
        <v>647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0</v>
      </c>
    </row>
    <row r="2286" spans="1:15">
      <c r="A2286" s="191">
        <v>44713</v>
      </c>
      <c r="B2286" s="181" t="s">
        <v>128</v>
      </c>
      <c r="C2286" s="181" t="s">
        <v>739</v>
      </c>
      <c r="D2286" s="181" t="str">
        <f t="shared" si="40"/>
        <v>39104</v>
      </c>
      <c r="E2286" s="181" t="s">
        <v>15</v>
      </c>
      <c r="F2286" s="181" t="s">
        <v>14</v>
      </c>
      <c r="G2286" s="181" t="s">
        <v>793</v>
      </c>
      <c r="H2286" s="8">
        <v>9427.4500000000007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9427.4500000000007</v>
      </c>
    </row>
    <row r="2287" spans="1:15">
      <c r="A2287" s="191">
        <v>44743</v>
      </c>
      <c r="B2287" s="181" t="s">
        <v>127</v>
      </c>
      <c r="C2287" s="181" t="s">
        <v>739</v>
      </c>
      <c r="D2287" s="181" t="str">
        <f t="shared" si="40"/>
        <v>39104</v>
      </c>
      <c r="E2287" s="181" t="s">
        <v>15</v>
      </c>
      <c r="F2287" s="181" t="s">
        <v>14</v>
      </c>
      <c r="G2287" s="181" t="s">
        <v>647</v>
      </c>
      <c r="H2287" s="8">
        <v>4663.6500000000005</v>
      </c>
      <c r="I2287" s="8">
        <v>225.95000000000002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4889.6000000000004</v>
      </c>
    </row>
    <row r="2288" spans="1:15">
      <c r="A2288" s="191">
        <v>44743</v>
      </c>
      <c r="B2288" s="181" t="s">
        <v>127</v>
      </c>
      <c r="C2288" s="181" t="s">
        <v>740</v>
      </c>
      <c r="D2288" s="181" t="str">
        <f t="shared" si="40"/>
        <v>39104</v>
      </c>
      <c r="E2288" s="181" t="s">
        <v>15</v>
      </c>
      <c r="F2288" s="181" t="s">
        <v>14</v>
      </c>
      <c r="G2288" s="181" t="s">
        <v>647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0</v>
      </c>
    </row>
    <row r="2289" spans="1:15">
      <c r="A2289" s="191">
        <v>44743</v>
      </c>
      <c r="B2289" s="181" t="s">
        <v>127</v>
      </c>
      <c r="C2289" s="181" t="s">
        <v>739</v>
      </c>
      <c r="D2289" s="181" t="str">
        <f t="shared" ref="D2289:D2352" si="41">MID(C2289,10,5)</f>
        <v>39104</v>
      </c>
      <c r="E2289" s="181" t="s">
        <v>15</v>
      </c>
      <c r="F2289" s="181" t="s">
        <v>14</v>
      </c>
      <c r="G2289" s="181" t="s">
        <v>793</v>
      </c>
      <c r="H2289" s="8">
        <v>9427.4500000000007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9427.4500000000007</v>
      </c>
    </row>
    <row r="2290" spans="1:15">
      <c r="A2290" s="191">
        <v>44774</v>
      </c>
      <c r="B2290" s="181" t="s">
        <v>126</v>
      </c>
      <c r="C2290" s="181" t="s">
        <v>739</v>
      </c>
      <c r="D2290" s="181" t="str">
        <f t="shared" si="41"/>
        <v>39104</v>
      </c>
      <c r="E2290" s="181" t="s">
        <v>15</v>
      </c>
      <c r="F2290" s="181" t="s">
        <v>14</v>
      </c>
      <c r="G2290" s="181" t="s">
        <v>647</v>
      </c>
      <c r="H2290" s="8">
        <v>4889.6000000000004</v>
      </c>
      <c r="I2290" s="8">
        <v>225.95000000000002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5115.55</v>
      </c>
    </row>
    <row r="2291" spans="1:15">
      <c r="A2291" s="191">
        <v>44774</v>
      </c>
      <c r="B2291" s="181" t="s">
        <v>126</v>
      </c>
      <c r="C2291" s="181" t="s">
        <v>740</v>
      </c>
      <c r="D2291" s="181" t="str">
        <f t="shared" si="41"/>
        <v>39104</v>
      </c>
      <c r="E2291" s="181" t="s">
        <v>15</v>
      </c>
      <c r="F2291" s="181" t="s">
        <v>14</v>
      </c>
      <c r="G2291" s="181" t="s">
        <v>647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0</v>
      </c>
    </row>
    <row r="2292" spans="1:15">
      <c r="A2292" s="191">
        <v>44774</v>
      </c>
      <c r="B2292" s="181" t="s">
        <v>126</v>
      </c>
      <c r="C2292" s="181" t="s">
        <v>739</v>
      </c>
      <c r="D2292" s="181" t="str">
        <f t="shared" si="41"/>
        <v>39104</v>
      </c>
      <c r="E2292" s="181" t="s">
        <v>15</v>
      </c>
      <c r="F2292" s="181" t="s">
        <v>14</v>
      </c>
      <c r="G2292" s="181" t="s">
        <v>793</v>
      </c>
      <c r="H2292" s="8">
        <v>9427.4500000000007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9427.4500000000007</v>
      </c>
    </row>
    <row r="2293" spans="1:15">
      <c r="A2293" s="191">
        <v>44805</v>
      </c>
      <c r="B2293" s="181" t="s">
        <v>125</v>
      </c>
      <c r="C2293" s="181" t="s">
        <v>739</v>
      </c>
      <c r="D2293" s="181" t="str">
        <f t="shared" si="41"/>
        <v>39104</v>
      </c>
      <c r="E2293" s="181" t="s">
        <v>15</v>
      </c>
      <c r="F2293" s="181" t="s">
        <v>14</v>
      </c>
      <c r="G2293" s="181" t="s">
        <v>647</v>
      </c>
      <c r="H2293" s="8">
        <v>5115.55</v>
      </c>
      <c r="I2293" s="8">
        <v>169</v>
      </c>
      <c r="J2293" s="8">
        <v>-2678</v>
      </c>
      <c r="K2293" s="8">
        <v>0</v>
      </c>
      <c r="L2293" s="8">
        <v>0</v>
      </c>
      <c r="M2293" s="8">
        <v>0</v>
      </c>
      <c r="N2293" s="8">
        <v>0</v>
      </c>
      <c r="O2293" s="8">
        <v>2606.5500000000002</v>
      </c>
    </row>
    <row r="2294" spans="1:15">
      <c r="A2294" s="191">
        <v>44805</v>
      </c>
      <c r="B2294" s="181" t="s">
        <v>125</v>
      </c>
      <c r="C2294" s="181" t="s">
        <v>740</v>
      </c>
      <c r="D2294" s="181" t="str">
        <f t="shared" si="41"/>
        <v>39104</v>
      </c>
      <c r="E2294" s="181" t="s">
        <v>15</v>
      </c>
      <c r="F2294" s="181" t="s">
        <v>14</v>
      </c>
      <c r="G2294" s="181" t="s">
        <v>647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0</v>
      </c>
    </row>
    <row r="2295" spans="1:15">
      <c r="A2295" s="191">
        <v>44805</v>
      </c>
      <c r="B2295" s="181" t="s">
        <v>125</v>
      </c>
      <c r="C2295" s="181" t="s">
        <v>739</v>
      </c>
      <c r="D2295" s="181" t="str">
        <f t="shared" si="41"/>
        <v>39104</v>
      </c>
      <c r="E2295" s="181" t="s">
        <v>15</v>
      </c>
      <c r="F2295" s="181" t="s">
        <v>14</v>
      </c>
      <c r="G2295" s="181" t="s">
        <v>793</v>
      </c>
      <c r="H2295" s="8">
        <v>9427.4500000000007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9427.4500000000007</v>
      </c>
    </row>
    <row r="2296" spans="1:15">
      <c r="A2296" s="191">
        <v>44835</v>
      </c>
      <c r="B2296" s="181" t="s">
        <v>124</v>
      </c>
      <c r="C2296" s="181" t="s">
        <v>739</v>
      </c>
      <c r="D2296" s="181" t="str">
        <f t="shared" si="41"/>
        <v>39104</v>
      </c>
      <c r="E2296" s="181" t="s">
        <v>15</v>
      </c>
      <c r="F2296" s="181" t="s">
        <v>14</v>
      </c>
      <c r="G2296" s="181" t="s">
        <v>647</v>
      </c>
      <c r="H2296" s="8">
        <v>2606.5500000000002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2606.5500000000002</v>
      </c>
    </row>
    <row r="2297" spans="1:15">
      <c r="A2297" s="191">
        <v>44835</v>
      </c>
      <c r="B2297" s="181" t="s">
        <v>124</v>
      </c>
      <c r="C2297" s="181" t="s">
        <v>740</v>
      </c>
      <c r="D2297" s="181" t="str">
        <f t="shared" si="41"/>
        <v>39104</v>
      </c>
      <c r="E2297" s="181" t="s">
        <v>15</v>
      </c>
      <c r="F2297" s="181" t="s">
        <v>14</v>
      </c>
      <c r="G2297" s="181" t="s">
        <v>647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0</v>
      </c>
    </row>
    <row r="2298" spans="1:15">
      <c r="A2298" s="191">
        <v>44835</v>
      </c>
      <c r="B2298" s="181" t="s">
        <v>124</v>
      </c>
      <c r="C2298" s="181" t="s">
        <v>739</v>
      </c>
      <c r="D2298" s="181" t="str">
        <f t="shared" si="41"/>
        <v>39104</v>
      </c>
      <c r="E2298" s="181" t="s">
        <v>15</v>
      </c>
      <c r="F2298" s="181" t="s">
        <v>14</v>
      </c>
      <c r="G2298" s="181" t="s">
        <v>793</v>
      </c>
      <c r="H2298" s="8">
        <v>9427.4500000000007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9427.4500000000007</v>
      </c>
    </row>
    <row r="2299" spans="1:15">
      <c r="A2299" s="191">
        <v>44866</v>
      </c>
      <c r="B2299" s="181" t="s">
        <v>123</v>
      </c>
      <c r="C2299" s="181" t="s">
        <v>739</v>
      </c>
      <c r="D2299" s="181" t="str">
        <f t="shared" si="41"/>
        <v>39104</v>
      </c>
      <c r="E2299" s="181" t="s">
        <v>15</v>
      </c>
      <c r="F2299" s="181" t="s">
        <v>14</v>
      </c>
      <c r="G2299" s="181" t="s">
        <v>647</v>
      </c>
      <c r="H2299" s="8">
        <v>2606.5500000000002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2606.5500000000002</v>
      </c>
    </row>
    <row r="2300" spans="1:15">
      <c r="A2300" s="191">
        <v>44866</v>
      </c>
      <c r="B2300" s="181" t="s">
        <v>123</v>
      </c>
      <c r="C2300" s="181" t="s">
        <v>740</v>
      </c>
      <c r="D2300" s="181" t="str">
        <f t="shared" si="41"/>
        <v>39104</v>
      </c>
      <c r="E2300" s="181" t="s">
        <v>15</v>
      </c>
      <c r="F2300" s="181" t="s">
        <v>14</v>
      </c>
      <c r="G2300" s="181" t="s">
        <v>647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0</v>
      </c>
    </row>
    <row r="2301" spans="1:15">
      <c r="A2301" s="191">
        <v>44866</v>
      </c>
      <c r="B2301" s="181" t="s">
        <v>123</v>
      </c>
      <c r="C2301" s="181" t="s">
        <v>739</v>
      </c>
      <c r="D2301" s="181" t="str">
        <f t="shared" si="41"/>
        <v>39104</v>
      </c>
      <c r="E2301" s="181" t="s">
        <v>15</v>
      </c>
      <c r="F2301" s="181" t="s">
        <v>14</v>
      </c>
      <c r="G2301" s="181" t="s">
        <v>793</v>
      </c>
      <c r="H2301" s="8">
        <v>9427.4500000000007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9427.4500000000007</v>
      </c>
    </row>
    <row r="2302" spans="1:15">
      <c r="A2302" s="191">
        <v>44896</v>
      </c>
      <c r="B2302" s="181" t="s">
        <v>122</v>
      </c>
      <c r="C2302" s="181" t="s">
        <v>739</v>
      </c>
      <c r="D2302" s="181" t="str">
        <f t="shared" si="41"/>
        <v>39104</v>
      </c>
      <c r="E2302" s="181" t="s">
        <v>15</v>
      </c>
      <c r="F2302" s="181" t="s">
        <v>14</v>
      </c>
      <c r="G2302" s="181" t="s">
        <v>647</v>
      </c>
      <c r="H2302" s="8">
        <v>2606.5500000000002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2606.5500000000002</v>
      </c>
    </row>
    <row r="2303" spans="1:15">
      <c r="A2303" s="191">
        <v>44896</v>
      </c>
      <c r="B2303" s="181" t="s">
        <v>122</v>
      </c>
      <c r="C2303" s="181" t="s">
        <v>740</v>
      </c>
      <c r="D2303" s="181" t="str">
        <f t="shared" si="41"/>
        <v>39104</v>
      </c>
      <c r="E2303" s="181" t="s">
        <v>15</v>
      </c>
      <c r="F2303" s="181" t="s">
        <v>14</v>
      </c>
      <c r="G2303" s="181" t="s">
        <v>647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0</v>
      </c>
    </row>
    <row r="2304" spans="1:15">
      <c r="A2304" s="191">
        <v>44896</v>
      </c>
      <c r="B2304" s="181" t="s">
        <v>122</v>
      </c>
      <c r="C2304" s="181" t="s">
        <v>739</v>
      </c>
      <c r="D2304" s="181" t="str">
        <f t="shared" si="41"/>
        <v>39104</v>
      </c>
      <c r="E2304" s="181" t="s">
        <v>15</v>
      </c>
      <c r="F2304" s="181" t="s">
        <v>14</v>
      </c>
      <c r="G2304" s="181" t="s">
        <v>793</v>
      </c>
      <c r="H2304" s="8">
        <v>9427.4500000000007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9427.4500000000007</v>
      </c>
    </row>
    <row r="2305" spans="1:15">
      <c r="A2305" s="191">
        <v>44531</v>
      </c>
      <c r="B2305" s="181" t="s">
        <v>13</v>
      </c>
      <c r="C2305" s="181" t="s">
        <v>741</v>
      </c>
      <c r="D2305" s="181" t="str">
        <f t="shared" si="41"/>
        <v>39105</v>
      </c>
      <c r="E2305" s="181" t="s">
        <v>15</v>
      </c>
      <c r="F2305" s="181" t="s">
        <v>14</v>
      </c>
      <c r="G2305" s="181" t="s">
        <v>647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0</v>
      </c>
    </row>
    <row r="2306" spans="1:15">
      <c r="A2306" s="191">
        <v>44562</v>
      </c>
      <c r="B2306" s="181" t="s">
        <v>133</v>
      </c>
      <c r="C2306" s="181" t="s">
        <v>741</v>
      </c>
      <c r="D2306" s="181" t="str">
        <f t="shared" si="41"/>
        <v>39105</v>
      </c>
      <c r="E2306" s="181" t="s">
        <v>15</v>
      </c>
      <c r="F2306" s="181" t="s">
        <v>14</v>
      </c>
      <c r="G2306" s="181" t="s">
        <v>647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0</v>
      </c>
    </row>
    <row r="2307" spans="1:15">
      <c r="A2307" s="191">
        <v>44593</v>
      </c>
      <c r="B2307" s="181" t="s">
        <v>132</v>
      </c>
      <c r="C2307" s="181" t="s">
        <v>741</v>
      </c>
      <c r="D2307" s="181" t="str">
        <f t="shared" si="41"/>
        <v>39105</v>
      </c>
      <c r="E2307" s="181" t="s">
        <v>15</v>
      </c>
      <c r="F2307" s="181" t="s">
        <v>14</v>
      </c>
      <c r="G2307" s="181" t="s">
        <v>647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0</v>
      </c>
    </row>
    <row r="2308" spans="1:15">
      <c r="A2308" s="191">
        <v>44621</v>
      </c>
      <c r="B2308" s="181" t="s">
        <v>131</v>
      </c>
      <c r="C2308" s="181" t="s">
        <v>741</v>
      </c>
      <c r="D2308" s="181" t="str">
        <f t="shared" si="41"/>
        <v>39105</v>
      </c>
      <c r="E2308" s="181" t="s">
        <v>15</v>
      </c>
      <c r="F2308" s="181" t="s">
        <v>14</v>
      </c>
      <c r="G2308" s="181" t="s">
        <v>647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0</v>
      </c>
    </row>
    <row r="2309" spans="1:15">
      <c r="A2309" s="191">
        <v>44652</v>
      </c>
      <c r="B2309" s="181" t="s">
        <v>130</v>
      </c>
      <c r="C2309" s="181" t="s">
        <v>741</v>
      </c>
      <c r="D2309" s="181" t="str">
        <f t="shared" si="41"/>
        <v>39105</v>
      </c>
      <c r="E2309" s="181" t="s">
        <v>15</v>
      </c>
      <c r="F2309" s="181" t="s">
        <v>14</v>
      </c>
      <c r="G2309" s="181" t="s">
        <v>647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0</v>
      </c>
    </row>
    <row r="2310" spans="1:15">
      <c r="A2310" s="191">
        <v>44682</v>
      </c>
      <c r="B2310" s="181" t="s">
        <v>129</v>
      </c>
      <c r="C2310" s="181" t="s">
        <v>741</v>
      </c>
      <c r="D2310" s="181" t="str">
        <f t="shared" si="41"/>
        <v>39105</v>
      </c>
      <c r="E2310" s="181" t="s">
        <v>15</v>
      </c>
      <c r="F2310" s="181" t="s">
        <v>14</v>
      </c>
      <c r="G2310" s="181" t="s">
        <v>647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0</v>
      </c>
    </row>
    <row r="2311" spans="1:15">
      <c r="A2311" s="191">
        <v>44713</v>
      </c>
      <c r="B2311" s="181" t="s">
        <v>128</v>
      </c>
      <c r="C2311" s="181" t="s">
        <v>741</v>
      </c>
      <c r="D2311" s="181" t="str">
        <f t="shared" si="41"/>
        <v>39105</v>
      </c>
      <c r="E2311" s="181" t="s">
        <v>15</v>
      </c>
      <c r="F2311" s="181" t="s">
        <v>14</v>
      </c>
      <c r="G2311" s="181" t="s">
        <v>647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0</v>
      </c>
    </row>
    <row r="2312" spans="1:15">
      <c r="A2312" s="191">
        <v>44743</v>
      </c>
      <c r="B2312" s="181" t="s">
        <v>127</v>
      </c>
      <c r="C2312" s="181" t="s">
        <v>741</v>
      </c>
      <c r="D2312" s="181" t="str">
        <f t="shared" si="41"/>
        <v>39105</v>
      </c>
      <c r="E2312" s="181" t="s">
        <v>15</v>
      </c>
      <c r="F2312" s="181" t="s">
        <v>14</v>
      </c>
      <c r="G2312" s="181" t="s">
        <v>647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0</v>
      </c>
    </row>
    <row r="2313" spans="1:15">
      <c r="A2313" s="191">
        <v>44774</v>
      </c>
      <c r="B2313" s="181" t="s">
        <v>126</v>
      </c>
      <c r="C2313" s="181" t="s">
        <v>741</v>
      </c>
      <c r="D2313" s="181" t="str">
        <f t="shared" si="41"/>
        <v>39105</v>
      </c>
      <c r="E2313" s="181" t="s">
        <v>15</v>
      </c>
      <c r="F2313" s="181" t="s">
        <v>14</v>
      </c>
      <c r="G2313" s="181" t="s">
        <v>647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0</v>
      </c>
    </row>
    <row r="2314" spans="1:15">
      <c r="A2314" s="191">
        <v>44805</v>
      </c>
      <c r="B2314" s="181" t="s">
        <v>125</v>
      </c>
      <c r="C2314" s="181" t="s">
        <v>741</v>
      </c>
      <c r="D2314" s="181" t="str">
        <f t="shared" si="41"/>
        <v>39105</v>
      </c>
      <c r="E2314" s="181" t="s">
        <v>15</v>
      </c>
      <c r="F2314" s="181" t="s">
        <v>14</v>
      </c>
      <c r="G2314" s="181" t="s">
        <v>647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0</v>
      </c>
    </row>
    <row r="2315" spans="1:15">
      <c r="A2315" s="191">
        <v>44835</v>
      </c>
      <c r="B2315" s="181" t="s">
        <v>124</v>
      </c>
      <c r="C2315" s="181" t="s">
        <v>741</v>
      </c>
      <c r="D2315" s="181" t="str">
        <f t="shared" si="41"/>
        <v>39105</v>
      </c>
      <c r="E2315" s="181" t="s">
        <v>15</v>
      </c>
      <c r="F2315" s="181" t="s">
        <v>14</v>
      </c>
      <c r="G2315" s="181" t="s">
        <v>647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0</v>
      </c>
    </row>
    <row r="2316" spans="1:15">
      <c r="A2316" s="191">
        <v>44866</v>
      </c>
      <c r="B2316" s="181" t="s">
        <v>123</v>
      </c>
      <c r="C2316" s="181" t="s">
        <v>741</v>
      </c>
      <c r="D2316" s="181" t="str">
        <f t="shared" si="41"/>
        <v>39105</v>
      </c>
      <c r="E2316" s="181" t="s">
        <v>15</v>
      </c>
      <c r="F2316" s="181" t="s">
        <v>14</v>
      </c>
      <c r="G2316" s="181" t="s">
        <v>647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0</v>
      </c>
    </row>
    <row r="2317" spans="1:15">
      <c r="A2317" s="191">
        <v>44896</v>
      </c>
      <c r="B2317" s="181" t="s">
        <v>122</v>
      </c>
      <c r="C2317" s="181" t="s">
        <v>741</v>
      </c>
      <c r="D2317" s="181" t="str">
        <f t="shared" si="41"/>
        <v>39105</v>
      </c>
      <c r="E2317" s="181" t="s">
        <v>15</v>
      </c>
      <c r="F2317" s="181" t="s">
        <v>14</v>
      </c>
      <c r="G2317" s="181" t="s">
        <v>647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0</v>
      </c>
    </row>
    <row r="2318" spans="1:15">
      <c r="A2318" s="191">
        <v>44531</v>
      </c>
      <c r="B2318" s="181" t="s">
        <v>13</v>
      </c>
      <c r="C2318" s="181" t="s">
        <v>742</v>
      </c>
      <c r="D2318" s="181" t="str">
        <f t="shared" si="41"/>
        <v>39107</v>
      </c>
      <c r="E2318" s="181" t="s">
        <v>15</v>
      </c>
      <c r="F2318" s="181" t="s">
        <v>14</v>
      </c>
      <c r="G2318" s="181" t="s">
        <v>647</v>
      </c>
      <c r="H2318" s="8">
        <v>-10275.93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-10275.93</v>
      </c>
    </row>
    <row r="2319" spans="1:15">
      <c r="A2319" s="191">
        <v>44562</v>
      </c>
      <c r="B2319" s="181" t="s">
        <v>133</v>
      </c>
      <c r="C2319" s="181" t="s">
        <v>742</v>
      </c>
      <c r="D2319" s="181" t="str">
        <f t="shared" si="41"/>
        <v>39107</v>
      </c>
      <c r="E2319" s="181" t="s">
        <v>15</v>
      </c>
      <c r="F2319" s="181" t="s">
        <v>14</v>
      </c>
      <c r="G2319" s="181" t="s">
        <v>647</v>
      </c>
      <c r="H2319" s="8">
        <v>-10275.93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-10275.93</v>
      </c>
    </row>
    <row r="2320" spans="1:15">
      <c r="A2320" s="191">
        <v>44593</v>
      </c>
      <c r="B2320" s="181" t="s">
        <v>132</v>
      </c>
      <c r="C2320" s="181" t="s">
        <v>742</v>
      </c>
      <c r="D2320" s="181" t="str">
        <f t="shared" si="41"/>
        <v>39107</v>
      </c>
      <c r="E2320" s="181" t="s">
        <v>15</v>
      </c>
      <c r="F2320" s="181" t="s">
        <v>14</v>
      </c>
      <c r="G2320" s="181" t="s">
        <v>647</v>
      </c>
      <c r="H2320" s="8">
        <v>-10275.93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-10275.93</v>
      </c>
    </row>
    <row r="2321" spans="1:15">
      <c r="A2321" s="191">
        <v>44621</v>
      </c>
      <c r="B2321" s="181" t="s">
        <v>131</v>
      </c>
      <c r="C2321" s="181" t="s">
        <v>742</v>
      </c>
      <c r="D2321" s="181" t="str">
        <f t="shared" si="41"/>
        <v>39107</v>
      </c>
      <c r="E2321" s="181" t="s">
        <v>15</v>
      </c>
      <c r="F2321" s="181" t="s">
        <v>14</v>
      </c>
      <c r="G2321" s="181" t="s">
        <v>647</v>
      </c>
      <c r="H2321" s="8">
        <v>-10275.93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-10275.93</v>
      </c>
    </row>
    <row r="2322" spans="1:15">
      <c r="A2322" s="191">
        <v>44652</v>
      </c>
      <c r="B2322" s="181" t="s">
        <v>130</v>
      </c>
      <c r="C2322" s="181" t="s">
        <v>742</v>
      </c>
      <c r="D2322" s="181" t="str">
        <f t="shared" si="41"/>
        <v>39107</v>
      </c>
      <c r="E2322" s="181" t="s">
        <v>15</v>
      </c>
      <c r="F2322" s="181" t="s">
        <v>14</v>
      </c>
      <c r="G2322" s="181" t="s">
        <v>647</v>
      </c>
      <c r="H2322" s="8">
        <v>-10275.93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-10275.93</v>
      </c>
    </row>
    <row r="2323" spans="1:15">
      <c r="A2323" s="191">
        <v>44682</v>
      </c>
      <c r="B2323" s="181" t="s">
        <v>129</v>
      </c>
      <c r="C2323" s="181" t="s">
        <v>742</v>
      </c>
      <c r="D2323" s="181" t="str">
        <f t="shared" si="41"/>
        <v>39107</v>
      </c>
      <c r="E2323" s="181" t="s">
        <v>15</v>
      </c>
      <c r="F2323" s="181" t="s">
        <v>14</v>
      </c>
      <c r="G2323" s="181" t="s">
        <v>647</v>
      </c>
      <c r="H2323" s="8">
        <v>-10275.93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-10275.93</v>
      </c>
    </row>
    <row r="2324" spans="1:15">
      <c r="A2324" s="191">
        <v>44713</v>
      </c>
      <c r="B2324" s="181" t="s">
        <v>128</v>
      </c>
      <c r="C2324" s="181" t="s">
        <v>742</v>
      </c>
      <c r="D2324" s="181" t="str">
        <f t="shared" si="41"/>
        <v>39107</v>
      </c>
      <c r="E2324" s="181" t="s">
        <v>15</v>
      </c>
      <c r="F2324" s="181" t="s">
        <v>14</v>
      </c>
      <c r="G2324" s="181" t="s">
        <v>647</v>
      </c>
      <c r="H2324" s="8">
        <v>-10275.93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-10275.93</v>
      </c>
    </row>
    <row r="2325" spans="1:15">
      <c r="A2325" s="191">
        <v>44743</v>
      </c>
      <c r="B2325" s="181" t="s">
        <v>127</v>
      </c>
      <c r="C2325" s="181" t="s">
        <v>742</v>
      </c>
      <c r="D2325" s="181" t="str">
        <f t="shared" si="41"/>
        <v>39107</v>
      </c>
      <c r="E2325" s="181" t="s">
        <v>15</v>
      </c>
      <c r="F2325" s="181" t="s">
        <v>14</v>
      </c>
      <c r="G2325" s="181" t="s">
        <v>647</v>
      </c>
      <c r="H2325" s="8">
        <v>-10275.93</v>
      </c>
      <c r="I2325" s="8">
        <v>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-10275.93</v>
      </c>
    </row>
    <row r="2326" spans="1:15">
      <c r="A2326" s="191">
        <v>44774</v>
      </c>
      <c r="B2326" s="181" t="s">
        <v>126</v>
      </c>
      <c r="C2326" s="181" t="s">
        <v>742</v>
      </c>
      <c r="D2326" s="181" t="str">
        <f t="shared" si="41"/>
        <v>39107</v>
      </c>
      <c r="E2326" s="181" t="s">
        <v>15</v>
      </c>
      <c r="F2326" s="181" t="s">
        <v>14</v>
      </c>
      <c r="G2326" s="181" t="s">
        <v>647</v>
      </c>
      <c r="H2326" s="8">
        <v>-10275.93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-10275.93</v>
      </c>
    </row>
    <row r="2327" spans="1:15">
      <c r="A2327" s="191">
        <v>44805</v>
      </c>
      <c r="B2327" s="181" t="s">
        <v>125</v>
      </c>
      <c r="C2327" s="181" t="s">
        <v>742</v>
      </c>
      <c r="D2327" s="181" t="str">
        <f t="shared" si="41"/>
        <v>39107</v>
      </c>
      <c r="E2327" s="181" t="s">
        <v>15</v>
      </c>
      <c r="F2327" s="181" t="s">
        <v>14</v>
      </c>
      <c r="G2327" s="181" t="s">
        <v>647</v>
      </c>
      <c r="H2327" s="8">
        <v>-10275.93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-10275.93</v>
      </c>
    </row>
    <row r="2328" spans="1:15">
      <c r="A2328" s="191">
        <v>44835</v>
      </c>
      <c r="B2328" s="181" t="s">
        <v>124</v>
      </c>
      <c r="C2328" s="181" t="s">
        <v>742</v>
      </c>
      <c r="D2328" s="181" t="str">
        <f t="shared" si="41"/>
        <v>39107</v>
      </c>
      <c r="E2328" s="181" t="s">
        <v>15</v>
      </c>
      <c r="F2328" s="181" t="s">
        <v>14</v>
      </c>
      <c r="G2328" s="181" t="s">
        <v>647</v>
      </c>
      <c r="H2328" s="8">
        <v>-10275.93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-10275.93</v>
      </c>
    </row>
    <row r="2329" spans="1:15">
      <c r="A2329" s="191">
        <v>44866</v>
      </c>
      <c r="B2329" s="181" t="s">
        <v>123</v>
      </c>
      <c r="C2329" s="181" t="s">
        <v>742</v>
      </c>
      <c r="D2329" s="181" t="str">
        <f t="shared" si="41"/>
        <v>39107</v>
      </c>
      <c r="E2329" s="181" t="s">
        <v>15</v>
      </c>
      <c r="F2329" s="181" t="s">
        <v>14</v>
      </c>
      <c r="G2329" s="181" t="s">
        <v>647</v>
      </c>
      <c r="H2329" s="8">
        <v>-10275.93</v>
      </c>
      <c r="I2329" s="8">
        <v>0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-10275.93</v>
      </c>
    </row>
    <row r="2330" spans="1:15">
      <c r="A2330" s="191">
        <v>44896</v>
      </c>
      <c r="B2330" s="181" t="s">
        <v>122</v>
      </c>
      <c r="C2330" s="181" t="s">
        <v>742</v>
      </c>
      <c r="D2330" s="181" t="str">
        <f t="shared" si="41"/>
        <v>39107</v>
      </c>
      <c r="E2330" s="181" t="s">
        <v>15</v>
      </c>
      <c r="F2330" s="181" t="s">
        <v>14</v>
      </c>
      <c r="G2330" s="181" t="s">
        <v>647</v>
      </c>
      <c r="H2330" s="8">
        <v>-10275.93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-10275.93</v>
      </c>
    </row>
    <row r="2331" spans="1:15">
      <c r="A2331" s="191">
        <v>44531</v>
      </c>
      <c r="B2331" s="181" t="s">
        <v>13</v>
      </c>
      <c r="C2331" s="181" t="s">
        <v>814</v>
      </c>
      <c r="D2331" s="181" t="str">
        <f t="shared" si="41"/>
        <v>39159</v>
      </c>
      <c r="E2331" s="181" t="s">
        <v>15</v>
      </c>
      <c r="F2331" s="181" t="s">
        <v>14</v>
      </c>
      <c r="G2331" s="181" t="s">
        <v>801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0</v>
      </c>
    </row>
    <row r="2332" spans="1:15">
      <c r="A2332" s="191">
        <v>44562</v>
      </c>
      <c r="B2332" s="181" t="s">
        <v>133</v>
      </c>
      <c r="C2332" s="181" t="s">
        <v>814</v>
      </c>
      <c r="D2332" s="181" t="str">
        <f t="shared" si="41"/>
        <v>39159</v>
      </c>
      <c r="E2332" s="181" t="s">
        <v>15</v>
      </c>
      <c r="F2332" s="181" t="s">
        <v>14</v>
      </c>
      <c r="G2332" s="181" t="s">
        <v>801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0</v>
      </c>
    </row>
    <row r="2333" spans="1:15">
      <c r="A2333" s="191">
        <v>44593</v>
      </c>
      <c r="B2333" s="181" t="s">
        <v>132</v>
      </c>
      <c r="C2333" s="181" t="s">
        <v>814</v>
      </c>
      <c r="D2333" s="181" t="str">
        <f t="shared" si="41"/>
        <v>39159</v>
      </c>
      <c r="E2333" s="181" t="s">
        <v>15</v>
      </c>
      <c r="F2333" s="181" t="s">
        <v>14</v>
      </c>
      <c r="G2333" s="181" t="s">
        <v>801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0</v>
      </c>
    </row>
    <row r="2334" spans="1:15">
      <c r="A2334" s="191">
        <v>44621</v>
      </c>
      <c r="B2334" s="181" t="s">
        <v>131</v>
      </c>
      <c r="C2334" s="181" t="s">
        <v>814</v>
      </c>
      <c r="D2334" s="181" t="str">
        <f t="shared" si="41"/>
        <v>39159</v>
      </c>
      <c r="E2334" s="181" t="s">
        <v>15</v>
      </c>
      <c r="F2334" s="181" t="s">
        <v>14</v>
      </c>
      <c r="G2334" s="181" t="s">
        <v>801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0</v>
      </c>
    </row>
    <row r="2335" spans="1:15">
      <c r="A2335" s="191">
        <v>44652</v>
      </c>
      <c r="B2335" s="181" t="s">
        <v>130</v>
      </c>
      <c r="C2335" s="181" t="s">
        <v>814</v>
      </c>
      <c r="D2335" s="181" t="str">
        <f t="shared" si="41"/>
        <v>39159</v>
      </c>
      <c r="E2335" s="181" t="s">
        <v>15</v>
      </c>
      <c r="F2335" s="181" t="s">
        <v>14</v>
      </c>
      <c r="G2335" s="181" t="s">
        <v>801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0</v>
      </c>
    </row>
    <row r="2336" spans="1:15">
      <c r="A2336" s="191">
        <v>44682</v>
      </c>
      <c r="B2336" s="181" t="s">
        <v>129</v>
      </c>
      <c r="C2336" s="181" t="s">
        <v>814</v>
      </c>
      <c r="D2336" s="181" t="str">
        <f t="shared" si="41"/>
        <v>39159</v>
      </c>
      <c r="E2336" s="181" t="s">
        <v>15</v>
      </c>
      <c r="F2336" s="181" t="s">
        <v>14</v>
      </c>
      <c r="G2336" s="181" t="s">
        <v>801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0</v>
      </c>
    </row>
    <row r="2337" spans="1:15">
      <c r="A2337" s="191">
        <v>44713</v>
      </c>
      <c r="B2337" s="181" t="s">
        <v>128</v>
      </c>
      <c r="C2337" s="181" t="s">
        <v>814</v>
      </c>
      <c r="D2337" s="181" t="str">
        <f t="shared" si="41"/>
        <v>39159</v>
      </c>
      <c r="E2337" s="181" t="s">
        <v>15</v>
      </c>
      <c r="F2337" s="181" t="s">
        <v>14</v>
      </c>
      <c r="G2337" s="181" t="s">
        <v>801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0</v>
      </c>
    </row>
    <row r="2338" spans="1:15">
      <c r="A2338" s="191">
        <v>44743</v>
      </c>
      <c r="B2338" s="181" t="s">
        <v>127</v>
      </c>
      <c r="C2338" s="181" t="s">
        <v>814</v>
      </c>
      <c r="D2338" s="181" t="str">
        <f t="shared" si="41"/>
        <v>39159</v>
      </c>
      <c r="E2338" s="181" t="s">
        <v>15</v>
      </c>
      <c r="F2338" s="181" t="s">
        <v>14</v>
      </c>
      <c r="G2338" s="181" t="s">
        <v>801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0</v>
      </c>
    </row>
    <row r="2339" spans="1:15">
      <c r="A2339" s="191">
        <v>44774</v>
      </c>
      <c r="B2339" s="181" t="s">
        <v>126</v>
      </c>
      <c r="C2339" s="181" t="s">
        <v>814</v>
      </c>
      <c r="D2339" s="181" t="str">
        <f t="shared" si="41"/>
        <v>39159</v>
      </c>
      <c r="E2339" s="181" t="s">
        <v>15</v>
      </c>
      <c r="F2339" s="181" t="s">
        <v>14</v>
      </c>
      <c r="G2339" s="181" t="s">
        <v>801</v>
      </c>
      <c r="H2339" s="8">
        <v>0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0</v>
      </c>
    </row>
    <row r="2340" spans="1:15">
      <c r="A2340" s="191">
        <v>44805</v>
      </c>
      <c r="B2340" s="181" t="s">
        <v>125</v>
      </c>
      <c r="C2340" s="181" t="s">
        <v>814</v>
      </c>
      <c r="D2340" s="181" t="str">
        <f t="shared" si="41"/>
        <v>39159</v>
      </c>
      <c r="E2340" s="181" t="s">
        <v>15</v>
      </c>
      <c r="F2340" s="181" t="s">
        <v>14</v>
      </c>
      <c r="G2340" s="181" t="s">
        <v>801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0</v>
      </c>
    </row>
    <row r="2341" spans="1:15">
      <c r="A2341" s="191">
        <v>44835</v>
      </c>
      <c r="B2341" s="181" t="s">
        <v>124</v>
      </c>
      <c r="C2341" s="181" t="s">
        <v>814</v>
      </c>
      <c r="D2341" s="181" t="str">
        <f t="shared" si="41"/>
        <v>39159</v>
      </c>
      <c r="E2341" s="181" t="s">
        <v>15</v>
      </c>
      <c r="F2341" s="181" t="s">
        <v>14</v>
      </c>
      <c r="G2341" s="181" t="s">
        <v>801</v>
      </c>
      <c r="H2341" s="8">
        <v>0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0</v>
      </c>
    </row>
    <row r="2342" spans="1:15">
      <c r="A2342" s="191">
        <v>44866</v>
      </c>
      <c r="B2342" s="181" t="s">
        <v>123</v>
      </c>
      <c r="C2342" s="181" t="s">
        <v>814</v>
      </c>
      <c r="D2342" s="181" t="str">
        <f t="shared" si="41"/>
        <v>39159</v>
      </c>
      <c r="E2342" s="181" t="s">
        <v>15</v>
      </c>
      <c r="F2342" s="181" t="s">
        <v>14</v>
      </c>
      <c r="G2342" s="181" t="s">
        <v>801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0</v>
      </c>
    </row>
    <row r="2343" spans="1:15">
      <c r="A2343" s="191">
        <v>44896</v>
      </c>
      <c r="B2343" s="181" t="s">
        <v>122</v>
      </c>
      <c r="C2343" s="181" t="s">
        <v>814</v>
      </c>
      <c r="D2343" s="181" t="str">
        <f t="shared" si="41"/>
        <v>39159</v>
      </c>
      <c r="E2343" s="181" t="s">
        <v>15</v>
      </c>
      <c r="F2343" s="181" t="s">
        <v>14</v>
      </c>
      <c r="G2343" s="181" t="s">
        <v>801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0</v>
      </c>
    </row>
    <row r="2344" spans="1:15">
      <c r="A2344" s="191">
        <v>44531</v>
      </c>
      <c r="B2344" s="181" t="s">
        <v>13</v>
      </c>
      <c r="C2344" s="181" t="s">
        <v>743</v>
      </c>
      <c r="D2344" s="181" t="str">
        <f t="shared" si="41"/>
        <v>39201</v>
      </c>
      <c r="E2344" s="181" t="s">
        <v>15</v>
      </c>
      <c r="F2344" s="181" t="s">
        <v>14</v>
      </c>
      <c r="G2344" s="181" t="s">
        <v>647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0</v>
      </c>
    </row>
    <row r="2345" spans="1:15">
      <c r="A2345" s="191">
        <v>44531</v>
      </c>
      <c r="B2345" s="181" t="s">
        <v>13</v>
      </c>
      <c r="C2345" s="181" t="s">
        <v>744</v>
      </c>
      <c r="D2345" s="181" t="str">
        <f t="shared" si="41"/>
        <v>39201</v>
      </c>
      <c r="E2345" s="181" t="s">
        <v>15</v>
      </c>
      <c r="F2345" s="181" t="s">
        <v>14</v>
      </c>
      <c r="G2345" s="181" t="s">
        <v>647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0</v>
      </c>
    </row>
    <row r="2346" spans="1:15">
      <c r="A2346" s="191">
        <v>44531</v>
      </c>
      <c r="B2346" s="181" t="s">
        <v>13</v>
      </c>
      <c r="C2346" s="181" t="s">
        <v>745</v>
      </c>
      <c r="D2346" s="181" t="str">
        <f t="shared" si="41"/>
        <v>39201</v>
      </c>
      <c r="E2346" s="181" t="s">
        <v>15</v>
      </c>
      <c r="F2346" s="181" t="s">
        <v>14</v>
      </c>
      <c r="G2346" s="181" t="s">
        <v>647</v>
      </c>
      <c r="H2346" s="8">
        <v>28947.16</v>
      </c>
      <c r="I2346" s="8">
        <v>1211.17</v>
      </c>
      <c r="J2346" s="8">
        <v>0</v>
      </c>
      <c r="K2346" s="8">
        <v>0</v>
      </c>
      <c r="L2346" s="8">
        <v>11445.28</v>
      </c>
      <c r="M2346" s="8">
        <v>0</v>
      </c>
      <c r="N2346" s="8">
        <v>0</v>
      </c>
      <c r="O2346" s="8">
        <v>41603.61</v>
      </c>
    </row>
    <row r="2347" spans="1:15">
      <c r="A2347" s="191">
        <v>44531</v>
      </c>
      <c r="B2347" s="181" t="s">
        <v>13</v>
      </c>
      <c r="C2347" s="181" t="s">
        <v>746</v>
      </c>
      <c r="D2347" s="181" t="str">
        <f t="shared" si="41"/>
        <v>39201</v>
      </c>
      <c r="E2347" s="181" t="s">
        <v>15</v>
      </c>
      <c r="F2347" s="181" t="s">
        <v>14</v>
      </c>
      <c r="G2347" s="181" t="s">
        <v>647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0</v>
      </c>
    </row>
    <row r="2348" spans="1:15">
      <c r="A2348" s="191">
        <v>44531</v>
      </c>
      <c r="B2348" s="181" t="s">
        <v>13</v>
      </c>
      <c r="C2348" s="181" t="s">
        <v>745</v>
      </c>
      <c r="D2348" s="181" t="str">
        <f t="shared" si="41"/>
        <v>39201</v>
      </c>
      <c r="E2348" s="181" t="s">
        <v>15</v>
      </c>
      <c r="F2348" s="181" t="s">
        <v>14</v>
      </c>
      <c r="G2348" s="181" t="s">
        <v>793</v>
      </c>
      <c r="H2348" s="8">
        <v>-1.4000000000000001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-1.4000000000000001</v>
      </c>
    </row>
    <row r="2349" spans="1:15">
      <c r="A2349" s="191">
        <v>44562</v>
      </c>
      <c r="B2349" s="181" t="s">
        <v>133</v>
      </c>
      <c r="C2349" s="181" t="s">
        <v>743</v>
      </c>
      <c r="D2349" s="181" t="str">
        <f t="shared" si="41"/>
        <v>39201</v>
      </c>
      <c r="E2349" s="181" t="s">
        <v>15</v>
      </c>
      <c r="F2349" s="181" t="s">
        <v>14</v>
      </c>
      <c r="G2349" s="181" t="s">
        <v>647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0</v>
      </c>
    </row>
    <row r="2350" spans="1:15">
      <c r="A2350" s="191">
        <v>44562</v>
      </c>
      <c r="B2350" s="181" t="s">
        <v>133</v>
      </c>
      <c r="C2350" s="181" t="s">
        <v>744</v>
      </c>
      <c r="D2350" s="181" t="str">
        <f t="shared" si="41"/>
        <v>39201</v>
      </c>
      <c r="E2350" s="181" t="s">
        <v>15</v>
      </c>
      <c r="F2350" s="181" t="s">
        <v>14</v>
      </c>
      <c r="G2350" s="181" t="s">
        <v>647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0</v>
      </c>
    </row>
    <row r="2351" spans="1:15">
      <c r="A2351" s="191">
        <v>44562</v>
      </c>
      <c r="B2351" s="181" t="s">
        <v>133</v>
      </c>
      <c r="C2351" s="181" t="s">
        <v>745</v>
      </c>
      <c r="D2351" s="181" t="str">
        <f t="shared" si="41"/>
        <v>39201</v>
      </c>
      <c r="E2351" s="181" t="s">
        <v>15</v>
      </c>
      <c r="F2351" s="181" t="s">
        <v>14</v>
      </c>
      <c r="G2351" s="181" t="s">
        <v>647</v>
      </c>
      <c r="H2351" s="8">
        <v>41603.61</v>
      </c>
      <c r="I2351" s="8">
        <v>1211.17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42814.78</v>
      </c>
    </row>
    <row r="2352" spans="1:15">
      <c r="A2352" s="191">
        <v>44562</v>
      </c>
      <c r="B2352" s="181" t="s">
        <v>133</v>
      </c>
      <c r="C2352" s="181" t="s">
        <v>746</v>
      </c>
      <c r="D2352" s="181" t="str">
        <f t="shared" si="41"/>
        <v>39201</v>
      </c>
      <c r="E2352" s="181" t="s">
        <v>15</v>
      </c>
      <c r="F2352" s="181" t="s">
        <v>14</v>
      </c>
      <c r="G2352" s="181" t="s">
        <v>647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0</v>
      </c>
    </row>
    <row r="2353" spans="1:15">
      <c r="A2353" s="191">
        <v>44562</v>
      </c>
      <c r="B2353" s="181" t="s">
        <v>133</v>
      </c>
      <c r="C2353" s="181" t="s">
        <v>745</v>
      </c>
      <c r="D2353" s="181" t="str">
        <f t="shared" ref="D2353:D2416" si="42">MID(C2353,10,5)</f>
        <v>39201</v>
      </c>
      <c r="E2353" s="181" t="s">
        <v>15</v>
      </c>
      <c r="F2353" s="181" t="s">
        <v>14</v>
      </c>
      <c r="G2353" s="181" t="s">
        <v>793</v>
      </c>
      <c r="H2353" s="8">
        <v>-1.4000000000000001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-1.4000000000000001</v>
      </c>
    </row>
    <row r="2354" spans="1:15">
      <c r="A2354" s="191">
        <v>44593</v>
      </c>
      <c r="B2354" s="181" t="s">
        <v>132</v>
      </c>
      <c r="C2354" s="181" t="s">
        <v>743</v>
      </c>
      <c r="D2354" s="181" t="str">
        <f t="shared" si="42"/>
        <v>39201</v>
      </c>
      <c r="E2354" s="181" t="s">
        <v>15</v>
      </c>
      <c r="F2354" s="181" t="s">
        <v>14</v>
      </c>
      <c r="G2354" s="181" t="s">
        <v>647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0</v>
      </c>
    </row>
    <row r="2355" spans="1:15">
      <c r="A2355" s="191">
        <v>44593</v>
      </c>
      <c r="B2355" s="181" t="s">
        <v>132</v>
      </c>
      <c r="C2355" s="181" t="s">
        <v>744</v>
      </c>
      <c r="D2355" s="181" t="str">
        <f t="shared" si="42"/>
        <v>39201</v>
      </c>
      <c r="E2355" s="181" t="s">
        <v>15</v>
      </c>
      <c r="F2355" s="181" t="s">
        <v>14</v>
      </c>
      <c r="G2355" s="181" t="s">
        <v>647</v>
      </c>
      <c r="H2355" s="8">
        <v>0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0</v>
      </c>
    </row>
    <row r="2356" spans="1:15">
      <c r="A2356" s="191">
        <v>44593</v>
      </c>
      <c r="B2356" s="181" t="s">
        <v>132</v>
      </c>
      <c r="C2356" s="181" t="s">
        <v>745</v>
      </c>
      <c r="D2356" s="181" t="str">
        <f t="shared" si="42"/>
        <v>39201</v>
      </c>
      <c r="E2356" s="181" t="s">
        <v>15</v>
      </c>
      <c r="F2356" s="181" t="s">
        <v>14</v>
      </c>
      <c r="G2356" s="181" t="s">
        <v>647</v>
      </c>
      <c r="H2356" s="8">
        <v>42814.78</v>
      </c>
      <c r="I2356" s="8">
        <v>1211.17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44025.950000000004</v>
      </c>
    </row>
    <row r="2357" spans="1:15">
      <c r="A2357" s="191">
        <v>44593</v>
      </c>
      <c r="B2357" s="181" t="s">
        <v>132</v>
      </c>
      <c r="C2357" s="181" t="s">
        <v>746</v>
      </c>
      <c r="D2357" s="181" t="str">
        <f t="shared" si="42"/>
        <v>39201</v>
      </c>
      <c r="E2357" s="181" t="s">
        <v>15</v>
      </c>
      <c r="F2357" s="181" t="s">
        <v>14</v>
      </c>
      <c r="G2357" s="181" t="s">
        <v>647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0</v>
      </c>
    </row>
    <row r="2358" spans="1:15">
      <c r="A2358" s="191">
        <v>44593</v>
      </c>
      <c r="B2358" s="181" t="s">
        <v>132</v>
      </c>
      <c r="C2358" s="181" t="s">
        <v>745</v>
      </c>
      <c r="D2358" s="181" t="str">
        <f t="shared" si="42"/>
        <v>39201</v>
      </c>
      <c r="E2358" s="181" t="s">
        <v>15</v>
      </c>
      <c r="F2358" s="181" t="s">
        <v>14</v>
      </c>
      <c r="G2358" s="181" t="s">
        <v>793</v>
      </c>
      <c r="H2358" s="8">
        <v>-1.4000000000000001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-1.4000000000000001</v>
      </c>
    </row>
    <row r="2359" spans="1:15">
      <c r="A2359" s="191">
        <v>44621</v>
      </c>
      <c r="B2359" s="181" t="s">
        <v>131</v>
      </c>
      <c r="C2359" s="181" t="s">
        <v>743</v>
      </c>
      <c r="D2359" s="181" t="str">
        <f t="shared" si="42"/>
        <v>39201</v>
      </c>
      <c r="E2359" s="181" t="s">
        <v>15</v>
      </c>
      <c r="F2359" s="181" t="s">
        <v>14</v>
      </c>
      <c r="G2359" s="181" t="s">
        <v>647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0</v>
      </c>
    </row>
    <row r="2360" spans="1:15">
      <c r="A2360" s="191">
        <v>44621</v>
      </c>
      <c r="B2360" s="181" t="s">
        <v>131</v>
      </c>
      <c r="C2360" s="181" t="s">
        <v>744</v>
      </c>
      <c r="D2360" s="181" t="str">
        <f t="shared" si="42"/>
        <v>39201</v>
      </c>
      <c r="E2360" s="181" t="s">
        <v>15</v>
      </c>
      <c r="F2360" s="181" t="s">
        <v>14</v>
      </c>
      <c r="G2360" s="181" t="s">
        <v>647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0</v>
      </c>
    </row>
    <row r="2361" spans="1:15">
      <c r="A2361" s="191">
        <v>44621</v>
      </c>
      <c r="B2361" s="181" t="s">
        <v>131</v>
      </c>
      <c r="C2361" s="181" t="s">
        <v>745</v>
      </c>
      <c r="D2361" s="181" t="str">
        <f t="shared" si="42"/>
        <v>39201</v>
      </c>
      <c r="E2361" s="181" t="s">
        <v>15</v>
      </c>
      <c r="F2361" s="181" t="s">
        <v>14</v>
      </c>
      <c r="G2361" s="181" t="s">
        <v>647</v>
      </c>
      <c r="H2361" s="8">
        <v>44025.950000000004</v>
      </c>
      <c r="I2361" s="8">
        <v>1211.17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45237.120000000003</v>
      </c>
    </row>
    <row r="2362" spans="1:15">
      <c r="A2362" s="191">
        <v>44621</v>
      </c>
      <c r="B2362" s="181" t="s">
        <v>131</v>
      </c>
      <c r="C2362" s="181" t="s">
        <v>746</v>
      </c>
      <c r="D2362" s="181" t="str">
        <f t="shared" si="42"/>
        <v>39201</v>
      </c>
      <c r="E2362" s="181" t="s">
        <v>15</v>
      </c>
      <c r="F2362" s="181" t="s">
        <v>14</v>
      </c>
      <c r="G2362" s="181" t="s">
        <v>647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0</v>
      </c>
    </row>
    <row r="2363" spans="1:15">
      <c r="A2363" s="191">
        <v>44621</v>
      </c>
      <c r="B2363" s="181" t="s">
        <v>131</v>
      </c>
      <c r="C2363" s="181" t="s">
        <v>745</v>
      </c>
      <c r="D2363" s="181" t="str">
        <f t="shared" si="42"/>
        <v>39201</v>
      </c>
      <c r="E2363" s="181" t="s">
        <v>15</v>
      </c>
      <c r="F2363" s="181" t="s">
        <v>14</v>
      </c>
      <c r="G2363" s="181" t="s">
        <v>793</v>
      </c>
      <c r="H2363" s="8">
        <v>-1.4000000000000001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>
        <v>-1.4000000000000001</v>
      </c>
    </row>
    <row r="2364" spans="1:15">
      <c r="A2364" s="191">
        <v>44652</v>
      </c>
      <c r="B2364" s="181" t="s">
        <v>130</v>
      </c>
      <c r="C2364" s="181" t="s">
        <v>743</v>
      </c>
      <c r="D2364" s="181" t="str">
        <f t="shared" si="42"/>
        <v>39201</v>
      </c>
      <c r="E2364" s="181" t="s">
        <v>15</v>
      </c>
      <c r="F2364" s="181" t="s">
        <v>14</v>
      </c>
      <c r="G2364" s="181" t="s">
        <v>647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>
        <v>0</v>
      </c>
    </row>
    <row r="2365" spans="1:15">
      <c r="A2365" s="191">
        <v>44652</v>
      </c>
      <c r="B2365" s="181" t="s">
        <v>130</v>
      </c>
      <c r="C2365" s="181" t="s">
        <v>744</v>
      </c>
      <c r="D2365" s="181" t="str">
        <f t="shared" si="42"/>
        <v>39201</v>
      </c>
      <c r="E2365" s="181" t="s">
        <v>15</v>
      </c>
      <c r="F2365" s="181" t="s">
        <v>14</v>
      </c>
      <c r="G2365" s="181" t="s">
        <v>647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>
        <v>0</v>
      </c>
    </row>
    <row r="2366" spans="1:15">
      <c r="A2366" s="191">
        <v>44652</v>
      </c>
      <c r="B2366" s="181" t="s">
        <v>130</v>
      </c>
      <c r="C2366" s="181" t="s">
        <v>745</v>
      </c>
      <c r="D2366" s="181" t="str">
        <f t="shared" si="42"/>
        <v>39201</v>
      </c>
      <c r="E2366" s="181" t="s">
        <v>15</v>
      </c>
      <c r="F2366" s="181" t="s">
        <v>14</v>
      </c>
      <c r="G2366" s="181" t="s">
        <v>647</v>
      </c>
      <c r="H2366" s="8">
        <v>45237.120000000003</v>
      </c>
      <c r="I2366" s="8">
        <v>1211.17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46448.29</v>
      </c>
    </row>
    <row r="2367" spans="1:15">
      <c r="A2367" s="191">
        <v>44652</v>
      </c>
      <c r="B2367" s="181" t="s">
        <v>130</v>
      </c>
      <c r="C2367" s="181" t="s">
        <v>746</v>
      </c>
      <c r="D2367" s="181" t="str">
        <f t="shared" si="42"/>
        <v>39201</v>
      </c>
      <c r="E2367" s="181" t="s">
        <v>15</v>
      </c>
      <c r="F2367" s="181" t="s">
        <v>14</v>
      </c>
      <c r="G2367" s="181" t="s">
        <v>647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0</v>
      </c>
    </row>
    <row r="2368" spans="1:15">
      <c r="A2368" s="191">
        <v>44652</v>
      </c>
      <c r="B2368" s="181" t="s">
        <v>130</v>
      </c>
      <c r="C2368" s="181" t="s">
        <v>745</v>
      </c>
      <c r="D2368" s="181" t="str">
        <f t="shared" si="42"/>
        <v>39201</v>
      </c>
      <c r="E2368" s="181" t="s">
        <v>15</v>
      </c>
      <c r="F2368" s="181" t="s">
        <v>14</v>
      </c>
      <c r="G2368" s="181" t="s">
        <v>793</v>
      </c>
      <c r="H2368" s="8">
        <v>-1.4000000000000001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-1.4000000000000001</v>
      </c>
    </row>
    <row r="2369" spans="1:15">
      <c r="A2369" s="191">
        <v>44682</v>
      </c>
      <c r="B2369" s="181" t="s">
        <v>129</v>
      </c>
      <c r="C2369" s="181" t="s">
        <v>743</v>
      </c>
      <c r="D2369" s="181" t="str">
        <f t="shared" si="42"/>
        <v>39201</v>
      </c>
      <c r="E2369" s="181" t="s">
        <v>15</v>
      </c>
      <c r="F2369" s="181" t="s">
        <v>14</v>
      </c>
      <c r="G2369" s="181" t="s">
        <v>647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0</v>
      </c>
    </row>
    <row r="2370" spans="1:15">
      <c r="A2370" s="191">
        <v>44682</v>
      </c>
      <c r="B2370" s="181" t="s">
        <v>129</v>
      </c>
      <c r="C2370" s="181" t="s">
        <v>744</v>
      </c>
      <c r="D2370" s="181" t="str">
        <f t="shared" si="42"/>
        <v>39201</v>
      </c>
      <c r="E2370" s="181" t="s">
        <v>15</v>
      </c>
      <c r="F2370" s="181" t="s">
        <v>14</v>
      </c>
      <c r="G2370" s="181" t="s">
        <v>647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0</v>
      </c>
    </row>
    <row r="2371" spans="1:15">
      <c r="A2371" s="191">
        <v>44682</v>
      </c>
      <c r="B2371" s="181" t="s">
        <v>129</v>
      </c>
      <c r="C2371" s="181" t="s">
        <v>745</v>
      </c>
      <c r="D2371" s="181" t="str">
        <f t="shared" si="42"/>
        <v>39201</v>
      </c>
      <c r="E2371" s="181" t="s">
        <v>15</v>
      </c>
      <c r="F2371" s="181" t="s">
        <v>14</v>
      </c>
      <c r="G2371" s="181" t="s">
        <v>647</v>
      </c>
      <c r="H2371" s="8">
        <v>46448.29</v>
      </c>
      <c r="I2371" s="8">
        <v>1211.17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47659.46</v>
      </c>
    </row>
    <row r="2372" spans="1:15">
      <c r="A2372" s="191">
        <v>44682</v>
      </c>
      <c r="B2372" s="181" t="s">
        <v>129</v>
      </c>
      <c r="C2372" s="181" t="s">
        <v>746</v>
      </c>
      <c r="D2372" s="181" t="str">
        <f t="shared" si="42"/>
        <v>39201</v>
      </c>
      <c r="E2372" s="181" t="s">
        <v>15</v>
      </c>
      <c r="F2372" s="181" t="s">
        <v>14</v>
      </c>
      <c r="G2372" s="181" t="s">
        <v>647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0</v>
      </c>
    </row>
    <row r="2373" spans="1:15">
      <c r="A2373" s="191">
        <v>44682</v>
      </c>
      <c r="B2373" s="181" t="s">
        <v>129</v>
      </c>
      <c r="C2373" s="181" t="s">
        <v>745</v>
      </c>
      <c r="D2373" s="181" t="str">
        <f t="shared" si="42"/>
        <v>39201</v>
      </c>
      <c r="E2373" s="181" t="s">
        <v>15</v>
      </c>
      <c r="F2373" s="181" t="s">
        <v>14</v>
      </c>
      <c r="G2373" s="181" t="s">
        <v>793</v>
      </c>
      <c r="H2373" s="8">
        <v>-1.4000000000000001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-1.4000000000000001</v>
      </c>
    </row>
    <row r="2374" spans="1:15">
      <c r="A2374" s="191">
        <v>44713</v>
      </c>
      <c r="B2374" s="181" t="s">
        <v>128</v>
      </c>
      <c r="C2374" s="181" t="s">
        <v>743</v>
      </c>
      <c r="D2374" s="181" t="str">
        <f t="shared" si="42"/>
        <v>39201</v>
      </c>
      <c r="E2374" s="181" t="s">
        <v>15</v>
      </c>
      <c r="F2374" s="181" t="s">
        <v>14</v>
      </c>
      <c r="G2374" s="181" t="s">
        <v>647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0</v>
      </c>
    </row>
    <row r="2375" spans="1:15">
      <c r="A2375" s="191">
        <v>44713</v>
      </c>
      <c r="B2375" s="181" t="s">
        <v>128</v>
      </c>
      <c r="C2375" s="181" t="s">
        <v>744</v>
      </c>
      <c r="D2375" s="181" t="str">
        <f t="shared" si="42"/>
        <v>39201</v>
      </c>
      <c r="E2375" s="181" t="s">
        <v>15</v>
      </c>
      <c r="F2375" s="181" t="s">
        <v>14</v>
      </c>
      <c r="G2375" s="181" t="s">
        <v>647</v>
      </c>
      <c r="H2375" s="8">
        <v>0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0</v>
      </c>
    </row>
    <row r="2376" spans="1:15">
      <c r="A2376" s="191">
        <v>44713</v>
      </c>
      <c r="B2376" s="181" t="s">
        <v>128</v>
      </c>
      <c r="C2376" s="181" t="s">
        <v>745</v>
      </c>
      <c r="D2376" s="181" t="str">
        <f t="shared" si="42"/>
        <v>39201</v>
      </c>
      <c r="E2376" s="181" t="s">
        <v>15</v>
      </c>
      <c r="F2376" s="181" t="s">
        <v>14</v>
      </c>
      <c r="G2376" s="181" t="s">
        <v>647</v>
      </c>
      <c r="H2376" s="8">
        <v>47659.46</v>
      </c>
      <c r="I2376" s="8">
        <v>1211.17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48870.63</v>
      </c>
    </row>
    <row r="2377" spans="1:15">
      <c r="A2377" s="191">
        <v>44713</v>
      </c>
      <c r="B2377" s="181" t="s">
        <v>128</v>
      </c>
      <c r="C2377" s="181" t="s">
        <v>746</v>
      </c>
      <c r="D2377" s="181" t="str">
        <f t="shared" si="42"/>
        <v>39201</v>
      </c>
      <c r="E2377" s="181" t="s">
        <v>15</v>
      </c>
      <c r="F2377" s="181" t="s">
        <v>14</v>
      </c>
      <c r="G2377" s="181" t="s">
        <v>647</v>
      </c>
      <c r="H2377" s="8">
        <v>0</v>
      </c>
      <c r="I2377" s="8">
        <v>0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0</v>
      </c>
    </row>
    <row r="2378" spans="1:15">
      <c r="A2378" s="191">
        <v>44713</v>
      </c>
      <c r="B2378" s="181" t="s">
        <v>128</v>
      </c>
      <c r="C2378" s="181" t="s">
        <v>745</v>
      </c>
      <c r="D2378" s="181" t="str">
        <f t="shared" si="42"/>
        <v>39201</v>
      </c>
      <c r="E2378" s="181" t="s">
        <v>15</v>
      </c>
      <c r="F2378" s="181" t="s">
        <v>14</v>
      </c>
      <c r="G2378" s="181" t="s">
        <v>793</v>
      </c>
      <c r="H2378" s="8">
        <v>-1.4000000000000001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-1.4000000000000001</v>
      </c>
    </row>
    <row r="2379" spans="1:15">
      <c r="A2379" s="191">
        <v>44743</v>
      </c>
      <c r="B2379" s="181" t="s">
        <v>127</v>
      </c>
      <c r="C2379" s="181" t="s">
        <v>743</v>
      </c>
      <c r="D2379" s="181" t="str">
        <f t="shared" si="42"/>
        <v>39201</v>
      </c>
      <c r="E2379" s="181" t="s">
        <v>15</v>
      </c>
      <c r="F2379" s="181" t="s">
        <v>14</v>
      </c>
      <c r="G2379" s="181" t="s">
        <v>647</v>
      </c>
      <c r="H2379" s="8">
        <v>0</v>
      </c>
      <c r="I2379" s="8">
        <v>0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0</v>
      </c>
    </row>
    <row r="2380" spans="1:15">
      <c r="A2380" s="191">
        <v>44743</v>
      </c>
      <c r="B2380" s="181" t="s">
        <v>127</v>
      </c>
      <c r="C2380" s="181" t="s">
        <v>744</v>
      </c>
      <c r="D2380" s="181" t="str">
        <f t="shared" si="42"/>
        <v>39201</v>
      </c>
      <c r="E2380" s="181" t="s">
        <v>15</v>
      </c>
      <c r="F2380" s="181" t="s">
        <v>14</v>
      </c>
      <c r="G2380" s="181" t="s">
        <v>647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0</v>
      </c>
    </row>
    <row r="2381" spans="1:15">
      <c r="A2381" s="191">
        <v>44743</v>
      </c>
      <c r="B2381" s="181" t="s">
        <v>127</v>
      </c>
      <c r="C2381" s="181" t="s">
        <v>745</v>
      </c>
      <c r="D2381" s="181" t="str">
        <f t="shared" si="42"/>
        <v>39201</v>
      </c>
      <c r="E2381" s="181" t="s">
        <v>15</v>
      </c>
      <c r="F2381" s="181" t="s">
        <v>14</v>
      </c>
      <c r="G2381" s="181" t="s">
        <v>647</v>
      </c>
      <c r="H2381" s="8">
        <v>48870.63</v>
      </c>
      <c r="I2381" s="8">
        <v>1211.17</v>
      </c>
      <c r="J2381" s="8">
        <v>0</v>
      </c>
      <c r="K2381" s="8">
        <v>0</v>
      </c>
      <c r="L2381" s="8">
        <v>1210.3399999999999</v>
      </c>
      <c r="M2381" s="8">
        <v>0</v>
      </c>
      <c r="N2381" s="8">
        <v>0</v>
      </c>
      <c r="O2381" s="8">
        <v>51292.14</v>
      </c>
    </row>
    <row r="2382" spans="1:15">
      <c r="A2382" s="191">
        <v>44743</v>
      </c>
      <c r="B2382" s="181" t="s">
        <v>127</v>
      </c>
      <c r="C2382" s="181" t="s">
        <v>746</v>
      </c>
      <c r="D2382" s="181" t="str">
        <f t="shared" si="42"/>
        <v>39201</v>
      </c>
      <c r="E2382" s="181" t="s">
        <v>15</v>
      </c>
      <c r="F2382" s="181" t="s">
        <v>14</v>
      </c>
      <c r="G2382" s="181" t="s">
        <v>647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0</v>
      </c>
    </row>
    <row r="2383" spans="1:15">
      <c r="A2383" s="191">
        <v>44743</v>
      </c>
      <c r="B2383" s="181" t="s">
        <v>127</v>
      </c>
      <c r="C2383" s="181" t="s">
        <v>745</v>
      </c>
      <c r="D2383" s="181" t="str">
        <f t="shared" si="42"/>
        <v>39201</v>
      </c>
      <c r="E2383" s="181" t="s">
        <v>15</v>
      </c>
      <c r="F2383" s="181" t="s">
        <v>14</v>
      </c>
      <c r="G2383" s="181" t="s">
        <v>793</v>
      </c>
      <c r="H2383" s="8">
        <v>-1.4000000000000001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-1.4000000000000001</v>
      </c>
    </row>
    <row r="2384" spans="1:15">
      <c r="A2384" s="191">
        <v>44774</v>
      </c>
      <c r="B2384" s="181" t="s">
        <v>126</v>
      </c>
      <c r="C2384" s="181" t="s">
        <v>743</v>
      </c>
      <c r="D2384" s="181" t="str">
        <f t="shared" si="42"/>
        <v>39201</v>
      </c>
      <c r="E2384" s="181" t="s">
        <v>15</v>
      </c>
      <c r="F2384" s="181" t="s">
        <v>14</v>
      </c>
      <c r="G2384" s="181" t="s">
        <v>647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0</v>
      </c>
    </row>
    <row r="2385" spans="1:15">
      <c r="A2385" s="191">
        <v>44774</v>
      </c>
      <c r="B2385" s="181" t="s">
        <v>126</v>
      </c>
      <c r="C2385" s="181" t="s">
        <v>744</v>
      </c>
      <c r="D2385" s="181" t="str">
        <f t="shared" si="42"/>
        <v>39201</v>
      </c>
      <c r="E2385" s="181" t="s">
        <v>15</v>
      </c>
      <c r="F2385" s="181" t="s">
        <v>14</v>
      </c>
      <c r="G2385" s="181" t="s">
        <v>647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0</v>
      </c>
    </row>
    <row r="2386" spans="1:15">
      <c r="A2386" s="191">
        <v>44774</v>
      </c>
      <c r="B2386" s="181" t="s">
        <v>126</v>
      </c>
      <c r="C2386" s="181" t="s">
        <v>745</v>
      </c>
      <c r="D2386" s="181" t="str">
        <f t="shared" si="42"/>
        <v>39201</v>
      </c>
      <c r="E2386" s="181" t="s">
        <v>15</v>
      </c>
      <c r="F2386" s="181" t="s">
        <v>14</v>
      </c>
      <c r="G2386" s="181" t="s">
        <v>647</v>
      </c>
      <c r="H2386" s="8">
        <v>51292.14</v>
      </c>
      <c r="I2386" s="8">
        <v>1211.17</v>
      </c>
      <c r="J2386" s="8">
        <v>0</v>
      </c>
      <c r="K2386" s="8">
        <v>0</v>
      </c>
      <c r="L2386" s="8">
        <v>1210.3399999999999</v>
      </c>
      <c r="M2386" s="8">
        <v>0</v>
      </c>
      <c r="N2386" s="8">
        <v>0</v>
      </c>
      <c r="O2386" s="8">
        <v>53713.65</v>
      </c>
    </row>
    <row r="2387" spans="1:15">
      <c r="A2387" s="191">
        <v>44774</v>
      </c>
      <c r="B2387" s="181" t="s">
        <v>126</v>
      </c>
      <c r="C2387" s="181" t="s">
        <v>746</v>
      </c>
      <c r="D2387" s="181" t="str">
        <f t="shared" si="42"/>
        <v>39201</v>
      </c>
      <c r="E2387" s="181" t="s">
        <v>15</v>
      </c>
      <c r="F2387" s="181" t="s">
        <v>14</v>
      </c>
      <c r="G2387" s="181" t="s">
        <v>647</v>
      </c>
      <c r="H2387" s="8">
        <v>0</v>
      </c>
      <c r="I2387" s="8">
        <v>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0</v>
      </c>
    </row>
    <row r="2388" spans="1:15">
      <c r="A2388" s="191">
        <v>44774</v>
      </c>
      <c r="B2388" s="181" t="s">
        <v>126</v>
      </c>
      <c r="C2388" s="181" t="s">
        <v>745</v>
      </c>
      <c r="D2388" s="181" t="str">
        <f t="shared" si="42"/>
        <v>39201</v>
      </c>
      <c r="E2388" s="181" t="s">
        <v>15</v>
      </c>
      <c r="F2388" s="181" t="s">
        <v>14</v>
      </c>
      <c r="G2388" s="181" t="s">
        <v>793</v>
      </c>
      <c r="H2388" s="8">
        <v>-1.4000000000000001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-1.4000000000000001</v>
      </c>
    </row>
    <row r="2389" spans="1:15">
      <c r="A2389" s="191">
        <v>44805</v>
      </c>
      <c r="B2389" s="181" t="s">
        <v>125</v>
      </c>
      <c r="C2389" s="181" t="s">
        <v>743</v>
      </c>
      <c r="D2389" s="181" t="str">
        <f t="shared" si="42"/>
        <v>39201</v>
      </c>
      <c r="E2389" s="181" t="s">
        <v>15</v>
      </c>
      <c r="F2389" s="181" t="s">
        <v>14</v>
      </c>
      <c r="G2389" s="181" t="s">
        <v>647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0</v>
      </c>
    </row>
    <row r="2390" spans="1:15">
      <c r="A2390" s="191">
        <v>44805</v>
      </c>
      <c r="B2390" s="181" t="s">
        <v>125</v>
      </c>
      <c r="C2390" s="181" t="s">
        <v>744</v>
      </c>
      <c r="D2390" s="181" t="str">
        <f t="shared" si="42"/>
        <v>39201</v>
      </c>
      <c r="E2390" s="181" t="s">
        <v>15</v>
      </c>
      <c r="F2390" s="181" t="s">
        <v>14</v>
      </c>
      <c r="G2390" s="181" t="s">
        <v>647</v>
      </c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0</v>
      </c>
    </row>
    <row r="2391" spans="1:15">
      <c r="A2391" s="191">
        <v>44805</v>
      </c>
      <c r="B2391" s="181" t="s">
        <v>125</v>
      </c>
      <c r="C2391" s="181" t="s">
        <v>745</v>
      </c>
      <c r="D2391" s="181" t="str">
        <f t="shared" si="42"/>
        <v>39201</v>
      </c>
      <c r="E2391" s="181" t="s">
        <v>15</v>
      </c>
      <c r="F2391" s="181" t="s">
        <v>14</v>
      </c>
      <c r="G2391" s="181" t="s">
        <v>647</v>
      </c>
      <c r="H2391" s="8">
        <v>53713.65</v>
      </c>
      <c r="I2391" s="8">
        <v>1211.17</v>
      </c>
      <c r="J2391" s="8">
        <v>0</v>
      </c>
      <c r="K2391" s="8">
        <v>0</v>
      </c>
      <c r="L2391" s="8">
        <v>-2420.6799999999998</v>
      </c>
      <c r="M2391" s="8">
        <v>0</v>
      </c>
      <c r="N2391" s="8">
        <v>0</v>
      </c>
      <c r="O2391" s="8">
        <v>52504.14</v>
      </c>
    </row>
    <row r="2392" spans="1:15">
      <c r="A2392" s="191">
        <v>44805</v>
      </c>
      <c r="B2392" s="181" t="s">
        <v>125</v>
      </c>
      <c r="C2392" s="181" t="s">
        <v>746</v>
      </c>
      <c r="D2392" s="181" t="str">
        <f t="shared" si="42"/>
        <v>39201</v>
      </c>
      <c r="E2392" s="181" t="s">
        <v>15</v>
      </c>
      <c r="F2392" s="181" t="s">
        <v>14</v>
      </c>
      <c r="G2392" s="181" t="s">
        <v>647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0</v>
      </c>
    </row>
    <row r="2393" spans="1:15">
      <c r="A2393" s="191">
        <v>44805</v>
      </c>
      <c r="B2393" s="181" t="s">
        <v>125</v>
      </c>
      <c r="C2393" s="181" t="s">
        <v>745</v>
      </c>
      <c r="D2393" s="181" t="str">
        <f t="shared" si="42"/>
        <v>39201</v>
      </c>
      <c r="E2393" s="181" t="s">
        <v>15</v>
      </c>
      <c r="F2393" s="181" t="s">
        <v>14</v>
      </c>
      <c r="G2393" s="181" t="s">
        <v>793</v>
      </c>
      <c r="H2393" s="8">
        <v>-1.4000000000000001</v>
      </c>
      <c r="I2393" s="8">
        <v>0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-1.4000000000000001</v>
      </c>
    </row>
    <row r="2394" spans="1:15">
      <c r="A2394" s="191">
        <v>44835</v>
      </c>
      <c r="B2394" s="181" t="s">
        <v>124</v>
      </c>
      <c r="C2394" s="181" t="s">
        <v>743</v>
      </c>
      <c r="D2394" s="181" t="str">
        <f t="shared" si="42"/>
        <v>39201</v>
      </c>
      <c r="E2394" s="181" t="s">
        <v>15</v>
      </c>
      <c r="F2394" s="181" t="s">
        <v>14</v>
      </c>
      <c r="G2394" s="181" t="s">
        <v>647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0</v>
      </c>
    </row>
    <row r="2395" spans="1:15">
      <c r="A2395" s="191">
        <v>44835</v>
      </c>
      <c r="B2395" s="181" t="s">
        <v>124</v>
      </c>
      <c r="C2395" s="181" t="s">
        <v>744</v>
      </c>
      <c r="D2395" s="181" t="str">
        <f t="shared" si="42"/>
        <v>39201</v>
      </c>
      <c r="E2395" s="181" t="s">
        <v>15</v>
      </c>
      <c r="F2395" s="181" t="s">
        <v>14</v>
      </c>
      <c r="G2395" s="181" t="s">
        <v>647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0</v>
      </c>
    </row>
    <row r="2396" spans="1:15">
      <c r="A2396" s="191">
        <v>44835</v>
      </c>
      <c r="B2396" s="181" t="s">
        <v>124</v>
      </c>
      <c r="C2396" s="181" t="s">
        <v>745</v>
      </c>
      <c r="D2396" s="181" t="str">
        <f t="shared" si="42"/>
        <v>39201</v>
      </c>
      <c r="E2396" s="181" t="s">
        <v>15</v>
      </c>
      <c r="F2396" s="181" t="s">
        <v>14</v>
      </c>
      <c r="G2396" s="181" t="s">
        <v>647</v>
      </c>
      <c r="H2396" s="8">
        <v>52504.14</v>
      </c>
      <c r="I2396" s="8">
        <v>1211.17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53715.31</v>
      </c>
    </row>
    <row r="2397" spans="1:15">
      <c r="A2397" s="191">
        <v>44835</v>
      </c>
      <c r="B2397" s="181" t="s">
        <v>124</v>
      </c>
      <c r="C2397" s="181" t="s">
        <v>746</v>
      </c>
      <c r="D2397" s="181" t="str">
        <f t="shared" si="42"/>
        <v>39201</v>
      </c>
      <c r="E2397" s="181" t="s">
        <v>15</v>
      </c>
      <c r="F2397" s="181" t="s">
        <v>14</v>
      </c>
      <c r="G2397" s="181" t="s">
        <v>647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0</v>
      </c>
    </row>
    <row r="2398" spans="1:15">
      <c r="A2398" s="191">
        <v>44835</v>
      </c>
      <c r="B2398" s="181" t="s">
        <v>124</v>
      </c>
      <c r="C2398" s="181" t="s">
        <v>745</v>
      </c>
      <c r="D2398" s="181" t="str">
        <f t="shared" si="42"/>
        <v>39201</v>
      </c>
      <c r="E2398" s="181" t="s">
        <v>15</v>
      </c>
      <c r="F2398" s="181" t="s">
        <v>14</v>
      </c>
      <c r="G2398" s="181" t="s">
        <v>793</v>
      </c>
      <c r="H2398" s="8">
        <v>-1.4000000000000001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-1.4000000000000001</v>
      </c>
    </row>
    <row r="2399" spans="1:15">
      <c r="A2399" s="191">
        <v>44866</v>
      </c>
      <c r="B2399" s="181" t="s">
        <v>123</v>
      </c>
      <c r="C2399" s="181" t="s">
        <v>743</v>
      </c>
      <c r="D2399" s="181" t="str">
        <f t="shared" si="42"/>
        <v>39201</v>
      </c>
      <c r="E2399" s="181" t="s">
        <v>15</v>
      </c>
      <c r="F2399" s="181" t="s">
        <v>14</v>
      </c>
      <c r="G2399" s="181" t="s">
        <v>647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0</v>
      </c>
    </row>
    <row r="2400" spans="1:15">
      <c r="A2400" s="191">
        <v>44866</v>
      </c>
      <c r="B2400" s="181" t="s">
        <v>123</v>
      </c>
      <c r="C2400" s="181" t="s">
        <v>744</v>
      </c>
      <c r="D2400" s="181" t="str">
        <f t="shared" si="42"/>
        <v>39201</v>
      </c>
      <c r="E2400" s="181" t="s">
        <v>15</v>
      </c>
      <c r="F2400" s="181" t="s">
        <v>14</v>
      </c>
      <c r="G2400" s="181" t="s">
        <v>647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0</v>
      </c>
    </row>
    <row r="2401" spans="1:15">
      <c r="A2401" s="191">
        <v>44866</v>
      </c>
      <c r="B2401" s="181" t="s">
        <v>123</v>
      </c>
      <c r="C2401" s="181" t="s">
        <v>745</v>
      </c>
      <c r="D2401" s="181" t="str">
        <f t="shared" si="42"/>
        <v>39201</v>
      </c>
      <c r="E2401" s="181" t="s">
        <v>15</v>
      </c>
      <c r="F2401" s="181" t="s">
        <v>14</v>
      </c>
      <c r="G2401" s="181" t="s">
        <v>647</v>
      </c>
      <c r="H2401" s="8">
        <v>53715.31</v>
      </c>
      <c r="I2401" s="8">
        <v>1211.17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54926.48</v>
      </c>
    </row>
    <row r="2402" spans="1:15">
      <c r="A2402" s="191">
        <v>44866</v>
      </c>
      <c r="B2402" s="181" t="s">
        <v>123</v>
      </c>
      <c r="C2402" s="181" t="s">
        <v>746</v>
      </c>
      <c r="D2402" s="181" t="str">
        <f t="shared" si="42"/>
        <v>39201</v>
      </c>
      <c r="E2402" s="181" t="s">
        <v>15</v>
      </c>
      <c r="F2402" s="181" t="s">
        <v>14</v>
      </c>
      <c r="G2402" s="181" t="s">
        <v>647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0</v>
      </c>
    </row>
    <row r="2403" spans="1:15">
      <c r="A2403" s="191">
        <v>44866</v>
      </c>
      <c r="B2403" s="181" t="s">
        <v>123</v>
      </c>
      <c r="C2403" s="181" t="s">
        <v>745</v>
      </c>
      <c r="D2403" s="181" t="str">
        <f t="shared" si="42"/>
        <v>39201</v>
      </c>
      <c r="E2403" s="181" t="s">
        <v>15</v>
      </c>
      <c r="F2403" s="181" t="s">
        <v>14</v>
      </c>
      <c r="G2403" s="181" t="s">
        <v>793</v>
      </c>
      <c r="H2403" s="8">
        <v>-1.4000000000000001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-1.4000000000000001</v>
      </c>
    </row>
    <row r="2404" spans="1:15">
      <c r="A2404" s="191">
        <v>44896</v>
      </c>
      <c r="B2404" s="181" t="s">
        <v>122</v>
      </c>
      <c r="C2404" s="181" t="s">
        <v>743</v>
      </c>
      <c r="D2404" s="181" t="str">
        <f t="shared" si="42"/>
        <v>39201</v>
      </c>
      <c r="E2404" s="181" t="s">
        <v>15</v>
      </c>
      <c r="F2404" s="181" t="s">
        <v>14</v>
      </c>
      <c r="G2404" s="181" t="s">
        <v>647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0</v>
      </c>
    </row>
    <row r="2405" spans="1:15">
      <c r="A2405" s="191">
        <v>44896</v>
      </c>
      <c r="B2405" s="181" t="s">
        <v>122</v>
      </c>
      <c r="C2405" s="181" t="s">
        <v>744</v>
      </c>
      <c r="D2405" s="181" t="str">
        <f t="shared" si="42"/>
        <v>39201</v>
      </c>
      <c r="E2405" s="181" t="s">
        <v>15</v>
      </c>
      <c r="F2405" s="181" t="s">
        <v>14</v>
      </c>
      <c r="G2405" s="181" t="s">
        <v>647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0</v>
      </c>
    </row>
    <row r="2406" spans="1:15">
      <c r="A2406" s="191">
        <v>44896</v>
      </c>
      <c r="B2406" s="181" t="s">
        <v>122</v>
      </c>
      <c r="C2406" s="181" t="s">
        <v>745</v>
      </c>
      <c r="D2406" s="181" t="str">
        <f t="shared" si="42"/>
        <v>39201</v>
      </c>
      <c r="E2406" s="181" t="s">
        <v>15</v>
      </c>
      <c r="F2406" s="181" t="s">
        <v>14</v>
      </c>
      <c r="G2406" s="181" t="s">
        <v>647</v>
      </c>
      <c r="H2406" s="8">
        <v>54926.48</v>
      </c>
      <c r="I2406" s="8">
        <v>1211.17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56137.65</v>
      </c>
    </row>
    <row r="2407" spans="1:15">
      <c r="A2407" s="191">
        <v>44896</v>
      </c>
      <c r="B2407" s="181" t="s">
        <v>122</v>
      </c>
      <c r="C2407" s="181" t="s">
        <v>746</v>
      </c>
      <c r="D2407" s="181" t="str">
        <f t="shared" si="42"/>
        <v>39201</v>
      </c>
      <c r="E2407" s="181" t="s">
        <v>15</v>
      </c>
      <c r="F2407" s="181" t="s">
        <v>14</v>
      </c>
      <c r="G2407" s="181" t="s">
        <v>647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0</v>
      </c>
    </row>
    <row r="2408" spans="1:15">
      <c r="A2408" s="191">
        <v>44896</v>
      </c>
      <c r="B2408" s="181" t="s">
        <v>122</v>
      </c>
      <c r="C2408" s="181" t="s">
        <v>745</v>
      </c>
      <c r="D2408" s="181" t="str">
        <f t="shared" si="42"/>
        <v>39201</v>
      </c>
      <c r="E2408" s="181" t="s">
        <v>15</v>
      </c>
      <c r="F2408" s="181" t="s">
        <v>14</v>
      </c>
      <c r="G2408" s="181" t="s">
        <v>793</v>
      </c>
      <c r="H2408" s="8">
        <v>-1.4000000000000001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-1.4000000000000001</v>
      </c>
    </row>
    <row r="2409" spans="1:15">
      <c r="A2409" s="191">
        <v>44531</v>
      </c>
      <c r="B2409" s="181" t="s">
        <v>13</v>
      </c>
      <c r="C2409" s="181" t="s">
        <v>747</v>
      </c>
      <c r="D2409" s="181" t="str">
        <f t="shared" si="42"/>
        <v>39202</v>
      </c>
      <c r="E2409" s="181" t="s">
        <v>15</v>
      </c>
      <c r="F2409" s="181" t="s">
        <v>14</v>
      </c>
      <c r="G2409" s="181" t="s">
        <v>647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0</v>
      </c>
    </row>
    <row r="2410" spans="1:15">
      <c r="A2410" s="191">
        <v>44531</v>
      </c>
      <c r="B2410" s="181" t="s">
        <v>13</v>
      </c>
      <c r="C2410" s="181" t="s">
        <v>748</v>
      </c>
      <c r="D2410" s="181" t="str">
        <f t="shared" si="42"/>
        <v>39202</v>
      </c>
      <c r="E2410" s="181" t="s">
        <v>15</v>
      </c>
      <c r="F2410" s="181" t="s">
        <v>14</v>
      </c>
      <c r="G2410" s="181" t="s">
        <v>647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0</v>
      </c>
    </row>
    <row r="2411" spans="1:15">
      <c r="A2411" s="191">
        <v>44531</v>
      </c>
      <c r="B2411" s="181" t="s">
        <v>13</v>
      </c>
      <c r="C2411" s="181" t="s">
        <v>749</v>
      </c>
      <c r="D2411" s="181" t="str">
        <f t="shared" si="42"/>
        <v>39202</v>
      </c>
      <c r="E2411" s="181" t="s">
        <v>15</v>
      </c>
      <c r="F2411" s="181" t="s">
        <v>14</v>
      </c>
      <c r="G2411" s="181" t="s">
        <v>647</v>
      </c>
      <c r="H2411" s="8">
        <v>55399.39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55399.39</v>
      </c>
    </row>
    <row r="2412" spans="1:15">
      <c r="A2412" s="191">
        <v>44531</v>
      </c>
      <c r="B2412" s="181" t="s">
        <v>13</v>
      </c>
      <c r="C2412" s="181" t="s">
        <v>750</v>
      </c>
      <c r="D2412" s="181" t="str">
        <f t="shared" si="42"/>
        <v>39202</v>
      </c>
      <c r="E2412" s="181" t="s">
        <v>15</v>
      </c>
      <c r="F2412" s="181" t="s">
        <v>14</v>
      </c>
      <c r="G2412" s="181" t="s">
        <v>647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0</v>
      </c>
    </row>
    <row r="2413" spans="1:15">
      <c r="A2413" s="191">
        <v>44562</v>
      </c>
      <c r="B2413" s="181" t="s">
        <v>133</v>
      </c>
      <c r="C2413" s="181" t="s">
        <v>747</v>
      </c>
      <c r="D2413" s="181" t="str">
        <f t="shared" si="42"/>
        <v>39202</v>
      </c>
      <c r="E2413" s="181" t="s">
        <v>15</v>
      </c>
      <c r="F2413" s="181" t="s">
        <v>14</v>
      </c>
      <c r="G2413" s="181" t="s">
        <v>647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0</v>
      </c>
    </row>
    <row r="2414" spans="1:15">
      <c r="A2414" s="191">
        <v>44562</v>
      </c>
      <c r="B2414" s="181" t="s">
        <v>133</v>
      </c>
      <c r="C2414" s="181" t="s">
        <v>748</v>
      </c>
      <c r="D2414" s="181" t="str">
        <f t="shared" si="42"/>
        <v>39202</v>
      </c>
      <c r="E2414" s="181" t="s">
        <v>15</v>
      </c>
      <c r="F2414" s="181" t="s">
        <v>14</v>
      </c>
      <c r="G2414" s="181" t="s">
        <v>647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0</v>
      </c>
    </row>
    <row r="2415" spans="1:15">
      <c r="A2415" s="191">
        <v>44562</v>
      </c>
      <c r="B2415" s="181" t="s">
        <v>133</v>
      </c>
      <c r="C2415" s="181" t="s">
        <v>749</v>
      </c>
      <c r="D2415" s="181" t="str">
        <f t="shared" si="42"/>
        <v>39202</v>
      </c>
      <c r="E2415" s="181" t="s">
        <v>15</v>
      </c>
      <c r="F2415" s="181" t="s">
        <v>14</v>
      </c>
      <c r="G2415" s="181" t="s">
        <v>647</v>
      </c>
      <c r="H2415" s="8">
        <v>55399.39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55399.39</v>
      </c>
    </row>
    <row r="2416" spans="1:15">
      <c r="A2416" s="191">
        <v>44562</v>
      </c>
      <c r="B2416" s="181" t="s">
        <v>133</v>
      </c>
      <c r="C2416" s="181" t="s">
        <v>750</v>
      </c>
      <c r="D2416" s="181" t="str">
        <f t="shared" si="42"/>
        <v>39202</v>
      </c>
      <c r="E2416" s="181" t="s">
        <v>15</v>
      </c>
      <c r="F2416" s="181" t="s">
        <v>14</v>
      </c>
      <c r="G2416" s="181" t="s">
        <v>647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0</v>
      </c>
    </row>
    <row r="2417" spans="1:15">
      <c r="A2417" s="191">
        <v>44593</v>
      </c>
      <c r="B2417" s="181" t="s">
        <v>132</v>
      </c>
      <c r="C2417" s="181" t="s">
        <v>747</v>
      </c>
      <c r="D2417" s="181" t="str">
        <f t="shared" ref="D2417:D2480" si="43">MID(C2417,10,5)</f>
        <v>39202</v>
      </c>
      <c r="E2417" s="181" t="s">
        <v>15</v>
      </c>
      <c r="F2417" s="181" t="s">
        <v>14</v>
      </c>
      <c r="G2417" s="181" t="s">
        <v>647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0</v>
      </c>
    </row>
    <row r="2418" spans="1:15">
      <c r="A2418" s="191">
        <v>44593</v>
      </c>
      <c r="B2418" s="181" t="s">
        <v>132</v>
      </c>
      <c r="C2418" s="181" t="s">
        <v>748</v>
      </c>
      <c r="D2418" s="181" t="str">
        <f t="shared" si="43"/>
        <v>39202</v>
      </c>
      <c r="E2418" s="181" t="s">
        <v>15</v>
      </c>
      <c r="F2418" s="181" t="s">
        <v>14</v>
      </c>
      <c r="G2418" s="181" t="s">
        <v>647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0</v>
      </c>
    </row>
    <row r="2419" spans="1:15">
      <c r="A2419" s="191">
        <v>44593</v>
      </c>
      <c r="B2419" s="181" t="s">
        <v>132</v>
      </c>
      <c r="C2419" s="181" t="s">
        <v>749</v>
      </c>
      <c r="D2419" s="181" t="str">
        <f t="shared" si="43"/>
        <v>39202</v>
      </c>
      <c r="E2419" s="181" t="s">
        <v>15</v>
      </c>
      <c r="F2419" s="181" t="s">
        <v>14</v>
      </c>
      <c r="G2419" s="181" t="s">
        <v>647</v>
      </c>
      <c r="H2419" s="8">
        <v>55399.39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55399.39</v>
      </c>
    </row>
    <row r="2420" spans="1:15">
      <c r="A2420" s="191">
        <v>44593</v>
      </c>
      <c r="B2420" s="181" t="s">
        <v>132</v>
      </c>
      <c r="C2420" s="181" t="s">
        <v>750</v>
      </c>
      <c r="D2420" s="181" t="str">
        <f t="shared" si="43"/>
        <v>39202</v>
      </c>
      <c r="E2420" s="181" t="s">
        <v>15</v>
      </c>
      <c r="F2420" s="181" t="s">
        <v>14</v>
      </c>
      <c r="G2420" s="181" t="s">
        <v>647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0</v>
      </c>
    </row>
    <row r="2421" spans="1:15">
      <c r="A2421" s="191">
        <v>44621</v>
      </c>
      <c r="B2421" s="181" t="s">
        <v>131</v>
      </c>
      <c r="C2421" s="181" t="s">
        <v>747</v>
      </c>
      <c r="D2421" s="181" t="str">
        <f t="shared" si="43"/>
        <v>39202</v>
      </c>
      <c r="E2421" s="181" t="s">
        <v>15</v>
      </c>
      <c r="F2421" s="181" t="s">
        <v>14</v>
      </c>
      <c r="G2421" s="181" t="s">
        <v>647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0</v>
      </c>
    </row>
    <row r="2422" spans="1:15">
      <c r="A2422" s="191">
        <v>44621</v>
      </c>
      <c r="B2422" s="181" t="s">
        <v>131</v>
      </c>
      <c r="C2422" s="181" t="s">
        <v>748</v>
      </c>
      <c r="D2422" s="181" t="str">
        <f t="shared" si="43"/>
        <v>39202</v>
      </c>
      <c r="E2422" s="181" t="s">
        <v>15</v>
      </c>
      <c r="F2422" s="181" t="s">
        <v>14</v>
      </c>
      <c r="G2422" s="181" t="s">
        <v>647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0</v>
      </c>
    </row>
    <row r="2423" spans="1:15">
      <c r="A2423" s="191">
        <v>44621</v>
      </c>
      <c r="B2423" s="181" t="s">
        <v>131</v>
      </c>
      <c r="C2423" s="181" t="s">
        <v>749</v>
      </c>
      <c r="D2423" s="181" t="str">
        <f t="shared" si="43"/>
        <v>39202</v>
      </c>
      <c r="E2423" s="181" t="s">
        <v>15</v>
      </c>
      <c r="F2423" s="181" t="s">
        <v>14</v>
      </c>
      <c r="G2423" s="181" t="s">
        <v>647</v>
      </c>
      <c r="H2423" s="8">
        <v>55399.39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55399.39</v>
      </c>
    </row>
    <row r="2424" spans="1:15">
      <c r="A2424" s="191">
        <v>44621</v>
      </c>
      <c r="B2424" s="181" t="s">
        <v>131</v>
      </c>
      <c r="C2424" s="181" t="s">
        <v>750</v>
      </c>
      <c r="D2424" s="181" t="str">
        <f t="shared" si="43"/>
        <v>39202</v>
      </c>
      <c r="E2424" s="181" t="s">
        <v>15</v>
      </c>
      <c r="F2424" s="181" t="s">
        <v>14</v>
      </c>
      <c r="G2424" s="181" t="s">
        <v>647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0</v>
      </c>
    </row>
    <row r="2425" spans="1:15">
      <c r="A2425" s="191">
        <v>44652</v>
      </c>
      <c r="B2425" s="181" t="s">
        <v>130</v>
      </c>
      <c r="C2425" s="181" t="s">
        <v>747</v>
      </c>
      <c r="D2425" s="181" t="str">
        <f t="shared" si="43"/>
        <v>39202</v>
      </c>
      <c r="E2425" s="181" t="s">
        <v>15</v>
      </c>
      <c r="F2425" s="181" t="s">
        <v>14</v>
      </c>
      <c r="G2425" s="181" t="s">
        <v>647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0</v>
      </c>
    </row>
    <row r="2426" spans="1:15">
      <c r="A2426" s="191">
        <v>44652</v>
      </c>
      <c r="B2426" s="181" t="s">
        <v>130</v>
      </c>
      <c r="C2426" s="181" t="s">
        <v>748</v>
      </c>
      <c r="D2426" s="181" t="str">
        <f t="shared" si="43"/>
        <v>39202</v>
      </c>
      <c r="E2426" s="181" t="s">
        <v>15</v>
      </c>
      <c r="F2426" s="181" t="s">
        <v>14</v>
      </c>
      <c r="G2426" s="181" t="s">
        <v>647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0</v>
      </c>
    </row>
    <row r="2427" spans="1:15">
      <c r="A2427" s="191">
        <v>44652</v>
      </c>
      <c r="B2427" s="181" t="s">
        <v>130</v>
      </c>
      <c r="C2427" s="181" t="s">
        <v>749</v>
      </c>
      <c r="D2427" s="181" t="str">
        <f t="shared" si="43"/>
        <v>39202</v>
      </c>
      <c r="E2427" s="181" t="s">
        <v>15</v>
      </c>
      <c r="F2427" s="181" t="s">
        <v>14</v>
      </c>
      <c r="G2427" s="181" t="s">
        <v>647</v>
      </c>
      <c r="H2427" s="8">
        <v>55399.39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55399.39</v>
      </c>
    </row>
    <row r="2428" spans="1:15">
      <c r="A2428" s="191">
        <v>44652</v>
      </c>
      <c r="B2428" s="181" t="s">
        <v>130</v>
      </c>
      <c r="C2428" s="181" t="s">
        <v>750</v>
      </c>
      <c r="D2428" s="181" t="str">
        <f t="shared" si="43"/>
        <v>39202</v>
      </c>
      <c r="E2428" s="181" t="s">
        <v>15</v>
      </c>
      <c r="F2428" s="181" t="s">
        <v>14</v>
      </c>
      <c r="G2428" s="181" t="s">
        <v>647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0</v>
      </c>
    </row>
    <row r="2429" spans="1:15">
      <c r="A2429" s="191">
        <v>44682</v>
      </c>
      <c r="B2429" s="181" t="s">
        <v>129</v>
      </c>
      <c r="C2429" s="181" t="s">
        <v>747</v>
      </c>
      <c r="D2429" s="181" t="str">
        <f t="shared" si="43"/>
        <v>39202</v>
      </c>
      <c r="E2429" s="181" t="s">
        <v>15</v>
      </c>
      <c r="F2429" s="181" t="s">
        <v>14</v>
      </c>
      <c r="G2429" s="181" t="s">
        <v>647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0</v>
      </c>
    </row>
    <row r="2430" spans="1:15">
      <c r="A2430" s="191">
        <v>44682</v>
      </c>
      <c r="B2430" s="181" t="s">
        <v>129</v>
      </c>
      <c r="C2430" s="181" t="s">
        <v>748</v>
      </c>
      <c r="D2430" s="181" t="str">
        <f t="shared" si="43"/>
        <v>39202</v>
      </c>
      <c r="E2430" s="181" t="s">
        <v>15</v>
      </c>
      <c r="F2430" s="181" t="s">
        <v>14</v>
      </c>
      <c r="G2430" s="181" t="s">
        <v>647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0</v>
      </c>
    </row>
    <row r="2431" spans="1:15">
      <c r="A2431" s="191">
        <v>44682</v>
      </c>
      <c r="B2431" s="181" t="s">
        <v>129</v>
      </c>
      <c r="C2431" s="181" t="s">
        <v>749</v>
      </c>
      <c r="D2431" s="181" t="str">
        <f t="shared" si="43"/>
        <v>39202</v>
      </c>
      <c r="E2431" s="181" t="s">
        <v>15</v>
      </c>
      <c r="F2431" s="181" t="s">
        <v>14</v>
      </c>
      <c r="G2431" s="181" t="s">
        <v>647</v>
      </c>
      <c r="H2431" s="8">
        <v>55399.39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55399.39</v>
      </c>
    </row>
    <row r="2432" spans="1:15">
      <c r="A2432" s="191">
        <v>44682</v>
      </c>
      <c r="B2432" s="181" t="s">
        <v>129</v>
      </c>
      <c r="C2432" s="181" t="s">
        <v>750</v>
      </c>
      <c r="D2432" s="181" t="str">
        <f t="shared" si="43"/>
        <v>39202</v>
      </c>
      <c r="E2432" s="181" t="s">
        <v>15</v>
      </c>
      <c r="F2432" s="181" t="s">
        <v>14</v>
      </c>
      <c r="G2432" s="181" t="s">
        <v>647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0</v>
      </c>
    </row>
    <row r="2433" spans="1:15">
      <c r="A2433" s="191">
        <v>44713</v>
      </c>
      <c r="B2433" s="181" t="s">
        <v>128</v>
      </c>
      <c r="C2433" s="181" t="s">
        <v>747</v>
      </c>
      <c r="D2433" s="181" t="str">
        <f t="shared" si="43"/>
        <v>39202</v>
      </c>
      <c r="E2433" s="181" t="s">
        <v>15</v>
      </c>
      <c r="F2433" s="181" t="s">
        <v>14</v>
      </c>
      <c r="G2433" s="181" t="s">
        <v>647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0</v>
      </c>
    </row>
    <row r="2434" spans="1:15">
      <c r="A2434" s="191">
        <v>44713</v>
      </c>
      <c r="B2434" s="181" t="s">
        <v>128</v>
      </c>
      <c r="C2434" s="181" t="s">
        <v>748</v>
      </c>
      <c r="D2434" s="181" t="str">
        <f t="shared" si="43"/>
        <v>39202</v>
      </c>
      <c r="E2434" s="181" t="s">
        <v>15</v>
      </c>
      <c r="F2434" s="181" t="s">
        <v>14</v>
      </c>
      <c r="G2434" s="181" t="s">
        <v>647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0</v>
      </c>
    </row>
    <row r="2435" spans="1:15">
      <c r="A2435" s="191">
        <v>44713</v>
      </c>
      <c r="B2435" s="181" t="s">
        <v>128</v>
      </c>
      <c r="C2435" s="181" t="s">
        <v>749</v>
      </c>
      <c r="D2435" s="181" t="str">
        <f t="shared" si="43"/>
        <v>39202</v>
      </c>
      <c r="E2435" s="181" t="s">
        <v>15</v>
      </c>
      <c r="F2435" s="181" t="s">
        <v>14</v>
      </c>
      <c r="G2435" s="181" t="s">
        <v>647</v>
      </c>
      <c r="H2435" s="8">
        <v>55399.39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55399.39</v>
      </c>
    </row>
    <row r="2436" spans="1:15">
      <c r="A2436" s="191">
        <v>44713</v>
      </c>
      <c r="B2436" s="181" t="s">
        <v>128</v>
      </c>
      <c r="C2436" s="181" t="s">
        <v>750</v>
      </c>
      <c r="D2436" s="181" t="str">
        <f t="shared" si="43"/>
        <v>39202</v>
      </c>
      <c r="E2436" s="181" t="s">
        <v>15</v>
      </c>
      <c r="F2436" s="181" t="s">
        <v>14</v>
      </c>
      <c r="G2436" s="181" t="s">
        <v>647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0</v>
      </c>
    </row>
    <row r="2437" spans="1:15">
      <c r="A2437" s="191">
        <v>44743</v>
      </c>
      <c r="B2437" s="181" t="s">
        <v>127</v>
      </c>
      <c r="C2437" s="181" t="s">
        <v>747</v>
      </c>
      <c r="D2437" s="181" t="str">
        <f t="shared" si="43"/>
        <v>39202</v>
      </c>
      <c r="E2437" s="181" t="s">
        <v>15</v>
      </c>
      <c r="F2437" s="181" t="s">
        <v>14</v>
      </c>
      <c r="G2437" s="181" t="s">
        <v>647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0</v>
      </c>
    </row>
    <row r="2438" spans="1:15">
      <c r="A2438" s="191">
        <v>44743</v>
      </c>
      <c r="B2438" s="181" t="s">
        <v>127</v>
      </c>
      <c r="C2438" s="181" t="s">
        <v>748</v>
      </c>
      <c r="D2438" s="181" t="str">
        <f t="shared" si="43"/>
        <v>39202</v>
      </c>
      <c r="E2438" s="181" t="s">
        <v>15</v>
      </c>
      <c r="F2438" s="181" t="s">
        <v>14</v>
      </c>
      <c r="G2438" s="181" t="s">
        <v>647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0</v>
      </c>
    </row>
    <row r="2439" spans="1:15">
      <c r="A2439" s="191">
        <v>44743</v>
      </c>
      <c r="B2439" s="181" t="s">
        <v>127</v>
      </c>
      <c r="C2439" s="181" t="s">
        <v>749</v>
      </c>
      <c r="D2439" s="181" t="str">
        <f t="shared" si="43"/>
        <v>39202</v>
      </c>
      <c r="E2439" s="181" t="s">
        <v>15</v>
      </c>
      <c r="F2439" s="181" t="s">
        <v>14</v>
      </c>
      <c r="G2439" s="181" t="s">
        <v>647</v>
      </c>
      <c r="H2439" s="8">
        <v>55399.39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55399.39</v>
      </c>
    </row>
    <row r="2440" spans="1:15">
      <c r="A2440" s="191">
        <v>44743</v>
      </c>
      <c r="B2440" s="181" t="s">
        <v>127</v>
      </c>
      <c r="C2440" s="181" t="s">
        <v>750</v>
      </c>
      <c r="D2440" s="181" t="str">
        <f t="shared" si="43"/>
        <v>39202</v>
      </c>
      <c r="E2440" s="181" t="s">
        <v>15</v>
      </c>
      <c r="F2440" s="181" t="s">
        <v>14</v>
      </c>
      <c r="G2440" s="181" t="s">
        <v>647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0</v>
      </c>
    </row>
    <row r="2441" spans="1:15">
      <c r="A2441" s="191">
        <v>44774</v>
      </c>
      <c r="B2441" s="181" t="s">
        <v>126</v>
      </c>
      <c r="C2441" s="181" t="s">
        <v>747</v>
      </c>
      <c r="D2441" s="181" t="str">
        <f t="shared" si="43"/>
        <v>39202</v>
      </c>
      <c r="E2441" s="181" t="s">
        <v>15</v>
      </c>
      <c r="F2441" s="181" t="s">
        <v>14</v>
      </c>
      <c r="G2441" s="181" t="s">
        <v>647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0</v>
      </c>
    </row>
    <row r="2442" spans="1:15">
      <c r="A2442" s="191">
        <v>44774</v>
      </c>
      <c r="B2442" s="181" t="s">
        <v>126</v>
      </c>
      <c r="C2442" s="181" t="s">
        <v>748</v>
      </c>
      <c r="D2442" s="181" t="str">
        <f t="shared" si="43"/>
        <v>39202</v>
      </c>
      <c r="E2442" s="181" t="s">
        <v>15</v>
      </c>
      <c r="F2442" s="181" t="s">
        <v>14</v>
      </c>
      <c r="G2442" s="181" t="s">
        <v>647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0</v>
      </c>
    </row>
    <row r="2443" spans="1:15">
      <c r="A2443" s="191">
        <v>44774</v>
      </c>
      <c r="B2443" s="181" t="s">
        <v>126</v>
      </c>
      <c r="C2443" s="181" t="s">
        <v>749</v>
      </c>
      <c r="D2443" s="181" t="str">
        <f t="shared" si="43"/>
        <v>39202</v>
      </c>
      <c r="E2443" s="181" t="s">
        <v>15</v>
      </c>
      <c r="F2443" s="181" t="s">
        <v>14</v>
      </c>
      <c r="G2443" s="181" t="s">
        <v>647</v>
      </c>
      <c r="H2443" s="8">
        <v>55399.39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55399.39</v>
      </c>
    </row>
    <row r="2444" spans="1:15">
      <c r="A2444" s="191">
        <v>44774</v>
      </c>
      <c r="B2444" s="181" t="s">
        <v>126</v>
      </c>
      <c r="C2444" s="181" t="s">
        <v>750</v>
      </c>
      <c r="D2444" s="181" t="str">
        <f t="shared" si="43"/>
        <v>39202</v>
      </c>
      <c r="E2444" s="181" t="s">
        <v>15</v>
      </c>
      <c r="F2444" s="181" t="s">
        <v>14</v>
      </c>
      <c r="G2444" s="181" t="s">
        <v>647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0</v>
      </c>
    </row>
    <row r="2445" spans="1:15">
      <c r="A2445" s="191">
        <v>44805</v>
      </c>
      <c r="B2445" s="181" t="s">
        <v>125</v>
      </c>
      <c r="C2445" s="181" t="s">
        <v>747</v>
      </c>
      <c r="D2445" s="181" t="str">
        <f t="shared" si="43"/>
        <v>39202</v>
      </c>
      <c r="E2445" s="181" t="s">
        <v>15</v>
      </c>
      <c r="F2445" s="181" t="s">
        <v>14</v>
      </c>
      <c r="G2445" s="181" t="s">
        <v>647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0</v>
      </c>
    </row>
    <row r="2446" spans="1:15">
      <c r="A2446" s="191">
        <v>44805</v>
      </c>
      <c r="B2446" s="181" t="s">
        <v>125</v>
      </c>
      <c r="C2446" s="181" t="s">
        <v>748</v>
      </c>
      <c r="D2446" s="181" t="str">
        <f t="shared" si="43"/>
        <v>39202</v>
      </c>
      <c r="E2446" s="181" t="s">
        <v>15</v>
      </c>
      <c r="F2446" s="181" t="s">
        <v>14</v>
      </c>
      <c r="G2446" s="181" t="s">
        <v>647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0</v>
      </c>
    </row>
    <row r="2447" spans="1:15">
      <c r="A2447" s="191">
        <v>44805</v>
      </c>
      <c r="B2447" s="181" t="s">
        <v>125</v>
      </c>
      <c r="C2447" s="181" t="s">
        <v>749</v>
      </c>
      <c r="D2447" s="181" t="str">
        <f t="shared" si="43"/>
        <v>39202</v>
      </c>
      <c r="E2447" s="181" t="s">
        <v>15</v>
      </c>
      <c r="F2447" s="181" t="s">
        <v>14</v>
      </c>
      <c r="G2447" s="181" t="s">
        <v>647</v>
      </c>
      <c r="H2447" s="8">
        <v>55399.39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55399.39</v>
      </c>
    </row>
    <row r="2448" spans="1:15">
      <c r="A2448" s="191">
        <v>44805</v>
      </c>
      <c r="B2448" s="181" t="s">
        <v>125</v>
      </c>
      <c r="C2448" s="181" t="s">
        <v>750</v>
      </c>
      <c r="D2448" s="181" t="str">
        <f t="shared" si="43"/>
        <v>39202</v>
      </c>
      <c r="E2448" s="181" t="s">
        <v>15</v>
      </c>
      <c r="F2448" s="181" t="s">
        <v>14</v>
      </c>
      <c r="G2448" s="181" t="s">
        <v>647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0</v>
      </c>
    </row>
    <row r="2449" spans="1:15">
      <c r="A2449" s="191">
        <v>44835</v>
      </c>
      <c r="B2449" s="181" t="s">
        <v>124</v>
      </c>
      <c r="C2449" s="181" t="s">
        <v>747</v>
      </c>
      <c r="D2449" s="181" t="str">
        <f t="shared" si="43"/>
        <v>39202</v>
      </c>
      <c r="E2449" s="181" t="s">
        <v>15</v>
      </c>
      <c r="F2449" s="181" t="s">
        <v>14</v>
      </c>
      <c r="G2449" s="181" t="s">
        <v>647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0</v>
      </c>
    </row>
    <row r="2450" spans="1:15">
      <c r="A2450" s="191">
        <v>44835</v>
      </c>
      <c r="B2450" s="181" t="s">
        <v>124</v>
      </c>
      <c r="C2450" s="181" t="s">
        <v>748</v>
      </c>
      <c r="D2450" s="181" t="str">
        <f t="shared" si="43"/>
        <v>39202</v>
      </c>
      <c r="E2450" s="181" t="s">
        <v>15</v>
      </c>
      <c r="F2450" s="181" t="s">
        <v>14</v>
      </c>
      <c r="G2450" s="181" t="s">
        <v>647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0</v>
      </c>
    </row>
    <row r="2451" spans="1:15">
      <c r="A2451" s="191">
        <v>44835</v>
      </c>
      <c r="B2451" s="181" t="s">
        <v>124</v>
      </c>
      <c r="C2451" s="181" t="s">
        <v>749</v>
      </c>
      <c r="D2451" s="181" t="str">
        <f t="shared" si="43"/>
        <v>39202</v>
      </c>
      <c r="E2451" s="181" t="s">
        <v>15</v>
      </c>
      <c r="F2451" s="181" t="s">
        <v>14</v>
      </c>
      <c r="G2451" s="181" t="s">
        <v>647</v>
      </c>
      <c r="H2451" s="8">
        <v>55399.39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55399.39</v>
      </c>
    </row>
    <row r="2452" spans="1:15">
      <c r="A2452" s="191">
        <v>44835</v>
      </c>
      <c r="B2452" s="181" t="s">
        <v>124</v>
      </c>
      <c r="C2452" s="181" t="s">
        <v>750</v>
      </c>
      <c r="D2452" s="181" t="str">
        <f t="shared" si="43"/>
        <v>39202</v>
      </c>
      <c r="E2452" s="181" t="s">
        <v>15</v>
      </c>
      <c r="F2452" s="181" t="s">
        <v>14</v>
      </c>
      <c r="G2452" s="181" t="s">
        <v>647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0</v>
      </c>
    </row>
    <row r="2453" spans="1:15">
      <c r="A2453" s="191">
        <v>44866</v>
      </c>
      <c r="B2453" s="181" t="s">
        <v>123</v>
      </c>
      <c r="C2453" s="181" t="s">
        <v>747</v>
      </c>
      <c r="D2453" s="181" t="str">
        <f t="shared" si="43"/>
        <v>39202</v>
      </c>
      <c r="E2453" s="181" t="s">
        <v>15</v>
      </c>
      <c r="F2453" s="181" t="s">
        <v>14</v>
      </c>
      <c r="G2453" s="181" t="s">
        <v>647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0</v>
      </c>
    </row>
    <row r="2454" spans="1:15">
      <c r="A2454" s="191">
        <v>44866</v>
      </c>
      <c r="B2454" s="181" t="s">
        <v>123</v>
      </c>
      <c r="C2454" s="181" t="s">
        <v>748</v>
      </c>
      <c r="D2454" s="181" t="str">
        <f t="shared" si="43"/>
        <v>39202</v>
      </c>
      <c r="E2454" s="181" t="s">
        <v>15</v>
      </c>
      <c r="F2454" s="181" t="s">
        <v>14</v>
      </c>
      <c r="G2454" s="181" t="s">
        <v>647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0</v>
      </c>
    </row>
    <row r="2455" spans="1:15">
      <c r="A2455" s="191">
        <v>44866</v>
      </c>
      <c r="B2455" s="181" t="s">
        <v>123</v>
      </c>
      <c r="C2455" s="181" t="s">
        <v>749</v>
      </c>
      <c r="D2455" s="181" t="str">
        <f t="shared" si="43"/>
        <v>39202</v>
      </c>
      <c r="E2455" s="181" t="s">
        <v>15</v>
      </c>
      <c r="F2455" s="181" t="s">
        <v>14</v>
      </c>
      <c r="G2455" s="181" t="s">
        <v>647</v>
      </c>
      <c r="H2455" s="8">
        <v>55399.39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55399.39</v>
      </c>
    </row>
    <row r="2456" spans="1:15">
      <c r="A2456" s="191">
        <v>44866</v>
      </c>
      <c r="B2456" s="181" t="s">
        <v>123</v>
      </c>
      <c r="C2456" s="181" t="s">
        <v>750</v>
      </c>
      <c r="D2456" s="181" t="str">
        <f t="shared" si="43"/>
        <v>39202</v>
      </c>
      <c r="E2456" s="181" t="s">
        <v>15</v>
      </c>
      <c r="F2456" s="181" t="s">
        <v>14</v>
      </c>
      <c r="G2456" s="181" t="s">
        <v>647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0</v>
      </c>
    </row>
    <row r="2457" spans="1:15">
      <c r="A2457" s="191">
        <v>44896</v>
      </c>
      <c r="B2457" s="181" t="s">
        <v>122</v>
      </c>
      <c r="C2457" s="181" t="s">
        <v>747</v>
      </c>
      <c r="D2457" s="181" t="str">
        <f t="shared" si="43"/>
        <v>39202</v>
      </c>
      <c r="E2457" s="181" t="s">
        <v>15</v>
      </c>
      <c r="F2457" s="181" t="s">
        <v>14</v>
      </c>
      <c r="G2457" s="181" t="s">
        <v>647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0</v>
      </c>
    </row>
    <row r="2458" spans="1:15">
      <c r="A2458" s="191">
        <v>44896</v>
      </c>
      <c r="B2458" s="181" t="s">
        <v>122</v>
      </c>
      <c r="C2458" s="181" t="s">
        <v>748</v>
      </c>
      <c r="D2458" s="181" t="str">
        <f t="shared" si="43"/>
        <v>39202</v>
      </c>
      <c r="E2458" s="181" t="s">
        <v>15</v>
      </c>
      <c r="F2458" s="181" t="s">
        <v>14</v>
      </c>
      <c r="G2458" s="181" t="s">
        <v>647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0</v>
      </c>
    </row>
    <row r="2459" spans="1:15">
      <c r="A2459" s="191">
        <v>44896</v>
      </c>
      <c r="B2459" s="181" t="s">
        <v>122</v>
      </c>
      <c r="C2459" s="181" t="s">
        <v>749</v>
      </c>
      <c r="D2459" s="181" t="str">
        <f t="shared" si="43"/>
        <v>39202</v>
      </c>
      <c r="E2459" s="181" t="s">
        <v>15</v>
      </c>
      <c r="F2459" s="181" t="s">
        <v>14</v>
      </c>
      <c r="G2459" s="181" t="s">
        <v>647</v>
      </c>
      <c r="H2459" s="8">
        <v>55399.39</v>
      </c>
      <c r="I2459" s="8">
        <v>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55399.39</v>
      </c>
    </row>
    <row r="2460" spans="1:15">
      <c r="A2460" s="191">
        <v>44896</v>
      </c>
      <c r="B2460" s="181" t="s">
        <v>122</v>
      </c>
      <c r="C2460" s="181" t="s">
        <v>750</v>
      </c>
      <c r="D2460" s="181" t="str">
        <f t="shared" si="43"/>
        <v>39202</v>
      </c>
      <c r="E2460" s="181" t="s">
        <v>15</v>
      </c>
      <c r="F2460" s="181" t="s">
        <v>14</v>
      </c>
      <c r="G2460" s="181" t="s">
        <v>647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0</v>
      </c>
    </row>
    <row r="2461" spans="1:15">
      <c r="A2461" s="191">
        <v>44531</v>
      </c>
      <c r="B2461" s="181" t="s">
        <v>13</v>
      </c>
      <c r="C2461" s="181" t="s">
        <v>751</v>
      </c>
      <c r="D2461" s="181" t="str">
        <f t="shared" si="43"/>
        <v>39203</v>
      </c>
      <c r="E2461" s="181" t="s">
        <v>15</v>
      </c>
      <c r="F2461" s="181" t="s">
        <v>14</v>
      </c>
      <c r="G2461" s="181" t="s">
        <v>647</v>
      </c>
      <c r="H2461" s="8">
        <v>2743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2743</v>
      </c>
    </row>
    <row r="2462" spans="1:15">
      <c r="A2462" s="191">
        <v>44531</v>
      </c>
      <c r="B2462" s="181" t="s">
        <v>13</v>
      </c>
      <c r="C2462" s="181" t="s">
        <v>752</v>
      </c>
      <c r="D2462" s="181" t="str">
        <f t="shared" si="43"/>
        <v>39203</v>
      </c>
      <c r="E2462" s="181" t="s">
        <v>15</v>
      </c>
      <c r="F2462" s="181" t="s">
        <v>14</v>
      </c>
      <c r="G2462" s="181" t="s">
        <v>647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0</v>
      </c>
    </row>
    <row r="2463" spans="1:15">
      <c r="A2463" s="191">
        <v>44531</v>
      </c>
      <c r="B2463" s="181" t="s">
        <v>13</v>
      </c>
      <c r="C2463" s="181" t="s">
        <v>753</v>
      </c>
      <c r="D2463" s="181" t="str">
        <f t="shared" si="43"/>
        <v>39203</v>
      </c>
      <c r="E2463" s="181" t="s">
        <v>15</v>
      </c>
      <c r="F2463" s="181" t="s">
        <v>14</v>
      </c>
      <c r="G2463" s="181" t="s">
        <v>647</v>
      </c>
      <c r="H2463" s="8">
        <v>2385734.2599999998</v>
      </c>
      <c r="I2463" s="8">
        <v>32870.870000000003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2418605.13</v>
      </c>
    </row>
    <row r="2464" spans="1:15">
      <c r="A2464" s="191">
        <v>44531</v>
      </c>
      <c r="B2464" s="181" t="s">
        <v>13</v>
      </c>
      <c r="C2464" s="181" t="s">
        <v>754</v>
      </c>
      <c r="D2464" s="181" t="str">
        <f t="shared" si="43"/>
        <v>39203</v>
      </c>
      <c r="E2464" s="181" t="s">
        <v>15</v>
      </c>
      <c r="F2464" s="181" t="s">
        <v>14</v>
      </c>
      <c r="G2464" s="181" t="s">
        <v>647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0</v>
      </c>
    </row>
    <row r="2465" spans="1:15">
      <c r="A2465" s="191">
        <v>44531</v>
      </c>
      <c r="B2465" s="181" t="s">
        <v>13</v>
      </c>
      <c r="C2465" s="181" t="s">
        <v>751</v>
      </c>
      <c r="D2465" s="181" t="str">
        <f t="shared" si="43"/>
        <v>39203</v>
      </c>
      <c r="E2465" s="181" t="s">
        <v>15</v>
      </c>
      <c r="F2465" s="181" t="s">
        <v>14</v>
      </c>
      <c r="G2465" s="181" t="s">
        <v>793</v>
      </c>
      <c r="H2465" s="8">
        <v>40.65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40.65</v>
      </c>
    </row>
    <row r="2466" spans="1:15">
      <c r="A2466" s="191">
        <v>44531</v>
      </c>
      <c r="B2466" s="181" t="s">
        <v>13</v>
      </c>
      <c r="C2466" s="181" t="s">
        <v>753</v>
      </c>
      <c r="D2466" s="181" t="str">
        <f t="shared" si="43"/>
        <v>39203</v>
      </c>
      <c r="E2466" s="181" t="s">
        <v>15</v>
      </c>
      <c r="F2466" s="181" t="s">
        <v>14</v>
      </c>
      <c r="G2466" s="181" t="s">
        <v>793</v>
      </c>
      <c r="H2466" s="8">
        <v>-4.1500000000000004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-4.1500000000000004</v>
      </c>
    </row>
    <row r="2467" spans="1:15">
      <c r="A2467" s="191">
        <v>44562</v>
      </c>
      <c r="B2467" s="181" t="s">
        <v>133</v>
      </c>
      <c r="C2467" s="181" t="s">
        <v>751</v>
      </c>
      <c r="D2467" s="181" t="str">
        <f t="shared" si="43"/>
        <v>39203</v>
      </c>
      <c r="E2467" s="181" t="s">
        <v>15</v>
      </c>
      <c r="F2467" s="181" t="s">
        <v>14</v>
      </c>
      <c r="G2467" s="181" t="s">
        <v>647</v>
      </c>
      <c r="H2467" s="8">
        <v>2743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2743</v>
      </c>
    </row>
    <row r="2468" spans="1:15">
      <c r="A2468" s="191">
        <v>44562</v>
      </c>
      <c r="B2468" s="181" t="s">
        <v>133</v>
      </c>
      <c r="C2468" s="181" t="s">
        <v>752</v>
      </c>
      <c r="D2468" s="181" t="str">
        <f t="shared" si="43"/>
        <v>39203</v>
      </c>
      <c r="E2468" s="181" t="s">
        <v>15</v>
      </c>
      <c r="F2468" s="181" t="s">
        <v>14</v>
      </c>
      <c r="G2468" s="181" t="s">
        <v>647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0</v>
      </c>
    </row>
    <row r="2469" spans="1:15">
      <c r="A2469" s="191">
        <v>44562</v>
      </c>
      <c r="B2469" s="181" t="s">
        <v>133</v>
      </c>
      <c r="C2469" s="181" t="s">
        <v>753</v>
      </c>
      <c r="D2469" s="181" t="str">
        <f t="shared" si="43"/>
        <v>39203</v>
      </c>
      <c r="E2469" s="181" t="s">
        <v>15</v>
      </c>
      <c r="F2469" s="181" t="s">
        <v>14</v>
      </c>
      <c r="G2469" s="181" t="s">
        <v>647</v>
      </c>
      <c r="H2469" s="8">
        <v>2418605.13</v>
      </c>
      <c r="I2469" s="8">
        <v>33469.300000000003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2452074.4300000002</v>
      </c>
    </row>
    <row r="2470" spans="1:15">
      <c r="A2470" s="191">
        <v>44562</v>
      </c>
      <c r="B2470" s="181" t="s">
        <v>133</v>
      </c>
      <c r="C2470" s="181" t="s">
        <v>754</v>
      </c>
      <c r="D2470" s="181" t="str">
        <f t="shared" si="43"/>
        <v>39203</v>
      </c>
      <c r="E2470" s="181" t="s">
        <v>15</v>
      </c>
      <c r="F2470" s="181" t="s">
        <v>14</v>
      </c>
      <c r="G2470" s="181" t="s">
        <v>647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0</v>
      </c>
    </row>
    <row r="2471" spans="1:15">
      <c r="A2471" s="191">
        <v>44562</v>
      </c>
      <c r="B2471" s="181" t="s">
        <v>133</v>
      </c>
      <c r="C2471" s="181" t="s">
        <v>751</v>
      </c>
      <c r="D2471" s="181" t="str">
        <f t="shared" si="43"/>
        <v>39203</v>
      </c>
      <c r="E2471" s="181" t="s">
        <v>15</v>
      </c>
      <c r="F2471" s="181" t="s">
        <v>14</v>
      </c>
      <c r="G2471" s="181" t="s">
        <v>793</v>
      </c>
      <c r="H2471" s="8">
        <v>40.65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40.65</v>
      </c>
    </row>
    <row r="2472" spans="1:15">
      <c r="A2472" s="191">
        <v>44562</v>
      </c>
      <c r="B2472" s="181" t="s">
        <v>133</v>
      </c>
      <c r="C2472" s="181" t="s">
        <v>753</v>
      </c>
      <c r="D2472" s="181" t="str">
        <f t="shared" si="43"/>
        <v>39203</v>
      </c>
      <c r="E2472" s="181" t="s">
        <v>15</v>
      </c>
      <c r="F2472" s="181" t="s">
        <v>14</v>
      </c>
      <c r="G2472" s="181" t="s">
        <v>793</v>
      </c>
      <c r="H2472" s="8">
        <v>-4.1500000000000004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-4.1500000000000004</v>
      </c>
    </row>
    <row r="2473" spans="1:15">
      <c r="A2473" s="191">
        <v>44593</v>
      </c>
      <c r="B2473" s="181" t="s">
        <v>132</v>
      </c>
      <c r="C2473" s="181" t="s">
        <v>751</v>
      </c>
      <c r="D2473" s="181" t="str">
        <f t="shared" si="43"/>
        <v>39203</v>
      </c>
      <c r="E2473" s="181" t="s">
        <v>15</v>
      </c>
      <c r="F2473" s="181" t="s">
        <v>14</v>
      </c>
      <c r="G2473" s="181" t="s">
        <v>647</v>
      </c>
      <c r="H2473" s="8">
        <v>2743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2743</v>
      </c>
    </row>
    <row r="2474" spans="1:15">
      <c r="A2474" s="191">
        <v>44593</v>
      </c>
      <c r="B2474" s="181" t="s">
        <v>132</v>
      </c>
      <c r="C2474" s="181" t="s">
        <v>752</v>
      </c>
      <c r="D2474" s="181" t="str">
        <f t="shared" si="43"/>
        <v>39203</v>
      </c>
      <c r="E2474" s="181" t="s">
        <v>15</v>
      </c>
      <c r="F2474" s="181" t="s">
        <v>14</v>
      </c>
      <c r="G2474" s="181" t="s">
        <v>647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0</v>
      </c>
    </row>
    <row r="2475" spans="1:15">
      <c r="A2475" s="191">
        <v>44593</v>
      </c>
      <c r="B2475" s="181" t="s">
        <v>132</v>
      </c>
      <c r="C2475" s="181" t="s">
        <v>753</v>
      </c>
      <c r="D2475" s="181" t="str">
        <f t="shared" si="43"/>
        <v>39203</v>
      </c>
      <c r="E2475" s="181" t="s">
        <v>15</v>
      </c>
      <c r="F2475" s="181" t="s">
        <v>14</v>
      </c>
      <c r="G2475" s="181" t="s">
        <v>647</v>
      </c>
      <c r="H2475" s="8">
        <v>2452074.4300000002</v>
      </c>
      <c r="I2475" s="8">
        <v>33492.239999999998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2485566.67</v>
      </c>
    </row>
    <row r="2476" spans="1:15">
      <c r="A2476" s="191">
        <v>44593</v>
      </c>
      <c r="B2476" s="181" t="s">
        <v>132</v>
      </c>
      <c r="C2476" s="181" t="s">
        <v>754</v>
      </c>
      <c r="D2476" s="181" t="str">
        <f t="shared" si="43"/>
        <v>39203</v>
      </c>
      <c r="E2476" s="181" t="s">
        <v>15</v>
      </c>
      <c r="F2476" s="181" t="s">
        <v>14</v>
      </c>
      <c r="G2476" s="181" t="s">
        <v>647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0</v>
      </c>
    </row>
    <row r="2477" spans="1:15">
      <c r="A2477" s="191">
        <v>44593</v>
      </c>
      <c r="B2477" s="181" t="s">
        <v>132</v>
      </c>
      <c r="C2477" s="181" t="s">
        <v>751</v>
      </c>
      <c r="D2477" s="181" t="str">
        <f t="shared" si="43"/>
        <v>39203</v>
      </c>
      <c r="E2477" s="181" t="s">
        <v>15</v>
      </c>
      <c r="F2477" s="181" t="s">
        <v>14</v>
      </c>
      <c r="G2477" s="181" t="s">
        <v>793</v>
      </c>
      <c r="H2477" s="8">
        <v>40.65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40.65</v>
      </c>
    </row>
    <row r="2478" spans="1:15">
      <c r="A2478" s="191">
        <v>44593</v>
      </c>
      <c r="B2478" s="181" t="s">
        <v>132</v>
      </c>
      <c r="C2478" s="181" t="s">
        <v>753</v>
      </c>
      <c r="D2478" s="181" t="str">
        <f t="shared" si="43"/>
        <v>39203</v>
      </c>
      <c r="E2478" s="181" t="s">
        <v>15</v>
      </c>
      <c r="F2478" s="181" t="s">
        <v>14</v>
      </c>
      <c r="G2478" s="181" t="s">
        <v>793</v>
      </c>
      <c r="H2478" s="8">
        <v>-4.1500000000000004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-4.1500000000000004</v>
      </c>
    </row>
    <row r="2479" spans="1:15">
      <c r="A2479" s="191">
        <v>44621</v>
      </c>
      <c r="B2479" s="181" t="s">
        <v>131</v>
      </c>
      <c r="C2479" s="181" t="s">
        <v>751</v>
      </c>
      <c r="D2479" s="181" t="str">
        <f t="shared" si="43"/>
        <v>39203</v>
      </c>
      <c r="E2479" s="181" t="s">
        <v>15</v>
      </c>
      <c r="F2479" s="181" t="s">
        <v>14</v>
      </c>
      <c r="G2479" s="181" t="s">
        <v>647</v>
      </c>
      <c r="H2479" s="8">
        <v>2743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2743</v>
      </c>
    </row>
    <row r="2480" spans="1:15">
      <c r="A2480" s="191">
        <v>44621</v>
      </c>
      <c r="B2480" s="181" t="s">
        <v>131</v>
      </c>
      <c r="C2480" s="181" t="s">
        <v>752</v>
      </c>
      <c r="D2480" s="181" t="str">
        <f t="shared" si="43"/>
        <v>39203</v>
      </c>
      <c r="E2480" s="181" t="s">
        <v>15</v>
      </c>
      <c r="F2480" s="181" t="s">
        <v>14</v>
      </c>
      <c r="G2480" s="181" t="s">
        <v>647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0</v>
      </c>
    </row>
    <row r="2481" spans="1:15">
      <c r="A2481" s="191">
        <v>44621</v>
      </c>
      <c r="B2481" s="181" t="s">
        <v>131</v>
      </c>
      <c r="C2481" s="181" t="s">
        <v>753</v>
      </c>
      <c r="D2481" s="181" t="str">
        <f t="shared" ref="D2481:D2544" si="44">MID(C2481,10,5)</f>
        <v>39203</v>
      </c>
      <c r="E2481" s="181" t="s">
        <v>15</v>
      </c>
      <c r="F2481" s="181" t="s">
        <v>14</v>
      </c>
      <c r="G2481" s="181" t="s">
        <v>647</v>
      </c>
      <c r="H2481" s="8">
        <v>2485566.67</v>
      </c>
      <c r="I2481" s="8">
        <v>33438.870000000003</v>
      </c>
      <c r="J2481" s="8">
        <v>-16251.16</v>
      </c>
      <c r="K2481" s="8">
        <v>0</v>
      </c>
      <c r="L2481" s="8">
        <v>15168</v>
      </c>
      <c r="M2481" s="8">
        <v>0</v>
      </c>
      <c r="N2481" s="8">
        <v>0</v>
      </c>
      <c r="O2481" s="8">
        <v>2517922.38</v>
      </c>
    </row>
    <row r="2482" spans="1:15">
      <c r="A2482" s="191">
        <v>44621</v>
      </c>
      <c r="B2482" s="181" t="s">
        <v>131</v>
      </c>
      <c r="C2482" s="181" t="s">
        <v>754</v>
      </c>
      <c r="D2482" s="181" t="str">
        <f t="shared" si="44"/>
        <v>39203</v>
      </c>
      <c r="E2482" s="181" t="s">
        <v>15</v>
      </c>
      <c r="F2482" s="181" t="s">
        <v>14</v>
      </c>
      <c r="G2482" s="181" t="s">
        <v>647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0</v>
      </c>
    </row>
    <row r="2483" spans="1:15">
      <c r="A2483" s="191">
        <v>44621</v>
      </c>
      <c r="B2483" s="181" t="s">
        <v>131</v>
      </c>
      <c r="C2483" s="181" t="s">
        <v>751</v>
      </c>
      <c r="D2483" s="181" t="str">
        <f t="shared" si="44"/>
        <v>39203</v>
      </c>
      <c r="E2483" s="181" t="s">
        <v>15</v>
      </c>
      <c r="F2483" s="181" t="s">
        <v>14</v>
      </c>
      <c r="G2483" s="181" t="s">
        <v>793</v>
      </c>
      <c r="H2483" s="8">
        <v>40.65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40.65</v>
      </c>
    </row>
    <row r="2484" spans="1:15">
      <c r="A2484" s="191">
        <v>44621</v>
      </c>
      <c r="B2484" s="181" t="s">
        <v>131</v>
      </c>
      <c r="C2484" s="181" t="s">
        <v>753</v>
      </c>
      <c r="D2484" s="181" t="str">
        <f t="shared" si="44"/>
        <v>39203</v>
      </c>
      <c r="E2484" s="181" t="s">
        <v>15</v>
      </c>
      <c r="F2484" s="181" t="s">
        <v>14</v>
      </c>
      <c r="G2484" s="181" t="s">
        <v>793</v>
      </c>
      <c r="H2484" s="8">
        <v>-4.1500000000000004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-4.1500000000000004</v>
      </c>
    </row>
    <row r="2485" spans="1:15">
      <c r="A2485" s="191">
        <v>44652</v>
      </c>
      <c r="B2485" s="181" t="s">
        <v>130</v>
      </c>
      <c r="C2485" s="181" t="s">
        <v>751</v>
      </c>
      <c r="D2485" s="181" t="str">
        <f t="shared" si="44"/>
        <v>39203</v>
      </c>
      <c r="E2485" s="181" t="s">
        <v>15</v>
      </c>
      <c r="F2485" s="181" t="s">
        <v>14</v>
      </c>
      <c r="G2485" s="181" t="s">
        <v>647</v>
      </c>
      <c r="H2485" s="8">
        <v>2743</v>
      </c>
      <c r="I2485" s="8">
        <v>0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2743</v>
      </c>
    </row>
    <row r="2486" spans="1:15">
      <c r="A2486" s="191">
        <v>44652</v>
      </c>
      <c r="B2486" s="181" t="s">
        <v>130</v>
      </c>
      <c r="C2486" s="181" t="s">
        <v>752</v>
      </c>
      <c r="D2486" s="181" t="str">
        <f t="shared" si="44"/>
        <v>39203</v>
      </c>
      <c r="E2486" s="181" t="s">
        <v>15</v>
      </c>
      <c r="F2486" s="181" t="s">
        <v>14</v>
      </c>
      <c r="G2486" s="181" t="s">
        <v>647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0</v>
      </c>
    </row>
    <row r="2487" spans="1:15">
      <c r="A2487" s="191">
        <v>44652</v>
      </c>
      <c r="B2487" s="181" t="s">
        <v>130</v>
      </c>
      <c r="C2487" s="181" t="s">
        <v>753</v>
      </c>
      <c r="D2487" s="181" t="str">
        <f t="shared" si="44"/>
        <v>39203</v>
      </c>
      <c r="E2487" s="181" t="s">
        <v>15</v>
      </c>
      <c r="F2487" s="181" t="s">
        <v>14</v>
      </c>
      <c r="G2487" s="181" t="s">
        <v>647</v>
      </c>
      <c r="H2487" s="8">
        <v>2517922.38</v>
      </c>
      <c r="I2487" s="8">
        <v>33313.97</v>
      </c>
      <c r="J2487" s="8">
        <v>-8973.17</v>
      </c>
      <c r="K2487" s="8">
        <v>0</v>
      </c>
      <c r="L2487" s="8">
        <v>16764</v>
      </c>
      <c r="M2487" s="8">
        <v>0</v>
      </c>
      <c r="N2487" s="8">
        <v>0</v>
      </c>
      <c r="O2487" s="8">
        <v>2559027.1800000002</v>
      </c>
    </row>
    <row r="2488" spans="1:15">
      <c r="A2488" s="191">
        <v>44652</v>
      </c>
      <c r="B2488" s="181" t="s">
        <v>130</v>
      </c>
      <c r="C2488" s="181" t="s">
        <v>754</v>
      </c>
      <c r="D2488" s="181" t="str">
        <f t="shared" si="44"/>
        <v>39203</v>
      </c>
      <c r="E2488" s="181" t="s">
        <v>15</v>
      </c>
      <c r="F2488" s="181" t="s">
        <v>14</v>
      </c>
      <c r="G2488" s="181" t="s">
        <v>647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0</v>
      </c>
    </row>
    <row r="2489" spans="1:15">
      <c r="A2489" s="191">
        <v>44652</v>
      </c>
      <c r="B2489" s="181" t="s">
        <v>130</v>
      </c>
      <c r="C2489" s="181" t="s">
        <v>751</v>
      </c>
      <c r="D2489" s="181" t="str">
        <f t="shared" si="44"/>
        <v>39203</v>
      </c>
      <c r="E2489" s="181" t="s">
        <v>15</v>
      </c>
      <c r="F2489" s="181" t="s">
        <v>14</v>
      </c>
      <c r="G2489" s="181" t="s">
        <v>793</v>
      </c>
      <c r="H2489" s="8">
        <v>40.65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40.65</v>
      </c>
    </row>
    <row r="2490" spans="1:15">
      <c r="A2490" s="191">
        <v>44652</v>
      </c>
      <c r="B2490" s="181" t="s">
        <v>130</v>
      </c>
      <c r="C2490" s="181" t="s">
        <v>753</v>
      </c>
      <c r="D2490" s="181" t="str">
        <f t="shared" si="44"/>
        <v>39203</v>
      </c>
      <c r="E2490" s="181" t="s">
        <v>15</v>
      </c>
      <c r="F2490" s="181" t="s">
        <v>14</v>
      </c>
      <c r="G2490" s="181" t="s">
        <v>793</v>
      </c>
      <c r="H2490" s="8">
        <v>-4.1500000000000004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-4.1500000000000004</v>
      </c>
    </row>
    <row r="2491" spans="1:15">
      <c r="A2491" s="191">
        <v>44682</v>
      </c>
      <c r="B2491" s="181" t="s">
        <v>129</v>
      </c>
      <c r="C2491" s="181" t="s">
        <v>751</v>
      </c>
      <c r="D2491" s="181" t="str">
        <f t="shared" si="44"/>
        <v>39203</v>
      </c>
      <c r="E2491" s="181" t="s">
        <v>15</v>
      </c>
      <c r="F2491" s="181" t="s">
        <v>14</v>
      </c>
      <c r="G2491" s="181" t="s">
        <v>647</v>
      </c>
      <c r="H2491" s="8">
        <v>2743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2743</v>
      </c>
    </row>
    <row r="2492" spans="1:15">
      <c r="A2492" s="191">
        <v>44682</v>
      </c>
      <c r="B2492" s="181" t="s">
        <v>129</v>
      </c>
      <c r="C2492" s="181" t="s">
        <v>752</v>
      </c>
      <c r="D2492" s="181" t="str">
        <f t="shared" si="44"/>
        <v>39203</v>
      </c>
      <c r="E2492" s="181" t="s">
        <v>15</v>
      </c>
      <c r="F2492" s="181" t="s">
        <v>14</v>
      </c>
      <c r="G2492" s="181" t="s">
        <v>647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0</v>
      </c>
    </row>
    <row r="2493" spans="1:15">
      <c r="A2493" s="191">
        <v>44682</v>
      </c>
      <c r="B2493" s="181" t="s">
        <v>129</v>
      </c>
      <c r="C2493" s="181" t="s">
        <v>753</v>
      </c>
      <c r="D2493" s="181" t="str">
        <f t="shared" si="44"/>
        <v>39203</v>
      </c>
      <c r="E2493" s="181" t="s">
        <v>15</v>
      </c>
      <c r="F2493" s="181" t="s">
        <v>14</v>
      </c>
      <c r="G2493" s="181" t="s">
        <v>647</v>
      </c>
      <c r="H2493" s="8">
        <v>2559027.1800000002</v>
      </c>
      <c r="I2493" s="8">
        <v>33169.89</v>
      </c>
      <c r="J2493" s="8">
        <v>-19482.93</v>
      </c>
      <c r="K2493" s="8">
        <v>0</v>
      </c>
      <c r="L2493" s="8">
        <v>14154</v>
      </c>
      <c r="M2493" s="8">
        <v>0</v>
      </c>
      <c r="N2493" s="8">
        <v>0</v>
      </c>
      <c r="O2493" s="8">
        <v>2586868.14</v>
      </c>
    </row>
    <row r="2494" spans="1:15">
      <c r="A2494" s="191">
        <v>44682</v>
      </c>
      <c r="B2494" s="181" t="s">
        <v>129</v>
      </c>
      <c r="C2494" s="181" t="s">
        <v>754</v>
      </c>
      <c r="D2494" s="181" t="str">
        <f t="shared" si="44"/>
        <v>39203</v>
      </c>
      <c r="E2494" s="181" t="s">
        <v>15</v>
      </c>
      <c r="F2494" s="181" t="s">
        <v>14</v>
      </c>
      <c r="G2494" s="181" t="s">
        <v>647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0</v>
      </c>
    </row>
    <row r="2495" spans="1:15">
      <c r="A2495" s="191">
        <v>44682</v>
      </c>
      <c r="B2495" s="181" t="s">
        <v>129</v>
      </c>
      <c r="C2495" s="181" t="s">
        <v>751</v>
      </c>
      <c r="D2495" s="181" t="str">
        <f t="shared" si="44"/>
        <v>39203</v>
      </c>
      <c r="E2495" s="181" t="s">
        <v>15</v>
      </c>
      <c r="F2495" s="181" t="s">
        <v>14</v>
      </c>
      <c r="G2495" s="181" t="s">
        <v>793</v>
      </c>
      <c r="H2495" s="8">
        <v>40.65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40.65</v>
      </c>
    </row>
    <row r="2496" spans="1:15">
      <c r="A2496" s="191">
        <v>44682</v>
      </c>
      <c r="B2496" s="181" t="s">
        <v>129</v>
      </c>
      <c r="C2496" s="181" t="s">
        <v>753</v>
      </c>
      <c r="D2496" s="181" t="str">
        <f t="shared" si="44"/>
        <v>39203</v>
      </c>
      <c r="E2496" s="181" t="s">
        <v>15</v>
      </c>
      <c r="F2496" s="181" t="s">
        <v>14</v>
      </c>
      <c r="G2496" s="181" t="s">
        <v>793</v>
      </c>
      <c r="H2496" s="8">
        <v>-4.1500000000000004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-4.1500000000000004</v>
      </c>
    </row>
    <row r="2497" spans="1:15">
      <c r="A2497" s="191">
        <v>44713</v>
      </c>
      <c r="B2497" s="181" t="s">
        <v>128</v>
      </c>
      <c r="C2497" s="181" t="s">
        <v>751</v>
      </c>
      <c r="D2497" s="181" t="str">
        <f t="shared" si="44"/>
        <v>39203</v>
      </c>
      <c r="E2497" s="181" t="s">
        <v>15</v>
      </c>
      <c r="F2497" s="181" t="s">
        <v>14</v>
      </c>
      <c r="G2497" s="181" t="s">
        <v>647</v>
      </c>
      <c r="H2497" s="8">
        <v>2743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2743</v>
      </c>
    </row>
    <row r="2498" spans="1:15">
      <c r="A2498" s="191">
        <v>44713</v>
      </c>
      <c r="B2498" s="181" t="s">
        <v>128</v>
      </c>
      <c r="C2498" s="181" t="s">
        <v>752</v>
      </c>
      <c r="D2498" s="181" t="str">
        <f t="shared" si="44"/>
        <v>39203</v>
      </c>
      <c r="E2498" s="181" t="s">
        <v>15</v>
      </c>
      <c r="F2498" s="181" t="s">
        <v>14</v>
      </c>
      <c r="G2498" s="181" t="s">
        <v>647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0</v>
      </c>
    </row>
    <row r="2499" spans="1:15">
      <c r="A2499" s="191">
        <v>44713</v>
      </c>
      <c r="B2499" s="181" t="s">
        <v>128</v>
      </c>
      <c r="C2499" s="181" t="s">
        <v>753</v>
      </c>
      <c r="D2499" s="181" t="str">
        <f t="shared" si="44"/>
        <v>39203</v>
      </c>
      <c r="E2499" s="181" t="s">
        <v>15</v>
      </c>
      <c r="F2499" s="181" t="s">
        <v>14</v>
      </c>
      <c r="G2499" s="181" t="s">
        <v>647</v>
      </c>
      <c r="H2499" s="8">
        <v>2586868.14</v>
      </c>
      <c r="I2499" s="8">
        <v>33054.199999999997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2619922.34</v>
      </c>
    </row>
    <row r="2500" spans="1:15">
      <c r="A2500" s="191">
        <v>44713</v>
      </c>
      <c r="B2500" s="181" t="s">
        <v>128</v>
      </c>
      <c r="C2500" s="181" t="s">
        <v>754</v>
      </c>
      <c r="D2500" s="181" t="str">
        <f t="shared" si="44"/>
        <v>39203</v>
      </c>
      <c r="E2500" s="181" t="s">
        <v>15</v>
      </c>
      <c r="F2500" s="181" t="s">
        <v>14</v>
      </c>
      <c r="G2500" s="181" t="s">
        <v>647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0</v>
      </c>
    </row>
    <row r="2501" spans="1:15">
      <c r="A2501" s="191">
        <v>44713</v>
      </c>
      <c r="B2501" s="181" t="s">
        <v>128</v>
      </c>
      <c r="C2501" s="181" t="s">
        <v>751</v>
      </c>
      <c r="D2501" s="181" t="str">
        <f t="shared" si="44"/>
        <v>39203</v>
      </c>
      <c r="E2501" s="181" t="s">
        <v>15</v>
      </c>
      <c r="F2501" s="181" t="s">
        <v>14</v>
      </c>
      <c r="G2501" s="181" t="s">
        <v>793</v>
      </c>
      <c r="H2501" s="8">
        <v>40.65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40.65</v>
      </c>
    </row>
    <row r="2502" spans="1:15">
      <c r="A2502" s="191">
        <v>44713</v>
      </c>
      <c r="B2502" s="181" t="s">
        <v>128</v>
      </c>
      <c r="C2502" s="181" t="s">
        <v>753</v>
      </c>
      <c r="D2502" s="181" t="str">
        <f t="shared" si="44"/>
        <v>39203</v>
      </c>
      <c r="E2502" s="181" t="s">
        <v>15</v>
      </c>
      <c r="F2502" s="181" t="s">
        <v>14</v>
      </c>
      <c r="G2502" s="181" t="s">
        <v>793</v>
      </c>
      <c r="H2502" s="8">
        <v>-4.1500000000000004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-4.1500000000000004</v>
      </c>
    </row>
    <row r="2503" spans="1:15">
      <c r="A2503" s="191">
        <v>44743</v>
      </c>
      <c r="B2503" s="181" t="s">
        <v>127</v>
      </c>
      <c r="C2503" s="181" t="s">
        <v>751</v>
      </c>
      <c r="D2503" s="181" t="str">
        <f t="shared" si="44"/>
        <v>39203</v>
      </c>
      <c r="E2503" s="181" t="s">
        <v>15</v>
      </c>
      <c r="F2503" s="181" t="s">
        <v>14</v>
      </c>
      <c r="G2503" s="181" t="s">
        <v>647</v>
      </c>
      <c r="H2503" s="8">
        <v>2743</v>
      </c>
      <c r="I2503" s="8">
        <v>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2743</v>
      </c>
    </row>
    <row r="2504" spans="1:15">
      <c r="A2504" s="191">
        <v>44743</v>
      </c>
      <c r="B2504" s="181" t="s">
        <v>127</v>
      </c>
      <c r="C2504" s="181" t="s">
        <v>752</v>
      </c>
      <c r="D2504" s="181" t="str">
        <f t="shared" si="44"/>
        <v>39203</v>
      </c>
      <c r="E2504" s="181" t="s">
        <v>15</v>
      </c>
      <c r="F2504" s="181" t="s">
        <v>14</v>
      </c>
      <c r="G2504" s="181" t="s">
        <v>647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0</v>
      </c>
    </row>
    <row r="2505" spans="1:15">
      <c r="A2505" s="191">
        <v>44743</v>
      </c>
      <c r="B2505" s="181" t="s">
        <v>127</v>
      </c>
      <c r="C2505" s="181" t="s">
        <v>753</v>
      </c>
      <c r="D2505" s="181" t="str">
        <f t="shared" si="44"/>
        <v>39203</v>
      </c>
      <c r="E2505" s="181" t="s">
        <v>15</v>
      </c>
      <c r="F2505" s="181" t="s">
        <v>14</v>
      </c>
      <c r="G2505" s="181" t="s">
        <v>647</v>
      </c>
      <c r="H2505" s="8">
        <v>2619922.34</v>
      </c>
      <c r="I2505" s="8">
        <v>32738.799999999999</v>
      </c>
      <c r="J2505" s="8">
        <v>-53228.73</v>
      </c>
      <c r="K2505" s="8">
        <v>0</v>
      </c>
      <c r="L2505" s="8">
        <v>34600</v>
      </c>
      <c r="M2505" s="8">
        <v>0</v>
      </c>
      <c r="N2505" s="8">
        <v>0</v>
      </c>
      <c r="O2505" s="8">
        <v>2634032.41</v>
      </c>
    </row>
    <row r="2506" spans="1:15">
      <c r="A2506" s="191">
        <v>44743</v>
      </c>
      <c r="B2506" s="181" t="s">
        <v>127</v>
      </c>
      <c r="C2506" s="181" t="s">
        <v>754</v>
      </c>
      <c r="D2506" s="181" t="str">
        <f t="shared" si="44"/>
        <v>39203</v>
      </c>
      <c r="E2506" s="181" t="s">
        <v>15</v>
      </c>
      <c r="F2506" s="181" t="s">
        <v>14</v>
      </c>
      <c r="G2506" s="181" t="s">
        <v>647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0</v>
      </c>
    </row>
    <row r="2507" spans="1:15">
      <c r="A2507" s="191">
        <v>44743</v>
      </c>
      <c r="B2507" s="181" t="s">
        <v>127</v>
      </c>
      <c r="C2507" s="181" t="s">
        <v>751</v>
      </c>
      <c r="D2507" s="181" t="str">
        <f t="shared" si="44"/>
        <v>39203</v>
      </c>
      <c r="E2507" s="181" t="s">
        <v>15</v>
      </c>
      <c r="F2507" s="181" t="s">
        <v>14</v>
      </c>
      <c r="G2507" s="181" t="s">
        <v>793</v>
      </c>
      <c r="H2507" s="8">
        <v>40.65</v>
      </c>
      <c r="I2507" s="8">
        <v>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40.65</v>
      </c>
    </row>
    <row r="2508" spans="1:15">
      <c r="A2508" s="191">
        <v>44743</v>
      </c>
      <c r="B2508" s="181" t="s">
        <v>127</v>
      </c>
      <c r="C2508" s="181" t="s">
        <v>753</v>
      </c>
      <c r="D2508" s="181" t="str">
        <f t="shared" si="44"/>
        <v>39203</v>
      </c>
      <c r="E2508" s="181" t="s">
        <v>15</v>
      </c>
      <c r="F2508" s="181" t="s">
        <v>14</v>
      </c>
      <c r="G2508" s="181" t="s">
        <v>793</v>
      </c>
      <c r="H2508" s="8">
        <v>-4.1500000000000004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-4.1500000000000004</v>
      </c>
    </row>
    <row r="2509" spans="1:15">
      <c r="A2509" s="191">
        <v>44774</v>
      </c>
      <c r="B2509" s="181" t="s">
        <v>126</v>
      </c>
      <c r="C2509" s="181" t="s">
        <v>751</v>
      </c>
      <c r="D2509" s="181" t="str">
        <f t="shared" si="44"/>
        <v>39203</v>
      </c>
      <c r="E2509" s="181" t="s">
        <v>15</v>
      </c>
      <c r="F2509" s="181" t="s">
        <v>14</v>
      </c>
      <c r="G2509" s="181" t="s">
        <v>647</v>
      </c>
      <c r="H2509" s="8">
        <v>2743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2743</v>
      </c>
    </row>
    <row r="2510" spans="1:15">
      <c r="A2510" s="191">
        <v>44774</v>
      </c>
      <c r="B2510" s="181" t="s">
        <v>126</v>
      </c>
      <c r="C2510" s="181" t="s">
        <v>752</v>
      </c>
      <c r="D2510" s="181" t="str">
        <f t="shared" si="44"/>
        <v>39203</v>
      </c>
      <c r="E2510" s="181" t="s">
        <v>15</v>
      </c>
      <c r="F2510" s="181" t="s">
        <v>14</v>
      </c>
      <c r="G2510" s="181" t="s">
        <v>647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0</v>
      </c>
    </row>
    <row r="2511" spans="1:15">
      <c r="A2511" s="191">
        <v>44774</v>
      </c>
      <c r="B2511" s="181" t="s">
        <v>126</v>
      </c>
      <c r="C2511" s="181" t="s">
        <v>753</v>
      </c>
      <c r="D2511" s="181" t="str">
        <f t="shared" si="44"/>
        <v>39203</v>
      </c>
      <c r="E2511" s="181" t="s">
        <v>15</v>
      </c>
      <c r="F2511" s="181" t="s">
        <v>14</v>
      </c>
      <c r="G2511" s="181" t="s">
        <v>647</v>
      </c>
      <c r="H2511" s="8">
        <v>2634032.41</v>
      </c>
      <c r="I2511" s="8">
        <v>32772.57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2666804.98</v>
      </c>
    </row>
    <row r="2512" spans="1:15">
      <c r="A2512" s="191">
        <v>44774</v>
      </c>
      <c r="B2512" s="181" t="s">
        <v>126</v>
      </c>
      <c r="C2512" s="181" t="s">
        <v>754</v>
      </c>
      <c r="D2512" s="181" t="str">
        <f t="shared" si="44"/>
        <v>39203</v>
      </c>
      <c r="E2512" s="181" t="s">
        <v>15</v>
      </c>
      <c r="F2512" s="181" t="s">
        <v>14</v>
      </c>
      <c r="G2512" s="181" t="s">
        <v>647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0</v>
      </c>
    </row>
    <row r="2513" spans="1:15">
      <c r="A2513" s="191">
        <v>44774</v>
      </c>
      <c r="B2513" s="181" t="s">
        <v>126</v>
      </c>
      <c r="C2513" s="181" t="s">
        <v>751</v>
      </c>
      <c r="D2513" s="181" t="str">
        <f t="shared" si="44"/>
        <v>39203</v>
      </c>
      <c r="E2513" s="181" t="s">
        <v>15</v>
      </c>
      <c r="F2513" s="181" t="s">
        <v>14</v>
      </c>
      <c r="G2513" s="181" t="s">
        <v>793</v>
      </c>
      <c r="H2513" s="8">
        <v>40.65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40.65</v>
      </c>
    </row>
    <row r="2514" spans="1:15">
      <c r="A2514" s="191">
        <v>44774</v>
      </c>
      <c r="B2514" s="181" t="s">
        <v>126</v>
      </c>
      <c r="C2514" s="181" t="s">
        <v>753</v>
      </c>
      <c r="D2514" s="181" t="str">
        <f t="shared" si="44"/>
        <v>39203</v>
      </c>
      <c r="E2514" s="181" t="s">
        <v>15</v>
      </c>
      <c r="F2514" s="181" t="s">
        <v>14</v>
      </c>
      <c r="G2514" s="181" t="s">
        <v>793</v>
      </c>
      <c r="H2514" s="8">
        <v>-4.1500000000000004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-4.1500000000000004</v>
      </c>
    </row>
    <row r="2515" spans="1:15">
      <c r="A2515" s="191">
        <v>44805</v>
      </c>
      <c r="B2515" s="181" t="s">
        <v>125</v>
      </c>
      <c r="C2515" s="181" t="s">
        <v>751</v>
      </c>
      <c r="D2515" s="181" t="str">
        <f t="shared" si="44"/>
        <v>39203</v>
      </c>
      <c r="E2515" s="181" t="s">
        <v>15</v>
      </c>
      <c r="F2515" s="181" t="s">
        <v>14</v>
      </c>
      <c r="G2515" s="181" t="s">
        <v>647</v>
      </c>
      <c r="H2515" s="8">
        <v>2743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2743</v>
      </c>
    </row>
    <row r="2516" spans="1:15">
      <c r="A2516" s="191">
        <v>44805</v>
      </c>
      <c r="B2516" s="181" t="s">
        <v>125</v>
      </c>
      <c r="C2516" s="181" t="s">
        <v>752</v>
      </c>
      <c r="D2516" s="181" t="str">
        <f t="shared" si="44"/>
        <v>39203</v>
      </c>
      <c r="E2516" s="181" t="s">
        <v>15</v>
      </c>
      <c r="F2516" s="181" t="s">
        <v>14</v>
      </c>
      <c r="G2516" s="181" t="s">
        <v>647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0</v>
      </c>
    </row>
    <row r="2517" spans="1:15">
      <c r="A2517" s="191">
        <v>44805</v>
      </c>
      <c r="B2517" s="181" t="s">
        <v>125</v>
      </c>
      <c r="C2517" s="181" t="s">
        <v>753</v>
      </c>
      <c r="D2517" s="181" t="str">
        <f t="shared" si="44"/>
        <v>39203</v>
      </c>
      <c r="E2517" s="181" t="s">
        <v>15</v>
      </c>
      <c r="F2517" s="181" t="s">
        <v>14</v>
      </c>
      <c r="G2517" s="181" t="s">
        <v>647</v>
      </c>
      <c r="H2517" s="8">
        <v>2666804.98</v>
      </c>
      <c r="I2517" s="8">
        <v>33795.94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2700600.92</v>
      </c>
    </row>
    <row r="2518" spans="1:15">
      <c r="A2518" s="191">
        <v>44805</v>
      </c>
      <c r="B2518" s="181" t="s">
        <v>125</v>
      </c>
      <c r="C2518" s="181" t="s">
        <v>754</v>
      </c>
      <c r="D2518" s="181" t="str">
        <f t="shared" si="44"/>
        <v>39203</v>
      </c>
      <c r="E2518" s="181" t="s">
        <v>15</v>
      </c>
      <c r="F2518" s="181" t="s">
        <v>14</v>
      </c>
      <c r="G2518" s="181" t="s">
        <v>647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0</v>
      </c>
    </row>
    <row r="2519" spans="1:15">
      <c r="A2519" s="191">
        <v>44805</v>
      </c>
      <c r="B2519" s="181" t="s">
        <v>125</v>
      </c>
      <c r="C2519" s="181" t="s">
        <v>751</v>
      </c>
      <c r="D2519" s="181" t="str">
        <f t="shared" si="44"/>
        <v>39203</v>
      </c>
      <c r="E2519" s="181" t="s">
        <v>15</v>
      </c>
      <c r="F2519" s="181" t="s">
        <v>14</v>
      </c>
      <c r="G2519" s="181" t="s">
        <v>793</v>
      </c>
      <c r="H2519" s="8">
        <v>40.65</v>
      </c>
      <c r="I2519" s="8">
        <v>0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40.65</v>
      </c>
    </row>
    <row r="2520" spans="1:15">
      <c r="A2520" s="191">
        <v>44805</v>
      </c>
      <c r="B2520" s="181" t="s">
        <v>125</v>
      </c>
      <c r="C2520" s="181" t="s">
        <v>753</v>
      </c>
      <c r="D2520" s="181" t="str">
        <f t="shared" si="44"/>
        <v>39203</v>
      </c>
      <c r="E2520" s="181" t="s">
        <v>15</v>
      </c>
      <c r="F2520" s="181" t="s">
        <v>14</v>
      </c>
      <c r="G2520" s="181" t="s">
        <v>793</v>
      </c>
      <c r="H2520" s="8">
        <v>-4.1500000000000004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-4.1500000000000004</v>
      </c>
    </row>
    <row r="2521" spans="1:15">
      <c r="A2521" s="191">
        <v>44835</v>
      </c>
      <c r="B2521" s="181" t="s">
        <v>124</v>
      </c>
      <c r="C2521" s="181" t="s">
        <v>751</v>
      </c>
      <c r="D2521" s="181" t="str">
        <f t="shared" si="44"/>
        <v>39203</v>
      </c>
      <c r="E2521" s="181" t="s">
        <v>15</v>
      </c>
      <c r="F2521" s="181" t="s">
        <v>14</v>
      </c>
      <c r="G2521" s="181" t="s">
        <v>647</v>
      </c>
      <c r="H2521" s="8">
        <v>2743</v>
      </c>
      <c r="I2521" s="8">
        <v>0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2743</v>
      </c>
    </row>
    <row r="2522" spans="1:15">
      <c r="A2522" s="191">
        <v>44835</v>
      </c>
      <c r="B2522" s="181" t="s">
        <v>124</v>
      </c>
      <c r="C2522" s="181" t="s">
        <v>752</v>
      </c>
      <c r="D2522" s="181" t="str">
        <f t="shared" si="44"/>
        <v>39203</v>
      </c>
      <c r="E2522" s="181" t="s">
        <v>15</v>
      </c>
      <c r="F2522" s="181" t="s">
        <v>14</v>
      </c>
      <c r="G2522" s="181" t="s">
        <v>647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0</v>
      </c>
    </row>
    <row r="2523" spans="1:15">
      <c r="A2523" s="191">
        <v>44835</v>
      </c>
      <c r="B2523" s="181" t="s">
        <v>124</v>
      </c>
      <c r="C2523" s="181" t="s">
        <v>753</v>
      </c>
      <c r="D2523" s="181" t="str">
        <f t="shared" si="44"/>
        <v>39203</v>
      </c>
      <c r="E2523" s="181" t="s">
        <v>15</v>
      </c>
      <c r="F2523" s="181" t="s">
        <v>14</v>
      </c>
      <c r="G2523" s="181" t="s">
        <v>647</v>
      </c>
      <c r="H2523" s="8">
        <v>2700600.92</v>
      </c>
      <c r="I2523" s="8">
        <v>34484.520000000004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2735085.44</v>
      </c>
    </row>
    <row r="2524" spans="1:15">
      <c r="A2524" s="191">
        <v>44835</v>
      </c>
      <c r="B2524" s="181" t="s">
        <v>124</v>
      </c>
      <c r="C2524" s="181" t="s">
        <v>754</v>
      </c>
      <c r="D2524" s="181" t="str">
        <f t="shared" si="44"/>
        <v>39203</v>
      </c>
      <c r="E2524" s="181" t="s">
        <v>15</v>
      </c>
      <c r="F2524" s="181" t="s">
        <v>14</v>
      </c>
      <c r="G2524" s="181" t="s">
        <v>647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0</v>
      </c>
    </row>
    <row r="2525" spans="1:15">
      <c r="A2525" s="191">
        <v>44835</v>
      </c>
      <c r="B2525" s="181" t="s">
        <v>124</v>
      </c>
      <c r="C2525" s="181" t="s">
        <v>751</v>
      </c>
      <c r="D2525" s="181" t="str">
        <f t="shared" si="44"/>
        <v>39203</v>
      </c>
      <c r="E2525" s="181" t="s">
        <v>15</v>
      </c>
      <c r="F2525" s="181" t="s">
        <v>14</v>
      </c>
      <c r="G2525" s="181" t="s">
        <v>793</v>
      </c>
      <c r="H2525" s="8">
        <v>40.65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40.65</v>
      </c>
    </row>
    <row r="2526" spans="1:15">
      <c r="A2526" s="191">
        <v>44835</v>
      </c>
      <c r="B2526" s="181" t="s">
        <v>124</v>
      </c>
      <c r="C2526" s="181" t="s">
        <v>753</v>
      </c>
      <c r="D2526" s="181" t="str">
        <f t="shared" si="44"/>
        <v>39203</v>
      </c>
      <c r="E2526" s="181" t="s">
        <v>15</v>
      </c>
      <c r="F2526" s="181" t="s">
        <v>14</v>
      </c>
      <c r="G2526" s="181" t="s">
        <v>793</v>
      </c>
      <c r="H2526" s="8">
        <v>-4.1500000000000004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-4.1500000000000004</v>
      </c>
    </row>
    <row r="2527" spans="1:15">
      <c r="A2527" s="191">
        <v>44866</v>
      </c>
      <c r="B2527" s="181" t="s">
        <v>123</v>
      </c>
      <c r="C2527" s="181" t="s">
        <v>751</v>
      </c>
      <c r="D2527" s="181" t="str">
        <f t="shared" si="44"/>
        <v>39203</v>
      </c>
      <c r="E2527" s="181" t="s">
        <v>15</v>
      </c>
      <c r="F2527" s="181" t="s">
        <v>14</v>
      </c>
      <c r="G2527" s="181" t="s">
        <v>647</v>
      </c>
      <c r="H2527" s="8">
        <v>2743</v>
      </c>
      <c r="I2527" s="8">
        <v>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2743</v>
      </c>
    </row>
    <row r="2528" spans="1:15">
      <c r="A2528" s="191">
        <v>44866</v>
      </c>
      <c r="B2528" s="181" t="s">
        <v>123</v>
      </c>
      <c r="C2528" s="181" t="s">
        <v>752</v>
      </c>
      <c r="D2528" s="181" t="str">
        <f t="shared" si="44"/>
        <v>39203</v>
      </c>
      <c r="E2528" s="181" t="s">
        <v>15</v>
      </c>
      <c r="F2528" s="181" t="s">
        <v>14</v>
      </c>
      <c r="G2528" s="181" t="s">
        <v>647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0</v>
      </c>
    </row>
    <row r="2529" spans="1:15">
      <c r="A2529" s="191">
        <v>44866</v>
      </c>
      <c r="B2529" s="181" t="s">
        <v>123</v>
      </c>
      <c r="C2529" s="181" t="s">
        <v>753</v>
      </c>
      <c r="D2529" s="181" t="str">
        <f t="shared" si="44"/>
        <v>39203</v>
      </c>
      <c r="E2529" s="181" t="s">
        <v>15</v>
      </c>
      <c r="F2529" s="181" t="s">
        <v>14</v>
      </c>
      <c r="G2529" s="181" t="s">
        <v>647</v>
      </c>
      <c r="H2529" s="8">
        <v>2735085.44</v>
      </c>
      <c r="I2529" s="8">
        <v>34992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2770077.44</v>
      </c>
    </row>
    <row r="2530" spans="1:15">
      <c r="A2530" s="191">
        <v>44866</v>
      </c>
      <c r="B2530" s="181" t="s">
        <v>123</v>
      </c>
      <c r="C2530" s="181" t="s">
        <v>754</v>
      </c>
      <c r="D2530" s="181" t="str">
        <f t="shared" si="44"/>
        <v>39203</v>
      </c>
      <c r="E2530" s="181" t="s">
        <v>15</v>
      </c>
      <c r="F2530" s="181" t="s">
        <v>14</v>
      </c>
      <c r="G2530" s="181" t="s">
        <v>647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0</v>
      </c>
    </row>
    <row r="2531" spans="1:15">
      <c r="A2531" s="191">
        <v>44866</v>
      </c>
      <c r="B2531" s="181" t="s">
        <v>123</v>
      </c>
      <c r="C2531" s="181" t="s">
        <v>751</v>
      </c>
      <c r="D2531" s="181" t="str">
        <f t="shared" si="44"/>
        <v>39203</v>
      </c>
      <c r="E2531" s="181" t="s">
        <v>15</v>
      </c>
      <c r="F2531" s="181" t="s">
        <v>14</v>
      </c>
      <c r="G2531" s="181" t="s">
        <v>793</v>
      </c>
      <c r="H2531" s="8">
        <v>40.65</v>
      </c>
      <c r="I2531" s="8">
        <v>0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40.65</v>
      </c>
    </row>
    <row r="2532" spans="1:15">
      <c r="A2532" s="191">
        <v>44866</v>
      </c>
      <c r="B2532" s="181" t="s">
        <v>123</v>
      </c>
      <c r="C2532" s="181" t="s">
        <v>753</v>
      </c>
      <c r="D2532" s="181" t="str">
        <f t="shared" si="44"/>
        <v>39203</v>
      </c>
      <c r="E2532" s="181" t="s">
        <v>15</v>
      </c>
      <c r="F2532" s="181" t="s">
        <v>14</v>
      </c>
      <c r="G2532" s="181" t="s">
        <v>793</v>
      </c>
      <c r="H2532" s="8">
        <v>-4.1500000000000004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-4.1500000000000004</v>
      </c>
    </row>
    <row r="2533" spans="1:15">
      <c r="A2533" s="191">
        <v>44896</v>
      </c>
      <c r="B2533" s="181" t="s">
        <v>122</v>
      </c>
      <c r="C2533" s="181" t="s">
        <v>751</v>
      </c>
      <c r="D2533" s="181" t="str">
        <f t="shared" si="44"/>
        <v>39203</v>
      </c>
      <c r="E2533" s="181" t="s">
        <v>15</v>
      </c>
      <c r="F2533" s="181" t="s">
        <v>14</v>
      </c>
      <c r="G2533" s="181" t="s">
        <v>647</v>
      </c>
      <c r="H2533" s="8">
        <v>2743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2743</v>
      </c>
    </row>
    <row r="2534" spans="1:15">
      <c r="A2534" s="191">
        <v>44896</v>
      </c>
      <c r="B2534" s="181" t="s">
        <v>122</v>
      </c>
      <c r="C2534" s="181" t="s">
        <v>752</v>
      </c>
      <c r="D2534" s="181" t="str">
        <f t="shared" si="44"/>
        <v>39203</v>
      </c>
      <c r="E2534" s="181" t="s">
        <v>15</v>
      </c>
      <c r="F2534" s="181" t="s">
        <v>14</v>
      </c>
      <c r="G2534" s="181" t="s">
        <v>647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0</v>
      </c>
    </row>
    <row r="2535" spans="1:15">
      <c r="A2535" s="191">
        <v>44896</v>
      </c>
      <c r="B2535" s="181" t="s">
        <v>122</v>
      </c>
      <c r="C2535" s="181" t="s">
        <v>753</v>
      </c>
      <c r="D2535" s="181" t="str">
        <f t="shared" si="44"/>
        <v>39203</v>
      </c>
      <c r="E2535" s="181" t="s">
        <v>15</v>
      </c>
      <c r="F2535" s="181" t="s">
        <v>14</v>
      </c>
      <c r="G2535" s="181" t="s">
        <v>647</v>
      </c>
      <c r="H2535" s="8">
        <v>2770077.44</v>
      </c>
      <c r="I2535" s="8">
        <v>34859.22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2804936.66</v>
      </c>
    </row>
    <row r="2536" spans="1:15">
      <c r="A2536" s="191">
        <v>44896</v>
      </c>
      <c r="B2536" s="181" t="s">
        <v>122</v>
      </c>
      <c r="C2536" s="181" t="s">
        <v>754</v>
      </c>
      <c r="D2536" s="181" t="str">
        <f t="shared" si="44"/>
        <v>39203</v>
      </c>
      <c r="E2536" s="181" t="s">
        <v>15</v>
      </c>
      <c r="F2536" s="181" t="s">
        <v>14</v>
      </c>
      <c r="G2536" s="181" t="s">
        <v>647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0</v>
      </c>
    </row>
    <row r="2537" spans="1:15">
      <c r="A2537" s="191">
        <v>44896</v>
      </c>
      <c r="B2537" s="181" t="s">
        <v>122</v>
      </c>
      <c r="C2537" s="181" t="s">
        <v>751</v>
      </c>
      <c r="D2537" s="181" t="str">
        <f t="shared" si="44"/>
        <v>39203</v>
      </c>
      <c r="E2537" s="181" t="s">
        <v>15</v>
      </c>
      <c r="F2537" s="181" t="s">
        <v>14</v>
      </c>
      <c r="G2537" s="181" t="s">
        <v>793</v>
      </c>
      <c r="H2537" s="8">
        <v>40.65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40.65</v>
      </c>
    </row>
    <row r="2538" spans="1:15">
      <c r="A2538" s="191">
        <v>44896</v>
      </c>
      <c r="B2538" s="181" t="s">
        <v>122</v>
      </c>
      <c r="C2538" s="181" t="s">
        <v>753</v>
      </c>
      <c r="D2538" s="181" t="str">
        <f t="shared" si="44"/>
        <v>39203</v>
      </c>
      <c r="E2538" s="181" t="s">
        <v>15</v>
      </c>
      <c r="F2538" s="181" t="s">
        <v>14</v>
      </c>
      <c r="G2538" s="181" t="s">
        <v>793</v>
      </c>
      <c r="H2538" s="8">
        <v>-4.1500000000000004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-4.1500000000000004</v>
      </c>
    </row>
    <row r="2539" spans="1:15">
      <c r="A2539" s="191">
        <v>44531</v>
      </c>
      <c r="B2539" s="181" t="s">
        <v>13</v>
      </c>
      <c r="C2539" s="181" t="s">
        <v>755</v>
      </c>
      <c r="D2539" s="181" t="str">
        <f t="shared" si="44"/>
        <v>39204</v>
      </c>
      <c r="E2539" s="181" t="s">
        <v>15</v>
      </c>
      <c r="F2539" s="181" t="s">
        <v>14</v>
      </c>
      <c r="G2539" s="181" t="s">
        <v>647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0</v>
      </c>
    </row>
    <row r="2540" spans="1:15">
      <c r="A2540" s="191">
        <v>44531</v>
      </c>
      <c r="B2540" s="181" t="s">
        <v>13</v>
      </c>
      <c r="C2540" s="181" t="s">
        <v>756</v>
      </c>
      <c r="D2540" s="181" t="str">
        <f t="shared" si="44"/>
        <v>39204</v>
      </c>
      <c r="E2540" s="181" t="s">
        <v>15</v>
      </c>
      <c r="F2540" s="181" t="s">
        <v>14</v>
      </c>
      <c r="G2540" s="181" t="s">
        <v>647</v>
      </c>
      <c r="H2540" s="8">
        <v>-4327.05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-4327.05</v>
      </c>
    </row>
    <row r="2541" spans="1:15">
      <c r="A2541" s="191">
        <v>44531</v>
      </c>
      <c r="B2541" s="181" t="s">
        <v>13</v>
      </c>
      <c r="C2541" s="181" t="s">
        <v>757</v>
      </c>
      <c r="D2541" s="181" t="str">
        <f t="shared" si="44"/>
        <v>39204</v>
      </c>
      <c r="E2541" s="181" t="s">
        <v>15</v>
      </c>
      <c r="F2541" s="181" t="s">
        <v>14</v>
      </c>
      <c r="G2541" s="181" t="s">
        <v>647</v>
      </c>
      <c r="H2541" s="8">
        <v>0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0</v>
      </c>
    </row>
    <row r="2542" spans="1:15">
      <c r="A2542" s="191">
        <v>44531</v>
      </c>
      <c r="B2542" s="181" t="s">
        <v>13</v>
      </c>
      <c r="C2542" s="181" t="s">
        <v>758</v>
      </c>
      <c r="D2542" s="181" t="str">
        <f t="shared" si="44"/>
        <v>39204</v>
      </c>
      <c r="E2542" s="181" t="s">
        <v>15</v>
      </c>
      <c r="F2542" s="181" t="s">
        <v>14</v>
      </c>
      <c r="G2542" s="181" t="s">
        <v>647</v>
      </c>
      <c r="H2542" s="8">
        <v>970876.70000000007</v>
      </c>
      <c r="I2542" s="8">
        <v>17756.830000000002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988633.53</v>
      </c>
    </row>
    <row r="2543" spans="1:15">
      <c r="A2543" s="191">
        <v>44531</v>
      </c>
      <c r="B2543" s="181" t="s">
        <v>13</v>
      </c>
      <c r="C2543" s="181" t="s">
        <v>758</v>
      </c>
      <c r="D2543" s="181" t="str">
        <f t="shared" si="44"/>
        <v>39204</v>
      </c>
      <c r="E2543" s="181" t="s">
        <v>15</v>
      </c>
      <c r="F2543" s="181" t="s">
        <v>14</v>
      </c>
      <c r="G2543" s="181" t="s">
        <v>793</v>
      </c>
      <c r="H2543" s="8">
        <v>125.02</v>
      </c>
      <c r="I2543" s="8">
        <v>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125.02</v>
      </c>
    </row>
    <row r="2544" spans="1:15">
      <c r="A2544" s="191">
        <v>44562</v>
      </c>
      <c r="B2544" s="181" t="s">
        <v>133</v>
      </c>
      <c r="C2544" s="181" t="s">
        <v>755</v>
      </c>
      <c r="D2544" s="181" t="str">
        <f t="shared" si="44"/>
        <v>39204</v>
      </c>
      <c r="E2544" s="181" t="s">
        <v>15</v>
      </c>
      <c r="F2544" s="181" t="s">
        <v>14</v>
      </c>
      <c r="G2544" s="181" t="s">
        <v>647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0</v>
      </c>
    </row>
    <row r="2545" spans="1:15">
      <c r="A2545" s="191">
        <v>44562</v>
      </c>
      <c r="B2545" s="181" t="s">
        <v>133</v>
      </c>
      <c r="C2545" s="181" t="s">
        <v>756</v>
      </c>
      <c r="D2545" s="181" t="str">
        <f t="shared" ref="D2545:D2608" si="45">MID(C2545,10,5)</f>
        <v>39204</v>
      </c>
      <c r="E2545" s="181" t="s">
        <v>15</v>
      </c>
      <c r="F2545" s="181" t="s">
        <v>14</v>
      </c>
      <c r="G2545" s="181" t="s">
        <v>647</v>
      </c>
      <c r="H2545" s="8">
        <v>-4327.05</v>
      </c>
      <c r="I2545" s="8">
        <v>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-4327.05</v>
      </c>
    </row>
    <row r="2546" spans="1:15">
      <c r="A2546" s="191">
        <v>44562</v>
      </c>
      <c r="B2546" s="181" t="s">
        <v>133</v>
      </c>
      <c r="C2546" s="181" t="s">
        <v>757</v>
      </c>
      <c r="D2546" s="181" t="str">
        <f t="shared" si="45"/>
        <v>39204</v>
      </c>
      <c r="E2546" s="181" t="s">
        <v>15</v>
      </c>
      <c r="F2546" s="181" t="s">
        <v>14</v>
      </c>
      <c r="G2546" s="181" t="s">
        <v>647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0</v>
      </c>
    </row>
    <row r="2547" spans="1:15">
      <c r="A2547" s="191">
        <v>44562</v>
      </c>
      <c r="B2547" s="181" t="s">
        <v>133</v>
      </c>
      <c r="C2547" s="181" t="s">
        <v>758</v>
      </c>
      <c r="D2547" s="181" t="str">
        <f t="shared" si="45"/>
        <v>39204</v>
      </c>
      <c r="E2547" s="181" t="s">
        <v>15</v>
      </c>
      <c r="F2547" s="181" t="s">
        <v>14</v>
      </c>
      <c r="G2547" s="181" t="s">
        <v>647</v>
      </c>
      <c r="H2547" s="8">
        <v>988633.53</v>
      </c>
      <c r="I2547" s="8">
        <v>18254.77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1006888.3</v>
      </c>
    </row>
    <row r="2548" spans="1:15">
      <c r="A2548" s="191">
        <v>44562</v>
      </c>
      <c r="B2548" s="181" t="s">
        <v>133</v>
      </c>
      <c r="C2548" s="181" t="s">
        <v>758</v>
      </c>
      <c r="D2548" s="181" t="str">
        <f t="shared" si="45"/>
        <v>39204</v>
      </c>
      <c r="E2548" s="181" t="s">
        <v>15</v>
      </c>
      <c r="F2548" s="181" t="s">
        <v>14</v>
      </c>
      <c r="G2548" s="181" t="s">
        <v>793</v>
      </c>
      <c r="H2548" s="8">
        <v>125.02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125.02</v>
      </c>
    </row>
    <row r="2549" spans="1:15">
      <c r="A2549" s="191">
        <v>44593</v>
      </c>
      <c r="B2549" s="181" t="s">
        <v>132</v>
      </c>
      <c r="C2549" s="181" t="s">
        <v>755</v>
      </c>
      <c r="D2549" s="181" t="str">
        <f t="shared" si="45"/>
        <v>39204</v>
      </c>
      <c r="E2549" s="181" t="s">
        <v>15</v>
      </c>
      <c r="F2549" s="181" t="s">
        <v>14</v>
      </c>
      <c r="G2549" s="181" t="s">
        <v>647</v>
      </c>
      <c r="H2549" s="8">
        <v>0</v>
      </c>
      <c r="I2549" s="8">
        <v>0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0</v>
      </c>
    </row>
    <row r="2550" spans="1:15">
      <c r="A2550" s="191">
        <v>44593</v>
      </c>
      <c r="B2550" s="181" t="s">
        <v>132</v>
      </c>
      <c r="C2550" s="181" t="s">
        <v>756</v>
      </c>
      <c r="D2550" s="181" t="str">
        <f t="shared" si="45"/>
        <v>39204</v>
      </c>
      <c r="E2550" s="181" t="s">
        <v>15</v>
      </c>
      <c r="F2550" s="181" t="s">
        <v>14</v>
      </c>
      <c r="G2550" s="181" t="s">
        <v>647</v>
      </c>
      <c r="H2550" s="8">
        <v>-4327.05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-4327.05</v>
      </c>
    </row>
    <row r="2551" spans="1:15">
      <c r="A2551" s="191">
        <v>44593</v>
      </c>
      <c r="B2551" s="181" t="s">
        <v>132</v>
      </c>
      <c r="C2551" s="181" t="s">
        <v>757</v>
      </c>
      <c r="D2551" s="181" t="str">
        <f t="shared" si="45"/>
        <v>39204</v>
      </c>
      <c r="E2551" s="181" t="s">
        <v>15</v>
      </c>
      <c r="F2551" s="181" t="s">
        <v>14</v>
      </c>
      <c r="G2551" s="181" t="s">
        <v>647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0</v>
      </c>
    </row>
    <row r="2552" spans="1:15">
      <c r="A2552" s="191">
        <v>44593</v>
      </c>
      <c r="B2552" s="181" t="s">
        <v>132</v>
      </c>
      <c r="C2552" s="181" t="s">
        <v>758</v>
      </c>
      <c r="D2552" s="181" t="str">
        <f t="shared" si="45"/>
        <v>39204</v>
      </c>
      <c r="E2552" s="181" t="s">
        <v>15</v>
      </c>
      <c r="F2552" s="181" t="s">
        <v>14</v>
      </c>
      <c r="G2552" s="181" t="s">
        <v>647</v>
      </c>
      <c r="H2552" s="8">
        <v>1006888.3</v>
      </c>
      <c r="I2552" s="8">
        <v>18279.600000000002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1025167.9</v>
      </c>
    </row>
    <row r="2553" spans="1:15">
      <c r="A2553" s="191">
        <v>44593</v>
      </c>
      <c r="B2553" s="181" t="s">
        <v>132</v>
      </c>
      <c r="C2553" s="181" t="s">
        <v>758</v>
      </c>
      <c r="D2553" s="181" t="str">
        <f t="shared" si="45"/>
        <v>39204</v>
      </c>
      <c r="E2553" s="181" t="s">
        <v>15</v>
      </c>
      <c r="F2553" s="181" t="s">
        <v>14</v>
      </c>
      <c r="G2553" s="181" t="s">
        <v>793</v>
      </c>
      <c r="H2553" s="8">
        <v>125.02</v>
      </c>
      <c r="I2553" s="8">
        <v>0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125.02</v>
      </c>
    </row>
    <row r="2554" spans="1:15">
      <c r="A2554" s="191">
        <v>44621</v>
      </c>
      <c r="B2554" s="181" t="s">
        <v>131</v>
      </c>
      <c r="C2554" s="181" t="s">
        <v>755</v>
      </c>
      <c r="D2554" s="181" t="str">
        <f t="shared" si="45"/>
        <v>39204</v>
      </c>
      <c r="E2554" s="181" t="s">
        <v>15</v>
      </c>
      <c r="F2554" s="181" t="s">
        <v>14</v>
      </c>
      <c r="G2554" s="181" t="s">
        <v>647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0</v>
      </c>
    </row>
    <row r="2555" spans="1:15">
      <c r="A2555" s="191">
        <v>44621</v>
      </c>
      <c r="B2555" s="181" t="s">
        <v>131</v>
      </c>
      <c r="C2555" s="181" t="s">
        <v>756</v>
      </c>
      <c r="D2555" s="181" t="str">
        <f t="shared" si="45"/>
        <v>39204</v>
      </c>
      <c r="E2555" s="181" t="s">
        <v>15</v>
      </c>
      <c r="F2555" s="181" t="s">
        <v>14</v>
      </c>
      <c r="G2555" s="181" t="s">
        <v>647</v>
      </c>
      <c r="H2555" s="8">
        <v>-4327.05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-4327.05</v>
      </c>
    </row>
    <row r="2556" spans="1:15">
      <c r="A2556" s="191">
        <v>44621</v>
      </c>
      <c r="B2556" s="181" t="s">
        <v>131</v>
      </c>
      <c r="C2556" s="181" t="s">
        <v>757</v>
      </c>
      <c r="D2556" s="181" t="str">
        <f t="shared" si="45"/>
        <v>39204</v>
      </c>
      <c r="E2556" s="181" t="s">
        <v>15</v>
      </c>
      <c r="F2556" s="181" t="s">
        <v>14</v>
      </c>
      <c r="G2556" s="181" t="s">
        <v>647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0</v>
      </c>
    </row>
    <row r="2557" spans="1:15">
      <c r="A2557" s="191">
        <v>44621</v>
      </c>
      <c r="B2557" s="181" t="s">
        <v>131</v>
      </c>
      <c r="C2557" s="181" t="s">
        <v>758</v>
      </c>
      <c r="D2557" s="181" t="str">
        <f t="shared" si="45"/>
        <v>39204</v>
      </c>
      <c r="E2557" s="181" t="s">
        <v>15</v>
      </c>
      <c r="F2557" s="181" t="s">
        <v>14</v>
      </c>
      <c r="G2557" s="181" t="s">
        <v>647</v>
      </c>
      <c r="H2557" s="8">
        <v>1025167.9</v>
      </c>
      <c r="I2557" s="8">
        <v>18372.600000000002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1043540.5</v>
      </c>
    </row>
    <row r="2558" spans="1:15">
      <c r="A2558" s="191">
        <v>44621</v>
      </c>
      <c r="B2558" s="181" t="s">
        <v>131</v>
      </c>
      <c r="C2558" s="181" t="s">
        <v>758</v>
      </c>
      <c r="D2558" s="181" t="str">
        <f t="shared" si="45"/>
        <v>39204</v>
      </c>
      <c r="E2558" s="181" t="s">
        <v>15</v>
      </c>
      <c r="F2558" s="181" t="s">
        <v>14</v>
      </c>
      <c r="G2558" s="181" t="s">
        <v>793</v>
      </c>
      <c r="H2558" s="8">
        <v>125.02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125.02</v>
      </c>
    </row>
    <row r="2559" spans="1:15">
      <c r="A2559" s="191">
        <v>44652</v>
      </c>
      <c r="B2559" s="181" t="s">
        <v>130</v>
      </c>
      <c r="C2559" s="181" t="s">
        <v>755</v>
      </c>
      <c r="D2559" s="181" t="str">
        <f t="shared" si="45"/>
        <v>39204</v>
      </c>
      <c r="E2559" s="181" t="s">
        <v>15</v>
      </c>
      <c r="F2559" s="181" t="s">
        <v>14</v>
      </c>
      <c r="G2559" s="181" t="s">
        <v>647</v>
      </c>
      <c r="H2559" s="8">
        <v>0</v>
      </c>
      <c r="I2559" s="8">
        <v>0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0</v>
      </c>
    </row>
    <row r="2560" spans="1:15">
      <c r="A2560" s="191">
        <v>44652</v>
      </c>
      <c r="B2560" s="181" t="s">
        <v>130</v>
      </c>
      <c r="C2560" s="181" t="s">
        <v>756</v>
      </c>
      <c r="D2560" s="181" t="str">
        <f t="shared" si="45"/>
        <v>39204</v>
      </c>
      <c r="E2560" s="181" t="s">
        <v>15</v>
      </c>
      <c r="F2560" s="181" t="s">
        <v>14</v>
      </c>
      <c r="G2560" s="181" t="s">
        <v>647</v>
      </c>
      <c r="H2560" s="8">
        <v>-4327.05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-4327.05</v>
      </c>
    </row>
    <row r="2561" spans="1:15">
      <c r="A2561" s="191">
        <v>44652</v>
      </c>
      <c r="B2561" s="181" t="s">
        <v>130</v>
      </c>
      <c r="C2561" s="181" t="s">
        <v>757</v>
      </c>
      <c r="D2561" s="181" t="str">
        <f t="shared" si="45"/>
        <v>39204</v>
      </c>
      <c r="E2561" s="181" t="s">
        <v>15</v>
      </c>
      <c r="F2561" s="181" t="s">
        <v>14</v>
      </c>
      <c r="G2561" s="181" t="s">
        <v>647</v>
      </c>
      <c r="H2561" s="8">
        <v>0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0</v>
      </c>
    </row>
    <row r="2562" spans="1:15">
      <c r="A2562" s="191">
        <v>44652</v>
      </c>
      <c r="B2562" s="181" t="s">
        <v>130</v>
      </c>
      <c r="C2562" s="181" t="s">
        <v>758</v>
      </c>
      <c r="D2562" s="181" t="str">
        <f t="shared" si="45"/>
        <v>39204</v>
      </c>
      <c r="E2562" s="181" t="s">
        <v>15</v>
      </c>
      <c r="F2562" s="181" t="s">
        <v>14</v>
      </c>
      <c r="G2562" s="181" t="s">
        <v>647</v>
      </c>
      <c r="H2562" s="8">
        <v>1043540.5</v>
      </c>
      <c r="I2562" s="8">
        <v>18487.43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1062027.93</v>
      </c>
    </row>
    <row r="2563" spans="1:15">
      <c r="A2563" s="191">
        <v>44652</v>
      </c>
      <c r="B2563" s="181" t="s">
        <v>130</v>
      </c>
      <c r="C2563" s="181" t="s">
        <v>758</v>
      </c>
      <c r="D2563" s="181" t="str">
        <f t="shared" si="45"/>
        <v>39204</v>
      </c>
      <c r="E2563" s="181" t="s">
        <v>15</v>
      </c>
      <c r="F2563" s="181" t="s">
        <v>14</v>
      </c>
      <c r="G2563" s="181" t="s">
        <v>793</v>
      </c>
      <c r="H2563" s="8">
        <v>125.02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125.02</v>
      </c>
    </row>
    <row r="2564" spans="1:15">
      <c r="A2564" s="191">
        <v>44682</v>
      </c>
      <c r="B2564" s="181" t="s">
        <v>129</v>
      </c>
      <c r="C2564" s="181" t="s">
        <v>755</v>
      </c>
      <c r="D2564" s="181" t="str">
        <f t="shared" si="45"/>
        <v>39204</v>
      </c>
      <c r="E2564" s="181" t="s">
        <v>15</v>
      </c>
      <c r="F2564" s="181" t="s">
        <v>14</v>
      </c>
      <c r="G2564" s="181" t="s">
        <v>647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0</v>
      </c>
    </row>
    <row r="2565" spans="1:15">
      <c r="A2565" s="191">
        <v>44682</v>
      </c>
      <c r="B2565" s="181" t="s">
        <v>129</v>
      </c>
      <c r="C2565" s="181" t="s">
        <v>756</v>
      </c>
      <c r="D2565" s="181" t="str">
        <f t="shared" si="45"/>
        <v>39204</v>
      </c>
      <c r="E2565" s="181" t="s">
        <v>15</v>
      </c>
      <c r="F2565" s="181" t="s">
        <v>14</v>
      </c>
      <c r="G2565" s="181" t="s">
        <v>647</v>
      </c>
      <c r="H2565" s="8">
        <v>-4327.05</v>
      </c>
      <c r="I2565" s="8">
        <v>0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-4327.05</v>
      </c>
    </row>
    <row r="2566" spans="1:15">
      <c r="A2566" s="191">
        <v>44682</v>
      </c>
      <c r="B2566" s="181" t="s">
        <v>129</v>
      </c>
      <c r="C2566" s="181" t="s">
        <v>757</v>
      </c>
      <c r="D2566" s="181" t="str">
        <f t="shared" si="45"/>
        <v>39204</v>
      </c>
      <c r="E2566" s="181" t="s">
        <v>15</v>
      </c>
      <c r="F2566" s="181" t="s">
        <v>14</v>
      </c>
      <c r="G2566" s="181" t="s">
        <v>647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0</v>
      </c>
    </row>
    <row r="2567" spans="1:15">
      <c r="A2567" s="191">
        <v>44682</v>
      </c>
      <c r="B2567" s="181" t="s">
        <v>129</v>
      </c>
      <c r="C2567" s="181" t="s">
        <v>758</v>
      </c>
      <c r="D2567" s="181" t="str">
        <f t="shared" si="45"/>
        <v>39204</v>
      </c>
      <c r="E2567" s="181" t="s">
        <v>15</v>
      </c>
      <c r="F2567" s="181" t="s">
        <v>14</v>
      </c>
      <c r="G2567" s="181" t="s">
        <v>647</v>
      </c>
      <c r="H2567" s="8">
        <v>1062027.93</v>
      </c>
      <c r="I2567" s="8">
        <v>18153.260000000002</v>
      </c>
      <c r="J2567" s="8">
        <v>-86956.1</v>
      </c>
      <c r="K2567" s="8">
        <v>0</v>
      </c>
      <c r="L2567" s="8">
        <v>31818</v>
      </c>
      <c r="M2567" s="8">
        <v>0</v>
      </c>
      <c r="N2567" s="8">
        <v>0</v>
      </c>
      <c r="O2567" s="8">
        <v>1025043.09</v>
      </c>
    </row>
    <row r="2568" spans="1:15">
      <c r="A2568" s="191">
        <v>44682</v>
      </c>
      <c r="B2568" s="181" t="s">
        <v>129</v>
      </c>
      <c r="C2568" s="181" t="s">
        <v>758</v>
      </c>
      <c r="D2568" s="181" t="str">
        <f t="shared" si="45"/>
        <v>39204</v>
      </c>
      <c r="E2568" s="181" t="s">
        <v>15</v>
      </c>
      <c r="F2568" s="181" t="s">
        <v>14</v>
      </c>
      <c r="G2568" s="181" t="s">
        <v>793</v>
      </c>
      <c r="H2568" s="8">
        <v>125.02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125.02</v>
      </c>
    </row>
    <row r="2569" spans="1:15">
      <c r="A2569" s="191">
        <v>44713</v>
      </c>
      <c r="B2569" s="181" t="s">
        <v>128</v>
      </c>
      <c r="C2569" s="181" t="s">
        <v>755</v>
      </c>
      <c r="D2569" s="181" t="str">
        <f t="shared" si="45"/>
        <v>39204</v>
      </c>
      <c r="E2569" s="181" t="s">
        <v>15</v>
      </c>
      <c r="F2569" s="181" t="s">
        <v>14</v>
      </c>
      <c r="G2569" s="181" t="s">
        <v>647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0</v>
      </c>
    </row>
    <row r="2570" spans="1:15">
      <c r="A2570" s="191">
        <v>44713</v>
      </c>
      <c r="B2570" s="181" t="s">
        <v>128</v>
      </c>
      <c r="C2570" s="181" t="s">
        <v>756</v>
      </c>
      <c r="D2570" s="181" t="str">
        <f t="shared" si="45"/>
        <v>39204</v>
      </c>
      <c r="E2570" s="181" t="s">
        <v>15</v>
      </c>
      <c r="F2570" s="181" t="s">
        <v>14</v>
      </c>
      <c r="G2570" s="181" t="s">
        <v>647</v>
      </c>
      <c r="H2570" s="8">
        <v>-4327.05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-4327.05</v>
      </c>
    </row>
    <row r="2571" spans="1:15">
      <c r="A2571" s="191">
        <v>44713</v>
      </c>
      <c r="B2571" s="181" t="s">
        <v>128</v>
      </c>
      <c r="C2571" s="181" t="s">
        <v>757</v>
      </c>
      <c r="D2571" s="181" t="str">
        <f t="shared" si="45"/>
        <v>39204</v>
      </c>
      <c r="E2571" s="181" t="s">
        <v>15</v>
      </c>
      <c r="F2571" s="181" t="s">
        <v>14</v>
      </c>
      <c r="G2571" s="181" t="s">
        <v>647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0</v>
      </c>
    </row>
    <row r="2572" spans="1:15">
      <c r="A2572" s="191">
        <v>44713</v>
      </c>
      <c r="B2572" s="181" t="s">
        <v>128</v>
      </c>
      <c r="C2572" s="181" t="s">
        <v>758</v>
      </c>
      <c r="D2572" s="181" t="str">
        <f t="shared" si="45"/>
        <v>39204</v>
      </c>
      <c r="E2572" s="181" t="s">
        <v>15</v>
      </c>
      <c r="F2572" s="181" t="s">
        <v>14</v>
      </c>
      <c r="G2572" s="181" t="s">
        <v>647</v>
      </c>
      <c r="H2572" s="8">
        <v>1025043.09</v>
      </c>
      <c r="I2572" s="8">
        <v>17791.740000000002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1042834.83</v>
      </c>
    </row>
    <row r="2573" spans="1:15">
      <c r="A2573" s="191">
        <v>44713</v>
      </c>
      <c r="B2573" s="181" t="s">
        <v>128</v>
      </c>
      <c r="C2573" s="181" t="s">
        <v>758</v>
      </c>
      <c r="D2573" s="181" t="str">
        <f t="shared" si="45"/>
        <v>39204</v>
      </c>
      <c r="E2573" s="181" t="s">
        <v>15</v>
      </c>
      <c r="F2573" s="181" t="s">
        <v>14</v>
      </c>
      <c r="G2573" s="181" t="s">
        <v>793</v>
      </c>
      <c r="H2573" s="8">
        <v>125.02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125.02</v>
      </c>
    </row>
    <row r="2574" spans="1:15">
      <c r="A2574" s="191">
        <v>44743</v>
      </c>
      <c r="B2574" s="181" t="s">
        <v>127</v>
      </c>
      <c r="C2574" s="181" t="s">
        <v>755</v>
      </c>
      <c r="D2574" s="181" t="str">
        <f t="shared" si="45"/>
        <v>39204</v>
      </c>
      <c r="E2574" s="181" t="s">
        <v>15</v>
      </c>
      <c r="F2574" s="181" t="s">
        <v>14</v>
      </c>
      <c r="G2574" s="181" t="s">
        <v>647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0</v>
      </c>
    </row>
    <row r="2575" spans="1:15">
      <c r="A2575" s="191">
        <v>44743</v>
      </c>
      <c r="B2575" s="181" t="s">
        <v>127</v>
      </c>
      <c r="C2575" s="181" t="s">
        <v>756</v>
      </c>
      <c r="D2575" s="181" t="str">
        <f t="shared" si="45"/>
        <v>39204</v>
      </c>
      <c r="E2575" s="181" t="s">
        <v>15</v>
      </c>
      <c r="F2575" s="181" t="s">
        <v>14</v>
      </c>
      <c r="G2575" s="181" t="s">
        <v>647</v>
      </c>
      <c r="H2575" s="8">
        <v>-4327.05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-4327.05</v>
      </c>
    </row>
    <row r="2576" spans="1:15">
      <c r="A2576" s="191">
        <v>44743</v>
      </c>
      <c r="B2576" s="181" t="s">
        <v>127</v>
      </c>
      <c r="C2576" s="181" t="s">
        <v>757</v>
      </c>
      <c r="D2576" s="181" t="str">
        <f t="shared" si="45"/>
        <v>39204</v>
      </c>
      <c r="E2576" s="181" t="s">
        <v>15</v>
      </c>
      <c r="F2576" s="181" t="s">
        <v>14</v>
      </c>
      <c r="G2576" s="181" t="s">
        <v>647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0</v>
      </c>
    </row>
    <row r="2577" spans="1:15">
      <c r="A2577" s="191">
        <v>44743</v>
      </c>
      <c r="B2577" s="181" t="s">
        <v>127</v>
      </c>
      <c r="C2577" s="181" t="s">
        <v>758</v>
      </c>
      <c r="D2577" s="181" t="str">
        <f t="shared" si="45"/>
        <v>39204</v>
      </c>
      <c r="E2577" s="181" t="s">
        <v>15</v>
      </c>
      <c r="F2577" s="181" t="s">
        <v>14</v>
      </c>
      <c r="G2577" s="181" t="s">
        <v>647</v>
      </c>
      <c r="H2577" s="8">
        <v>1042834.83</v>
      </c>
      <c r="I2577" s="8">
        <v>17718.82</v>
      </c>
      <c r="J2577" s="8">
        <v>-17036.189999999999</v>
      </c>
      <c r="K2577" s="8">
        <v>0</v>
      </c>
      <c r="L2577" s="8">
        <v>0</v>
      </c>
      <c r="M2577" s="8">
        <v>0</v>
      </c>
      <c r="N2577" s="8">
        <v>0</v>
      </c>
      <c r="O2577" s="8">
        <v>1043517.46</v>
      </c>
    </row>
    <row r="2578" spans="1:15">
      <c r="A2578" s="191">
        <v>44743</v>
      </c>
      <c r="B2578" s="181" t="s">
        <v>127</v>
      </c>
      <c r="C2578" s="181" t="s">
        <v>758</v>
      </c>
      <c r="D2578" s="181" t="str">
        <f t="shared" si="45"/>
        <v>39204</v>
      </c>
      <c r="E2578" s="181" t="s">
        <v>15</v>
      </c>
      <c r="F2578" s="181" t="s">
        <v>14</v>
      </c>
      <c r="G2578" s="181" t="s">
        <v>793</v>
      </c>
      <c r="H2578" s="8">
        <v>125.02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125.02</v>
      </c>
    </row>
    <row r="2579" spans="1:15">
      <c r="A2579" s="191">
        <v>44774</v>
      </c>
      <c r="B2579" s="181" t="s">
        <v>126</v>
      </c>
      <c r="C2579" s="181" t="s">
        <v>755</v>
      </c>
      <c r="D2579" s="181" t="str">
        <f t="shared" si="45"/>
        <v>39204</v>
      </c>
      <c r="E2579" s="181" t="s">
        <v>15</v>
      </c>
      <c r="F2579" s="181" t="s">
        <v>14</v>
      </c>
      <c r="G2579" s="181" t="s">
        <v>647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0</v>
      </c>
    </row>
    <row r="2580" spans="1:15">
      <c r="A2580" s="191">
        <v>44774</v>
      </c>
      <c r="B2580" s="181" t="s">
        <v>126</v>
      </c>
      <c r="C2580" s="181" t="s">
        <v>756</v>
      </c>
      <c r="D2580" s="181" t="str">
        <f t="shared" si="45"/>
        <v>39204</v>
      </c>
      <c r="E2580" s="181" t="s">
        <v>15</v>
      </c>
      <c r="F2580" s="181" t="s">
        <v>14</v>
      </c>
      <c r="G2580" s="181" t="s">
        <v>647</v>
      </c>
      <c r="H2580" s="8">
        <v>-4327.05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-4327.05</v>
      </c>
    </row>
    <row r="2581" spans="1:15">
      <c r="A2581" s="191">
        <v>44774</v>
      </c>
      <c r="B2581" s="181" t="s">
        <v>126</v>
      </c>
      <c r="C2581" s="181" t="s">
        <v>757</v>
      </c>
      <c r="D2581" s="181" t="str">
        <f t="shared" si="45"/>
        <v>39204</v>
      </c>
      <c r="E2581" s="181" t="s">
        <v>15</v>
      </c>
      <c r="F2581" s="181" t="s">
        <v>14</v>
      </c>
      <c r="G2581" s="181" t="s">
        <v>647</v>
      </c>
      <c r="H2581" s="8">
        <v>0</v>
      </c>
      <c r="I2581" s="8">
        <v>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0</v>
      </c>
    </row>
    <row r="2582" spans="1:15">
      <c r="A2582" s="191">
        <v>44774</v>
      </c>
      <c r="B2582" s="181" t="s">
        <v>126</v>
      </c>
      <c r="C2582" s="181" t="s">
        <v>758</v>
      </c>
      <c r="D2582" s="181" t="str">
        <f t="shared" si="45"/>
        <v>39204</v>
      </c>
      <c r="E2582" s="181" t="s">
        <v>15</v>
      </c>
      <c r="F2582" s="181" t="s">
        <v>14</v>
      </c>
      <c r="G2582" s="181" t="s">
        <v>647</v>
      </c>
      <c r="H2582" s="8">
        <v>1043517.46</v>
      </c>
      <c r="I2582" s="8">
        <v>17645.900000000001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1061163.3600000001</v>
      </c>
    </row>
    <row r="2583" spans="1:15">
      <c r="A2583" s="191">
        <v>44774</v>
      </c>
      <c r="B2583" s="181" t="s">
        <v>126</v>
      </c>
      <c r="C2583" s="181" t="s">
        <v>758</v>
      </c>
      <c r="D2583" s="181" t="str">
        <f t="shared" si="45"/>
        <v>39204</v>
      </c>
      <c r="E2583" s="181" t="s">
        <v>15</v>
      </c>
      <c r="F2583" s="181" t="s">
        <v>14</v>
      </c>
      <c r="G2583" s="181" t="s">
        <v>793</v>
      </c>
      <c r="H2583" s="8">
        <v>125.02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125.02</v>
      </c>
    </row>
    <row r="2584" spans="1:15">
      <c r="A2584" s="191">
        <v>44805</v>
      </c>
      <c r="B2584" s="181" t="s">
        <v>125</v>
      </c>
      <c r="C2584" s="181" t="s">
        <v>755</v>
      </c>
      <c r="D2584" s="181" t="str">
        <f t="shared" si="45"/>
        <v>39204</v>
      </c>
      <c r="E2584" s="181" t="s">
        <v>15</v>
      </c>
      <c r="F2584" s="181" t="s">
        <v>14</v>
      </c>
      <c r="G2584" s="181" t="s">
        <v>647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0</v>
      </c>
    </row>
    <row r="2585" spans="1:15">
      <c r="A2585" s="191">
        <v>44805</v>
      </c>
      <c r="B2585" s="181" t="s">
        <v>125</v>
      </c>
      <c r="C2585" s="181" t="s">
        <v>756</v>
      </c>
      <c r="D2585" s="181" t="str">
        <f t="shared" si="45"/>
        <v>39204</v>
      </c>
      <c r="E2585" s="181" t="s">
        <v>15</v>
      </c>
      <c r="F2585" s="181" t="s">
        <v>14</v>
      </c>
      <c r="G2585" s="181" t="s">
        <v>647</v>
      </c>
      <c r="H2585" s="8">
        <v>-4327.05</v>
      </c>
      <c r="I2585" s="8">
        <v>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-4327.05</v>
      </c>
    </row>
    <row r="2586" spans="1:15">
      <c r="A2586" s="191">
        <v>44805</v>
      </c>
      <c r="B2586" s="181" t="s">
        <v>125</v>
      </c>
      <c r="C2586" s="181" t="s">
        <v>757</v>
      </c>
      <c r="D2586" s="181" t="str">
        <f t="shared" si="45"/>
        <v>39204</v>
      </c>
      <c r="E2586" s="181" t="s">
        <v>15</v>
      </c>
      <c r="F2586" s="181" t="s">
        <v>14</v>
      </c>
      <c r="G2586" s="181" t="s">
        <v>647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0</v>
      </c>
    </row>
    <row r="2587" spans="1:15">
      <c r="A2587" s="191">
        <v>44805</v>
      </c>
      <c r="B2587" s="181" t="s">
        <v>125</v>
      </c>
      <c r="C2587" s="181" t="s">
        <v>758</v>
      </c>
      <c r="D2587" s="181" t="str">
        <f t="shared" si="45"/>
        <v>39204</v>
      </c>
      <c r="E2587" s="181" t="s">
        <v>15</v>
      </c>
      <c r="F2587" s="181" t="s">
        <v>14</v>
      </c>
      <c r="G2587" s="181" t="s">
        <v>647</v>
      </c>
      <c r="H2587" s="8">
        <v>1061163.3600000001</v>
      </c>
      <c r="I2587" s="8">
        <v>17645.900000000001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1078809.26</v>
      </c>
    </row>
    <row r="2588" spans="1:15">
      <c r="A2588" s="191">
        <v>44805</v>
      </c>
      <c r="B2588" s="181" t="s">
        <v>125</v>
      </c>
      <c r="C2588" s="181" t="s">
        <v>758</v>
      </c>
      <c r="D2588" s="181" t="str">
        <f t="shared" si="45"/>
        <v>39204</v>
      </c>
      <c r="E2588" s="181" t="s">
        <v>15</v>
      </c>
      <c r="F2588" s="181" t="s">
        <v>14</v>
      </c>
      <c r="G2588" s="181" t="s">
        <v>793</v>
      </c>
      <c r="H2588" s="8">
        <v>125.02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125.02</v>
      </c>
    </row>
    <row r="2589" spans="1:15">
      <c r="A2589" s="191">
        <v>44835</v>
      </c>
      <c r="B2589" s="181" t="s">
        <v>124</v>
      </c>
      <c r="C2589" s="181" t="s">
        <v>755</v>
      </c>
      <c r="D2589" s="181" t="str">
        <f t="shared" si="45"/>
        <v>39204</v>
      </c>
      <c r="E2589" s="181" t="s">
        <v>15</v>
      </c>
      <c r="F2589" s="181" t="s">
        <v>14</v>
      </c>
      <c r="G2589" s="181" t="s">
        <v>647</v>
      </c>
      <c r="H2589" s="8">
        <v>0</v>
      </c>
      <c r="I2589" s="8">
        <v>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0</v>
      </c>
    </row>
    <row r="2590" spans="1:15">
      <c r="A2590" s="191">
        <v>44835</v>
      </c>
      <c r="B2590" s="181" t="s">
        <v>124</v>
      </c>
      <c r="C2590" s="181" t="s">
        <v>756</v>
      </c>
      <c r="D2590" s="181" t="str">
        <f t="shared" si="45"/>
        <v>39204</v>
      </c>
      <c r="E2590" s="181" t="s">
        <v>15</v>
      </c>
      <c r="F2590" s="181" t="s">
        <v>14</v>
      </c>
      <c r="G2590" s="181" t="s">
        <v>647</v>
      </c>
      <c r="H2590" s="8">
        <v>-4327.05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-4327.05</v>
      </c>
    </row>
    <row r="2591" spans="1:15">
      <c r="A2591" s="191">
        <v>44835</v>
      </c>
      <c r="B2591" s="181" t="s">
        <v>124</v>
      </c>
      <c r="C2591" s="181" t="s">
        <v>757</v>
      </c>
      <c r="D2591" s="181" t="str">
        <f t="shared" si="45"/>
        <v>39204</v>
      </c>
      <c r="E2591" s="181" t="s">
        <v>15</v>
      </c>
      <c r="F2591" s="181" t="s">
        <v>14</v>
      </c>
      <c r="G2591" s="181" t="s">
        <v>647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0</v>
      </c>
    </row>
    <row r="2592" spans="1:15">
      <c r="A2592" s="191">
        <v>44835</v>
      </c>
      <c r="B2592" s="181" t="s">
        <v>124</v>
      </c>
      <c r="C2592" s="181" t="s">
        <v>758</v>
      </c>
      <c r="D2592" s="181" t="str">
        <f t="shared" si="45"/>
        <v>39204</v>
      </c>
      <c r="E2592" s="181" t="s">
        <v>15</v>
      </c>
      <c r="F2592" s="181" t="s">
        <v>14</v>
      </c>
      <c r="G2592" s="181" t="s">
        <v>647</v>
      </c>
      <c r="H2592" s="8">
        <v>1078809.26</v>
      </c>
      <c r="I2592" s="8">
        <v>17645.96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1096455.22</v>
      </c>
    </row>
    <row r="2593" spans="1:15">
      <c r="A2593" s="191">
        <v>44835</v>
      </c>
      <c r="B2593" s="181" t="s">
        <v>124</v>
      </c>
      <c r="C2593" s="181" t="s">
        <v>758</v>
      </c>
      <c r="D2593" s="181" t="str">
        <f t="shared" si="45"/>
        <v>39204</v>
      </c>
      <c r="E2593" s="181" t="s">
        <v>15</v>
      </c>
      <c r="F2593" s="181" t="s">
        <v>14</v>
      </c>
      <c r="G2593" s="181" t="s">
        <v>793</v>
      </c>
      <c r="H2593" s="8">
        <v>125.02</v>
      </c>
      <c r="I2593" s="8">
        <v>0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125.02</v>
      </c>
    </row>
    <row r="2594" spans="1:15">
      <c r="A2594" s="191">
        <v>44866</v>
      </c>
      <c r="B2594" s="181" t="s">
        <v>123</v>
      </c>
      <c r="C2594" s="181" t="s">
        <v>755</v>
      </c>
      <c r="D2594" s="181" t="str">
        <f t="shared" si="45"/>
        <v>39204</v>
      </c>
      <c r="E2594" s="181" t="s">
        <v>15</v>
      </c>
      <c r="F2594" s="181" t="s">
        <v>14</v>
      </c>
      <c r="G2594" s="181" t="s">
        <v>647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0</v>
      </c>
    </row>
    <row r="2595" spans="1:15">
      <c r="A2595" s="191">
        <v>44866</v>
      </c>
      <c r="B2595" s="181" t="s">
        <v>123</v>
      </c>
      <c r="C2595" s="181" t="s">
        <v>756</v>
      </c>
      <c r="D2595" s="181" t="str">
        <f t="shared" si="45"/>
        <v>39204</v>
      </c>
      <c r="E2595" s="181" t="s">
        <v>15</v>
      </c>
      <c r="F2595" s="181" t="s">
        <v>14</v>
      </c>
      <c r="G2595" s="181" t="s">
        <v>647</v>
      </c>
      <c r="H2595" s="8">
        <v>-4327.05</v>
      </c>
      <c r="I2595" s="8">
        <v>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-4327.05</v>
      </c>
    </row>
    <row r="2596" spans="1:15">
      <c r="A2596" s="191">
        <v>44866</v>
      </c>
      <c r="B2596" s="181" t="s">
        <v>123</v>
      </c>
      <c r="C2596" s="181" t="s">
        <v>757</v>
      </c>
      <c r="D2596" s="181" t="str">
        <f t="shared" si="45"/>
        <v>39204</v>
      </c>
      <c r="E2596" s="181" t="s">
        <v>15</v>
      </c>
      <c r="F2596" s="181" t="s">
        <v>14</v>
      </c>
      <c r="G2596" s="181" t="s">
        <v>647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0</v>
      </c>
    </row>
    <row r="2597" spans="1:15">
      <c r="A2597" s="191">
        <v>44866</v>
      </c>
      <c r="B2597" s="181" t="s">
        <v>123</v>
      </c>
      <c r="C2597" s="181" t="s">
        <v>758</v>
      </c>
      <c r="D2597" s="181" t="str">
        <f t="shared" si="45"/>
        <v>39204</v>
      </c>
      <c r="E2597" s="181" t="s">
        <v>15</v>
      </c>
      <c r="F2597" s="181" t="s">
        <v>14</v>
      </c>
      <c r="G2597" s="181" t="s">
        <v>647</v>
      </c>
      <c r="H2597" s="8">
        <v>1096455.22</v>
      </c>
      <c r="I2597" s="8">
        <v>17646.03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1114101.25</v>
      </c>
    </row>
    <row r="2598" spans="1:15">
      <c r="A2598" s="191">
        <v>44866</v>
      </c>
      <c r="B2598" s="181" t="s">
        <v>123</v>
      </c>
      <c r="C2598" s="181" t="s">
        <v>758</v>
      </c>
      <c r="D2598" s="181" t="str">
        <f t="shared" si="45"/>
        <v>39204</v>
      </c>
      <c r="E2598" s="181" t="s">
        <v>15</v>
      </c>
      <c r="F2598" s="181" t="s">
        <v>14</v>
      </c>
      <c r="G2598" s="181" t="s">
        <v>793</v>
      </c>
      <c r="H2598" s="8">
        <v>125.02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125.02</v>
      </c>
    </row>
    <row r="2599" spans="1:15">
      <c r="A2599" s="191">
        <v>44896</v>
      </c>
      <c r="B2599" s="181" t="s">
        <v>122</v>
      </c>
      <c r="C2599" s="181" t="s">
        <v>755</v>
      </c>
      <c r="D2599" s="181" t="str">
        <f t="shared" si="45"/>
        <v>39204</v>
      </c>
      <c r="E2599" s="181" t="s">
        <v>15</v>
      </c>
      <c r="F2599" s="181" t="s">
        <v>14</v>
      </c>
      <c r="G2599" s="181" t="s">
        <v>647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0</v>
      </c>
    </row>
    <row r="2600" spans="1:15">
      <c r="A2600" s="191">
        <v>44896</v>
      </c>
      <c r="B2600" s="181" t="s">
        <v>122</v>
      </c>
      <c r="C2600" s="181" t="s">
        <v>756</v>
      </c>
      <c r="D2600" s="181" t="str">
        <f t="shared" si="45"/>
        <v>39204</v>
      </c>
      <c r="E2600" s="181" t="s">
        <v>15</v>
      </c>
      <c r="F2600" s="181" t="s">
        <v>14</v>
      </c>
      <c r="G2600" s="181" t="s">
        <v>647</v>
      </c>
      <c r="H2600" s="8">
        <v>-4327.05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-4327.05</v>
      </c>
    </row>
    <row r="2601" spans="1:15">
      <c r="A2601" s="191">
        <v>44896</v>
      </c>
      <c r="B2601" s="181" t="s">
        <v>122</v>
      </c>
      <c r="C2601" s="181" t="s">
        <v>757</v>
      </c>
      <c r="D2601" s="181" t="str">
        <f t="shared" si="45"/>
        <v>39204</v>
      </c>
      <c r="E2601" s="181" t="s">
        <v>15</v>
      </c>
      <c r="F2601" s="181" t="s">
        <v>14</v>
      </c>
      <c r="G2601" s="181" t="s">
        <v>647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0</v>
      </c>
    </row>
    <row r="2602" spans="1:15">
      <c r="A2602" s="191">
        <v>44896</v>
      </c>
      <c r="B2602" s="181" t="s">
        <v>122</v>
      </c>
      <c r="C2602" s="181" t="s">
        <v>758</v>
      </c>
      <c r="D2602" s="181" t="str">
        <f t="shared" si="45"/>
        <v>39204</v>
      </c>
      <c r="E2602" s="181" t="s">
        <v>15</v>
      </c>
      <c r="F2602" s="181" t="s">
        <v>14</v>
      </c>
      <c r="G2602" s="181" t="s">
        <v>647</v>
      </c>
      <c r="H2602" s="8">
        <v>1114101.25</v>
      </c>
      <c r="I2602" s="8">
        <v>18241.75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1132343</v>
      </c>
    </row>
    <row r="2603" spans="1:15">
      <c r="A2603" s="191">
        <v>44896</v>
      </c>
      <c r="B2603" s="181" t="s">
        <v>122</v>
      </c>
      <c r="C2603" s="181" t="s">
        <v>758</v>
      </c>
      <c r="D2603" s="181" t="str">
        <f t="shared" si="45"/>
        <v>39204</v>
      </c>
      <c r="E2603" s="181" t="s">
        <v>15</v>
      </c>
      <c r="F2603" s="181" t="s">
        <v>14</v>
      </c>
      <c r="G2603" s="181" t="s">
        <v>793</v>
      </c>
      <c r="H2603" s="8">
        <v>125.02</v>
      </c>
      <c r="I2603" s="8">
        <v>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125.02</v>
      </c>
    </row>
    <row r="2604" spans="1:15">
      <c r="A2604" s="191">
        <v>44531</v>
      </c>
      <c r="B2604" s="181" t="s">
        <v>13</v>
      </c>
      <c r="C2604" s="181" t="s">
        <v>759</v>
      </c>
      <c r="D2604" s="181" t="str">
        <f t="shared" si="45"/>
        <v>39205</v>
      </c>
      <c r="E2604" s="181" t="s">
        <v>15</v>
      </c>
      <c r="F2604" s="181" t="s">
        <v>14</v>
      </c>
      <c r="G2604" s="181" t="s">
        <v>647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0</v>
      </c>
    </row>
    <row r="2605" spans="1:15">
      <c r="A2605" s="191">
        <v>44531</v>
      </c>
      <c r="B2605" s="181" t="s">
        <v>13</v>
      </c>
      <c r="C2605" s="181" t="s">
        <v>760</v>
      </c>
      <c r="D2605" s="181" t="str">
        <f t="shared" si="45"/>
        <v>39205</v>
      </c>
      <c r="E2605" s="181" t="s">
        <v>15</v>
      </c>
      <c r="F2605" s="181" t="s">
        <v>14</v>
      </c>
      <c r="G2605" s="181" t="s">
        <v>647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0</v>
      </c>
    </row>
    <row r="2606" spans="1:15">
      <c r="A2606" s="191">
        <v>44531</v>
      </c>
      <c r="B2606" s="181" t="s">
        <v>13</v>
      </c>
      <c r="C2606" s="181" t="s">
        <v>761</v>
      </c>
      <c r="D2606" s="181" t="str">
        <f t="shared" si="45"/>
        <v>39205</v>
      </c>
      <c r="E2606" s="181" t="s">
        <v>15</v>
      </c>
      <c r="F2606" s="181" t="s">
        <v>14</v>
      </c>
      <c r="G2606" s="181" t="s">
        <v>647</v>
      </c>
      <c r="H2606" s="8">
        <v>5304405.9400000004</v>
      </c>
      <c r="I2606" s="8">
        <v>72638.19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5377044.1299999999</v>
      </c>
    </row>
    <row r="2607" spans="1:15">
      <c r="A2607" s="191">
        <v>44531</v>
      </c>
      <c r="B2607" s="181" t="s">
        <v>13</v>
      </c>
      <c r="C2607" s="181" t="s">
        <v>762</v>
      </c>
      <c r="D2607" s="181" t="str">
        <f t="shared" si="45"/>
        <v>39205</v>
      </c>
      <c r="E2607" s="181" t="s">
        <v>15</v>
      </c>
      <c r="F2607" s="181" t="s">
        <v>14</v>
      </c>
      <c r="G2607" s="181" t="s">
        <v>647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0</v>
      </c>
    </row>
    <row r="2608" spans="1:15">
      <c r="A2608" s="191">
        <v>44531</v>
      </c>
      <c r="B2608" s="181" t="s">
        <v>13</v>
      </c>
      <c r="C2608" s="181" t="s">
        <v>761</v>
      </c>
      <c r="D2608" s="181" t="str">
        <f t="shared" si="45"/>
        <v>39205</v>
      </c>
      <c r="E2608" s="181" t="s">
        <v>15</v>
      </c>
      <c r="F2608" s="181" t="s">
        <v>14</v>
      </c>
      <c r="G2608" s="181" t="s">
        <v>793</v>
      </c>
      <c r="H2608" s="8">
        <v>-5.78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-5.78</v>
      </c>
    </row>
    <row r="2609" spans="1:15">
      <c r="A2609" s="191">
        <v>44562</v>
      </c>
      <c r="B2609" s="181" t="s">
        <v>133</v>
      </c>
      <c r="C2609" s="181" t="s">
        <v>759</v>
      </c>
      <c r="D2609" s="181" t="str">
        <f t="shared" ref="D2609:D2672" si="46">MID(C2609,10,5)</f>
        <v>39205</v>
      </c>
      <c r="E2609" s="181" t="s">
        <v>15</v>
      </c>
      <c r="F2609" s="181" t="s">
        <v>14</v>
      </c>
      <c r="G2609" s="181" t="s">
        <v>647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0</v>
      </c>
    </row>
    <row r="2610" spans="1:15">
      <c r="A2610" s="191">
        <v>44562</v>
      </c>
      <c r="B2610" s="181" t="s">
        <v>133</v>
      </c>
      <c r="C2610" s="181" t="s">
        <v>760</v>
      </c>
      <c r="D2610" s="181" t="str">
        <f t="shared" si="46"/>
        <v>39205</v>
      </c>
      <c r="E2610" s="181" t="s">
        <v>15</v>
      </c>
      <c r="F2610" s="181" t="s">
        <v>14</v>
      </c>
      <c r="G2610" s="181" t="s">
        <v>647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0</v>
      </c>
    </row>
    <row r="2611" spans="1:15">
      <c r="A2611" s="191">
        <v>44562</v>
      </c>
      <c r="B2611" s="181" t="s">
        <v>133</v>
      </c>
      <c r="C2611" s="181" t="s">
        <v>761</v>
      </c>
      <c r="D2611" s="181" t="str">
        <f t="shared" si="46"/>
        <v>39205</v>
      </c>
      <c r="E2611" s="181" t="s">
        <v>15</v>
      </c>
      <c r="F2611" s="181" t="s">
        <v>14</v>
      </c>
      <c r="G2611" s="181" t="s">
        <v>647</v>
      </c>
      <c r="H2611" s="8">
        <v>5377044.1299999999</v>
      </c>
      <c r="I2611" s="8">
        <v>80966.84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5458010.9699999997</v>
      </c>
    </row>
    <row r="2612" spans="1:15">
      <c r="A2612" s="191">
        <v>44562</v>
      </c>
      <c r="B2612" s="181" t="s">
        <v>133</v>
      </c>
      <c r="C2612" s="181" t="s">
        <v>762</v>
      </c>
      <c r="D2612" s="181" t="str">
        <f t="shared" si="46"/>
        <v>39205</v>
      </c>
      <c r="E2612" s="181" t="s">
        <v>15</v>
      </c>
      <c r="F2612" s="181" t="s">
        <v>14</v>
      </c>
      <c r="G2612" s="181" t="s">
        <v>647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0</v>
      </c>
    </row>
    <row r="2613" spans="1:15">
      <c r="A2613" s="191">
        <v>44562</v>
      </c>
      <c r="B2613" s="181" t="s">
        <v>133</v>
      </c>
      <c r="C2613" s="181" t="s">
        <v>761</v>
      </c>
      <c r="D2613" s="181" t="str">
        <f t="shared" si="46"/>
        <v>39205</v>
      </c>
      <c r="E2613" s="181" t="s">
        <v>15</v>
      </c>
      <c r="F2613" s="181" t="s">
        <v>14</v>
      </c>
      <c r="G2613" s="181" t="s">
        <v>793</v>
      </c>
      <c r="H2613" s="8">
        <v>-5.78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-5.78</v>
      </c>
    </row>
    <row r="2614" spans="1:15">
      <c r="A2614" s="191">
        <v>44593</v>
      </c>
      <c r="B2614" s="181" t="s">
        <v>132</v>
      </c>
      <c r="C2614" s="181" t="s">
        <v>759</v>
      </c>
      <c r="D2614" s="181" t="str">
        <f t="shared" si="46"/>
        <v>39205</v>
      </c>
      <c r="E2614" s="181" t="s">
        <v>15</v>
      </c>
      <c r="F2614" s="181" t="s">
        <v>14</v>
      </c>
      <c r="G2614" s="181" t="s">
        <v>647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0</v>
      </c>
    </row>
    <row r="2615" spans="1:15">
      <c r="A2615" s="191">
        <v>44593</v>
      </c>
      <c r="B2615" s="181" t="s">
        <v>132</v>
      </c>
      <c r="C2615" s="181" t="s">
        <v>760</v>
      </c>
      <c r="D2615" s="181" t="str">
        <f t="shared" si="46"/>
        <v>39205</v>
      </c>
      <c r="E2615" s="181" t="s">
        <v>15</v>
      </c>
      <c r="F2615" s="181" t="s">
        <v>14</v>
      </c>
      <c r="G2615" s="181" t="s">
        <v>647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0</v>
      </c>
    </row>
    <row r="2616" spans="1:15">
      <c r="A2616" s="191">
        <v>44593</v>
      </c>
      <c r="B2616" s="181" t="s">
        <v>132</v>
      </c>
      <c r="C2616" s="181" t="s">
        <v>761</v>
      </c>
      <c r="D2616" s="181" t="str">
        <f t="shared" si="46"/>
        <v>39205</v>
      </c>
      <c r="E2616" s="181" t="s">
        <v>15</v>
      </c>
      <c r="F2616" s="181" t="s">
        <v>14</v>
      </c>
      <c r="G2616" s="181" t="s">
        <v>647</v>
      </c>
      <c r="H2616" s="8">
        <v>5458010.9699999997</v>
      </c>
      <c r="I2616" s="8">
        <v>90593.14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5548604.1100000003</v>
      </c>
    </row>
    <row r="2617" spans="1:15">
      <c r="A2617" s="191">
        <v>44593</v>
      </c>
      <c r="B2617" s="181" t="s">
        <v>132</v>
      </c>
      <c r="C2617" s="181" t="s">
        <v>762</v>
      </c>
      <c r="D2617" s="181" t="str">
        <f t="shared" si="46"/>
        <v>39205</v>
      </c>
      <c r="E2617" s="181" t="s">
        <v>15</v>
      </c>
      <c r="F2617" s="181" t="s">
        <v>14</v>
      </c>
      <c r="G2617" s="181" t="s">
        <v>647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0</v>
      </c>
    </row>
    <row r="2618" spans="1:15">
      <c r="A2618" s="191">
        <v>44593</v>
      </c>
      <c r="B2618" s="181" t="s">
        <v>132</v>
      </c>
      <c r="C2618" s="181" t="s">
        <v>761</v>
      </c>
      <c r="D2618" s="181" t="str">
        <f t="shared" si="46"/>
        <v>39205</v>
      </c>
      <c r="E2618" s="181" t="s">
        <v>15</v>
      </c>
      <c r="F2618" s="181" t="s">
        <v>14</v>
      </c>
      <c r="G2618" s="181" t="s">
        <v>793</v>
      </c>
      <c r="H2618" s="8">
        <v>-5.78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-5.78</v>
      </c>
    </row>
    <row r="2619" spans="1:15">
      <c r="A2619" s="191">
        <v>44621</v>
      </c>
      <c r="B2619" s="181" t="s">
        <v>131</v>
      </c>
      <c r="C2619" s="181" t="s">
        <v>759</v>
      </c>
      <c r="D2619" s="181" t="str">
        <f t="shared" si="46"/>
        <v>39205</v>
      </c>
      <c r="E2619" s="181" t="s">
        <v>15</v>
      </c>
      <c r="F2619" s="181" t="s">
        <v>14</v>
      </c>
      <c r="G2619" s="181" t="s">
        <v>647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0</v>
      </c>
    </row>
    <row r="2620" spans="1:15">
      <c r="A2620" s="191">
        <v>44621</v>
      </c>
      <c r="B2620" s="181" t="s">
        <v>131</v>
      </c>
      <c r="C2620" s="181" t="s">
        <v>760</v>
      </c>
      <c r="D2620" s="181" t="str">
        <f t="shared" si="46"/>
        <v>39205</v>
      </c>
      <c r="E2620" s="181" t="s">
        <v>15</v>
      </c>
      <c r="F2620" s="181" t="s">
        <v>14</v>
      </c>
      <c r="G2620" s="181" t="s">
        <v>647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0</v>
      </c>
    </row>
    <row r="2621" spans="1:15">
      <c r="A2621" s="191">
        <v>44621</v>
      </c>
      <c r="B2621" s="181" t="s">
        <v>131</v>
      </c>
      <c r="C2621" s="181" t="s">
        <v>761</v>
      </c>
      <c r="D2621" s="181" t="str">
        <f t="shared" si="46"/>
        <v>39205</v>
      </c>
      <c r="E2621" s="181" t="s">
        <v>15</v>
      </c>
      <c r="F2621" s="181" t="s">
        <v>14</v>
      </c>
      <c r="G2621" s="181" t="s">
        <v>647</v>
      </c>
      <c r="H2621" s="8">
        <v>5548604.1100000003</v>
      </c>
      <c r="I2621" s="8">
        <v>92838.58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5641442.6900000004</v>
      </c>
    </row>
    <row r="2622" spans="1:15">
      <c r="A2622" s="191">
        <v>44621</v>
      </c>
      <c r="B2622" s="181" t="s">
        <v>131</v>
      </c>
      <c r="C2622" s="181" t="s">
        <v>762</v>
      </c>
      <c r="D2622" s="181" t="str">
        <f t="shared" si="46"/>
        <v>39205</v>
      </c>
      <c r="E2622" s="181" t="s">
        <v>15</v>
      </c>
      <c r="F2622" s="181" t="s">
        <v>14</v>
      </c>
      <c r="G2622" s="181" t="s">
        <v>647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0</v>
      </c>
    </row>
    <row r="2623" spans="1:15">
      <c r="A2623" s="191">
        <v>44621</v>
      </c>
      <c r="B2623" s="181" t="s">
        <v>131</v>
      </c>
      <c r="C2623" s="181" t="s">
        <v>761</v>
      </c>
      <c r="D2623" s="181" t="str">
        <f t="shared" si="46"/>
        <v>39205</v>
      </c>
      <c r="E2623" s="181" t="s">
        <v>15</v>
      </c>
      <c r="F2623" s="181" t="s">
        <v>14</v>
      </c>
      <c r="G2623" s="181" t="s">
        <v>793</v>
      </c>
      <c r="H2623" s="8">
        <v>-5.78</v>
      </c>
      <c r="I2623" s="8">
        <v>0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-5.78</v>
      </c>
    </row>
    <row r="2624" spans="1:15">
      <c r="A2624" s="191">
        <v>44652</v>
      </c>
      <c r="B2624" s="181" t="s">
        <v>130</v>
      </c>
      <c r="C2624" s="181" t="s">
        <v>759</v>
      </c>
      <c r="D2624" s="181" t="str">
        <f t="shared" si="46"/>
        <v>39205</v>
      </c>
      <c r="E2624" s="181" t="s">
        <v>15</v>
      </c>
      <c r="F2624" s="181" t="s">
        <v>14</v>
      </c>
      <c r="G2624" s="181" t="s">
        <v>647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0</v>
      </c>
    </row>
    <row r="2625" spans="1:15">
      <c r="A2625" s="191">
        <v>44652</v>
      </c>
      <c r="B2625" s="181" t="s">
        <v>130</v>
      </c>
      <c r="C2625" s="181" t="s">
        <v>760</v>
      </c>
      <c r="D2625" s="181" t="str">
        <f t="shared" si="46"/>
        <v>39205</v>
      </c>
      <c r="E2625" s="181" t="s">
        <v>15</v>
      </c>
      <c r="F2625" s="181" t="s">
        <v>14</v>
      </c>
      <c r="G2625" s="181" t="s">
        <v>647</v>
      </c>
      <c r="H2625" s="8">
        <v>0</v>
      </c>
      <c r="I2625" s="8">
        <v>0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0</v>
      </c>
    </row>
    <row r="2626" spans="1:15">
      <c r="A2626" s="191">
        <v>44652</v>
      </c>
      <c r="B2626" s="181" t="s">
        <v>130</v>
      </c>
      <c r="C2626" s="181" t="s">
        <v>761</v>
      </c>
      <c r="D2626" s="181" t="str">
        <f t="shared" si="46"/>
        <v>39205</v>
      </c>
      <c r="E2626" s="181" t="s">
        <v>15</v>
      </c>
      <c r="F2626" s="181" t="s">
        <v>14</v>
      </c>
      <c r="G2626" s="181" t="s">
        <v>647</v>
      </c>
      <c r="H2626" s="8">
        <v>5641442.6900000004</v>
      </c>
      <c r="I2626" s="8">
        <v>93991.71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5735434.4000000004</v>
      </c>
    </row>
    <row r="2627" spans="1:15">
      <c r="A2627" s="191">
        <v>44652</v>
      </c>
      <c r="B2627" s="181" t="s">
        <v>130</v>
      </c>
      <c r="C2627" s="181" t="s">
        <v>762</v>
      </c>
      <c r="D2627" s="181" t="str">
        <f t="shared" si="46"/>
        <v>39205</v>
      </c>
      <c r="E2627" s="181" t="s">
        <v>15</v>
      </c>
      <c r="F2627" s="181" t="s">
        <v>14</v>
      </c>
      <c r="G2627" s="181" t="s">
        <v>647</v>
      </c>
      <c r="H2627" s="8">
        <v>0</v>
      </c>
      <c r="I2627" s="8">
        <v>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0</v>
      </c>
    </row>
    <row r="2628" spans="1:15">
      <c r="A2628" s="191">
        <v>44652</v>
      </c>
      <c r="B2628" s="181" t="s">
        <v>130</v>
      </c>
      <c r="C2628" s="181" t="s">
        <v>761</v>
      </c>
      <c r="D2628" s="181" t="str">
        <f t="shared" si="46"/>
        <v>39205</v>
      </c>
      <c r="E2628" s="181" t="s">
        <v>15</v>
      </c>
      <c r="F2628" s="181" t="s">
        <v>14</v>
      </c>
      <c r="G2628" s="181" t="s">
        <v>793</v>
      </c>
      <c r="H2628" s="8">
        <v>-5.78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-5.78</v>
      </c>
    </row>
    <row r="2629" spans="1:15">
      <c r="A2629" s="191">
        <v>44682</v>
      </c>
      <c r="B2629" s="181" t="s">
        <v>129</v>
      </c>
      <c r="C2629" s="181" t="s">
        <v>759</v>
      </c>
      <c r="D2629" s="181" t="str">
        <f t="shared" si="46"/>
        <v>39205</v>
      </c>
      <c r="E2629" s="181" t="s">
        <v>15</v>
      </c>
      <c r="F2629" s="181" t="s">
        <v>14</v>
      </c>
      <c r="G2629" s="181" t="s">
        <v>647</v>
      </c>
      <c r="H2629" s="8">
        <v>0</v>
      </c>
      <c r="I2629" s="8">
        <v>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0</v>
      </c>
    </row>
    <row r="2630" spans="1:15">
      <c r="A2630" s="191">
        <v>44682</v>
      </c>
      <c r="B2630" s="181" t="s">
        <v>129</v>
      </c>
      <c r="C2630" s="181" t="s">
        <v>760</v>
      </c>
      <c r="D2630" s="181" t="str">
        <f t="shared" si="46"/>
        <v>39205</v>
      </c>
      <c r="E2630" s="181" t="s">
        <v>15</v>
      </c>
      <c r="F2630" s="181" t="s">
        <v>14</v>
      </c>
      <c r="G2630" s="181" t="s">
        <v>647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0</v>
      </c>
    </row>
    <row r="2631" spans="1:15">
      <c r="A2631" s="191">
        <v>44682</v>
      </c>
      <c r="B2631" s="181" t="s">
        <v>129</v>
      </c>
      <c r="C2631" s="181" t="s">
        <v>761</v>
      </c>
      <c r="D2631" s="181" t="str">
        <f t="shared" si="46"/>
        <v>39205</v>
      </c>
      <c r="E2631" s="181" t="s">
        <v>15</v>
      </c>
      <c r="F2631" s="181" t="s">
        <v>14</v>
      </c>
      <c r="G2631" s="181" t="s">
        <v>647</v>
      </c>
      <c r="H2631" s="8">
        <v>5735434.4000000004</v>
      </c>
      <c r="I2631" s="8">
        <v>94986.790000000008</v>
      </c>
      <c r="J2631" s="8">
        <v>-73696.62</v>
      </c>
      <c r="K2631" s="8">
        <v>0</v>
      </c>
      <c r="L2631" s="8">
        <v>50642</v>
      </c>
      <c r="M2631" s="8">
        <v>0</v>
      </c>
      <c r="N2631" s="8">
        <v>0</v>
      </c>
      <c r="O2631" s="8">
        <v>5807366.5700000003</v>
      </c>
    </row>
    <row r="2632" spans="1:15">
      <c r="A2632" s="191">
        <v>44682</v>
      </c>
      <c r="B2632" s="181" t="s">
        <v>129</v>
      </c>
      <c r="C2632" s="181" t="s">
        <v>762</v>
      </c>
      <c r="D2632" s="181" t="str">
        <f t="shared" si="46"/>
        <v>39205</v>
      </c>
      <c r="E2632" s="181" t="s">
        <v>15</v>
      </c>
      <c r="F2632" s="181" t="s">
        <v>14</v>
      </c>
      <c r="G2632" s="181" t="s">
        <v>647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0</v>
      </c>
    </row>
    <row r="2633" spans="1:15">
      <c r="A2633" s="191">
        <v>44682</v>
      </c>
      <c r="B2633" s="181" t="s">
        <v>129</v>
      </c>
      <c r="C2633" s="181" t="s">
        <v>761</v>
      </c>
      <c r="D2633" s="181" t="str">
        <f t="shared" si="46"/>
        <v>39205</v>
      </c>
      <c r="E2633" s="181" t="s">
        <v>15</v>
      </c>
      <c r="F2633" s="181" t="s">
        <v>14</v>
      </c>
      <c r="G2633" s="181" t="s">
        <v>793</v>
      </c>
      <c r="H2633" s="8">
        <v>-5.78</v>
      </c>
      <c r="I2633" s="8">
        <v>0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-5.78</v>
      </c>
    </row>
    <row r="2634" spans="1:15">
      <c r="A2634" s="191">
        <v>44713</v>
      </c>
      <c r="B2634" s="181" t="s">
        <v>128</v>
      </c>
      <c r="C2634" s="181" t="s">
        <v>759</v>
      </c>
      <c r="D2634" s="181" t="str">
        <f t="shared" si="46"/>
        <v>39205</v>
      </c>
      <c r="E2634" s="181" t="s">
        <v>15</v>
      </c>
      <c r="F2634" s="181" t="s">
        <v>14</v>
      </c>
      <c r="G2634" s="181" t="s">
        <v>647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0</v>
      </c>
    </row>
    <row r="2635" spans="1:15">
      <c r="A2635" s="191">
        <v>44713</v>
      </c>
      <c r="B2635" s="181" t="s">
        <v>128</v>
      </c>
      <c r="C2635" s="181" t="s">
        <v>760</v>
      </c>
      <c r="D2635" s="181" t="str">
        <f t="shared" si="46"/>
        <v>39205</v>
      </c>
      <c r="E2635" s="181" t="s">
        <v>15</v>
      </c>
      <c r="F2635" s="181" t="s">
        <v>14</v>
      </c>
      <c r="G2635" s="181" t="s">
        <v>647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0</v>
      </c>
    </row>
    <row r="2636" spans="1:15">
      <c r="A2636" s="191">
        <v>44713</v>
      </c>
      <c r="B2636" s="181" t="s">
        <v>128</v>
      </c>
      <c r="C2636" s="181" t="s">
        <v>761</v>
      </c>
      <c r="D2636" s="181" t="str">
        <f t="shared" si="46"/>
        <v>39205</v>
      </c>
      <c r="E2636" s="181" t="s">
        <v>15</v>
      </c>
      <c r="F2636" s="181" t="s">
        <v>14</v>
      </c>
      <c r="G2636" s="181" t="s">
        <v>647</v>
      </c>
      <c r="H2636" s="8">
        <v>5807366.5700000003</v>
      </c>
      <c r="I2636" s="8">
        <v>95532.64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5902899.21</v>
      </c>
    </row>
    <row r="2637" spans="1:15">
      <c r="A2637" s="191">
        <v>44713</v>
      </c>
      <c r="B2637" s="181" t="s">
        <v>128</v>
      </c>
      <c r="C2637" s="181" t="s">
        <v>762</v>
      </c>
      <c r="D2637" s="181" t="str">
        <f t="shared" si="46"/>
        <v>39205</v>
      </c>
      <c r="E2637" s="181" t="s">
        <v>15</v>
      </c>
      <c r="F2637" s="181" t="s">
        <v>14</v>
      </c>
      <c r="G2637" s="181" t="s">
        <v>647</v>
      </c>
      <c r="H2637" s="8">
        <v>0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0</v>
      </c>
    </row>
    <row r="2638" spans="1:15">
      <c r="A2638" s="191">
        <v>44713</v>
      </c>
      <c r="B2638" s="181" t="s">
        <v>128</v>
      </c>
      <c r="C2638" s="181" t="s">
        <v>761</v>
      </c>
      <c r="D2638" s="181" t="str">
        <f t="shared" si="46"/>
        <v>39205</v>
      </c>
      <c r="E2638" s="181" t="s">
        <v>15</v>
      </c>
      <c r="F2638" s="181" t="s">
        <v>14</v>
      </c>
      <c r="G2638" s="181" t="s">
        <v>793</v>
      </c>
      <c r="H2638" s="8">
        <v>-5.78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-5.78</v>
      </c>
    </row>
    <row r="2639" spans="1:15">
      <c r="A2639" s="191">
        <v>44743</v>
      </c>
      <c r="B2639" s="181" t="s">
        <v>127</v>
      </c>
      <c r="C2639" s="181" t="s">
        <v>759</v>
      </c>
      <c r="D2639" s="181" t="str">
        <f t="shared" si="46"/>
        <v>39205</v>
      </c>
      <c r="E2639" s="181" t="s">
        <v>15</v>
      </c>
      <c r="F2639" s="181" t="s">
        <v>14</v>
      </c>
      <c r="G2639" s="181" t="s">
        <v>647</v>
      </c>
      <c r="H2639" s="8">
        <v>0</v>
      </c>
      <c r="I2639" s="8">
        <v>0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0</v>
      </c>
    </row>
    <row r="2640" spans="1:15">
      <c r="A2640" s="191">
        <v>44743</v>
      </c>
      <c r="B2640" s="181" t="s">
        <v>127</v>
      </c>
      <c r="C2640" s="181" t="s">
        <v>760</v>
      </c>
      <c r="D2640" s="181" t="str">
        <f t="shared" si="46"/>
        <v>39205</v>
      </c>
      <c r="E2640" s="181" t="s">
        <v>15</v>
      </c>
      <c r="F2640" s="181" t="s">
        <v>14</v>
      </c>
      <c r="G2640" s="181" t="s">
        <v>647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0</v>
      </c>
    </row>
    <row r="2641" spans="1:15">
      <c r="A2641" s="191">
        <v>44743</v>
      </c>
      <c r="B2641" s="181" t="s">
        <v>127</v>
      </c>
      <c r="C2641" s="181" t="s">
        <v>761</v>
      </c>
      <c r="D2641" s="181" t="str">
        <f t="shared" si="46"/>
        <v>39205</v>
      </c>
      <c r="E2641" s="181" t="s">
        <v>15</v>
      </c>
      <c r="F2641" s="181" t="s">
        <v>14</v>
      </c>
      <c r="G2641" s="181" t="s">
        <v>647</v>
      </c>
      <c r="H2641" s="8">
        <v>5902899.21</v>
      </c>
      <c r="I2641" s="8">
        <v>101435.58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6004334.79</v>
      </c>
    </row>
    <row r="2642" spans="1:15">
      <c r="A2642" s="191">
        <v>44743</v>
      </c>
      <c r="B2642" s="181" t="s">
        <v>127</v>
      </c>
      <c r="C2642" s="181" t="s">
        <v>762</v>
      </c>
      <c r="D2642" s="181" t="str">
        <f t="shared" si="46"/>
        <v>39205</v>
      </c>
      <c r="E2642" s="181" t="s">
        <v>15</v>
      </c>
      <c r="F2642" s="181" t="s">
        <v>14</v>
      </c>
      <c r="G2642" s="181" t="s">
        <v>647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0</v>
      </c>
    </row>
    <row r="2643" spans="1:15">
      <c r="A2643" s="191">
        <v>44743</v>
      </c>
      <c r="B2643" s="181" t="s">
        <v>127</v>
      </c>
      <c r="C2643" s="181" t="s">
        <v>761</v>
      </c>
      <c r="D2643" s="181" t="str">
        <f t="shared" si="46"/>
        <v>39205</v>
      </c>
      <c r="E2643" s="181" t="s">
        <v>15</v>
      </c>
      <c r="F2643" s="181" t="s">
        <v>14</v>
      </c>
      <c r="G2643" s="181" t="s">
        <v>793</v>
      </c>
      <c r="H2643" s="8">
        <v>-5.78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-5.78</v>
      </c>
    </row>
    <row r="2644" spans="1:15">
      <c r="A2644" s="191">
        <v>44774</v>
      </c>
      <c r="B2644" s="181" t="s">
        <v>126</v>
      </c>
      <c r="C2644" s="181" t="s">
        <v>759</v>
      </c>
      <c r="D2644" s="181" t="str">
        <f t="shared" si="46"/>
        <v>39205</v>
      </c>
      <c r="E2644" s="181" t="s">
        <v>15</v>
      </c>
      <c r="F2644" s="181" t="s">
        <v>14</v>
      </c>
      <c r="G2644" s="181" t="s">
        <v>647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0</v>
      </c>
    </row>
    <row r="2645" spans="1:15">
      <c r="A2645" s="191">
        <v>44774</v>
      </c>
      <c r="B2645" s="181" t="s">
        <v>126</v>
      </c>
      <c r="C2645" s="181" t="s">
        <v>760</v>
      </c>
      <c r="D2645" s="181" t="str">
        <f t="shared" si="46"/>
        <v>39205</v>
      </c>
      <c r="E2645" s="181" t="s">
        <v>15</v>
      </c>
      <c r="F2645" s="181" t="s">
        <v>14</v>
      </c>
      <c r="G2645" s="181" t="s">
        <v>647</v>
      </c>
      <c r="H2645" s="8">
        <v>0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0</v>
      </c>
    </row>
    <row r="2646" spans="1:15">
      <c r="A2646" s="191">
        <v>44774</v>
      </c>
      <c r="B2646" s="181" t="s">
        <v>126</v>
      </c>
      <c r="C2646" s="181" t="s">
        <v>761</v>
      </c>
      <c r="D2646" s="181" t="str">
        <f t="shared" si="46"/>
        <v>39205</v>
      </c>
      <c r="E2646" s="181" t="s">
        <v>15</v>
      </c>
      <c r="F2646" s="181" t="s">
        <v>14</v>
      </c>
      <c r="G2646" s="181" t="s">
        <v>647</v>
      </c>
      <c r="H2646" s="8">
        <v>6004334.79</v>
      </c>
      <c r="I2646" s="8">
        <v>107247.06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6111581.8499999996</v>
      </c>
    </row>
    <row r="2647" spans="1:15">
      <c r="A2647" s="191">
        <v>44774</v>
      </c>
      <c r="B2647" s="181" t="s">
        <v>126</v>
      </c>
      <c r="C2647" s="181" t="s">
        <v>762</v>
      </c>
      <c r="D2647" s="181" t="str">
        <f t="shared" si="46"/>
        <v>39205</v>
      </c>
      <c r="E2647" s="181" t="s">
        <v>15</v>
      </c>
      <c r="F2647" s="181" t="s">
        <v>14</v>
      </c>
      <c r="G2647" s="181" t="s">
        <v>647</v>
      </c>
      <c r="H2647" s="8">
        <v>0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0</v>
      </c>
    </row>
    <row r="2648" spans="1:15">
      <c r="A2648" s="191">
        <v>44774</v>
      </c>
      <c r="B2648" s="181" t="s">
        <v>126</v>
      </c>
      <c r="C2648" s="181" t="s">
        <v>761</v>
      </c>
      <c r="D2648" s="181" t="str">
        <f t="shared" si="46"/>
        <v>39205</v>
      </c>
      <c r="E2648" s="181" t="s">
        <v>15</v>
      </c>
      <c r="F2648" s="181" t="s">
        <v>14</v>
      </c>
      <c r="G2648" s="181" t="s">
        <v>793</v>
      </c>
      <c r="H2648" s="8">
        <v>-5.78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-5.78</v>
      </c>
    </row>
    <row r="2649" spans="1:15">
      <c r="A2649" s="191">
        <v>44805</v>
      </c>
      <c r="B2649" s="181" t="s">
        <v>125</v>
      </c>
      <c r="C2649" s="181" t="s">
        <v>759</v>
      </c>
      <c r="D2649" s="181" t="str">
        <f t="shared" si="46"/>
        <v>39205</v>
      </c>
      <c r="E2649" s="181" t="s">
        <v>15</v>
      </c>
      <c r="F2649" s="181" t="s">
        <v>14</v>
      </c>
      <c r="G2649" s="181" t="s">
        <v>647</v>
      </c>
      <c r="H2649" s="8">
        <v>0</v>
      </c>
      <c r="I2649" s="8">
        <v>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0</v>
      </c>
    </row>
    <row r="2650" spans="1:15">
      <c r="A2650" s="191">
        <v>44805</v>
      </c>
      <c r="B2650" s="181" t="s">
        <v>125</v>
      </c>
      <c r="C2650" s="181" t="s">
        <v>760</v>
      </c>
      <c r="D2650" s="181" t="str">
        <f t="shared" si="46"/>
        <v>39205</v>
      </c>
      <c r="E2650" s="181" t="s">
        <v>15</v>
      </c>
      <c r="F2650" s="181" t="s">
        <v>14</v>
      </c>
      <c r="G2650" s="181" t="s">
        <v>647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0</v>
      </c>
    </row>
    <row r="2651" spans="1:15">
      <c r="A2651" s="191">
        <v>44805</v>
      </c>
      <c r="B2651" s="181" t="s">
        <v>125</v>
      </c>
      <c r="C2651" s="181" t="s">
        <v>761</v>
      </c>
      <c r="D2651" s="181" t="str">
        <f t="shared" si="46"/>
        <v>39205</v>
      </c>
      <c r="E2651" s="181" t="s">
        <v>15</v>
      </c>
      <c r="F2651" s="181" t="s">
        <v>14</v>
      </c>
      <c r="G2651" s="181" t="s">
        <v>647</v>
      </c>
      <c r="H2651" s="8">
        <v>6111581.8499999996</v>
      </c>
      <c r="I2651" s="8">
        <v>107850.89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6219432.7400000002</v>
      </c>
    </row>
    <row r="2652" spans="1:15">
      <c r="A2652" s="191">
        <v>44805</v>
      </c>
      <c r="B2652" s="181" t="s">
        <v>125</v>
      </c>
      <c r="C2652" s="181" t="s">
        <v>762</v>
      </c>
      <c r="D2652" s="181" t="str">
        <f t="shared" si="46"/>
        <v>39205</v>
      </c>
      <c r="E2652" s="181" t="s">
        <v>15</v>
      </c>
      <c r="F2652" s="181" t="s">
        <v>14</v>
      </c>
      <c r="G2652" s="181" t="s">
        <v>647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0</v>
      </c>
    </row>
    <row r="2653" spans="1:15">
      <c r="A2653" s="191">
        <v>44805</v>
      </c>
      <c r="B2653" s="181" t="s">
        <v>125</v>
      </c>
      <c r="C2653" s="181" t="s">
        <v>761</v>
      </c>
      <c r="D2653" s="181" t="str">
        <f t="shared" si="46"/>
        <v>39205</v>
      </c>
      <c r="E2653" s="181" t="s">
        <v>15</v>
      </c>
      <c r="F2653" s="181" t="s">
        <v>14</v>
      </c>
      <c r="G2653" s="181" t="s">
        <v>793</v>
      </c>
      <c r="H2653" s="8">
        <v>-5.78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-5.78</v>
      </c>
    </row>
    <row r="2654" spans="1:15">
      <c r="A2654" s="191">
        <v>44835</v>
      </c>
      <c r="B2654" s="181" t="s">
        <v>124</v>
      </c>
      <c r="C2654" s="181" t="s">
        <v>759</v>
      </c>
      <c r="D2654" s="181" t="str">
        <f t="shared" si="46"/>
        <v>39205</v>
      </c>
      <c r="E2654" s="181" t="s">
        <v>15</v>
      </c>
      <c r="F2654" s="181" t="s">
        <v>14</v>
      </c>
      <c r="G2654" s="181" t="s">
        <v>647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0</v>
      </c>
    </row>
    <row r="2655" spans="1:15">
      <c r="A2655" s="191">
        <v>44835</v>
      </c>
      <c r="B2655" s="181" t="s">
        <v>124</v>
      </c>
      <c r="C2655" s="181" t="s">
        <v>760</v>
      </c>
      <c r="D2655" s="181" t="str">
        <f t="shared" si="46"/>
        <v>39205</v>
      </c>
      <c r="E2655" s="181" t="s">
        <v>15</v>
      </c>
      <c r="F2655" s="181" t="s">
        <v>14</v>
      </c>
      <c r="G2655" s="181" t="s">
        <v>647</v>
      </c>
      <c r="H2655" s="8">
        <v>0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0</v>
      </c>
    </row>
    <row r="2656" spans="1:15">
      <c r="A2656" s="191">
        <v>44835</v>
      </c>
      <c r="B2656" s="181" t="s">
        <v>124</v>
      </c>
      <c r="C2656" s="181" t="s">
        <v>761</v>
      </c>
      <c r="D2656" s="181" t="str">
        <f t="shared" si="46"/>
        <v>39205</v>
      </c>
      <c r="E2656" s="181" t="s">
        <v>15</v>
      </c>
      <c r="F2656" s="181" t="s">
        <v>14</v>
      </c>
      <c r="G2656" s="181" t="s">
        <v>647</v>
      </c>
      <c r="H2656" s="8">
        <v>6219432.7400000002</v>
      </c>
      <c r="I2656" s="8">
        <v>108109.78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6327542.5199999996</v>
      </c>
    </row>
    <row r="2657" spans="1:15">
      <c r="A2657" s="191">
        <v>44835</v>
      </c>
      <c r="B2657" s="181" t="s">
        <v>124</v>
      </c>
      <c r="C2657" s="181" t="s">
        <v>762</v>
      </c>
      <c r="D2657" s="181" t="str">
        <f t="shared" si="46"/>
        <v>39205</v>
      </c>
      <c r="E2657" s="181" t="s">
        <v>15</v>
      </c>
      <c r="F2657" s="181" t="s">
        <v>14</v>
      </c>
      <c r="G2657" s="181" t="s">
        <v>647</v>
      </c>
      <c r="H2657" s="8">
        <v>0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0</v>
      </c>
    </row>
    <row r="2658" spans="1:15">
      <c r="A2658" s="191">
        <v>44835</v>
      </c>
      <c r="B2658" s="181" t="s">
        <v>124</v>
      </c>
      <c r="C2658" s="181" t="s">
        <v>761</v>
      </c>
      <c r="D2658" s="181" t="str">
        <f t="shared" si="46"/>
        <v>39205</v>
      </c>
      <c r="E2658" s="181" t="s">
        <v>15</v>
      </c>
      <c r="F2658" s="181" t="s">
        <v>14</v>
      </c>
      <c r="G2658" s="181" t="s">
        <v>793</v>
      </c>
      <c r="H2658" s="8">
        <v>-5.78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-5.78</v>
      </c>
    </row>
    <row r="2659" spans="1:15">
      <c r="A2659" s="191">
        <v>44866</v>
      </c>
      <c r="B2659" s="181" t="s">
        <v>123</v>
      </c>
      <c r="C2659" s="181" t="s">
        <v>759</v>
      </c>
      <c r="D2659" s="181" t="str">
        <f t="shared" si="46"/>
        <v>39205</v>
      </c>
      <c r="E2659" s="181" t="s">
        <v>15</v>
      </c>
      <c r="F2659" s="181" t="s">
        <v>14</v>
      </c>
      <c r="G2659" s="181" t="s">
        <v>647</v>
      </c>
      <c r="H2659" s="8">
        <v>0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0</v>
      </c>
    </row>
    <row r="2660" spans="1:15">
      <c r="A2660" s="191">
        <v>44866</v>
      </c>
      <c r="B2660" s="181" t="s">
        <v>123</v>
      </c>
      <c r="C2660" s="181" t="s">
        <v>760</v>
      </c>
      <c r="D2660" s="181" t="str">
        <f t="shared" si="46"/>
        <v>39205</v>
      </c>
      <c r="E2660" s="181" t="s">
        <v>15</v>
      </c>
      <c r="F2660" s="181" t="s">
        <v>14</v>
      </c>
      <c r="G2660" s="181" t="s">
        <v>647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0</v>
      </c>
    </row>
    <row r="2661" spans="1:15">
      <c r="A2661" s="191">
        <v>44866</v>
      </c>
      <c r="B2661" s="181" t="s">
        <v>123</v>
      </c>
      <c r="C2661" s="181" t="s">
        <v>761</v>
      </c>
      <c r="D2661" s="181" t="str">
        <f t="shared" si="46"/>
        <v>39205</v>
      </c>
      <c r="E2661" s="181" t="s">
        <v>15</v>
      </c>
      <c r="F2661" s="181" t="s">
        <v>14</v>
      </c>
      <c r="G2661" s="181" t="s">
        <v>647</v>
      </c>
      <c r="H2661" s="8">
        <v>6327542.5199999996</v>
      </c>
      <c r="I2661" s="8">
        <v>108171.56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6435714.0800000001</v>
      </c>
    </row>
    <row r="2662" spans="1:15">
      <c r="A2662" s="191">
        <v>44866</v>
      </c>
      <c r="B2662" s="181" t="s">
        <v>123</v>
      </c>
      <c r="C2662" s="181" t="s">
        <v>762</v>
      </c>
      <c r="D2662" s="181" t="str">
        <f t="shared" si="46"/>
        <v>39205</v>
      </c>
      <c r="E2662" s="181" t="s">
        <v>15</v>
      </c>
      <c r="F2662" s="181" t="s">
        <v>14</v>
      </c>
      <c r="G2662" s="181" t="s">
        <v>647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0</v>
      </c>
    </row>
    <row r="2663" spans="1:15">
      <c r="A2663" s="191">
        <v>44866</v>
      </c>
      <c r="B2663" s="181" t="s">
        <v>123</v>
      </c>
      <c r="C2663" s="181" t="s">
        <v>761</v>
      </c>
      <c r="D2663" s="181" t="str">
        <f t="shared" si="46"/>
        <v>39205</v>
      </c>
      <c r="E2663" s="181" t="s">
        <v>15</v>
      </c>
      <c r="F2663" s="181" t="s">
        <v>14</v>
      </c>
      <c r="G2663" s="181" t="s">
        <v>793</v>
      </c>
      <c r="H2663" s="8">
        <v>-5.78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-5.78</v>
      </c>
    </row>
    <row r="2664" spans="1:15">
      <c r="A2664" s="191">
        <v>44896</v>
      </c>
      <c r="B2664" s="181" t="s">
        <v>122</v>
      </c>
      <c r="C2664" s="181" t="s">
        <v>759</v>
      </c>
      <c r="D2664" s="181" t="str">
        <f t="shared" si="46"/>
        <v>39205</v>
      </c>
      <c r="E2664" s="181" t="s">
        <v>15</v>
      </c>
      <c r="F2664" s="181" t="s">
        <v>14</v>
      </c>
      <c r="G2664" s="181" t="s">
        <v>647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0</v>
      </c>
    </row>
    <row r="2665" spans="1:15">
      <c r="A2665" s="191">
        <v>44896</v>
      </c>
      <c r="B2665" s="181" t="s">
        <v>122</v>
      </c>
      <c r="C2665" s="181" t="s">
        <v>760</v>
      </c>
      <c r="D2665" s="181" t="str">
        <f t="shared" si="46"/>
        <v>39205</v>
      </c>
      <c r="E2665" s="181" t="s">
        <v>15</v>
      </c>
      <c r="F2665" s="181" t="s">
        <v>14</v>
      </c>
      <c r="G2665" s="181" t="s">
        <v>647</v>
      </c>
      <c r="H2665" s="8">
        <v>0</v>
      </c>
      <c r="I2665" s="8">
        <v>0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0</v>
      </c>
    </row>
    <row r="2666" spans="1:15">
      <c r="A2666" s="191">
        <v>44896</v>
      </c>
      <c r="B2666" s="181" t="s">
        <v>122</v>
      </c>
      <c r="C2666" s="181" t="s">
        <v>761</v>
      </c>
      <c r="D2666" s="181" t="str">
        <f t="shared" si="46"/>
        <v>39205</v>
      </c>
      <c r="E2666" s="181" t="s">
        <v>15</v>
      </c>
      <c r="F2666" s="181" t="s">
        <v>14</v>
      </c>
      <c r="G2666" s="181" t="s">
        <v>647</v>
      </c>
      <c r="H2666" s="8">
        <v>6435714.0800000001</v>
      </c>
      <c r="I2666" s="8">
        <v>108547.92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6544262</v>
      </c>
    </row>
    <row r="2667" spans="1:15">
      <c r="A2667" s="191">
        <v>44896</v>
      </c>
      <c r="B2667" s="181" t="s">
        <v>122</v>
      </c>
      <c r="C2667" s="181" t="s">
        <v>762</v>
      </c>
      <c r="D2667" s="181" t="str">
        <f t="shared" si="46"/>
        <v>39205</v>
      </c>
      <c r="E2667" s="181" t="s">
        <v>15</v>
      </c>
      <c r="F2667" s="181" t="s">
        <v>14</v>
      </c>
      <c r="G2667" s="181" t="s">
        <v>647</v>
      </c>
      <c r="H2667" s="8">
        <v>0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0</v>
      </c>
    </row>
    <row r="2668" spans="1:15">
      <c r="A2668" s="191">
        <v>44896</v>
      </c>
      <c r="B2668" s="181" t="s">
        <v>122</v>
      </c>
      <c r="C2668" s="181" t="s">
        <v>761</v>
      </c>
      <c r="D2668" s="181" t="str">
        <f t="shared" si="46"/>
        <v>39205</v>
      </c>
      <c r="E2668" s="181" t="s">
        <v>15</v>
      </c>
      <c r="F2668" s="181" t="s">
        <v>14</v>
      </c>
      <c r="G2668" s="181" t="s">
        <v>793</v>
      </c>
      <c r="H2668" s="8">
        <v>-5.78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-5.78</v>
      </c>
    </row>
    <row r="2669" spans="1:15">
      <c r="A2669" s="191">
        <v>44531</v>
      </c>
      <c r="B2669" s="181" t="s">
        <v>13</v>
      </c>
      <c r="C2669" s="181" t="s">
        <v>763</v>
      </c>
      <c r="D2669" s="181" t="str">
        <f t="shared" si="46"/>
        <v>39206</v>
      </c>
      <c r="E2669" s="181" t="s">
        <v>15</v>
      </c>
      <c r="F2669" s="181" t="s">
        <v>14</v>
      </c>
      <c r="G2669" s="181" t="s">
        <v>647</v>
      </c>
      <c r="H2669" s="8">
        <v>78681.710000000006</v>
      </c>
      <c r="I2669" s="8">
        <v>19.850000000000001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78701.56</v>
      </c>
    </row>
    <row r="2670" spans="1:15">
      <c r="A2670" s="191">
        <v>44531</v>
      </c>
      <c r="B2670" s="181" t="s">
        <v>13</v>
      </c>
      <c r="C2670" s="181" t="s">
        <v>764</v>
      </c>
      <c r="D2670" s="181" t="str">
        <f t="shared" si="46"/>
        <v>39206</v>
      </c>
      <c r="E2670" s="181" t="s">
        <v>15</v>
      </c>
      <c r="F2670" s="181" t="s">
        <v>14</v>
      </c>
      <c r="G2670" s="181" t="s">
        <v>647</v>
      </c>
      <c r="H2670" s="8">
        <v>6417.45</v>
      </c>
      <c r="I2670" s="8">
        <v>1.57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6419.02</v>
      </c>
    </row>
    <row r="2671" spans="1:15">
      <c r="A2671" s="191">
        <v>44531</v>
      </c>
      <c r="B2671" s="181" t="s">
        <v>13</v>
      </c>
      <c r="C2671" s="181" t="s">
        <v>765</v>
      </c>
      <c r="D2671" s="181" t="str">
        <f t="shared" si="46"/>
        <v>39206</v>
      </c>
      <c r="E2671" s="181" t="s">
        <v>15</v>
      </c>
      <c r="F2671" s="181" t="s">
        <v>14</v>
      </c>
      <c r="G2671" s="181" t="s">
        <v>647</v>
      </c>
      <c r="H2671" s="8">
        <v>98142.22</v>
      </c>
      <c r="I2671" s="8">
        <v>608.23</v>
      </c>
      <c r="J2671" s="8">
        <v>-34724.870000000003</v>
      </c>
      <c r="K2671" s="8">
        <v>0</v>
      </c>
      <c r="L2671" s="8">
        <v>941.66</v>
      </c>
      <c r="M2671" s="8">
        <v>0</v>
      </c>
      <c r="N2671" s="8">
        <v>0</v>
      </c>
      <c r="O2671" s="8">
        <v>64967.24</v>
      </c>
    </row>
    <row r="2672" spans="1:15">
      <c r="A2672" s="191">
        <v>44531</v>
      </c>
      <c r="B2672" s="181" t="s">
        <v>13</v>
      </c>
      <c r="C2672" s="181" t="s">
        <v>766</v>
      </c>
      <c r="D2672" s="181" t="str">
        <f t="shared" si="46"/>
        <v>39206</v>
      </c>
      <c r="E2672" s="181" t="s">
        <v>15</v>
      </c>
      <c r="F2672" s="181" t="s">
        <v>14</v>
      </c>
      <c r="G2672" s="181" t="s">
        <v>647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0</v>
      </c>
    </row>
    <row r="2673" spans="1:15">
      <c r="A2673" s="191">
        <v>44531</v>
      </c>
      <c r="B2673" s="181" t="s">
        <v>13</v>
      </c>
      <c r="C2673" s="181" t="s">
        <v>785</v>
      </c>
      <c r="D2673" s="181" t="str">
        <f>MID(C2673,19,5)</f>
        <v>39206</v>
      </c>
      <c r="E2673" s="181" t="s">
        <v>15</v>
      </c>
      <c r="F2673" s="181" t="s">
        <v>14</v>
      </c>
      <c r="G2673" s="181" t="s">
        <v>647</v>
      </c>
      <c r="H2673" s="8">
        <v>0</v>
      </c>
      <c r="I2673" s="8">
        <v>0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0</v>
      </c>
    </row>
    <row r="2674" spans="1:15">
      <c r="A2674" s="191">
        <v>44562</v>
      </c>
      <c r="B2674" s="181" t="s">
        <v>133</v>
      </c>
      <c r="C2674" s="181" t="s">
        <v>785</v>
      </c>
      <c r="D2674" s="181" t="str">
        <f>MID(C2674,19,5)</f>
        <v>39206</v>
      </c>
      <c r="E2674" s="181" t="s">
        <v>15</v>
      </c>
      <c r="F2674" s="181" t="s">
        <v>14</v>
      </c>
      <c r="G2674" s="181" t="s">
        <v>647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0</v>
      </c>
    </row>
    <row r="2675" spans="1:15">
      <c r="A2675" s="191">
        <v>44531</v>
      </c>
      <c r="B2675" s="181" t="s">
        <v>13</v>
      </c>
      <c r="C2675" s="181" t="s">
        <v>789</v>
      </c>
      <c r="D2675" s="181" t="str">
        <f>MID(C2675,14,5)</f>
        <v>39206</v>
      </c>
      <c r="E2675" s="181" t="s">
        <v>15</v>
      </c>
      <c r="F2675" s="181" t="s">
        <v>14</v>
      </c>
      <c r="G2675" s="181" t="s">
        <v>647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0</v>
      </c>
    </row>
    <row r="2676" spans="1:15">
      <c r="A2676" s="191">
        <v>44593</v>
      </c>
      <c r="B2676" s="181" t="s">
        <v>132</v>
      </c>
      <c r="C2676" s="181" t="s">
        <v>785</v>
      </c>
      <c r="D2676" s="181" t="str">
        <f>MID(C2676,19,5)</f>
        <v>39206</v>
      </c>
      <c r="E2676" s="181" t="s">
        <v>15</v>
      </c>
      <c r="F2676" s="181" t="s">
        <v>14</v>
      </c>
      <c r="G2676" s="181" t="s">
        <v>647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0</v>
      </c>
    </row>
    <row r="2677" spans="1:15">
      <c r="A2677" s="191">
        <v>44562</v>
      </c>
      <c r="B2677" s="181" t="s">
        <v>133</v>
      </c>
      <c r="C2677" s="181" t="s">
        <v>789</v>
      </c>
      <c r="D2677" s="181" t="str">
        <f>MID(C2677,14,5)</f>
        <v>39206</v>
      </c>
      <c r="E2677" s="181" t="s">
        <v>15</v>
      </c>
      <c r="F2677" s="181" t="s">
        <v>14</v>
      </c>
      <c r="G2677" s="181" t="s">
        <v>647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0</v>
      </c>
    </row>
    <row r="2678" spans="1:15">
      <c r="A2678" s="191">
        <v>44531</v>
      </c>
      <c r="B2678" s="181" t="s">
        <v>13</v>
      </c>
      <c r="C2678" s="181" t="s">
        <v>765</v>
      </c>
      <c r="D2678" s="181" t="str">
        <f>MID(C2678,10,5)</f>
        <v>39206</v>
      </c>
      <c r="E2678" s="181" t="s">
        <v>15</v>
      </c>
      <c r="F2678" s="181" t="s">
        <v>14</v>
      </c>
      <c r="G2678" s="181" t="s">
        <v>793</v>
      </c>
      <c r="H2678" s="8">
        <v>991.74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991.74</v>
      </c>
    </row>
    <row r="2679" spans="1:15">
      <c r="A2679" s="191">
        <v>44562</v>
      </c>
      <c r="B2679" s="181" t="s">
        <v>133</v>
      </c>
      <c r="C2679" s="181" t="s">
        <v>763</v>
      </c>
      <c r="D2679" s="181" t="str">
        <f>MID(C2679,10,5)</f>
        <v>39206</v>
      </c>
      <c r="E2679" s="181" t="s">
        <v>15</v>
      </c>
      <c r="F2679" s="181" t="s">
        <v>14</v>
      </c>
      <c r="G2679" s="181" t="s">
        <v>647</v>
      </c>
      <c r="H2679" s="8">
        <v>78701.56</v>
      </c>
      <c r="I2679" s="8">
        <v>19.850000000000001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78721.41</v>
      </c>
    </row>
    <row r="2680" spans="1:15">
      <c r="A2680" s="191">
        <v>44562</v>
      </c>
      <c r="B2680" s="181" t="s">
        <v>133</v>
      </c>
      <c r="C2680" s="181" t="s">
        <v>764</v>
      </c>
      <c r="D2680" s="181" t="str">
        <f>MID(C2680,10,5)</f>
        <v>39206</v>
      </c>
      <c r="E2680" s="181" t="s">
        <v>15</v>
      </c>
      <c r="F2680" s="181" t="s">
        <v>14</v>
      </c>
      <c r="G2680" s="181" t="s">
        <v>647</v>
      </c>
      <c r="H2680" s="8">
        <v>6419.02</v>
      </c>
      <c r="I2680" s="8">
        <v>1.57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6420.59</v>
      </c>
    </row>
    <row r="2681" spans="1:15">
      <c r="A2681" s="191">
        <v>44562</v>
      </c>
      <c r="B2681" s="181" t="s">
        <v>133</v>
      </c>
      <c r="C2681" s="181" t="s">
        <v>765</v>
      </c>
      <c r="D2681" s="181" t="str">
        <f>MID(C2681,10,5)</f>
        <v>39206</v>
      </c>
      <c r="E2681" s="181" t="s">
        <v>15</v>
      </c>
      <c r="F2681" s="181" t="s">
        <v>14</v>
      </c>
      <c r="G2681" s="181" t="s">
        <v>647</v>
      </c>
      <c r="H2681" s="8">
        <v>64967.24</v>
      </c>
      <c r="I2681" s="8">
        <v>603.6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65570.84</v>
      </c>
    </row>
    <row r="2682" spans="1:15">
      <c r="A2682" s="191">
        <v>44562</v>
      </c>
      <c r="B2682" s="181" t="s">
        <v>133</v>
      </c>
      <c r="C2682" s="181" t="s">
        <v>766</v>
      </c>
      <c r="D2682" s="181" t="str">
        <f>MID(C2682,10,5)</f>
        <v>39206</v>
      </c>
      <c r="E2682" s="181" t="s">
        <v>15</v>
      </c>
      <c r="F2682" s="181" t="s">
        <v>14</v>
      </c>
      <c r="G2682" s="181" t="s">
        <v>647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0</v>
      </c>
    </row>
    <row r="2683" spans="1:15">
      <c r="A2683" s="191">
        <v>44621</v>
      </c>
      <c r="B2683" s="181" t="s">
        <v>131</v>
      </c>
      <c r="C2683" s="181" t="s">
        <v>785</v>
      </c>
      <c r="D2683" s="181" t="str">
        <f>MID(C2683,19,5)</f>
        <v>39206</v>
      </c>
      <c r="E2683" s="181" t="s">
        <v>15</v>
      </c>
      <c r="F2683" s="181" t="s">
        <v>14</v>
      </c>
      <c r="G2683" s="181" t="s">
        <v>647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0</v>
      </c>
    </row>
    <row r="2684" spans="1:15">
      <c r="A2684" s="191">
        <v>44652</v>
      </c>
      <c r="B2684" s="181" t="s">
        <v>130</v>
      </c>
      <c r="C2684" s="181" t="s">
        <v>785</v>
      </c>
      <c r="D2684" s="181" t="str">
        <f>MID(C2684,19,5)</f>
        <v>39206</v>
      </c>
      <c r="E2684" s="181" t="s">
        <v>15</v>
      </c>
      <c r="F2684" s="181" t="s">
        <v>14</v>
      </c>
      <c r="G2684" s="181" t="s">
        <v>647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0</v>
      </c>
    </row>
    <row r="2685" spans="1:15">
      <c r="A2685" s="191">
        <v>44593</v>
      </c>
      <c r="B2685" s="181" t="s">
        <v>132</v>
      </c>
      <c r="C2685" s="181" t="s">
        <v>789</v>
      </c>
      <c r="D2685" s="181" t="str">
        <f>MID(C2685,14,5)</f>
        <v>39206</v>
      </c>
      <c r="E2685" s="181" t="s">
        <v>15</v>
      </c>
      <c r="F2685" s="181" t="s">
        <v>14</v>
      </c>
      <c r="G2685" s="181" t="s">
        <v>647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0</v>
      </c>
    </row>
    <row r="2686" spans="1:15">
      <c r="A2686" s="191">
        <v>44621</v>
      </c>
      <c r="B2686" s="181" t="s">
        <v>131</v>
      </c>
      <c r="C2686" s="181" t="s">
        <v>789</v>
      </c>
      <c r="D2686" s="181" t="str">
        <f>MID(C2686,14,5)</f>
        <v>39206</v>
      </c>
      <c r="E2686" s="181" t="s">
        <v>15</v>
      </c>
      <c r="F2686" s="181" t="s">
        <v>14</v>
      </c>
      <c r="G2686" s="181" t="s">
        <v>647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0</v>
      </c>
    </row>
    <row r="2687" spans="1:15">
      <c r="A2687" s="191">
        <v>44562</v>
      </c>
      <c r="B2687" s="181" t="s">
        <v>133</v>
      </c>
      <c r="C2687" s="181" t="s">
        <v>765</v>
      </c>
      <c r="D2687" s="181" t="str">
        <f>MID(C2687,10,5)</f>
        <v>39206</v>
      </c>
      <c r="E2687" s="181" t="s">
        <v>15</v>
      </c>
      <c r="F2687" s="181" t="s">
        <v>14</v>
      </c>
      <c r="G2687" s="181" t="s">
        <v>793</v>
      </c>
      <c r="H2687" s="8">
        <v>991.74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991.74</v>
      </c>
    </row>
    <row r="2688" spans="1:15">
      <c r="A2688" s="191">
        <v>44593</v>
      </c>
      <c r="B2688" s="181" t="s">
        <v>132</v>
      </c>
      <c r="C2688" s="181" t="s">
        <v>763</v>
      </c>
      <c r="D2688" s="181" t="str">
        <f>MID(C2688,10,5)</f>
        <v>39206</v>
      </c>
      <c r="E2688" s="181" t="s">
        <v>15</v>
      </c>
      <c r="F2688" s="181" t="s">
        <v>14</v>
      </c>
      <c r="G2688" s="181" t="s">
        <v>647</v>
      </c>
      <c r="H2688" s="8">
        <v>78721.41</v>
      </c>
      <c r="I2688" s="8">
        <v>19.850000000000001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78741.259999999995</v>
      </c>
    </row>
    <row r="2689" spans="1:15">
      <c r="A2689" s="191">
        <v>44593</v>
      </c>
      <c r="B2689" s="181" t="s">
        <v>132</v>
      </c>
      <c r="C2689" s="181" t="s">
        <v>764</v>
      </c>
      <c r="D2689" s="181" t="str">
        <f>MID(C2689,10,5)</f>
        <v>39206</v>
      </c>
      <c r="E2689" s="181" t="s">
        <v>15</v>
      </c>
      <c r="F2689" s="181" t="s">
        <v>14</v>
      </c>
      <c r="G2689" s="181" t="s">
        <v>647</v>
      </c>
      <c r="H2689" s="8">
        <v>6420.59</v>
      </c>
      <c r="I2689" s="8">
        <v>1.57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6422.16</v>
      </c>
    </row>
    <row r="2690" spans="1:15">
      <c r="A2690" s="191">
        <v>44593</v>
      </c>
      <c r="B2690" s="181" t="s">
        <v>132</v>
      </c>
      <c r="C2690" s="181" t="s">
        <v>765</v>
      </c>
      <c r="D2690" s="181" t="str">
        <f>MID(C2690,10,5)</f>
        <v>39206</v>
      </c>
      <c r="E2690" s="181" t="s">
        <v>15</v>
      </c>
      <c r="F2690" s="181" t="s">
        <v>14</v>
      </c>
      <c r="G2690" s="181" t="s">
        <v>647</v>
      </c>
      <c r="H2690" s="8">
        <v>65570.84</v>
      </c>
      <c r="I2690" s="8">
        <v>603.6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66174.44</v>
      </c>
    </row>
    <row r="2691" spans="1:15">
      <c r="A2691" s="191">
        <v>44593</v>
      </c>
      <c r="B2691" s="181" t="s">
        <v>132</v>
      </c>
      <c r="C2691" s="181" t="s">
        <v>766</v>
      </c>
      <c r="D2691" s="181" t="str">
        <f>MID(C2691,10,5)</f>
        <v>39206</v>
      </c>
      <c r="E2691" s="181" t="s">
        <v>15</v>
      </c>
      <c r="F2691" s="181" t="s">
        <v>14</v>
      </c>
      <c r="G2691" s="181" t="s">
        <v>647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0</v>
      </c>
    </row>
    <row r="2692" spans="1:15">
      <c r="A2692" s="191">
        <v>44682</v>
      </c>
      <c r="B2692" s="181" t="s">
        <v>129</v>
      </c>
      <c r="C2692" s="181" t="s">
        <v>785</v>
      </c>
      <c r="D2692" s="181" t="str">
        <f>MID(C2692,19,5)</f>
        <v>39206</v>
      </c>
      <c r="E2692" s="181" t="s">
        <v>15</v>
      </c>
      <c r="F2692" s="181" t="s">
        <v>14</v>
      </c>
      <c r="G2692" s="181" t="s">
        <v>647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0</v>
      </c>
    </row>
    <row r="2693" spans="1:15">
      <c r="A2693" s="191">
        <v>44713</v>
      </c>
      <c r="B2693" s="181" t="s">
        <v>128</v>
      </c>
      <c r="C2693" s="181" t="s">
        <v>785</v>
      </c>
      <c r="D2693" s="181" t="str">
        <f>MID(C2693,19,5)</f>
        <v>39206</v>
      </c>
      <c r="E2693" s="181" t="s">
        <v>15</v>
      </c>
      <c r="F2693" s="181" t="s">
        <v>14</v>
      </c>
      <c r="G2693" s="181" t="s">
        <v>647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0</v>
      </c>
    </row>
    <row r="2694" spans="1:15">
      <c r="A2694" s="191">
        <v>44652</v>
      </c>
      <c r="B2694" s="181" t="s">
        <v>130</v>
      </c>
      <c r="C2694" s="181" t="s">
        <v>789</v>
      </c>
      <c r="D2694" s="181" t="str">
        <f>MID(C2694,14,5)</f>
        <v>39206</v>
      </c>
      <c r="E2694" s="181" t="s">
        <v>15</v>
      </c>
      <c r="F2694" s="181" t="s">
        <v>14</v>
      </c>
      <c r="G2694" s="181" t="s">
        <v>647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0</v>
      </c>
    </row>
    <row r="2695" spans="1:15">
      <c r="A2695" s="191">
        <v>44743</v>
      </c>
      <c r="B2695" s="181" t="s">
        <v>127</v>
      </c>
      <c r="C2695" s="181" t="s">
        <v>785</v>
      </c>
      <c r="D2695" s="181" t="str">
        <f>MID(C2695,19,5)</f>
        <v>39206</v>
      </c>
      <c r="E2695" s="181" t="s">
        <v>15</v>
      </c>
      <c r="F2695" s="181" t="s">
        <v>14</v>
      </c>
      <c r="G2695" s="181" t="s">
        <v>647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0</v>
      </c>
    </row>
    <row r="2696" spans="1:15">
      <c r="A2696" s="191">
        <v>44682</v>
      </c>
      <c r="B2696" s="181" t="s">
        <v>129</v>
      </c>
      <c r="C2696" s="181" t="s">
        <v>789</v>
      </c>
      <c r="D2696" s="181" t="str">
        <f>MID(C2696,14,5)</f>
        <v>39206</v>
      </c>
      <c r="E2696" s="181" t="s">
        <v>15</v>
      </c>
      <c r="F2696" s="181" t="s">
        <v>14</v>
      </c>
      <c r="G2696" s="181" t="s">
        <v>647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0</v>
      </c>
    </row>
    <row r="2697" spans="1:15">
      <c r="A2697" s="191">
        <v>44593</v>
      </c>
      <c r="B2697" s="181" t="s">
        <v>132</v>
      </c>
      <c r="C2697" s="181" t="s">
        <v>765</v>
      </c>
      <c r="D2697" s="181" t="str">
        <f>MID(C2697,10,5)</f>
        <v>39206</v>
      </c>
      <c r="E2697" s="181" t="s">
        <v>15</v>
      </c>
      <c r="F2697" s="181" t="s">
        <v>14</v>
      </c>
      <c r="G2697" s="181" t="s">
        <v>793</v>
      </c>
      <c r="H2697" s="8">
        <v>991.74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991.74</v>
      </c>
    </row>
    <row r="2698" spans="1:15">
      <c r="A2698" s="191">
        <v>44621</v>
      </c>
      <c r="B2698" s="181" t="s">
        <v>131</v>
      </c>
      <c r="C2698" s="181" t="s">
        <v>763</v>
      </c>
      <c r="D2698" s="181" t="str">
        <f>MID(C2698,10,5)</f>
        <v>39206</v>
      </c>
      <c r="E2698" s="181" t="s">
        <v>15</v>
      </c>
      <c r="F2698" s="181" t="s">
        <v>14</v>
      </c>
      <c r="G2698" s="181" t="s">
        <v>647</v>
      </c>
      <c r="H2698" s="8">
        <v>78741.259999999995</v>
      </c>
      <c r="I2698" s="8">
        <v>19.850000000000001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78761.11</v>
      </c>
    </row>
    <row r="2699" spans="1:15">
      <c r="A2699" s="191">
        <v>44621</v>
      </c>
      <c r="B2699" s="181" t="s">
        <v>131</v>
      </c>
      <c r="C2699" s="181" t="s">
        <v>764</v>
      </c>
      <c r="D2699" s="181" t="str">
        <f>MID(C2699,10,5)</f>
        <v>39206</v>
      </c>
      <c r="E2699" s="181" t="s">
        <v>15</v>
      </c>
      <c r="F2699" s="181" t="s">
        <v>14</v>
      </c>
      <c r="G2699" s="181" t="s">
        <v>647</v>
      </c>
      <c r="H2699" s="8">
        <v>6422.16</v>
      </c>
      <c r="I2699" s="8">
        <v>1.57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6423.7300000000005</v>
      </c>
    </row>
    <row r="2700" spans="1:15">
      <c r="A2700" s="191">
        <v>44621</v>
      </c>
      <c r="B2700" s="181" t="s">
        <v>131</v>
      </c>
      <c r="C2700" s="181" t="s">
        <v>765</v>
      </c>
      <c r="D2700" s="181" t="str">
        <f>MID(C2700,10,5)</f>
        <v>39206</v>
      </c>
      <c r="E2700" s="181" t="s">
        <v>15</v>
      </c>
      <c r="F2700" s="181" t="s">
        <v>14</v>
      </c>
      <c r="G2700" s="181" t="s">
        <v>647</v>
      </c>
      <c r="H2700" s="8">
        <v>66174.44</v>
      </c>
      <c r="I2700" s="8">
        <v>602.65</v>
      </c>
      <c r="J2700" s="8">
        <v>-7173.68</v>
      </c>
      <c r="K2700" s="8">
        <v>0</v>
      </c>
      <c r="L2700" s="8">
        <v>0</v>
      </c>
      <c r="M2700" s="8">
        <v>0</v>
      </c>
      <c r="N2700" s="8">
        <v>0</v>
      </c>
      <c r="O2700" s="8">
        <v>59603.41</v>
      </c>
    </row>
    <row r="2701" spans="1:15">
      <c r="A2701" s="191">
        <v>44621</v>
      </c>
      <c r="B2701" s="181" t="s">
        <v>131</v>
      </c>
      <c r="C2701" s="181" t="s">
        <v>766</v>
      </c>
      <c r="D2701" s="181" t="str">
        <f>MID(C2701,10,5)</f>
        <v>39206</v>
      </c>
      <c r="E2701" s="181" t="s">
        <v>15</v>
      </c>
      <c r="F2701" s="181" t="s">
        <v>14</v>
      </c>
      <c r="G2701" s="181" t="s">
        <v>647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0</v>
      </c>
    </row>
    <row r="2702" spans="1:15">
      <c r="A2702" s="191">
        <v>44774</v>
      </c>
      <c r="B2702" s="181" t="s">
        <v>126</v>
      </c>
      <c r="C2702" s="181" t="s">
        <v>785</v>
      </c>
      <c r="D2702" s="181" t="str">
        <f>MID(C2702,19,5)</f>
        <v>39206</v>
      </c>
      <c r="E2702" s="181" t="s">
        <v>15</v>
      </c>
      <c r="F2702" s="181" t="s">
        <v>14</v>
      </c>
      <c r="G2702" s="181" t="s">
        <v>647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0</v>
      </c>
    </row>
    <row r="2703" spans="1:15">
      <c r="A2703" s="191">
        <v>44805</v>
      </c>
      <c r="B2703" s="181" t="s">
        <v>125</v>
      </c>
      <c r="C2703" s="181" t="s">
        <v>785</v>
      </c>
      <c r="D2703" s="181" t="str">
        <f>MID(C2703,19,5)</f>
        <v>39206</v>
      </c>
      <c r="E2703" s="181" t="s">
        <v>15</v>
      </c>
      <c r="F2703" s="181" t="s">
        <v>14</v>
      </c>
      <c r="G2703" s="181" t="s">
        <v>647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0</v>
      </c>
    </row>
    <row r="2704" spans="1:15">
      <c r="A2704" s="191">
        <v>44713</v>
      </c>
      <c r="B2704" s="181" t="s">
        <v>128</v>
      </c>
      <c r="C2704" s="181" t="s">
        <v>789</v>
      </c>
      <c r="D2704" s="181" t="str">
        <f>MID(C2704,14,5)</f>
        <v>39206</v>
      </c>
      <c r="E2704" s="181" t="s">
        <v>15</v>
      </c>
      <c r="F2704" s="181" t="s">
        <v>14</v>
      </c>
      <c r="G2704" s="181" t="s">
        <v>647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0</v>
      </c>
    </row>
    <row r="2705" spans="1:15">
      <c r="A2705" s="191">
        <v>44621</v>
      </c>
      <c r="B2705" s="181" t="s">
        <v>131</v>
      </c>
      <c r="C2705" s="181" t="s">
        <v>765</v>
      </c>
      <c r="D2705" s="181" t="str">
        <f>MID(C2705,10,5)</f>
        <v>39206</v>
      </c>
      <c r="E2705" s="181" t="s">
        <v>15</v>
      </c>
      <c r="F2705" s="181" t="s">
        <v>14</v>
      </c>
      <c r="G2705" s="181" t="s">
        <v>793</v>
      </c>
      <c r="H2705" s="8">
        <v>991.74</v>
      </c>
      <c r="I2705" s="8">
        <v>0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991.74</v>
      </c>
    </row>
    <row r="2706" spans="1:15">
      <c r="A2706" s="191">
        <v>44652</v>
      </c>
      <c r="B2706" s="181" t="s">
        <v>130</v>
      </c>
      <c r="C2706" s="181" t="s">
        <v>763</v>
      </c>
      <c r="D2706" s="181" t="str">
        <f>MID(C2706,10,5)</f>
        <v>39206</v>
      </c>
      <c r="E2706" s="181" t="s">
        <v>15</v>
      </c>
      <c r="F2706" s="181" t="s">
        <v>14</v>
      </c>
      <c r="G2706" s="181" t="s">
        <v>647</v>
      </c>
      <c r="H2706" s="8">
        <v>78761.11</v>
      </c>
      <c r="I2706" s="8">
        <v>19.850000000000001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78780.960000000006</v>
      </c>
    </row>
    <row r="2707" spans="1:15">
      <c r="A2707" s="191">
        <v>44652</v>
      </c>
      <c r="B2707" s="181" t="s">
        <v>130</v>
      </c>
      <c r="C2707" s="181" t="s">
        <v>764</v>
      </c>
      <c r="D2707" s="181" t="str">
        <f>MID(C2707,10,5)</f>
        <v>39206</v>
      </c>
      <c r="E2707" s="181" t="s">
        <v>15</v>
      </c>
      <c r="F2707" s="181" t="s">
        <v>14</v>
      </c>
      <c r="G2707" s="181" t="s">
        <v>647</v>
      </c>
      <c r="H2707" s="8">
        <v>6423.7300000000005</v>
      </c>
      <c r="I2707" s="8">
        <v>1.57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6425.3</v>
      </c>
    </row>
    <row r="2708" spans="1:15">
      <c r="A2708" s="191">
        <v>44652</v>
      </c>
      <c r="B2708" s="181" t="s">
        <v>130</v>
      </c>
      <c r="C2708" s="181" t="s">
        <v>765</v>
      </c>
      <c r="D2708" s="181" t="str">
        <f>MID(C2708,10,5)</f>
        <v>39206</v>
      </c>
      <c r="E2708" s="181" t="s">
        <v>15</v>
      </c>
      <c r="F2708" s="181" t="s">
        <v>14</v>
      </c>
      <c r="G2708" s="181" t="s">
        <v>647</v>
      </c>
      <c r="H2708" s="8">
        <v>59603.41</v>
      </c>
      <c r="I2708" s="8">
        <v>601.76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60205.17</v>
      </c>
    </row>
    <row r="2709" spans="1:15">
      <c r="A2709" s="191">
        <v>44652</v>
      </c>
      <c r="B2709" s="181" t="s">
        <v>130</v>
      </c>
      <c r="C2709" s="181" t="s">
        <v>766</v>
      </c>
      <c r="D2709" s="181" t="str">
        <f>MID(C2709,10,5)</f>
        <v>39206</v>
      </c>
      <c r="E2709" s="181" t="s">
        <v>15</v>
      </c>
      <c r="F2709" s="181" t="s">
        <v>14</v>
      </c>
      <c r="G2709" s="181" t="s">
        <v>647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0</v>
      </c>
    </row>
    <row r="2710" spans="1:15">
      <c r="A2710" s="191">
        <v>44835</v>
      </c>
      <c r="B2710" s="181" t="s">
        <v>124</v>
      </c>
      <c r="C2710" s="181" t="s">
        <v>785</v>
      </c>
      <c r="D2710" s="181" t="str">
        <f>MID(C2710,19,5)</f>
        <v>39206</v>
      </c>
      <c r="E2710" s="181" t="s">
        <v>15</v>
      </c>
      <c r="F2710" s="181" t="s">
        <v>14</v>
      </c>
      <c r="G2710" s="181" t="s">
        <v>647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0</v>
      </c>
    </row>
    <row r="2711" spans="1:15">
      <c r="A2711" s="191">
        <v>44866</v>
      </c>
      <c r="B2711" s="181" t="s">
        <v>123</v>
      </c>
      <c r="C2711" s="181" t="s">
        <v>785</v>
      </c>
      <c r="D2711" s="181" t="str">
        <f>MID(C2711,19,5)</f>
        <v>39206</v>
      </c>
      <c r="E2711" s="181" t="s">
        <v>15</v>
      </c>
      <c r="F2711" s="181" t="s">
        <v>14</v>
      </c>
      <c r="G2711" s="181" t="s">
        <v>647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0</v>
      </c>
    </row>
    <row r="2712" spans="1:15">
      <c r="A2712" s="191">
        <v>44743</v>
      </c>
      <c r="B2712" s="181" t="s">
        <v>127</v>
      </c>
      <c r="C2712" s="181" t="s">
        <v>789</v>
      </c>
      <c r="D2712" s="181" t="str">
        <f>MID(C2712,14,5)</f>
        <v>39206</v>
      </c>
      <c r="E2712" s="181" t="s">
        <v>15</v>
      </c>
      <c r="F2712" s="181" t="s">
        <v>14</v>
      </c>
      <c r="G2712" s="181" t="s">
        <v>647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0</v>
      </c>
    </row>
    <row r="2713" spans="1:15">
      <c r="A2713" s="191">
        <v>44896</v>
      </c>
      <c r="B2713" s="181" t="s">
        <v>122</v>
      </c>
      <c r="C2713" s="181" t="s">
        <v>785</v>
      </c>
      <c r="D2713" s="181" t="str">
        <f>MID(C2713,19,5)</f>
        <v>39206</v>
      </c>
      <c r="E2713" s="181" t="s">
        <v>15</v>
      </c>
      <c r="F2713" s="181" t="s">
        <v>14</v>
      </c>
      <c r="G2713" s="181" t="s">
        <v>647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0</v>
      </c>
    </row>
    <row r="2714" spans="1:15">
      <c r="A2714" s="191">
        <v>44774</v>
      </c>
      <c r="B2714" s="181" t="s">
        <v>126</v>
      </c>
      <c r="C2714" s="181" t="s">
        <v>789</v>
      </c>
      <c r="D2714" s="181" t="str">
        <f>MID(C2714,14,5)</f>
        <v>39206</v>
      </c>
      <c r="E2714" s="181" t="s">
        <v>15</v>
      </c>
      <c r="F2714" s="181" t="s">
        <v>14</v>
      </c>
      <c r="G2714" s="181" t="s">
        <v>647</v>
      </c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0</v>
      </c>
    </row>
    <row r="2715" spans="1:15">
      <c r="A2715" s="191">
        <v>44652</v>
      </c>
      <c r="B2715" s="181" t="s">
        <v>130</v>
      </c>
      <c r="C2715" s="181" t="s">
        <v>765</v>
      </c>
      <c r="D2715" s="181" t="str">
        <f>MID(C2715,10,5)</f>
        <v>39206</v>
      </c>
      <c r="E2715" s="181" t="s">
        <v>15</v>
      </c>
      <c r="F2715" s="181" t="s">
        <v>14</v>
      </c>
      <c r="G2715" s="181" t="s">
        <v>793</v>
      </c>
      <c r="H2715" s="8">
        <v>991.74</v>
      </c>
      <c r="I2715" s="8">
        <v>0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991.74</v>
      </c>
    </row>
    <row r="2716" spans="1:15">
      <c r="A2716" s="191">
        <v>44682</v>
      </c>
      <c r="B2716" s="181" t="s">
        <v>129</v>
      </c>
      <c r="C2716" s="181" t="s">
        <v>763</v>
      </c>
      <c r="D2716" s="181" t="str">
        <f>MID(C2716,10,5)</f>
        <v>39206</v>
      </c>
      <c r="E2716" s="181" t="s">
        <v>15</v>
      </c>
      <c r="F2716" s="181" t="s">
        <v>14</v>
      </c>
      <c r="G2716" s="181" t="s">
        <v>647</v>
      </c>
      <c r="H2716" s="8">
        <v>78780.960000000006</v>
      </c>
      <c r="I2716" s="8">
        <v>19.850000000000001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78800.81</v>
      </c>
    </row>
    <row r="2717" spans="1:15">
      <c r="A2717" s="191">
        <v>44682</v>
      </c>
      <c r="B2717" s="181" t="s">
        <v>129</v>
      </c>
      <c r="C2717" s="181" t="s">
        <v>764</v>
      </c>
      <c r="D2717" s="181" t="str">
        <f>MID(C2717,10,5)</f>
        <v>39206</v>
      </c>
      <c r="E2717" s="181" t="s">
        <v>15</v>
      </c>
      <c r="F2717" s="181" t="s">
        <v>14</v>
      </c>
      <c r="G2717" s="181" t="s">
        <v>647</v>
      </c>
      <c r="H2717" s="8">
        <v>6425.3</v>
      </c>
      <c r="I2717" s="8">
        <v>1.57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6426.87</v>
      </c>
    </row>
    <row r="2718" spans="1:15">
      <c r="A2718" s="191">
        <v>44682</v>
      </c>
      <c r="B2718" s="181" t="s">
        <v>129</v>
      </c>
      <c r="C2718" s="181" t="s">
        <v>765</v>
      </c>
      <c r="D2718" s="181" t="str">
        <f>MID(C2718,10,5)</f>
        <v>39206</v>
      </c>
      <c r="E2718" s="181" t="s">
        <v>15</v>
      </c>
      <c r="F2718" s="181" t="s">
        <v>14</v>
      </c>
      <c r="G2718" s="181" t="s">
        <v>647</v>
      </c>
      <c r="H2718" s="8">
        <v>60205.17</v>
      </c>
      <c r="I2718" s="8">
        <v>601.82000000000005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60806.99</v>
      </c>
    </row>
    <row r="2719" spans="1:15">
      <c r="A2719" s="191">
        <v>44682</v>
      </c>
      <c r="B2719" s="181" t="s">
        <v>129</v>
      </c>
      <c r="C2719" s="181" t="s">
        <v>766</v>
      </c>
      <c r="D2719" s="181" t="str">
        <f>MID(C2719,10,5)</f>
        <v>39206</v>
      </c>
      <c r="E2719" s="181" t="s">
        <v>15</v>
      </c>
      <c r="F2719" s="181" t="s">
        <v>14</v>
      </c>
      <c r="G2719" s="181" t="s">
        <v>647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0</v>
      </c>
    </row>
    <row r="2720" spans="1:15">
      <c r="A2720" s="191">
        <v>44531</v>
      </c>
      <c r="B2720" s="181" t="s">
        <v>13</v>
      </c>
      <c r="C2720" s="181" t="s">
        <v>818</v>
      </c>
      <c r="D2720" s="181" t="str">
        <f>MID(C2720,18,5)</f>
        <v>39206</v>
      </c>
      <c r="E2720" s="181" t="s">
        <v>15</v>
      </c>
      <c r="F2720" s="181" t="s">
        <v>14</v>
      </c>
      <c r="G2720" s="181" t="s">
        <v>647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0</v>
      </c>
    </row>
    <row r="2721" spans="1:15">
      <c r="A2721" s="191">
        <v>44562</v>
      </c>
      <c r="B2721" s="181" t="s">
        <v>133</v>
      </c>
      <c r="C2721" s="181" t="s">
        <v>818</v>
      </c>
      <c r="D2721" s="181" t="str">
        <f>MID(C2721,18,5)</f>
        <v>39206</v>
      </c>
      <c r="E2721" s="181" t="s">
        <v>15</v>
      </c>
      <c r="F2721" s="181" t="s">
        <v>14</v>
      </c>
      <c r="G2721" s="181" t="s">
        <v>647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0</v>
      </c>
    </row>
    <row r="2722" spans="1:15">
      <c r="A2722" s="191">
        <v>44805</v>
      </c>
      <c r="B2722" s="181" t="s">
        <v>125</v>
      </c>
      <c r="C2722" s="181" t="s">
        <v>789</v>
      </c>
      <c r="D2722" s="181" t="str">
        <f>MID(C2722,14,5)</f>
        <v>39206</v>
      </c>
      <c r="E2722" s="181" t="s">
        <v>15</v>
      </c>
      <c r="F2722" s="181" t="s">
        <v>14</v>
      </c>
      <c r="G2722" s="181" t="s">
        <v>647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0</v>
      </c>
    </row>
    <row r="2723" spans="1:15">
      <c r="A2723" s="191">
        <v>44593</v>
      </c>
      <c r="B2723" s="181" t="s">
        <v>132</v>
      </c>
      <c r="C2723" s="181" t="s">
        <v>818</v>
      </c>
      <c r="D2723" s="181" t="str">
        <f>MID(C2723,18,5)</f>
        <v>39206</v>
      </c>
      <c r="E2723" s="181" t="s">
        <v>15</v>
      </c>
      <c r="F2723" s="181" t="s">
        <v>14</v>
      </c>
      <c r="G2723" s="181" t="s">
        <v>647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0</v>
      </c>
    </row>
    <row r="2724" spans="1:15">
      <c r="A2724" s="191">
        <v>44835</v>
      </c>
      <c r="B2724" s="181" t="s">
        <v>124</v>
      </c>
      <c r="C2724" s="181" t="s">
        <v>789</v>
      </c>
      <c r="D2724" s="181" t="str">
        <f>MID(C2724,14,5)</f>
        <v>39206</v>
      </c>
      <c r="E2724" s="181" t="s">
        <v>15</v>
      </c>
      <c r="F2724" s="181" t="s">
        <v>14</v>
      </c>
      <c r="G2724" s="181" t="s">
        <v>647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0</v>
      </c>
    </row>
    <row r="2725" spans="1:15">
      <c r="A2725" s="191">
        <v>44682</v>
      </c>
      <c r="B2725" s="181" t="s">
        <v>129</v>
      </c>
      <c r="C2725" s="181" t="s">
        <v>765</v>
      </c>
      <c r="D2725" s="181" t="str">
        <f>MID(C2725,10,5)</f>
        <v>39206</v>
      </c>
      <c r="E2725" s="181" t="s">
        <v>15</v>
      </c>
      <c r="F2725" s="181" t="s">
        <v>14</v>
      </c>
      <c r="G2725" s="181" t="s">
        <v>793</v>
      </c>
      <c r="H2725" s="8">
        <v>991.74</v>
      </c>
      <c r="I2725" s="8">
        <v>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991.74</v>
      </c>
    </row>
    <row r="2726" spans="1:15">
      <c r="A2726" s="191">
        <v>44713</v>
      </c>
      <c r="B2726" s="181" t="s">
        <v>128</v>
      </c>
      <c r="C2726" s="181" t="s">
        <v>763</v>
      </c>
      <c r="D2726" s="181" t="str">
        <f>MID(C2726,10,5)</f>
        <v>39206</v>
      </c>
      <c r="E2726" s="181" t="s">
        <v>15</v>
      </c>
      <c r="F2726" s="181" t="s">
        <v>14</v>
      </c>
      <c r="G2726" s="181" t="s">
        <v>647</v>
      </c>
      <c r="H2726" s="8">
        <v>78800.81</v>
      </c>
      <c r="I2726" s="8">
        <v>19.850000000000001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78820.66</v>
      </c>
    </row>
    <row r="2727" spans="1:15">
      <c r="A2727" s="191">
        <v>44713</v>
      </c>
      <c r="B2727" s="181" t="s">
        <v>128</v>
      </c>
      <c r="C2727" s="181" t="s">
        <v>764</v>
      </c>
      <c r="D2727" s="181" t="str">
        <f>MID(C2727,10,5)</f>
        <v>39206</v>
      </c>
      <c r="E2727" s="181" t="s">
        <v>15</v>
      </c>
      <c r="F2727" s="181" t="s">
        <v>14</v>
      </c>
      <c r="G2727" s="181" t="s">
        <v>647</v>
      </c>
      <c r="H2727" s="8">
        <v>6426.87</v>
      </c>
      <c r="I2727" s="8">
        <v>1.57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6428.4400000000005</v>
      </c>
    </row>
    <row r="2728" spans="1:15">
      <c r="A2728" s="191">
        <v>44713</v>
      </c>
      <c r="B2728" s="181" t="s">
        <v>128</v>
      </c>
      <c r="C2728" s="181" t="s">
        <v>765</v>
      </c>
      <c r="D2728" s="181" t="str">
        <f>MID(C2728,10,5)</f>
        <v>39206</v>
      </c>
      <c r="E2728" s="181" t="s">
        <v>15</v>
      </c>
      <c r="F2728" s="181" t="s">
        <v>14</v>
      </c>
      <c r="G2728" s="181" t="s">
        <v>647</v>
      </c>
      <c r="H2728" s="8">
        <v>60806.99</v>
      </c>
      <c r="I2728" s="8">
        <v>602.15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61409.14</v>
      </c>
    </row>
    <row r="2729" spans="1:15">
      <c r="A2729" s="191">
        <v>44713</v>
      </c>
      <c r="B2729" s="181" t="s">
        <v>128</v>
      </c>
      <c r="C2729" s="181" t="s">
        <v>766</v>
      </c>
      <c r="D2729" s="181" t="str">
        <f>MID(C2729,10,5)</f>
        <v>39206</v>
      </c>
      <c r="E2729" s="181" t="s">
        <v>15</v>
      </c>
      <c r="F2729" s="181" t="s">
        <v>14</v>
      </c>
      <c r="G2729" s="181" t="s">
        <v>647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0</v>
      </c>
    </row>
    <row r="2730" spans="1:15">
      <c r="A2730" s="191">
        <v>44621</v>
      </c>
      <c r="B2730" s="181" t="s">
        <v>131</v>
      </c>
      <c r="C2730" s="181" t="s">
        <v>818</v>
      </c>
      <c r="D2730" s="181" t="str">
        <f>MID(C2730,18,5)</f>
        <v>39206</v>
      </c>
      <c r="E2730" s="181" t="s">
        <v>15</v>
      </c>
      <c r="F2730" s="181" t="s">
        <v>14</v>
      </c>
      <c r="G2730" s="181" t="s">
        <v>647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0</v>
      </c>
    </row>
    <row r="2731" spans="1:15">
      <c r="A2731" s="191">
        <v>44652</v>
      </c>
      <c r="B2731" s="181" t="s">
        <v>130</v>
      </c>
      <c r="C2731" s="181" t="s">
        <v>818</v>
      </c>
      <c r="D2731" s="181" t="str">
        <f>MID(C2731,18,5)</f>
        <v>39206</v>
      </c>
      <c r="E2731" s="181" t="s">
        <v>15</v>
      </c>
      <c r="F2731" s="181" t="s">
        <v>14</v>
      </c>
      <c r="G2731" s="181" t="s">
        <v>647</v>
      </c>
      <c r="H2731" s="8">
        <v>0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0</v>
      </c>
    </row>
    <row r="2732" spans="1:15">
      <c r="A2732" s="191">
        <v>44682</v>
      </c>
      <c r="B2732" s="181" t="s">
        <v>129</v>
      </c>
      <c r="C2732" s="181" t="s">
        <v>818</v>
      </c>
      <c r="D2732" s="181" t="str">
        <f>MID(C2732,18,5)</f>
        <v>39206</v>
      </c>
      <c r="E2732" s="181" t="s">
        <v>15</v>
      </c>
      <c r="F2732" s="181" t="s">
        <v>14</v>
      </c>
      <c r="G2732" s="181" t="s">
        <v>647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0</v>
      </c>
    </row>
    <row r="2733" spans="1:15">
      <c r="A2733" s="191">
        <v>44866</v>
      </c>
      <c r="B2733" s="181" t="s">
        <v>123</v>
      </c>
      <c r="C2733" s="181" t="s">
        <v>789</v>
      </c>
      <c r="D2733" s="181" t="str">
        <f>MID(C2733,14,5)</f>
        <v>39206</v>
      </c>
      <c r="E2733" s="181" t="s">
        <v>15</v>
      </c>
      <c r="F2733" s="181" t="s">
        <v>14</v>
      </c>
      <c r="G2733" s="181" t="s">
        <v>647</v>
      </c>
      <c r="H2733" s="8">
        <v>0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0</v>
      </c>
    </row>
    <row r="2734" spans="1:15">
      <c r="A2734" s="191">
        <v>44896</v>
      </c>
      <c r="B2734" s="181" t="s">
        <v>122</v>
      </c>
      <c r="C2734" s="181" t="s">
        <v>789</v>
      </c>
      <c r="D2734" s="181" t="str">
        <f>MID(C2734,14,5)</f>
        <v>39206</v>
      </c>
      <c r="E2734" s="181" t="s">
        <v>15</v>
      </c>
      <c r="F2734" s="181" t="s">
        <v>14</v>
      </c>
      <c r="G2734" s="181" t="s">
        <v>647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0</v>
      </c>
    </row>
    <row r="2735" spans="1:15">
      <c r="A2735" s="191">
        <v>44713</v>
      </c>
      <c r="B2735" s="181" t="s">
        <v>128</v>
      </c>
      <c r="C2735" s="181" t="s">
        <v>765</v>
      </c>
      <c r="D2735" s="181" t="str">
        <f>MID(C2735,10,5)</f>
        <v>39206</v>
      </c>
      <c r="E2735" s="181" t="s">
        <v>15</v>
      </c>
      <c r="F2735" s="181" t="s">
        <v>14</v>
      </c>
      <c r="G2735" s="181" t="s">
        <v>793</v>
      </c>
      <c r="H2735" s="8">
        <v>991.74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991.74</v>
      </c>
    </row>
    <row r="2736" spans="1:15">
      <c r="A2736" s="191">
        <v>44743</v>
      </c>
      <c r="B2736" s="181" t="s">
        <v>127</v>
      </c>
      <c r="C2736" s="181" t="s">
        <v>763</v>
      </c>
      <c r="D2736" s="181" t="str">
        <f>MID(C2736,10,5)</f>
        <v>39206</v>
      </c>
      <c r="E2736" s="181" t="s">
        <v>15</v>
      </c>
      <c r="F2736" s="181" t="s">
        <v>14</v>
      </c>
      <c r="G2736" s="181" t="s">
        <v>647</v>
      </c>
      <c r="H2736" s="8">
        <v>78820.66</v>
      </c>
      <c r="I2736" s="8">
        <v>19.850000000000001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78840.509999999995</v>
      </c>
    </row>
    <row r="2737" spans="1:15">
      <c r="A2737" s="191">
        <v>44743</v>
      </c>
      <c r="B2737" s="181" t="s">
        <v>127</v>
      </c>
      <c r="C2737" s="181" t="s">
        <v>764</v>
      </c>
      <c r="D2737" s="181" t="str">
        <f>MID(C2737,10,5)</f>
        <v>39206</v>
      </c>
      <c r="E2737" s="181" t="s">
        <v>15</v>
      </c>
      <c r="F2737" s="181" t="s">
        <v>14</v>
      </c>
      <c r="G2737" s="181" t="s">
        <v>647</v>
      </c>
      <c r="H2737" s="8">
        <v>6428.4400000000005</v>
      </c>
      <c r="I2737" s="8">
        <v>1.57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6430.01</v>
      </c>
    </row>
    <row r="2738" spans="1:15">
      <c r="A2738" s="191">
        <v>44743</v>
      </c>
      <c r="B2738" s="181" t="s">
        <v>127</v>
      </c>
      <c r="C2738" s="181" t="s">
        <v>765</v>
      </c>
      <c r="D2738" s="181" t="str">
        <f>MID(C2738,10,5)</f>
        <v>39206</v>
      </c>
      <c r="E2738" s="181" t="s">
        <v>15</v>
      </c>
      <c r="F2738" s="181" t="s">
        <v>14</v>
      </c>
      <c r="G2738" s="181" t="s">
        <v>647</v>
      </c>
      <c r="H2738" s="8">
        <v>61409.14</v>
      </c>
      <c r="I2738" s="8">
        <v>602.47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62011.61</v>
      </c>
    </row>
    <row r="2739" spans="1:15">
      <c r="A2739" s="191">
        <v>44743</v>
      </c>
      <c r="B2739" s="181" t="s">
        <v>127</v>
      </c>
      <c r="C2739" s="181" t="s">
        <v>766</v>
      </c>
      <c r="D2739" s="181" t="str">
        <f>MID(C2739,10,5)</f>
        <v>39206</v>
      </c>
      <c r="E2739" s="181" t="s">
        <v>15</v>
      </c>
      <c r="F2739" s="181" t="s">
        <v>14</v>
      </c>
      <c r="G2739" s="181" t="s">
        <v>647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0</v>
      </c>
    </row>
    <row r="2740" spans="1:15">
      <c r="A2740" s="191">
        <v>44713</v>
      </c>
      <c r="B2740" s="181" t="s">
        <v>128</v>
      </c>
      <c r="C2740" s="181" t="s">
        <v>818</v>
      </c>
      <c r="D2740" s="181" t="str">
        <f>MID(C2740,18,5)</f>
        <v>39206</v>
      </c>
      <c r="E2740" s="181" t="s">
        <v>15</v>
      </c>
      <c r="F2740" s="181" t="s">
        <v>14</v>
      </c>
      <c r="G2740" s="181" t="s">
        <v>647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0</v>
      </c>
    </row>
    <row r="2741" spans="1:15">
      <c r="A2741" s="191">
        <v>44743</v>
      </c>
      <c r="B2741" s="181" t="s">
        <v>127</v>
      </c>
      <c r="C2741" s="181" t="s">
        <v>818</v>
      </c>
      <c r="D2741" s="181" t="str">
        <f>MID(C2741,18,5)</f>
        <v>39206</v>
      </c>
      <c r="E2741" s="181" t="s">
        <v>15</v>
      </c>
      <c r="F2741" s="181" t="s">
        <v>14</v>
      </c>
      <c r="G2741" s="181" t="s">
        <v>647</v>
      </c>
      <c r="H2741" s="8">
        <v>0</v>
      </c>
      <c r="I2741" s="8">
        <v>0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0</v>
      </c>
    </row>
    <row r="2742" spans="1:15">
      <c r="A2742" s="191">
        <v>44774</v>
      </c>
      <c r="B2742" s="181" t="s">
        <v>126</v>
      </c>
      <c r="C2742" s="181" t="s">
        <v>818</v>
      </c>
      <c r="D2742" s="181" t="str">
        <f>MID(C2742,18,5)</f>
        <v>39206</v>
      </c>
      <c r="E2742" s="181" t="s">
        <v>15</v>
      </c>
      <c r="F2742" s="181" t="s">
        <v>14</v>
      </c>
      <c r="G2742" s="181" t="s">
        <v>647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0</v>
      </c>
    </row>
    <row r="2743" spans="1:15">
      <c r="A2743" s="191">
        <v>44743</v>
      </c>
      <c r="B2743" s="181" t="s">
        <v>127</v>
      </c>
      <c r="C2743" s="181" t="s">
        <v>765</v>
      </c>
      <c r="D2743" s="181" t="str">
        <f>MID(C2743,10,5)</f>
        <v>39206</v>
      </c>
      <c r="E2743" s="181" t="s">
        <v>15</v>
      </c>
      <c r="F2743" s="181" t="s">
        <v>14</v>
      </c>
      <c r="G2743" s="181" t="s">
        <v>793</v>
      </c>
      <c r="H2743" s="8">
        <v>991.74</v>
      </c>
      <c r="I2743" s="8">
        <v>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991.74</v>
      </c>
    </row>
    <row r="2744" spans="1:15">
      <c r="A2744" s="191">
        <v>44805</v>
      </c>
      <c r="B2744" s="181" t="s">
        <v>125</v>
      </c>
      <c r="C2744" s="181" t="s">
        <v>818</v>
      </c>
      <c r="D2744" s="181" t="str">
        <f>MID(C2744,18,5)</f>
        <v>39206</v>
      </c>
      <c r="E2744" s="181" t="s">
        <v>15</v>
      </c>
      <c r="F2744" s="181" t="s">
        <v>14</v>
      </c>
      <c r="G2744" s="181" t="s">
        <v>647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0</v>
      </c>
    </row>
    <row r="2745" spans="1:15">
      <c r="A2745" s="191">
        <v>44774</v>
      </c>
      <c r="B2745" s="181" t="s">
        <v>126</v>
      </c>
      <c r="C2745" s="181" t="s">
        <v>763</v>
      </c>
      <c r="D2745" s="181" t="str">
        <f>MID(C2745,10,5)</f>
        <v>39206</v>
      </c>
      <c r="E2745" s="181" t="s">
        <v>15</v>
      </c>
      <c r="F2745" s="181" t="s">
        <v>14</v>
      </c>
      <c r="G2745" s="181" t="s">
        <v>647</v>
      </c>
      <c r="H2745" s="8">
        <v>78840.509999999995</v>
      </c>
      <c r="I2745" s="8">
        <v>19.850000000000001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78860.36</v>
      </c>
    </row>
    <row r="2746" spans="1:15">
      <c r="A2746" s="191">
        <v>44774</v>
      </c>
      <c r="B2746" s="181" t="s">
        <v>126</v>
      </c>
      <c r="C2746" s="181" t="s">
        <v>764</v>
      </c>
      <c r="D2746" s="181" t="str">
        <f>MID(C2746,10,5)</f>
        <v>39206</v>
      </c>
      <c r="E2746" s="181" t="s">
        <v>15</v>
      </c>
      <c r="F2746" s="181" t="s">
        <v>14</v>
      </c>
      <c r="G2746" s="181" t="s">
        <v>647</v>
      </c>
      <c r="H2746" s="8">
        <v>6430.01</v>
      </c>
      <c r="I2746" s="8">
        <v>1.57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6431.58</v>
      </c>
    </row>
    <row r="2747" spans="1:15">
      <c r="A2747" s="191">
        <v>44774</v>
      </c>
      <c r="B2747" s="181" t="s">
        <v>126</v>
      </c>
      <c r="C2747" s="181" t="s">
        <v>765</v>
      </c>
      <c r="D2747" s="181" t="str">
        <f>MID(C2747,10,5)</f>
        <v>39206</v>
      </c>
      <c r="E2747" s="181" t="s">
        <v>15</v>
      </c>
      <c r="F2747" s="181" t="s">
        <v>14</v>
      </c>
      <c r="G2747" s="181" t="s">
        <v>647</v>
      </c>
      <c r="H2747" s="8">
        <v>62011.61</v>
      </c>
      <c r="I2747" s="8">
        <v>602.47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62614.080000000002</v>
      </c>
    </row>
    <row r="2748" spans="1:15">
      <c r="A2748" s="191">
        <v>44774</v>
      </c>
      <c r="B2748" s="181" t="s">
        <v>126</v>
      </c>
      <c r="C2748" s="181" t="s">
        <v>766</v>
      </c>
      <c r="D2748" s="181" t="str">
        <f>MID(C2748,10,5)</f>
        <v>39206</v>
      </c>
      <c r="E2748" s="181" t="s">
        <v>15</v>
      </c>
      <c r="F2748" s="181" t="s">
        <v>14</v>
      </c>
      <c r="G2748" s="181" t="s">
        <v>647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0</v>
      </c>
    </row>
    <row r="2749" spans="1:15">
      <c r="A2749" s="191">
        <v>44835</v>
      </c>
      <c r="B2749" s="181" t="s">
        <v>124</v>
      </c>
      <c r="C2749" s="181" t="s">
        <v>818</v>
      </c>
      <c r="D2749" s="181" t="str">
        <f>MID(C2749,18,5)</f>
        <v>39206</v>
      </c>
      <c r="E2749" s="181" t="s">
        <v>15</v>
      </c>
      <c r="F2749" s="181" t="s">
        <v>14</v>
      </c>
      <c r="G2749" s="181" t="s">
        <v>647</v>
      </c>
      <c r="H2749" s="8">
        <v>0</v>
      </c>
      <c r="I2749" s="8">
        <v>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0</v>
      </c>
    </row>
    <row r="2750" spans="1:15">
      <c r="A2750" s="191">
        <v>44866</v>
      </c>
      <c r="B2750" s="181" t="s">
        <v>123</v>
      </c>
      <c r="C2750" s="181" t="s">
        <v>818</v>
      </c>
      <c r="D2750" s="181" t="str">
        <f>MID(C2750,18,5)</f>
        <v>39206</v>
      </c>
      <c r="E2750" s="181" t="s">
        <v>15</v>
      </c>
      <c r="F2750" s="181" t="s">
        <v>14</v>
      </c>
      <c r="G2750" s="181" t="s">
        <v>647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0</v>
      </c>
    </row>
    <row r="2751" spans="1:15">
      <c r="A2751" s="191">
        <v>44896</v>
      </c>
      <c r="B2751" s="181" t="s">
        <v>122</v>
      </c>
      <c r="C2751" s="181" t="s">
        <v>818</v>
      </c>
      <c r="D2751" s="181" t="str">
        <f>MID(C2751,18,5)</f>
        <v>39206</v>
      </c>
      <c r="E2751" s="181" t="s">
        <v>15</v>
      </c>
      <c r="F2751" s="181" t="s">
        <v>14</v>
      </c>
      <c r="G2751" s="181" t="s">
        <v>647</v>
      </c>
      <c r="H2751" s="8">
        <v>0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0</v>
      </c>
    </row>
    <row r="2752" spans="1:15">
      <c r="A2752" s="191">
        <v>44774</v>
      </c>
      <c r="B2752" s="181" t="s">
        <v>126</v>
      </c>
      <c r="C2752" s="181" t="s">
        <v>765</v>
      </c>
      <c r="D2752" s="181" t="str">
        <f t="shared" ref="D2752:D2772" si="47">MID(C2752,10,5)</f>
        <v>39206</v>
      </c>
      <c r="E2752" s="181" t="s">
        <v>15</v>
      </c>
      <c r="F2752" s="181" t="s">
        <v>14</v>
      </c>
      <c r="G2752" s="181" t="s">
        <v>793</v>
      </c>
      <c r="H2752" s="8">
        <v>991.74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991.74</v>
      </c>
    </row>
    <row r="2753" spans="1:15">
      <c r="A2753" s="191">
        <v>44805</v>
      </c>
      <c r="B2753" s="181" t="s">
        <v>125</v>
      </c>
      <c r="C2753" s="181" t="s">
        <v>763</v>
      </c>
      <c r="D2753" s="181" t="str">
        <f t="shared" si="47"/>
        <v>39206</v>
      </c>
      <c r="E2753" s="181" t="s">
        <v>15</v>
      </c>
      <c r="F2753" s="181" t="s">
        <v>14</v>
      </c>
      <c r="G2753" s="181" t="s">
        <v>647</v>
      </c>
      <c r="H2753" s="8">
        <v>78860.36</v>
      </c>
      <c r="I2753" s="8">
        <v>19.850000000000001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78880.210000000006</v>
      </c>
    </row>
    <row r="2754" spans="1:15">
      <c r="A2754" s="191">
        <v>44805</v>
      </c>
      <c r="B2754" s="181" t="s">
        <v>125</v>
      </c>
      <c r="C2754" s="181" t="s">
        <v>764</v>
      </c>
      <c r="D2754" s="181" t="str">
        <f t="shared" si="47"/>
        <v>39206</v>
      </c>
      <c r="E2754" s="181" t="s">
        <v>15</v>
      </c>
      <c r="F2754" s="181" t="s">
        <v>14</v>
      </c>
      <c r="G2754" s="181" t="s">
        <v>647</v>
      </c>
      <c r="H2754" s="8">
        <v>6431.58</v>
      </c>
      <c r="I2754" s="8">
        <v>1.57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6433.1500000000005</v>
      </c>
    </row>
    <row r="2755" spans="1:15">
      <c r="A2755" s="191">
        <v>44805</v>
      </c>
      <c r="B2755" s="181" t="s">
        <v>125</v>
      </c>
      <c r="C2755" s="181" t="s">
        <v>765</v>
      </c>
      <c r="D2755" s="181" t="str">
        <f t="shared" si="47"/>
        <v>39206</v>
      </c>
      <c r="E2755" s="181" t="s">
        <v>15</v>
      </c>
      <c r="F2755" s="181" t="s">
        <v>14</v>
      </c>
      <c r="G2755" s="181" t="s">
        <v>647</v>
      </c>
      <c r="H2755" s="8">
        <v>62614.080000000002</v>
      </c>
      <c r="I2755" s="8">
        <v>602.47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63216.55</v>
      </c>
    </row>
    <row r="2756" spans="1:15">
      <c r="A2756" s="191">
        <v>44805</v>
      </c>
      <c r="B2756" s="181" t="s">
        <v>125</v>
      </c>
      <c r="C2756" s="181" t="s">
        <v>766</v>
      </c>
      <c r="D2756" s="181" t="str">
        <f t="shared" si="47"/>
        <v>39206</v>
      </c>
      <c r="E2756" s="181" t="s">
        <v>15</v>
      </c>
      <c r="F2756" s="181" t="s">
        <v>14</v>
      </c>
      <c r="G2756" s="181" t="s">
        <v>647</v>
      </c>
      <c r="H2756" s="8">
        <v>0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0</v>
      </c>
    </row>
    <row r="2757" spans="1:15">
      <c r="A2757" s="191">
        <v>44805</v>
      </c>
      <c r="B2757" s="181" t="s">
        <v>125</v>
      </c>
      <c r="C2757" s="181" t="s">
        <v>765</v>
      </c>
      <c r="D2757" s="181" t="str">
        <f t="shared" si="47"/>
        <v>39206</v>
      </c>
      <c r="E2757" s="181" t="s">
        <v>15</v>
      </c>
      <c r="F2757" s="181" t="s">
        <v>14</v>
      </c>
      <c r="G2757" s="181" t="s">
        <v>793</v>
      </c>
      <c r="H2757" s="8">
        <v>991.74</v>
      </c>
      <c r="I2757" s="8">
        <v>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991.74</v>
      </c>
    </row>
    <row r="2758" spans="1:15">
      <c r="A2758" s="191">
        <v>44835</v>
      </c>
      <c r="B2758" s="181" t="s">
        <v>124</v>
      </c>
      <c r="C2758" s="181" t="s">
        <v>763</v>
      </c>
      <c r="D2758" s="181" t="str">
        <f t="shared" si="47"/>
        <v>39206</v>
      </c>
      <c r="E2758" s="181" t="s">
        <v>15</v>
      </c>
      <c r="F2758" s="181" t="s">
        <v>14</v>
      </c>
      <c r="G2758" s="181" t="s">
        <v>647</v>
      </c>
      <c r="H2758" s="8">
        <v>78880.210000000006</v>
      </c>
      <c r="I2758" s="8">
        <v>19.850000000000001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78900.06</v>
      </c>
    </row>
    <row r="2759" spans="1:15">
      <c r="A2759" s="191">
        <v>44835</v>
      </c>
      <c r="B2759" s="181" t="s">
        <v>124</v>
      </c>
      <c r="C2759" s="181" t="s">
        <v>764</v>
      </c>
      <c r="D2759" s="181" t="str">
        <f t="shared" si="47"/>
        <v>39206</v>
      </c>
      <c r="E2759" s="181" t="s">
        <v>15</v>
      </c>
      <c r="F2759" s="181" t="s">
        <v>14</v>
      </c>
      <c r="G2759" s="181" t="s">
        <v>647</v>
      </c>
      <c r="H2759" s="8">
        <v>6433.1500000000005</v>
      </c>
      <c r="I2759" s="8">
        <v>1.57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6434.72</v>
      </c>
    </row>
    <row r="2760" spans="1:15">
      <c r="A2760" s="191">
        <v>44835</v>
      </c>
      <c r="B2760" s="181" t="s">
        <v>124</v>
      </c>
      <c r="C2760" s="181" t="s">
        <v>765</v>
      </c>
      <c r="D2760" s="181" t="str">
        <f t="shared" si="47"/>
        <v>39206</v>
      </c>
      <c r="E2760" s="181" t="s">
        <v>15</v>
      </c>
      <c r="F2760" s="181" t="s">
        <v>14</v>
      </c>
      <c r="G2760" s="181" t="s">
        <v>647</v>
      </c>
      <c r="H2760" s="8">
        <v>63216.55</v>
      </c>
      <c r="I2760" s="8">
        <v>628.88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63845.43</v>
      </c>
    </row>
    <row r="2761" spans="1:15">
      <c r="A2761" s="191">
        <v>44835</v>
      </c>
      <c r="B2761" s="181" t="s">
        <v>124</v>
      </c>
      <c r="C2761" s="181" t="s">
        <v>766</v>
      </c>
      <c r="D2761" s="181" t="str">
        <f t="shared" si="47"/>
        <v>39206</v>
      </c>
      <c r="E2761" s="181" t="s">
        <v>15</v>
      </c>
      <c r="F2761" s="181" t="s">
        <v>14</v>
      </c>
      <c r="G2761" s="181" t="s">
        <v>647</v>
      </c>
      <c r="H2761" s="8">
        <v>0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0</v>
      </c>
    </row>
    <row r="2762" spans="1:15">
      <c r="A2762" s="191">
        <v>44835</v>
      </c>
      <c r="B2762" s="181" t="s">
        <v>124</v>
      </c>
      <c r="C2762" s="181" t="s">
        <v>765</v>
      </c>
      <c r="D2762" s="181" t="str">
        <f t="shared" si="47"/>
        <v>39206</v>
      </c>
      <c r="E2762" s="181" t="s">
        <v>15</v>
      </c>
      <c r="F2762" s="181" t="s">
        <v>14</v>
      </c>
      <c r="G2762" s="181" t="s">
        <v>793</v>
      </c>
      <c r="H2762" s="8">
        <v>991.74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991.74</v>
      </c>
    </row>
    <row r="2763" spans="1:15">
      <c r="A2763" s="191">
        <v>44866</v>
      </c>
      <c r="B2763" s="181" t="s">
        <v>123</v>
      </c>
      <c r="C2763" s="181" t="s">
        <v>763</v>
      </c>
      <c r="D2763" s="181" t="str">
        <f t="shared" si="47"/>
        <v>39206</v>
      </c>
      <c r="E2763" s="181" t="s">
        <v>15</v>
      </c>
      <c r="F2763" s="181" t="s">
        <v>14</v>
      </c>
      <c r="G2763" s="181" t="s">
        <v>647</v>
      </c>
      <c r="H2763" s="8">
        <v>78900.06</v>
      </c>
      <c r="I2763" s="8">
        <v>19.850000000000001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78919.91</v>
      </c>
    </row>
    <row r="2764" spans="1:15">
      <c r="A2764" s="191">
        <v>44866</v>
      </c>
      <c r="B2764" s="181" t="s">
        <v>123</v>
      </c>
      <c r="C2764" s="181" t="s">
        <v>764</v>
      </c>
      <c r="D2764" s="181" t="str">
        <f t="shared" si="47"/>
        <v>39206</v>
      </c>
      <c r="E2764" s="181" t="s">
        <v>15</v>
      </c>
      <c r="F2764" s="181" t="s">
        <v>14</v>
      </c>
      <c r="G2764" s="181" t="s">
        <v>647</v>
      </c>
      <c r="H2764" s="8">
        <v>6434.72</v>
      </c>
      <c r="I2764" s="8">
        <v>1.57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6436.29</v>
      </c>
    </row>
    <row r="2765" spans="1:15">
      <c r="A2765" s="191">
        <v>44866</v>
      </c>
      <c r="B2765" s="181" t="s">
        <v>123</v>
      </c>
      <c r="C2765" s="181" t="s">
        <v>765</v>
      </c>
      <c r="D2765" s="181" t="str">
        <f t="shared" si="47"/>
        <v>39206</v>
      </c>
      <c r="E2765" s="181" t="s">
        <v>15</v>
      </c>
      <c r="F2765" s="181" t="s">
        <v>14</v>
      </c>
      <c r="G2765" s="181" t="s">
        <v>647</v>
      </c>
      <c r="H2765" s="8">
        <v>63845.43</v>
      </c>
      <c r="I2765" s="8">
        <v>658.83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64504.26</v>
      </c>
    </row>
    <row r="2766" spans="1:15">
      <c r="A2766" s="191">
        <v>44866</v>
      </c>
      <c r="B2766" s="181" t="s">
        <v>123</v>
      </c>
      <c r="C2766" s="181" t="s">
        <v>766</v>
      </c>
      <c r="D2766" s="181" t="str">
        <f t="shared" si="47"/>
        <v>39206</v>
      </c>
      <c r="E2766" s="181" t="s">
        <v>15</v>
      </c>
      <c r="F2766" s="181" t="s">
        <v>14</v>
      </c>
      <c r="G2766" s="181" t="s">
        <v>647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0</v>
      </c>
    </row>
    <row r="2767" spans="1:15">
      <c r="A2767" s="191">
        <v>44866</v>
      </c>
      <c r="B2767" s="181" t="s">
        <v>123</v>
      </c>
      <c r="C2767" s="181" t="s">
        <v>765</v>
      </c>
      <c r="D2767" s="181" t="str">
        <f t="shared" si="47"/>
        <v>39206</v>
      </c>
      <c r="E2767" s="181" t="s">
        <v>15</v>
      </c>
      <c r="F2767" s="181" t="s">
        <v>14</v>
      </c>
      <c r="G2767" s="181" t="s">
        <v>793</v>
      </c>
      <c r="H2767" s="8">
        <v>991.74</v>
      </c>
      <c r="I2767" s="8">
        <v>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991.74</v>
      </c>
    </row>
    <row r="2768" spans="1:15">
      <c r="A2768" s="191">
        <v>44896</v>
      </c>
      <c r="B2768" s="181" t="s">
        <v>122</v>
      </c>
      <c r="C2768" s="181" t="s">
        <v>763</v>
      </c>
      <c r="D2768" s="181" t="str">
        <f t="shared" si="47"/>
        <v>39206</v>
      </c>
      <c r="E2768" s="181" t="s">
        <v>15</v>
      </c>
      <c r="F2768" s="181" t="s">
        <v>14</v>
      </c>
      <c r="G2768" s="181" t="s">
        <v>647</v>
      </c>
      <c r="H2768" s="8">
        <v>78919.91</v>
      </c>
      <c r="I2768" s="8">
        <v>19.850000000000001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78939.759999999995</v>
      </c>
    </row>
    <row r="2769" spans="1:15">
      <c r="A2769" s="191">
        <v>44896</v>
      </c>
      <c r="B2769" s="181" t="s">
        <v>122</v>
      </c>
      <c r="C2769" s="181" t="s">
        <v>764</v>
      </c>
      <c r="D2769" s="181" t="str">
        <f t="shared" si="47"/>
        <v>39206</v>
      </c>
      <c r="E2769" s="181" t="s">
        <v>15</v>
      </c>
      <c r="F2769" s="181" t="s">
        <v>14</v>
      </c>
      <c r="G2769" s="181" t="s">
        <v>647</v>
      </c>
      <c r="H2769" s="8">
        <v>6436.29</v>
      </c>
      <c r="I2769" s="8">
        <v>1.57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6437.8600000000006</v>
      </c>
    </row>
    <row r="2770" spans="1:15">
      <c r="A2770" s="191">
        <v>44896</v>
      </c>
      <c r="B2770" s="181" t="s">
        <v>122</v>
      </c>
      <c r="C2770" s="181" t="s">
        <v>765</v>
      </c>
      <c r="D2770" s="181" t="str">
        <f t="shared" si="47"/>
        <v>39206</v>
      </c>
      <c r="E2770" s="181" t="s">
        <v>15</v>
      </c>
      <c r="F2770" s="181" t="s">
        <v>14</v>
      </c>
      <c r="G2770" s="181" t="s">
        <v>647</v>
      </c>
      <c r="H2770" s="8">
        <v>64504.26</v>
      </c>
      <c r="I2770" s="8">
        <v>664.72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65168.98</v>
      </c>
    </row>
    <row r="2771" spans="1:15">
      <c r="A2771" s="191">
        <v>44896</v>
      </c>
      <c r="B2771" s="181" t="s">
        <v>122</v>
      </c>
      <c r="C2771" s="181" t="s">
        <v>766</v>
      </c>
      <c r="D2771" s="181" t="str">
        <f t="shared" si="47"/>
        <v>39206</v>
      </c>
      <c r="E2771" s="181" t="s">
        <v>15</v>
      </c>
      <c r="F2771" s="181" t="s">
        <v>14</v>
      </c>
      <c r="G2771" s="181" t="s">
        <v>647</v>
      </c>
      <c r="H2771" s="8">
        <v>0</v>
      </c>
      <c r="I2771" s="8">
        <v>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0</v>
      </c>
    </row>
    <row r="2772" spans="1:15">
      <c r="A2772" s="191">
        <v>44896</v>
      </c>
      <c r="B2772" s="181" t="s">
        <v>122</v>
      </c>
      <c r="C2772" s="181" t="s">
        <v>765</v>
      </c>
      <c r="D2772" s="181" t="str">
        <f t="shared" si="47"/>
        <v>39206</v>
      </c>
      <c r="E2772" s="181" t="s">
        <v>15</v>
      </c>
      <c r="F2772" s="181" t="s">
        <v>14</v>
      </c>
      <c r="G2772" s="181" t="s">
        <v>793</v>
      </c>
      <c r="H2772" s="8">
        <v>991.74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991.74</v>
      </c>
    </row>
    <row r="2773" spans="1:15">
      <c r="A2773" s="191">
        <v>44531</v>
      </c>
      <c r="B2773" s="181" t="s">
        <v>13</v>
      </c>
      <c r="C2773" s="181" t="s">
        <v>786</v>
      </c>
      <c r="D2773" s="181" t="str">
        <f>MID(C2773,19,5)</f>
        <v>39207</v>
      </c>
      <c r="E2773" s="181" t="s">
        <v>15</v>
      </c>
      <c r="F2773" s="181" t="s">
        <v>14</v>
      </c>
      <c r="G2773" s="181" t="s">
        <v>647</v>
      </c>
      <c r="H2773" s="8">
        <v>0</v>
      </c>
      <c r="I2773" s="8">
        <v>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0</v>
      </c>
    </row>
    <row r="2774" spans="1:15">
      <c r="A2774" s="191">
        <v>44562</v>
      </c>
      <c r="B2774" s="181" t="s">
        <v>133</v>
      </c>
      <c r="C2774" s="181" t="s">
        <v>786</v>
      </c>
      <c r="D2774" s="181" t="str">
        <f>MID(C2774,19,5)</f>
        <v>39207</v>
      </c>
      <c r="E2774" s="181" t="s">
        <v>15</v>
      </c>
      <c r="F2774" s="181" t="s">
        <v>14</v>
      </c>
      <c r="G2774" s="181" t="s">
        <v>647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0</v>
      </c>
    </row>
    <row r="2775" spans="1:15">
      <c r="A2775" s="191">
        <v>44531</v>
      </c>
      <c r="B2775" s="181" t="s">
        <v>13</v>
      </c>
      <c r="C2775" s="181" t="s">
        <v>790</v>
      </c>
      <c r="D2775" s="181" t="str">
        <f>MID(C2775,14,5)</f>
        <v>39207</v>
      </c>
      <c r="E2775" s="181" t="s">
        <v>15</v>
      </c>
      <c r="F2775" s="181" t="s">
        <v>14</v>
      </c>
      <c r="G2775" s="181" t="s">
        <v>647</v>
      </c>
      <c r="H2775" s="8">
        <v>0</v>
      </c>
      <c r="I2775" s="8">
        <v>0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0</v>
      </c>
    </row>
    <row r="2776" spans="1:15">
      <c r="A2776" s="191">
        <v>44562</v>
      </c>
      <c r="B2776" s="181" t="s">
        <v>133</v>
      </c>
      <c r="C2776" s="181" t="s">
        <v>790</v>
      </c>
      <c r="D2776" s="181" t="str">
        <f>MID(C2776,14,5)</f>
        <v>39207</v>
      </c>
      <c r="E2776" s="181" t="s">
        <v>15</v>
      </c>
      <c r="F2776" s="181" t="s">
        <v>14</v>
      </c>
      <c r="G2776" s="181" t="s">
        <v>647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0</v>
      </c>
    </row>
    <row r="2777" spans="1:15">
      <c r="A2777" s="191">
        <v>44593</v>
      </c>
      <c r="B2777" s="181" t="s">
        <v>132</v>
      </c>
      <c r="C2777" s="181" t="s">
        <v>786</v>
      </c>
      <c r="D2777" s="181" t="str">
        <f>MID(C2777,19,5)</f>
        <v>39207</v>
      </c>
      <c r="E2777" s="181" t="s">
        <v>15</v>
      </c>
      <c r="F2777" s="181" t="s">
        <v>14</v>
      </c>
      <c r="G2777" s="181" t="s">
        <v>647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0</v>
      </c>
    </row>
    <row r="2778" spans="1:15">
      <c r="A2778" s="191">
        <v>44621</v>
      </c>
      <c r="B2778" s="181" t="s">
        <v>131</v>
      </c>
      <c r="C2778" s="181" t="s">
        <v>786</v>
      </c>
      <c r="D2778" s="181" t="str">
        <f>MID(C2778,19,5)</f>
        <v>39207</v>
      </c>
      <c r="E2778" s="181" t="s">
        <v>15</v>
      </c>
      <c r="F2778" s="181" t="s">
        <v>14</v>
      </c>
      <c r="G2778" s="181" t="s">
        <v>647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0</v>
      </c>
    </row>
    <row r="2779" spans="1:15">
      <c r="A2779" s="191">
        <v>44652</v>
      </c>
      <c r="B2779" s="181" t="s">
        <v>130</v>
      </c>
      <c r="C2779" s="181" t="s">
        <v>786</v>
      </c>
      <c r="D2779" s="181" t="str">
        <f>MID(C2779,19,5)</f>
        <v>39207</v>
      </c>
      <c r="E2779" s="181" t="s">
        <v>15</v>
      </c>
      <c r="F2779" s="181" t="s">
        <v>14</v>
      </c>
      <c r="G2779" s="181" t="s">
        <v>647</v>
      </c>
      <c r="H2779" s="8">
        <v>0</v>
      </c>
      <c r="I2779" s="8">
        <v>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0</v>
      </c>
    </row>
    <row r="2780" spans="1:15">
      <c r="A2780" s="191">
        <v>44593</v>
      </c>
      <c r="B2780" s="181" t="s">
        <v>132</v>
      </c>
      <c r="C2780" s="181" t="s">
        <v>790</v>
      </c>
      <c r="D2780" s="181" t="str">
        <f>MID(C2780,14,5)</f>
        <v>39207</v>
      </c>
      <c r="E2780" s="181" t="s">
        <v>15</v>
      </c>
      <c r="F2780" s="181" t="s">
        <v>14</v>
      </c>
      <c r="G2780" s="181" t="s">
        <v>647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0</v>
      </c>
    </row>
    <row r="2781" spans="1:15">
      <c r="A2781" s="191">
        <v>44621</v>
      </c>
      <c r="B2781" s="181" t="s">
        <v>131</v>
      </c>
      <c r="C2781" s="181" t="s">
        <v>790</v>
      </c>
      <c r="D2781" s="181" t="str">
        <f>MID(C2781,14,5)</f>
        <v>39207</v>
      </c>
      <c r="E2781" s="181" t="s">
        <v>15</v>
      </c>
      <c r="F2781" s="181" t="s">
        <v>14</v>
      </c>
      <c r="G2781" s="181" t="s">
        <v>647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0</v>
      </c>
    </row>
    <row r="2782" spans="1:15">
      <c r="A2782" s="191">
        <v>44682</v>
      </c>
      <c r="B2782" s="181" t="s">
        <v>129</v>
      </c>
      <c r="C2782" s="181" t="s">
        <v>786</v>
      </c>
      <c r="D2782" s="181" t="str">
        <f>MID(C2782,19,5)</f>
        <v>39207</v>
      </c>
      <c r="E2782" s="181" t="s">
        <v>15</v>
      </c>
      <c r="F2782" s="181" t="s">
        <v>14</v>
      </c>
      <c r="G2782" s="181" t="s">
        <v>647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0</v>
      </c>
    </row>
    <row r="2783" spans="1:15">
      <c r="A2783" s="191">
        <v>44713</v>
      </c>
      <c r="B2783" s="181" t="s">
        <v>128</v>
      </c>
      <c r="C2783" s="181" t="s">
        <v>786</v>
      </c>
      <c r="D2783" s="181" t="str">
        <f>MID(C2783,19,5)</f>
        <v>39207</v>
      </c>
      <c r="E2783" s="181" t="s">
        <v>15</v>
      </c>
      <c r="F2783" s="181" t="s">
        <v>14</v>
      </c>
      <c r="G2783" s="181" t="s">
        <v>647</v>
      </c>
      <c r="H2783" s="8">
        <v>0</v>
      </c>
      <c r="I2783" s="8">
        <v>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0</v>
      </c>
    </row>
    <row r="2784" spans="1:15">
      <c r="A2784" s="191">
        <v>44652</v>
      </c>
      <c r="B2784" s="181" t="s">
        <v>130</v>
      </c>
      <c r="C2784" s="181" t="s">
        <v>790</v>
      </c>
      <c r="D2784" s="181" t="str">
        <f>MID(C2784,14,5)</f>
        <v>39207</v>
      </c>
      <c r="E2784" s="181" t="s">
        <v>15</v>
      </c>
      <c r="F2784" s="181" t="s">
        <v>14</v>
      </c>
      <c r="G2784" s="181" t="s">
        <v>647</v>
      </c>
      <c r="H2784" s="8">
        <v>0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0</v>
      </c>
    </row>
    <row r="2785" spans="1:15">
      <c r="A2785" s="191">
        <v>44743</v>
      </c>
      <c r="B2785" s="181" t="s">
        <v>127</v>
      </c>
      <c r="C2785" s="181" t="s">
        <v>786</v>
      </c>
      <c r="D2785" s="181" t="str">
        <f>MID(C2785,19,5)</f>
        <v>39207</v>
      </c>
      <c r="E2785" s="181" t="s">
        <v>15</v>
      </c>
      <c r="F2785" s="181" t="s">
        <v>14</v>
      </c>
      <c r="G2785" s="181" t="s">
        <v>647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0</v>
      </c>
    </row>
    <row r="2786" spans="1:15">
      <c r="A2786" s="191">
        <v>44774</v>
      </c>
      <c r="B2786" s="181" t="s">
        <v>126</v>
      </c>
      <c r="C2786" s="181" t="s">
        <v>786</v>
      </c>
      <c r="D2786" s="181" t="str">
        <f>MID(C2786,19,5)</f>
        <v>39207</v>
      </c>
      <c r="E2786" s="181" t="s">
        <v>15</v>
      </c>
      <c r="F2786" s="181" t="s">
        <v>14</v>
      </c>
      <c r="G2786" s="181" t="s">
        <v>647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0</v>
      </c>
    </row>
    <row r="2787" spans="1:15">
      <c r="A2787" s="191">
        <v>44805</v>
      </c>
      <c r="B2787" s="181" t="s">
        <v>125</v>
      </c>
      <c r="C2787" s="181" t="s">
        <v>786</v>
      </c>
      <c r="D2787" s="181" t="str">
        <f>MID(C2787,19,5)</f>
        <v>39207</v>
      </c>
      <c r="E2787" s="181" t="s">
        <v>15</v>
      </c>
      <c r="F2787" s="181" t="s">
        <v>14</v>
      </c>
      <c r="G2787" s="181" t="s">
        <v>647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0</v>
      </c>
    </row>
    <row r="2788" spans="1:15">
      <c r="A2788" s="191">
        <v>44682</v>
      </c>
      <c r="B2788" s="181" t="s">
        <v>129</v>
      </c>
      <c r="C2788" s="181" t="s">
        <v>790</v>
      </c>
      <c r="D2788" s="181" t="str">
        <f>MID(C2788,14,5)</f>
        <v>39207</v>
      </c>
      <c r="E2788" s="181" t="s">
        <v>15</v>
      </c>
      <c r="F2788" s="181" t="s">
        <v>14</v>
      </c>
      <c r="G2788" s="181" t="s">
        <v>647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0</v>
      </c>
    </row>
    <row r="2789" spans="1:15">
      <c r="A2789" s="191">
        <v>44713</v>
      </c>
      <c r="B2789" s="181" t="s">
        <v>128</v>
      </c>
      <c r="C2789" s="181" t="s">
        <v>790</v>
      </c>
      <c r="D2789" s="181" t="str">
        <f>MID(C2789,14,5)</f>
        <v>39207</v>
      </c>
      <c r="E2789" s="181" t="s">
        <v>15</v>
      </c>
      <c r="F2789" s="181" t="s">
        <v>14</v>
      </c>
      <c r="G2789" s="181" t="s">
        <v>647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0</v>
      </c>
    </row>
    <row r="2790" spans="1:15">
      <c r="A2790" s="191">
        <v>44835</v>
      </c>
      <c r="B2790" s="181" t="s">
        <v>124</v>
      </c>
      <c r="C2790" s="181" t="s">
        <v>786</v>
      </c>
      <c r="D2790" s="181" t="str">
        <f>MID(C2790,19,5)</f>
        <v>39207</v>
      </c>
      <c r="E2790" s="181" t="s">
        <v>15</v>
      </c>
      <c r="F2790" s="181" t="s">
        <v>14</v>
      </c>
      <c r="G2790" s="181" t="s">
        <v>647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0</v>
      </c>
    </row>
    <row r="2791" spans="1:15">
      <c r="A2791" s="191">
        <v>44866</v>
      </c>
      <c r="B2791" s="181" t="s">
        <v>123</v>
      </c>
      <c r="C2791" s="181" t="s">
        <v>786</v>
      </c>
      <c r="D2791" s="181" t="str">
        <f>MID(C2791,19,5)</f>
        <v>39207</v>
      </c>
      <c r="E2791" s="181" t="s">
        <v>15</v>
      </c>
      <c r="F2791" s="181" t="s">
        <v>14</v>
      </c>
      <c r="G2791" s="181" t="s">
        <v>647</v>
      </c>
      <c r="H2791" s="8">
        <v>0</v>
      </c>
      <c r="I2791" s="8">
        <v>0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0</v>
      </c>
    </row>
    <row r="2792" spans="1:15">
      <c r="A2792" s="191">
        <v>44743</v>
      </c>
      <c r="B2792" s="181" t="s">
        <v>127</v>
      </c>
      <c r="C2792" s="181" t="s">
        <v>790</v>
      </c>
      <c r="D2792" s="181" t="str">
        <f>MID(C2792,14,5)</f>
        <v>39207</v>
      </c>
      <c r="E2792" s="181" t="s">
        <v>15</v>
      </c>
      <c r="F2792" s="181" t="s">
        <v>14</v>
      </c>
      <c r="G2792" s="181" t="s">
        <v>647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0</v>
      </c>
    </row>
    <row r="2793" spans="1:15">
      <c r="A2793" s="191">
        <v>44774</v>
      </c>
      <c r="B2793" s="181" t="s">
        <v>126</v>
      </c>
      <c r="C2793" s="181" t="s">
        <v>790</v>
      </c>
      <c r="D2793" s="181" t="str">
        <f>MID(C2793,14,5)</f>
        <v>39207</v>
      </c>
      <c r="E2793" s="181" t="s">
        <v>15</v>
      </c>
      <c r="F2793" s="181" t="s">
        <v>14</v>
      </c>
      <c r="G2793" s="181" t="s">
        <v>647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0</v>
      </c>
    </row>
    <row r="2794" spans="1:15">
      <c r="A2794" s="191">
        <v>44896</v>
      </c>
      <c r="B2794" s="181" t="s">
        <v>122</v>
      </c>
      <c r="C2794" s="181" t="s">
        <v>786</v>
      </c>
      <c r="D2794" s="181" t="str">
        <f>MID(C2794,19,5)</f>
        <v>39207</v>
      </c>
      <c r="E2794" s="181" t="s">
        <v>15</v>
      </c>
      <c r="F2794" s="181" t="s">
        <v>14</v>
      </c>
      <c r="G2794" s="181" t="s">
        <v>647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0</v>
      </c>
    </row>
    <row r="2795" spans="1:15">
      <c r="A2795" s="191">
        <v>44531</v>
      </c>
      <c r="B2795" s="181" t="s">
        <v>13</v>
      </c>
      <c r="C2795" s="181" t="s">
        <v>819</v>
      </c>
      <c r="D2795" s="181" t="str">
        <f>MID(C2795,18,5)</f>
        <v>39207</v>
      </c>
      <c r="E2795" s="181" t="s">
        <v>15</v>
      </c>
      <c r="F2795" s="181" t="s">
        <v>14</v>
      </c>
      <c r="G2795" s="181" t="s">
        <v>647</v>
      </c>
      <c r="H2795" s="8">
        <v>0</v>
      </c>
      <c r="I2795" s="8">
        <v>0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0</v>
      </c>
    </row>
    <row r="2796" spans="1:15">
      <c r="A2796" s="191">
        <v>44562</v>
      </c>
      <c r="B2796" s="181" t="s">
        <v>133</v>
      </c>
      <c r="C2796" s="181" t="s">
        <v>819</v>
      </c>
      <c r="D2796" s="181" t="str">
        <f>MID(C2796,18,5)</f>
        <v>39207</v>
      </c>
      <c r="E2796" s="181" t="s">
        <v>15</v>
      </c>
      <c r="F2796" s="181" t="s">
        <v>14</v>
      </c>
      <c r="G2796" s="181" t="s">
        <v>647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0</v>
      </c>
    </row>
    <row r="2797" spans="1:15">
      <c r="A2797" s="191">
        <v>44805</v>
      </c>
      <c r="B2797" s="181" t="s">
        <v>125</v>
      </c>
      <c r="C2797" s="181" t="s">
        <v>790</v>
      </c>
      <c r="D2797" s="181" t="str">
        <f>MID(C2797,14,5)</f>
        <v>39207</v>
      </c>
      <c r="E2797" s="181" t="s">
        <v>15</v>
      </c>
      <c r="F2797" s="181" t="s">
        <v>14</v>
      </c>
      <c r="G2797" s="181" t="s">
        <v>647</v>
      </c>
      <c r="H2797" s="8">
        <v>0</v>
      </c>
      <c r="I2797" s="8">
        <v>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0</v>
      </c>
    </row>
    <row r="2798" spans="1:15">
      <c r="A2798" s="191">
        <v>44835</v>
      </c>
      <c r="B2798" s="181" t="s">
        <v>124</v>
      </c>
      <c r="C2798" s="181" t="s">
        <v>790</v>
      </c>
      <c r="D2798" s="181" t="str">
        <f>MID(C2798,14,5)</f>
        <v>39207</v>
      </c>
      <c r="E2798" s="181" t="s">
        <v>15</v>
      </c>
      <c r="F2798" s="181" t="s">
        <v>14</v>
      </c>
      <c r="G2798" s="181" t="s">
        <v>647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0</v>
      </c>
    </row>
    <row r="2799" spans="1:15">
      <c r="A2799" s="191">
        <v>44593</v>
      </c>
      <c r="B2799" s="181" t="s">
        <v>132</v>
      </c>
      <c r="C2799" s="181" t="s">
        <v>819</v>
      </c>
      <c r="D2799" s="181" t="str">
        <f>MID(C2799,18,5)</f>
        <v>39207</v>
      </c>
      <c r="E2799" s="181" t="s">
        <v>15</v>
      </c>
      <c r="F2799" s="181" t="s">
        <v>14</v>
      </c>
      <c r="G2799" s="181" t="s">
        <v>647</v>
      </c>
      <c r="H2799" s="8">
        <v>0</v>
      </c>
      <c r="I2799" s="8">
        <v>0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0</v>
      </c>
    </row>
    <row r="2800" spans="1:15">
      <c r="A2800" s="191">
        <v>44621</v>
      </c>
      <c r="B2800" s="181" t="s">
        <v>131</v>
      </c>
      <c r="C2800" s="181" t="s">
        <v>819</v>
      </c>
      <c r="D2800" s="181" t="str">
        <f>MID(C2800,18,5)</f>
        <v>39207</v>
      </c>
      <c r="E2800" s="181" t="s">
        <v>15</v>
      </c>
      <c r="F2800" s="181" t="s">
        <v>14</v>
      </c>
      <c r="G2800" s="181" t="s">
        <v>647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0</v>
      </c>
    </row>
    <row r="2801" spans="1:15">
      <c r="A2801" s="191">
        <v>44652</v>
      </c>
      <c r="B2801" s="181" t="s">
        <v>130</v>
      </c>
      <c r="C2801" s="181" t="s">
        <v>819</v>
      </c>
      <c r="D2801" s="181" t="str">
        <f>MID(C2801,18,5)</f>
        <v>39207</v>
      </c>
      <c r="E2801" s="181" t="s">
        <v>15</v>
      </c>
      <c r="F2801" s="181" t="s">
        <v>14</v>
      </c>
      <c r="G2801" s="181" t="s">
        <v>647</v>
      </c>
      <c r="H2801" s="8">
        <v>0</v>
      </c>
      <c r="I2801" s="8">
        <v>0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0</v>
      </c>
    </row>
    <row r="2802" spans="1:15">
      <c r="A2802" s="191">
        <v>44866</v>
      </c>
      <c r="B2802" s="181" t="s">
        <v>123</v>
      </c>
      <c r="C2802" s="181" t="s">
        <v>790</v>
      </c>
      <c r="D2802" s="181" t="str">
        <f>MID(C2802,14,5)</f>
        <v>39207</v>
      </c>
      <c r="E2802" s="181" t="s">
        <v>15</v>
      </c>
      <c r="F2802" s="181" t="s">
        <v>14</v>
      </c>
      <c r="G2802" s="181" t="s">
        <v>647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0</v>
      </c>
    </row>
    <row r="2803" spans="1:15">
      <c r="A2803" s="191">
        <v>44682</v>
      </c>
      <c r="B2803" s="181" t="s">
        <v>129</v>
      </c>
      <c r="C2803" s="181" t="s">
        <v>819</v>
      </c>
      <c r="D2803" s="181" t="str">
        <f>MID(C2803,18,5)</f>
        <v>39207</v>
      </c>
      <c r="E2803" s="181" t="s">
        <v>15</v>
      </c>
      <c r="F2803" s="181" t="s">
        <v>14</v>
      </c>
      <c r="G2803" s="181" t="s">
        <v>647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0</v>
      </c>
    </row>
    <row r="2804" spans="1:15">
      <c r="A2804" s="191">
        <v>44713</v>
      </c>
      <c r="B2804" s="181" t="s">
        <v>128</v>
      </c>
      <c r="C2804" s="181" t="s">
        <v>819</v>
      </c>
      <c r="D2804" s="181" t="str">
        <f>MID(C2804,18,5)</f>
        <v>39207</v>
      </c>
      <c r="E2804" s="181" t="s">
        <v>15</v>
      </c>
      <c r="F2804" s="181" t="s">
        <v>14</v>
      </c>
      <c r="G2804" s="181" t="s">
        <v>647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0</v>
      </c>
    </row>
    <row r="2805" spans="1:15">
      <c r="A2805" s="191">
        <v>44743</v>
      </c>
      <c r="B2805" s="181" t="s">
        <v>127</v>
      </c>
      <c r="C2805" s="181" t="s">
        <v>819</v>
      </c>
      <c r="D2805" s="181" t="str">
        <f>MID(C2805,18,5)</f>
        <v>39207</v>
      </c>
      <c r="E2805" s="181" t="s">
        <v>15</v>
      </c>
      <c r="F2805" s="181" t="s">
        <v>14</v>
      </c>
      <c r="G2805" s="181" t="s">
        <v>647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0</v>
      </c>
    </row>
    <row r="2806" spans="1:15">
      <c r="A2806" s="191">
        <v>44774</v>
      </c>
      <c r="B2806" s="181" t="s">
        <v>126</v>
      </c>
      <c r="C2806" s="181" t="s">
        <v>819</v>
      </c>
      <c r="D2806" s="181" t="str">
        <f>MID(C2806,18,5)</f>
        <v>39207</v>
      </c>
      <c r="E2806" s="181" t="s">
        <v>15</v>
      </c>
      <c r="F2806" s="181" t="s">
        <v>14</v>
      </c>
      <c r="G2806" s="181" t="s">
        <v>647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0</v>
      </c>
    </row>
    <row r="2807" spans="1:15">
      <c r="A2807" s="191">
        <v>44896</v>
      </c>
      <c r="B2807" s="181" t="s">
        <v>122</v>
      </c>
      <c r="C2807" s="181" t="s">
        <v>790</v>
      </c>
      <c r="D2807" s="181" t="str">
        <f>MID(C2807,14,5)</f>
        <v>39207</v>
      </c>
      <c r="E2807" s="181" t="s">
        <v>15</v>
      </c>
      <c r="F2807" s="181" t="s">
        <v>14</v>
      </c>
      <c r="G2807" s="181" t="s">
        <v>647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0</v>
      </c>
    </row>
    <row r="2808" spans="1:15">
      <c r="A2808" s="191">
        <v>44805</v>
      </c>
      <c r="B2808" s="181" t="s">
        <v>125</v>
      </c>
      <c r="C2808" s="181" t="s">
        <v>819</v>
      </c>
      <c r="D2808" s="181" t="str">
        <f>MID(C2808,18,5)</f>
        <v>39207</v>
      </c>
      <c r="E2808" s="181" t="s">
        <v>15</v>
      </c>
      <c r="F2808" s="181" t="s">
        <v>14</v>
      </c>
      <c r="G2808" s="181" t="s">
        <v>647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0</v>
      </c>
    </row>
    <row r="2809" spans="1:15">
      <c r="A2809" s="191">
        <v>44835</v>
      </c>
      <c r="B2809" s="181" t="s">
        <v>124</v>
      </c>
      <c r="C2809" s="181" t="s">
        <v>819</v>
      </c>
      <c r="D2809" s="181" t="str">
        <f>MID(C2809,18,5)</f>
        <v>39207</v>
      </c>
      <c r="E2809" s="181" t="s">
        <v>15</v>
      </c>
      <c r="F2809" s="181" t="s">
        <v>14</v>
      </c>
      <c r="G2809" s="181" t="s">
        <v>647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0</v>
      </c>
    </row>
    <row r="2810" spans="1:15">
      <c r="A2810" s="191">
        <v>44866</v>
      </c>
      <c r="B2810" s="181" t="s">
        <v>123</v>
      </c>
      <c r="C2810" s="181" t="s">
        <v>819</v>
      </c>
      <c r="D2810" s="181" t="str">
        <f>MID(C2810,18,5)</f>
        <v>39207</v>
      </c>
      <c r="E2810" s="181" t="s">
        <v>15</v>
      </c>
      <c r="F2810" s="181" t="s">
        <v>14</v>
      </c>
      <c r="G2810" s="181" t="s">
        <v>647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0</v>
      </c>
    </row>
    <row r="2811" spans="1:15">
      <c r="A2811" s="191">
        <v>44896</v>
      </c>
      <c r="B2811" s="181" t="s">
        <v>122</v>
      </c>
      <c r="C2811" s="181" t="s">
        <v>819</v>
      </c>
      <c r="D2811" s="181" t="str">
        <f>MID(C2811,18,5)</f>
        <v>39207</v>
      </c>
      <c r="E2811" s="181" t="s">
        <v>15</v>
      </c>
      <c r="F2811" s="181" t="s">
        <v>14</v>
      </c>
      <c r="G2811" s="181" t="s">
        <v>647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0</v>
      </c>
    </row>
    <row r="2812" spans="1:15">
      <c r="A2812" s="191">
        <v>44531</v>
      </c>
      <c r="B2812" s="181" t="s">
        <v>13</v>
      </c>
      <c r="C2812" s="181" t="s">
        <v>787</v>
      </c>
      <c r="D2812" s="181" t="str">
        <f>MID(C2812,19,5)</f>
        <v>39208</v>
      </c>
      <c r="E2812" s="181" t="s">
        <v>15</v>
      </c>
      <c r="F2812" s="181" t="s">
        <v>14</v>
      </c>
      <c r="G2812" s="181" t="s">
        <v>647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0</v>
      </c>
    </row>
    <row r="2813" spans="1:15">
      <c r="A2813" s="191">
        <v>44562</v>
      </c>
      <c r="B2813" s="181" t="s">
        <v>133</v>
      </c>
      <c r="C2813" s="181" t="s">
        <v>787</v>
      </c>
      <c r="D2813" s="181" t="str">
        <f>MID(C2813,19,5)</f>
        <v>39208</v>
      </c>
      <c r="E2813" s="181" t="s">
        <v>15</v>
      </c>
      <c r="F2813" s="181" t="s">
        <v>14</v>
      </c>
      <c r="G2813" s="181" t="s">
        <v>647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0</v>
      </c>
    </row>
    <row r="2814" spans="1:15">
      <c r="A2814" s="191">
        <v>44531</v>
      </c>
      <c r="B2814" s="181" t="s">
        <v>13</v>
      </c>
      <c r="C2814" s="181" t="s">
        <v>791</v>
      </c>
      <c r="D2814" s="181" t="str">
        <f>MID(C2814,14,5)</f>
        <v>39208</v>
      </c>
      <c r="E2814" s="181" t="s">
        <v>15</v>
      </c>
      <c r="F2814" s="181" t="s">
        <v>14</v>
      </c>
      <c r="G2814" s="181" t="s">
        <v>647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0</v>
      </c>
    </row>
    <row r="2815" spans="1:15">
      <c r="A2815" s="191">
        <v>44562</v>
      </c>
      <c r="B2815" s="181" t="s">
        <v>133</v>
      </c>
      <c r="C2815" s="181" t="s">
        <v>791</v>
      </c>
      <c r="D2815" s="181" t="str">
        <f>MID(C2815,14,5)</f>
        <v>39208</v>
      </c>
      <c r="E2815" s="181" t="s">
        <v>15</v>
      </c>
      <c r="F2815" s="181" t="s">
        <v>14</v>
      </c>
      <c r="G2815" s="181" t="s">
        <v>647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0</v>
      </c>
    </row>
    <row r="2816" spans="1:15">
      <c r="A2816" s="191">
        <v>44593</v>
      </c>
      <c r="B2816" s="181" t="s">
        <v>132</v>
      </c>
      <c r="C2816" s="181" t="s">
        <v>787</v>
      </c>
      <c r="D2816" s="181" t="str">
        <f>MID(C2816,19,5)</f>
        <v>39208</v>
      </c>
      <c r="E2816" s="181" t="s">
        <v>15</v>
      </c>
      <c r="F2816" s="181" t="s">
        <v>14</v>
      </c>
      <c r="G2816" s="181" t="s">
        <v>647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0</v>
      </c>
    </row>
    <row r="2817" spans="1:15">
      <c r="A2817" s="191">
        <v>44621</v>
      </c>
      <c r="B2817" s="181" t="s">
        <v>131</v>
      </c>
      <c r="C2817" s="181" t="s">
        <v>787</v>
      </c>
      <c r="D2817" s="181" t="str">
        <f>MID(C2817,19,5)</f>
        <v>39208</v>
      </c>
      <c r="E2817" s="181" t="s">
        <v>15</v>
      </c>
      <c r="F2817" s="181" t="s">
        <v>14</v>
      </c>
      <c r="G2817" s="181" t="s">
        <v>647</v>
      </c>
      <c r="H2817" s="8">
        <v>0</v>
      </c>
      <c r="I2817" s="8">
        <v>0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0</v>
      </c>
    </row>
    <row r="2818" spans="1:15">
      <c r="A2818" s="191">
        <v>44593</v>
      </c>
      <c r="B2818" s="181" t="s">
        <v>132</v>
      </c>
      <c r="C2818" s="181" t="s">
        <v>791</v>
      </c>
      <c r="D2818" s="181" t="str">
        <f>MID(C2818,14,5)</f>
        <v>39208</v>
      </c>
      <c r="E2818" s="181" t="s">
        <v>15</v>
      </c>
      <c r="F2818" s="181" t="s">
        <v>14</v>
      </c>
      <c r="G2818" s="181" t="s">
        <v>647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0</v>
      </c>
    </row>
    <row r="2819" spans="1:15">
      <c r="A2819" s="191">
        <v>44652</v>
      </c>
      <c r="B2819" s="181" t="s">
        <v>130</v>
      </c>
      <c r="C2819" s="181" t="s">
        <v>787</v>
      </c>
      <c r="D2819" s="181" t="str">
        <f>MID(C2819,19,5)</f>
        <v>39208</v>
      </c>
      <c r="E2819" s="181" t="s">
        <v>15</v>
      </c>
      <c r="F2819" s="181" t="s">
        <v>14</v>
      </c>
      <c r="G2819" s="181" t="s">
        <v>647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0</v>
      </c>
    </row>
    <row r="2820" spans="1:15">
      <c r="A2820" s="191">
        <v>44682</v>
      </c>
      <c r="B2820" s="181" t="s">
        <v>129</v>
      </c>
      <c r="C2820" s="181" t="s">
        <v>787</v>
      </c>
      <c r="D2820" s="181" t="str">
        <f>MID(C2820,19,5)</f>
        <v>39208</v>
      </c>
      <c r="E2820" s="181" t="s">
        <v>15</v>
      </c>
      <c r="F2820" s="181" t="s">
        <v>14</v>
      </c>
      <c r="G2820" s="181" t="s">
        <v>647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0</v>
      </c>
    </row>
    <row r="2821" spans="1:15">
      <c r="A2821" s="191">
        <v>44713</v>
      </c>
      <c r="B2821" s="181" t="s">
        <v>128</v>
      </c>
      <c r="C2821" s="181" t="s">
        <v>787</v>
      </c>
      <c r="D2821" s="181" t="str">
        <f>MID(C2821,19,5)</f>
        <v>39208</v>
      </c>
      <c r="E2821" s="181" t="s">
        <v>15</v>
      </c>
      <c r="F2821" s="181" t="s">
        <v>14</v>
      </c>
      <c r="G2821" s="181" t="s">
        <v>647</v>
      </c>
      <c r="H2821" s="8">
        <v>0</v>
      </c>
      <c r="I2821" s="8">
        <v>0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0</v>
      </c>
    </row>
    <row r="2822" spans="1:15">
      <c r="A2822" s="191">
        <v>44621</v>
      </c>
      <c r="B2822" s="181" t="s">
        <v>131</v>
      </c>
      <c r="C2822" s="181" t="s">
        <v>791</v>
      </c>
      <c r="D2822" s="181" t="str">
        <f>MID(C2822,14,5)</f>
        <v>39208</v>
      </c>
      <c r="E2822" s="181" t="s">
        <v>15</v>
      </c>
      <c r="F2822" s="181" t="s">
        <v>14</v>
      </c>
      <c r="G2822" s="181" t="s">
        <v>647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0</v>
      </c>
    </row>
    <row r="2823" spans="1:15">
      <c r="A2823" s="191">
        <v>44652</v>
      </c>
      <c r="B2823" s="181" t="s">
        <v>130</v>
      </c>
      <c r="C2823" s="181" t="s">
        <v>791</v>
      </c>
      <c r="D2823" s="181" t="str">
        <f>MID(C2823,14,5)</f>
        <v>39208</v>
      </c>
      <c r="E2823" s="181" t="s">
        <v>15</v>
      </c>
      <c r="F2823" s="181" t="s">
        <v>14</v>
      </c>
      <c r="G2823" s="181" t="s">
        <v>647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0</v>
      </c>
    </row>
    <row r="2824" spans="1:15">
      <c r="A2824" s="191">
        <v>44743</v>
      </c>
      <c r="B2824" s="181" t="s">
        <v>127</v>
      </c>
      <c r="C2824" s="181" t="s">
        <v>787</v>
      </c>
      <c r="D2824" s="181" t="str">
        <f>MID(C2824,19,5)</f>
        <v>39208</v>
      </c>
      <c r="E2824" s="181" t="s">
        <v>15</v>
      </c>
      <c r="F2824" s="181" t="s">
        <v>14</v>
      </c>
      <c r="G2824" s="181" t="s">
        <v>647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0</v>
      </c>
    </row>
    <row r="2825" spans="1:15">
      <c r="A2825" s="191">
        <v>44774</v>
      </c>
      <c r="B2825" s="181" t="s">
        <v>126</v>
      </c>
      <c r="C2825" s="181" t="s">
        <v>787</v>
      </c>
      <c r="D2825" s="181" t="str">
        <f>MID(C2825,19,5)</f>
        <v>39208</v>
      </c>
      <c r="E2825" s="181" t="s">
        <v>15</v>
      </c>
      <c r="F2825" s="181" t="s">
        <v>14</v>
      </c>
      <c r="G2825" s="181" t="s">
        <v>647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0</v>
      </c>
    </row>
    <row r="2826" spans="1:15">
      <c r="A2826" s="191">
        <v>44682</v>
      </c>
      <c r="B2826" s="181" t="s">
        <v>129</v>
      </c>
      <c r="C2826" s="181" t="s">
        <v>791</v>
      </c>
      <c r="D2826" s="181" t="str">
        <f>MID(C2826,14,5)</f>
        <v>39208</v>
      </c>
      <c r="E2826" s="181" t="s">
        <v>15</v>
      </c>
      <c r="F2826" s="181" t="s">
        <v>14</v>
      </c>
      <c r="G2826" s="181" t="s">
        <v>647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0</v>
      </c>
    </row>
    <row r="2827" spans="1:15">
      <c r="A2827" s="191">
        <v>44805</v>
      </c>
      <c r="B2827" s="181" t="s">
        <v>125</v>
      </c>
      <c r="C2827" s="181" t="s">
        <v>787</v>
      </c>
      <c r="D2827" s="181" t="str">
        <f>MID(C2827,19,5)</f>
        <v>39208</v>
      </c>
      <c r="E2827" s="181" t="s">
        <v>15</v>
      </c>
      <c r="F2827" s="181" t="s">
        <v>14</v>
      </c>
      <c r="G2827" s="181" t="s">
        <v>647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0</v>
      </c>
    </row>
    <row r="2828" spans="1:15">
      <c r="A2828" s="191">
        <v>44713</v>
      </c>
      <c r="B2828" s="181" t="s">
        <v>128</v>
      </c>
      <c r="C2828" s="181" t="s">
        <v>791</v>
      </c>
      <c r="D2828" s="181" t="str">
        <f>MID(C2828,14,5)</f>
        <v>39208</v>
      </c>
      <c r="E2828" s="181" t="s">
        <v>15</v>
      </c>
      <c r="F2828" s="181" t="s">
        <v>14</v>
      </c>
      <c r="G2828" s="181" t="s">
        <v>647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0</v>
      </c>
    </row>
    <row r="2829" spans="1:15">
      <c r="A2829" s="191">
        <v>44835</v>
      </c>
      <c r="B2829" s="181" t="s">
        <v>124</v>
      </c>
      <c r="C2829" s="181" t="s">
        <v>787</v>
      </c>
      <c r="D2829" s="181" t="str">
        <f>MID(C2829,19,5)</f>
        <v>39208</v>
      </c>
      <c r="E2829" s="181" t="s">
        <v>15</v>
      </c>
      <c r="F2829" s="181" t="s">
        <v>14</v>
      </c>
      <c r="G2829" s="181" t="s">
        <v>647</v>
      </c>
      <c r="H2829" s="8">
        <v>0</v>
      </c>
      <c r="I2829" s="8">
        <v>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0</v>
      </c>
    </row>
    <row r="2830" spans="1:15">
      <c r="A2830" s="191">
        <v>44866</v>
      </c>
      <c r="B2830" s="181" t="s">
        <v>123</v>
      </c>
      <c r="C2830" s="181" t="s">
        <v>787</v>
      </c>
      <c r="D2830" s="181" t="str">
        <f>MID(C2830,19,5)</f>
        <v>39208</v>
      </c>
      <c r="E2830" s="181" t="s">
        <v>15</v>
      </c>
      <c r="F2830" s="181" t="s">
        <v>14</v>
      </c>
      <c r="G2830" s="181" t="s">
        <v>647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0</v>
      </c>
    </row>
    <row r="2831" spans="1:15">
      <c r="A2831" s="191">
        <v>44743</v>
      </c>
      <c r="B2831" s="181" t="s">
        <v>127</v>
      </c>
      <c r="C2831" s="181" t="s">
        <v>791</v>
      </c>
      <c r="D2831" s="181" t="str">
        <f>MID(C2831,14,5)</f>
        <v>39208</v>
      </c>
      <c r="E2831" s="181" t="s">
        <v>15</v>
      </c>
      <c r="F2831" s="181" t="s">
        <v>14</v>
      </c>
      <c r="G2831" s="181" t="s">
        <v>647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0</v>
      </c>
    </row>
    <row r="2832" spans="1:15">
      <c r="A2832" s="191">
        <v>44774</v>
      </c>
      <c r="B2832" s="181" t="s">
        <v>126</v>
      </c>
      <c r="C2832" s="181" t="s">
        <v>791</v>
      </c>
      <c r="D2832" s="181" t="str">
        <f>MID(C2832,14,5)</f>
        <v>39208</v>
      </c>
      <c r="E2832" s="181" t="s">
        <v>15</v>
      </c>
      <c r="F2832" s="181" t="s">
        <v>14</v>
      </c>
      <c r="G2832" s="181" t="s">
        <v>647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0</v>
      </c>
    </row>
    <row r="2833" spans="1:15">
      <c r="A2833" s="191">
        <v>44896</v>
      </c>
      <c r="B2833" s="181" t="s">
        <v>122</v>
      </c>
      <c r="C2833" s="181" t="s">
        <v>787</v>
      </c>
      <c r="D2833" s="181" t="str">
        <f>MID(C2833,19,5)</f>
        <v>39208</v>
      </c>
      <c r="E2833" s="181" t="s">
        <v>15</v>
      </c>
      <c r="F2833" s="181" t="s">
        <v>14</v>
      </c>
      <c r="G2833" s="181" t="s">
        <v>647</v>
      </c>
      <c r="H2833" s="8">
        <v>0</v>
      </c>
      <c r="I2833" s="8">
        <v>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0</v>
      </c>
    </row>
    <row r="2834" spans="1:15">
      <c r="A2834" s="191">
        <v>44531</v>
      </c>
      <c r="B2834" s="181" t="s">
        <v>13</v>
      </c>
      <c r="C2834" s="181" t="s">
        <v>820</v>
      </c>
      <c r="D2834" s="181" t="str">
        <f>MID(C2834,18,5)</f>
        <v>39208</v>
      </c>
      <c r="E2834" s="181" t="s">
        <v>15</v>
      </c>
      <c r="F2834" s="181" t="s">
        <v>14</v>
      </c>
      <c r="G2834" s="181" t="s">
        <v>647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0</v>
      </c>
    </row>
    <row r="2835" spans="1:15">
      <c r="A2835" s="191">
        <v>44562</v>
      </c>
      <c r="B2835" s="181" t="s">
        <v>133</v>
      </c>
      <c r="C2835" s="181" t="s">
        <v>820</v>
      </c>
      <c r="D2835" s="181" t="str">
        <f>MID(C2835,18,5)</f>
        <v>39208</v>
      </c>
      <c r="E2835" s="181" t="s">
        <v>15</v>
      </c>
      <c r="F2835" s="181" t="s">
        <v>14</v>
      </c>
      <c r="G2835" s="181" t="s">
        <v>647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0</v>
      </c>
    </row>
    <row r="2836" spans="1:15">
      <c r="A2836" s="191">
        <v>44805</v>
      </c>
      <c r="B2836" s="181" t="s">
        <v>125</v>
      </c>
      <c r="C2836" s="181" t="s">
        <v>791</v>
      </c>
      <c r="D2836" s="181" t="str">
        <f>MID(C2836,14,5)</f>
        <v>39208</v>
      </c>
      <c r="E2836" s="181" t="s">
        <v>15</v>
      </c>
      <c r="F2836" s="181" t="s">
        <v>14</v>
      </c>
      <c r="G2836" s="181" t="s">
        <v>647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0</v>
      </c>
    </row>
    <row r="2837" spans="1:15">
      <c r="A2837" s="191">
        <v>44593</v>
      </c>
      <c r="B2837" s="181" t="s">
        <v>132</v>
      </c>
      <c r="C2837" s="181" t="s">
        <v>820</v>
      </c>
      <c r="D2837" s="181" t="str">
        <f>MID(C2837,18,5)</f>
        <v>39208</v>
      </c>
      <c r="E2837" s="181" t="s">
        <v>15</v>
      </c>
      <c r="F2837" s="181" t="s">
        <v>14</v>
      </c>
      <c r="G2837" s="181" t="s">
        <v>647</v>
      </c>
      <c r="H2837" s="8">
        <v>0</v>
      </c>
      <c r="I2837" s="8">
        <v>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0</v>
      </c>
    </row>
    <row r="2838" spans="1:15">
      <c r="A2838" s="191">
        <v>44621</v>
      </c>
      <c r="B2838" s="181" t="s">
        <v>131</v>
      </c>
      <c r="C2838" s="181" t="s">
        <v>820</v>
      </c>
      <c r="D2838" s="181" t="str">
        <f>MID(C2838,18,5)</f>
        <v>39208</v>
      </c>
      <c r="E2838" s="181" t="s">
        <v>15</v>
      </c>
      <c r="F2838" s="181" t="s">
        <v>14</v>
      </c>
      <c r="G2838" s="181" t="s">
        <v>647</v>
      </c>
      <c r="H2838" s="8">
        <v>0</v>
      </c>
      <c r="I2838" s="8">
        <v>0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0</v>
      </c>
    </row>
    <row r="2839" spans="1:15">
      <c r="A2839" s="191">
        <v>44652</v>
      </c>
      <c r="B2839" s="181" t="s">
        <v>130</v>
      </c>
      <c r="C2839" s="181" t="s">
        <v>820</v>
      </c>
      <c r="D2839" s="181" t="str">
        <f>MID(C2839,18,5)</f>
        <v>39208</v>
      </c>
      <c r="E2839" s="181" t="s">
        <v>15</v>
      </c>
      <c r="F2839" s="181" t="s">
        <v>14</v>
      </c>
      <c r="G2839" s="181" t="s">
        <v>647</v>
      </c>
      <c r="H2839" s="8">
        <v>0</v>
      </c>
      <c r="I2839" s="8">
        <v>0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0</v>
      </c>
    </row>
    <row r="2840" spans="1:15">
      <c r="A2840" s="191">
        <v>44835</v>
      </c>
      <c r="B2840" s="181" t="s">
        <v>124</v>
      </c>
      <c r="C2840" s="181" t="s">
        <v>791</v>
      </c>
      <c r="D2840" s="181" t="str">
        <f>MID(C2840,14,5)</f>
        <v>39208</v>
      </c>
      <c r="E2840" s="181" t="s">
        <v>15</v>
      </c>
      <c r="F2840" s="181" t="s">
        <v>14</v>
      </c>
      <c r="G2840" s="181" t="s">
        <v>647</v>
      </c>
      <c r="H2840" s="8">
        <v>0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0</v>
      </c>
    </row>
    <row r="2841" spans="1:15">
      <c r="A2841" s="191">
        <v>44866</v>
      </c>
      <c r="B2841" s="181" t="s">
        <v>123</v>
      </c>
      <c r="C2841" s="181" t="s">
        <v>791</v>
      </c>
      <c r="D2841" s="181" t="str">
        <f>MID(C2841,14,5)</f>
        <v>39208</v>
      </c>
      <c r="E2841" s="181" t="s">
        <v>15</v>
      </c>
      <c r="F2841" s="181" t="s">
        <v>14</v>
      </c>
      <c r="G2841" s="181" t="s">
        <v>647</v>
      </c>
      <c r="H2841" s="8">
        <v>0</v>
      </c>
      <c r="I2841" s="8">
        <v>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0</v>
      </c>
    </row>
    <row r="2842" spans="1:15">
      <c r="A2842" s="191">
        <v>44682</v>
      </c>
      <c r="B2842" s="181" t="s">
        <v>129</v>
      </c>
      <c r="C2842" s="181" t="s">
        <v>820</v>
      </c>
      <c r="D2842" s="181" t="str">
        <f>MID(C2842,18,5)</f>
        <v>39208</v>
      </c>
      <c r="E2842" s="181" t="s">
        <v>15</v>
      </c>
      <c r="F2842" s="181" t="s">
        <v>14</v>
      </c>
      <c r="G2842" s="181" t="s">
        <v>647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0</v>
      </c>
    </row>
    <row r="2843" spans="1:15">
      <c r="A2843" s="191">
        <v>44713</v>
      </c>
      <c r="B2843" s="181" t="s">
        <v>128</v>
      </c>
      <c r="C2843" s="181" t="s">
        <v>820</v>
      </c>
      <c r="D2843" s="181" t="str">
        <f>MID(C2843,18,5)</f>
        <v>39208</v>
      </c>
      <c r="E2843" s="181" t="s">
        <v>15</v>
      </c>
      <c r="F2843" s="181" t="s">
        <v>14</v>
      </c>
      <c r="G2843" s="181" t="s">
        <v>647</v>
      </c>
      <c r="H2843" s="8">
        <v>0</v>
      </c>
      <c r="I2843" s="8">
        <v>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0</v>
      </c>
    </row>
    <row r="2844" spans="1:15">
      <c r="A2844" s="191">
        <v>44743</v>
      </c>
      <c r="B2844" s="181" t="s">
        <v>127</v>
      </c>
      <c r="C2844" s="181" t="s">
        <v>820</v>
      </c>
      <c r="D2844" s="181" t="str">
        <f>MID(C2844,18,5)</f>
        <v>39208</v>
      </c>
      <c r="E2844" s="181" t="s">
        <v>15</v>
      </c>
      <c r="F2844" s="181" t="s">
        <v>14</v>
      </c>
      <c r="G2844" s="181" t="s">
        <v>647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0</v>
      </c>
    </row>
    <row r="2845" spans="1:15">
      <c r="A2845" s="191">
        <v>44896</v>
      </c>
      <c r="B2845" s="181" t="s">
        <v>122</v>
      </c>
      <c r="C2845" s="181" t="s">
        <v>791</v>
      </c>
      <c r="D2845" s="181" t="str">
        <f>MID(C2845,14,5)</f>
        <v>39208</v>
      </c>
      <c r="E2845" s="181" t="s">
        <v>15</v>
      </c>
      <c r="F2845" s="181" t="s">
        <v>14</v>
      </c>
      <c r="G2845" s="181" t="s">
        <v>647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0</v>
      </c>
    </row>
    <row r="2846" spans="1:15">
      <c r="A2846" s="191">
        <v>44774</v>
      </c>
      <c r="B2846" s="181" t="s">
        <v>126</v>
      </c>
      <c r="C2846" s="181" t="s">
        <v>820</v>
      </c>
      <c r="D2846" s="181" t="str">
        <f>MID(C2846,18,5)</f>
        <v>39208</v>
      </c>
      <c r="E2846" s="181" t="s">
        <v>15</v>
      </c>
      <c r="F2846" s="181" t="s">
        <v>14</v>
      </c>
      <c r="G2846" s="181" t="s">
        <v>647</v>
      </c>
      <c r="H2846" s="8">
        <v>0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0</v>
      </c>
    </row>
    <row r="2847" spans="1:15">
      <c r="A2847" s="191">
        <v>44805</v>
      </c>
      <c r="B2847" s="181" t="s">
        <v>125</v>
      </c>
      <c r="C2847" s="181" t="s">
        <v>820</v>
      </c>
      <c r="D2847" s="181" t="str">
        <f>MID(C2847,18,5)</f>
        <v>39208</v>
      </c>
      <c r="E2847" s="181" t="s">
        <v>15</v>
      </c>
      <c r="F2847" s="181" t="s">
        <v>14</v>
      </c>
      <c r="G2847" s="181" t="s">
        <v>647</v>
      </c>
      <c r="H2847" s="8">
        <v>0</v>
      </c>
      <c r="I2847" s="8">
        <v>0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0</v>
      </c>
    </row>
    <row r="2848" spans="1:15">
      <c r="A2848" s="191">
        <v>44835</v>
      </c>
      <c r="B2848" s="181" t="s">
        <v>124</v>
      </c>
      <c r="C2848" s="181" t="s">
        <v>820</v>
      </c>
      <c r="D2848" s="181" t="str">
        <f>MID(C2848,18,5)</f>
        <v>39208</v>
      </c>
      <c r="E2848" s="181" t="s">
        <v>15</v>
      </c>
      <c r="F2848" s="181" t="s">
        <v>14</v>
      </c>
      <c r="G2848" s="181" t="s">
        <v>647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0</v>
      </c>
    </row>
    <row r="2849" spans="1:15">
      <c r="A2849" s="191">
        <v>44866</v>
      </c>
      <c r="B2849" s="181" t="s">
        <v>123</v>
      </c>
      <c r="C2849" s="181" t="s">
        <v>820</v>
      </c>
      <c r="D2849" s="181" t="str">
        <f>MID(C2849,18,5)</f>
        <v>39208</v>
      </c>
      <c r="E2849" s="181" t="s">
        <v>15</v>
      </c>
      <c r="F2849" s="181" t="s">
        <v>14</v>
      </c>
      <c r="G2849" s="181" t="s">
        <v>647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0</v>
      </c>
    </row>
    <row r="2850" spans="1:15">
      <c r="A2850" s="191">
        <v>44896</v>
      </c>
      <c r="B2850" s="181" t="s">
        <v>122</v>
      </c>
      <c r="C2850" s="181" t="s">
        <v>820</v>
      </c>
      <c r="D2850" s="181" t="str">
        <f>MID(C2850,18,5)</f>
        <v>39208</v>
      </c>
      <c r="E2850" s="181" t="s">
        <v>15</v>
      </c>
      <c r="F2850" s="181" t="s">
        <v>14</v>
      </c>
      <c r="G2850" s="181" t="s">
        <v>647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0</v>
      </c>
    </row>
    <row r="2851" spans="1:15">
      <c r="A2851" s="191">
        <v>44531</v>
      </c>
      <c r="B2851" s="181" t="s">
        <v>13</v>
      </c>
      <c r="C2851" s="181" t="s">
        <v>788</v>
      </c>
      <c r="D2851" s="181" t="str">
        <f>MID(C2851,19,5)</f>
        <v>39209</v>
      </c>
      <c r="E2851" s="181" t="s">
        <v>15</v>
      </c>
      <c r="F2851" s="181" t="s">
        <v>14</v>
      </c>
      <c r="G2851" s="181" t="s">
        <v>647</v>
      </c>
      <c r="H2851" s="8">
        <v>0</v>
      </c>
      <c r="I2851" s="8">
        <v>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0</v>
      </c>
    </row>
    <row r="2852" spans="1:15">
      <c r="A2852" s="191">
        <v>44562</v>
      </c>
      <c r="B2852" s="181" t="s">
        <v>133</v>
      </c>
      <c r="C2852" s="181" t="s">
        <v>788</v>
      </c>
      <c r="D2852" s="181" t="str">
        <f>MID(C2852,19,5)</f>
        <v>39209</v>
      </c>
      <c r="E2852" s="181" t="s">
        <v>15</v>
      </c>
      <c r="F2852" s="181" t="s">
        <v>14</v>
      </c>
      <c r="G2852" s="181" t="s">
        <v>647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0</v>
      </c>
    </row>
    <row r="2853" spans="1:15">
      <c r="A2853" s="191">
        <v>44531</v>
      </c>
      <c r="B2853" s="181" t="s">
        <v>13</v>
      </c>
      <c r="C2853" s="181" t="s">
        <v>792</v>
      </c>
      <c r="D2853" s="181" t="str">
        <f>MID(C2853,14,5)</f>
        <v>39209</v>
      </c>
      <c r="E2853" s="181" t="s">
        <v>15</v>
      </c>
      <c r="F2853" s="181" t="s">
        <v>14</v>
      </c>
      <c r="G2853" s="181" t="s">
        <v>647</v>
      </c>
      <c r="H2853" s="8">
        <v>0</v>
      </c>
      <c r="I2853" s="8">
        <v>0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0</v>
      </c>
    </row>
    <row r="2854" spans="1:15">
      <c r="A2854" s="191">
        <v>44593</v>
      </c>
      <c r="B2854" s="181" t="s">
        <v>132</v>
      </c>
      <c r="C2854" s="181" t="s">
        <v>788</v>
      </c>
      <c r="D2854" s="181" t="str">
        <f>MID(C2854,19,5)</f>
        <v>39209</v>
      </c>
      <c r="E2854" s="181" t="s">
        <v>15</v>
      </c>
      <c r="F2854" s="181" t="s">
        <v>14</v>
      </c>
      <c r="G2854" s="181" t="s">
        <v>647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0</v>
      </c>
    </row>
    <row r="2855" spans="1:15">
      <c r="A2855" s="191">
        <v>44621</v>
      </c>
      <c r="B2855" s="181" t="s">
        <v>131</v>
      </c>
      <c r="C2855" s="181" t="s">
        <v>788</v>
      </c>
      <c r="D2855" s="181" t="str">
        <f>MID(C2855,19,5)</f>
        <v>39209</v>
      </c>
      <c r="E2855" s="181" t="s">
        <v>15</v>
      </c>
      <c r="F2855" s="181" t="s">
        <v>14</v>
      </c>
      <c r="G2855" s="181" t="s">
        <v>647</v>
      </c>
      <c r="H2855" s="8">
        <v>0</v>
      </c>
      <c r="I2855" s="8">
        <v>0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0</v>
      </c>
    </row>
    <row r="2856" spans="1:15">
      <c r="A2856" s="191">
        <v>44562</v>
      </c>
      <c r="B2856" s="181" t="s">
        <v>133</v>
      </c>
      <c r="C2856" s="181" t="s">
        <v>792</v>
      </c>
      <c r="D2856" s="181" t="str">
        <f>MID(C2856,14,5)</f>
        <v>39209</v>
      </c>
      <c r="E2856" s="181" t="s">
        <v>15</v>
      </c>
      <c r="F2856" s="181" t="s">
        <v>14</v>
      </c>
      <c r="G2856" s="181" t="s">
        <v>647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0</v>
      </c>
    </row>
    <row r="2857" spans="1:15">
      <c r="A2857" s="191">
        <v>44593</v>
      </c>
      <c r="B2857" s="181" t="s">
        <v>132</v>
      </c>
      <c r="C2857" s="181" t="s">
        <v>792</v>
      </c>
      <c r="D2857" s="181" t="str">
        <f>MID(C2857,14,5)</f>
        <v>39209</v>
      </c>
      <c r="E2857" s="181" t="s">
        <v>15</v>
      </c>
      <c r="F2857" s="181" t="s">
        <v>14</v>
      </c>
      <c r="G2857" s="181" t="s">
        <v>647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0</v>
      </c>
    </row>
    <row r="2858" spans="1:15">
      <c r="A2858" s="191">
        <v>44652</v>
      </c>
      <c r="B2858" s="181" t="s">
        <v>130</v>
      </c>
      <c r="C2858" s="181" t="s">
        <v>788</v>
      </c>
      <c r="D2858" s="181" t="str">
        <f>MID(C2858,19,5)</f>
        <v>39209</v>
      </c>
      <c r="E2858" s="181" t="s">
        <v>15</v>
      </c>
      <c r="F2858" s="181" t="s">
        <v>14</v>
      </c>
      <c r="G2858" s="181" t="s">
        <v>647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0</v>
      </c>
    </row>
    <row r="2859" spans="1:15">
      <c r="A2859" s="191">
        <v>44682</v>
      </c>
      <c r="B2859" s="181" t="s">
        <v>129</v>
      </c>
      <c r="C2859" s="181" t="s">
        <v>788</v>
      </c>
      <c r="D2859" s="181" t="str">
        <f>MID(C2859,19,5)</f>
        <v>39209</v>
      </c>
      <c r="E2859" s="181" t="s">
        <v>15</v>
      </c>
      <c r="F2859" s="181" t="s">
        <v>14</v>
      </c>
      <c r="G2859" s="181" t="s">
        <v>647</v>
      </c>
      <c r="H2859" s="8">
        <v>0</v>
      </c>
      <c r="I2859" s="8">
        <v>0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0</v>
      </c>
    </row>
    <row r="2860" spans="1:15">
      <c r="A2860" s="191">
        <v>44713</v>
      </c>
      <c r="B2860" s="181" t="s">
        <v>128</v>
      </c>
      <c r="C2860" s="181" t="s">
        <v>788</v>
      </c>
      <c r="D2860" s="181" t="str">
        <f>MID(C2860,19,5)</f>
        <v>39209</v>
      </c>
      <c r="E2860" s="181" t="s">
        <v>15</v>
      </c>
      <c r="F2860" s="181" t="s">
        <v>14</v>
      </c>
      <c r="G2860" s="181" t="s">
        <v>647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0</v>
      </c>
    </row>
    <row r="2861" spans="1:15">
      <c r="A2861" s="191">
        <v>44621</v>
      </c>
      <c r="B2861" s="181" t="s">
        <v>131</v>
      </c>
      <c r="C2861" s="181" t="s">
        <v>792</v>
      </c>
      <c r="D2861" s="181" t="str">
        <f>MID(C2861,14,5)</f>
        <v>39209</v>
      </c>
      <c r="E2861" s="181" t="s">
        <v>15</v>
      </c>
      <c r="F2861" s="181" t="s">
        <v>14</v>
      </c>
      <c r="G2861" s="181" t="s">
        <v>647</v>
      </c>
      <c r="H2861" s="8">
        <v>0</v>
      </c>
      <c r="I2861" s="8">
        <v>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0</v>
      </c>
    </row>
    <row r="2862" spans="1:15">
      <c r="A2862" s="191">
        <v>44652</v>
      </c>
      <c r="B2862" s="181" t="s">
        <v>130</v>
      </c>
      <c r="C2862" s="181" t="s">
        <v>792</v>
      </c>
      <c r="D2862" s="181" t="str">
        <f>MID(C2862,14,5)</f>
        <v>39209</v>
      </c>
      <c r="E2862" s="181" t="s">
        <v>15</v>
      </c>
      <c r="F2862" s="181" t="s">
        <v>14</v>
      </c>
      <c r="G2862" s="181" t="s">
        <v>647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0</v>
      </c>
    </row>
    <row r="2863" spans="1:15">
      <c r="A2863" s="191">
        <v>44743</v>
      </c>
      <c r="B2863" s="181" t="s">
        <v>127</v>
      </c>
      <c r="C2863" s="181" t="s">
        <v>788</v>
      </c>
      <c r="D2863" s="181" t="str">
        <f>MID(C2863,19,5)</f>
        <v>39209</v>
      </c>
      <c r="E2863" s="181" t="s">
        <v>15</v>
      </c>
      <c r="F2863" s="181" t="s">
        <v>14</v>
      </c>
      <c r="G2863" s="181" t="s">
        <v>647</v>
      </c>
      <c r="H2863" s="8">
        <v>0</v>
      </c>
      <c r="I2863" s="8">
        <v>0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0</v>
      </c>
    </row>
    <row r="2864" spans="1:15">
      <c r="A2864" s="191">
        <v>44774</v>
      </c>
      <c r="B2864" s="181" t="s">
        <v>126</v>
      </c>
      <c r="C2864" s="181" t="s">
        <v>788</v>
      </c>
      <c r="D2864" s="181" t="str">
        <f>MID(C2864,19,5)</f>
        <v>39209</v>
      </c>
      <c r="E2864" s="181" t="s">
        <v>15</v>
      </c>
      <c r="F2864" s="181" t="s">
        <v>14</v>
      </c>
      <c r="G2864" s="181" t="s">
        <v>647</v>
      </c>
      <c r="H2864" s="8">
        <v>0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0</v>
      </c>
    </row>
    <row r="2865" spans="1:15">
      <c r="A2865" s="191">
        <v>44682</v>
      </c>
      <c r="B2865" s="181" t="s">
        <v>129</v>
      </c>
      <c r="C2865" s="181" t="s">
        <v>792</v>
      </c>
      <c r="D2865" s="181" t="str">
        <f>MID(C2865,14,5)</f>
        <v>39209</v>
      </c>
      <c r="E2865" s="181" t="s">
        <v>15</v>
      </c>
      <c r="F2865" s="181" t="s">
        <v>14</v>
      </c>
      <c r="G2865" s="181" t="s">
        <v>647</v>
      </c>
      <c r="H2865" s="8">
        <v>0</v>
      </c>
      <c r="I2865" s="8">
        <v>0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0</v>
      </c>
    </row>
    <row r="2866" spans="1:15">
      <c r="A2866" s="191">
        <v>44713</v>
      </c>
      <c r="B2866" s="181" t="s">
        <v>128</v>
      </c>
      <c r="C2866" s="181" t="s">
        <v>792</v>
      </c>
      <c r="D2866" s="181" t="str">
        <f>MID(C2866,14,5)</f>
        <v>39209</v>
      </c>
      <c r="E2866" s="181" t="s">
        <v>15</v>
      </c>
      <c r="F2866" s="181" t="s">
        <v>14</v>
      </c>
      <c r="G2866" s="181" t="s">
        <v>647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0</v>
      </c>
    </row>
    <row r="2867" spans="1:15">
      <c r="A2867" s="191">
        <v>44805</v>
      </c>
      <c r="B2867" s="181" t="s">
        <v>125</v>
      </c>
      <c r="C2867" s="181" t="s">
        <v>788</v>
      </c>
      <c r="D2867" s="181" t="str">
        <f>MID(C2867,19,5)</f>
        <v>39209</v>
      </c>
      <c r="E2867" s="181" t="s">
        <v>15</v>
      </c>
      <c r="F2867" s="181" t="s">
        <v>14</v>
      </c>
      <c r="G2867" s="181" t="s">
        <v>647</v>
      </c>
      <c r="H2867" s="8">
        <v>0</v>
      </c>
      <c r="I2867" s="8">
        <v>0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0</v>
      </c>
    </row>
    <row r="2868" spans="1:15">
      <c r="A2868" s="191">
        <v>44835</v>
      </c>
      <c r="B2868" s="181" t="s">
        <v>124</v>
      </c>
      <c r="C2868" s="181" t="s">
        <v>788</v>
      </c>
      <c r="D2868" s="181" t="str">
        <f>MID(C2868,19,5)</f>
        <v>39209</v>
      </c>
      <c r="E2868" s="181" t="s">
        <v>15</v>
      </c>
      <c r="F2868" s="181" t="s">
        <v>14</v>
      </c>
      <c r="G2868" s="181" t="s">
        <v>647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0</v>
      </c>
    </row>
    <row r="2869" spans="1:15">
      <c r="A2869" s="191">
        <v>44866</v>
      </c>
      <c r="B2869" s="181" t="s">
        <v>123</v>
      </c>
      <c r="C2869" s="181" t="s">
        <v>788</v>
      </c>
      <c r="D2869" s="181" t="str">
        <f>MID(C2869,19,5)</f>
        <v>39209</v>
      </c>
      <c r="E2869" s="181" t="s">
        <v>15</v>
      </c>
      <c r="F2869" s="181" t="s">
        <v>14</v>
      </c>
      <c r="G2869" s="181" t="s">
        <v>647</v>
      </c>
      <c r="H2869" s="8">
        <v>0</v>
      </c>
      <c r="I2869" s="8">
        <v>0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0</v>
      </c>
    </row>
    <row r="2870" spans="1:15">
      <c r="A2870" s="191">
        <v>44743</v>
      </c>
      <c r="B2870" s="181" t="s">
        <v>127</v>
      </c>
      <c r="C2870" s="181" t="s">
        <v>792</v>
      </c>
      <c r="D2870" s="181" t="str">
        <f>MID(C2870,14,5)</f>
        <v>39209</v>
      </c>
      <c r="E2870" s="181" t="s">
        <v>15</v>
      </c>
      <c r="F2870" s="181" t="s">
        <v>14</v>
      </c>
      <c r="G2870" s="181" t="s">
        <v>647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0</v>
      </c>
    </row>
    <row r="2871" spans="1:15">
      <c r="A2871" s="191">
        <v>44896</v>
      </c>
      <c r="B2871" s="181" t="s">
        <v>122</v>
      </c>
      <c r="C2871" s="181" t="s">
        <v>788</v>
      </c>
      <c r="D2871" s="181" t="str">
        <f>MID(C2871,19,5)</f>
        <v>39209</v>
      </c>
      <c r="E2871" s="181" t="s">
        <v>15</v>
      </c>
      <c r="F2871" s="181" t="s">
        <v>14</v>
      </c>
      <c r="G2871" s="181" t="s">
        <v>647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0</v>
      </c>
    </row>
    <row r="2872" spans="1:15">
      <c r="A2872" s="191">
        <v>44774</v>
      </c>
      <c r="B2872" s="181" t="s">
        <v>126</v>
      </c>
      <c r="C2872" s="181" t="s">
        <v>792</v>
      </c>
      <c r="D2872" s="181" t="str">
        <f>MID(C2872,14,5)</f>
        <v>39209</v>
      </c>
      <c r="E2872" s="181" t="s">
        <v>15</v>
      </c>
      <c r="F2872" s="181" t="s">
        <v>14</v>
      </c>
      <c r="G2872" s="181" t="s">
        <v>647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0</v>
      </c>
    </row>
    <row r="2873" spans="1:15">
      <c r="A2873" s="191">
        <v>44805</v>
      </c>
      <c r="B2873" s="181" t="s">
        <v>125</v>
      </c>
      <c r="C2873" s="181" t="s">
        <v>792</v>
      </c>
      <c r="D2873" s="181" t="str">
        <f>MID(C2873,14,5)</f>
        <v>39209</v>
      </c>
      <c r="E2873" s="181" t="s">
        <v>15</v>
      </c>
      <c r="F2873" s="181" t="s">
        <v>14</v>
      </c>
      <c r="G2873" s="181" t="s">
        <v>647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0</v>
      </c>
    </row>
    <row r="2874" spans="1:15">
      <c r="A2874" s="191">
        <v>44835</v>
      </c>
      <c r="B2874" s="181" t="s">
        <v>124</v>
      </c>
      <c r="C2874" s="181" t="s">
        <v>792</v>
      </c>
      <c r="D2874" s="181" t="str">
        <f>MID(C2874,14,5)</f>
        <v>39209</v>
      </c>
      <c r="E2874" s="181" t="s">
        <v>15</v>
      </c>
      <c r="F2874" s="181" t="s">
        <v>14</v>
      </c>
      <c r="G2874" s="181" t="s">
        <v>647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0</v>
      </c>
    </row>
    <row r="2875" spans="1:15">
      <c r="A2875" s="191">
        <v>44866</v>
      </c>
      <c r="B2875" s="181" t="s">
        <v>123</v>
      </c>
      <c r="C2875" s="181" t="s">
        <v>792</v>
      </c>
      <c r="D2875" s="181" t="str">
        <f>MID(C2875,14,5)</f>
        <v>39209</v>
      </c>
      <c r="E2875" s="181" t="s">
        <v>15</v>
      </c>
      <c r="F2875" s="181" t="s">
        <v>14</v>
      </c>
      <c r="G2875" s="181" t="s">
        <v>647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0</v>
      </c>
    </row>
    <row r="2876" spans="1:15">
      <c r="A2876" s="191">
        <v>44896</v>
      </c>
      <c r="B2876" s="181" t="s">
        <v>122</v>
      </c>
      <c r="C2876" s="181" t="s">
        <v>792</v>
      </c>
      <c r="D2876" s="181" t="str">
        <f>MID(C2876,14,5)</f>
        <v>39209</v>
      </c>
      <c r="E2876" s="181" t="s">
        <v>15</v>
      </c>
      <c r="F2876" s="181" t="s">
        <v>14</v>
      </c>
      <c r="G2876" s="181" t="s">
        <v>647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0</v>
      </c>
    </row>
    <row r="2877" spans="1:15">
      <c r="A2877" s="191">
        <v>44531</v>
      </c>
      <c r="B2877" s="181" t="s">
        <v>13</v>
      </c>
      <c r="C2877" s="181" t="s">
        <v>767</v>
      </c>
      <c r="D2877" s="181" t="str">
        <f t="shared" ref="D2877:D2940" si="48">MID(C2877,10,5)</f>
        <v>39300</v>
      </c>
      <c r="E2877" s="181" t="s">
        <v>15</v>
      </c>
      <c r="F2877" s="181" t="s">
        <v>14</v>
      </c>
      <c r="G2877" s="181" t="s">
        <v>647</v>
      </c>
      <c r="H2877" s="8">
        <v>23069.54</v>
      </c>
      <c r="I2877" s="8">
        <v>126.39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23195.93</v>
      </c>
    </row>
    <row r="2878" spans="1:15">
      <c r="A2878" s="191">
        <v>44562</v>
      </c>
      <c r="B2878" s="181" t="s">
        <v>133</v>
      </c>
      <c r="C2878" s="181" t="s">
        <v>767</v>
      </c>
      <c r="D2878" s="181" t="str">
        <f t="shared" si="48"/>
        <v>39300</v>
      </c>
      <c r="E2878" s="181" t="s">
        <v>15</v>
      </c>
      <c r="F2878" s="181" t="s">
        <v>14</v>
      </c>
      <c r="G2878" s="181" t="s">
        <v>647</v>
      </c>
      <c r="H2878" s="8">
        <v>23195.93</v>
      </c>
      <c r="I2878" s="8">
        <v>126.39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23322.32</v>
      </c>
    </row>
    <row r="2879" spans="1:15">
      <c r="A2879" s="191">
        <v>44593</v>
      </c>
      <c r="B2879" s="181" t="s">
        <v>132</v>
      </c>
      <c r="C2879" s="181" t="s">
        <v>767</v>
      </c>
      <c r="D2879" s="181" t="str">
        <f t="shared" si="48"/>
        <v>39300</v>
      </c>
      <c r="E2879" s="181" t="s">
        <v>15</v>
      </c>
      <c r="F2879" s="181" t="s">
        <v>14</v>
      </c>
      <c r="G2879" s="181" t="s">
        <v>647</v>
      </c>
      <c r="H2879" s="8">
        <v>23322.32</v>
      </c>
      <c r="I2879" s="8">
        <v>126.39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23448.71</v>
      </c>
    </row>
    <row r="2880" spans="1:15">
      <c r="A2880" s="191">
        <v>44621</v>
      </c>
      <c r="B2880" s="181" t="s">
        <v>131</v>
      </c>
      <c r="C2880" s="181" t="s">
        <v>767</v>
      </c>
      <c r="D2880" s="181" t="str">
        <f t="shared" si="48"/>
        <v>39300</v>
      </c>
      <c r="E2880" s="181" t="s">
        <v>15</v>
      </c>
      <c r="F2880" s="181" t="s">
        <v>14</v>
      </c>
      <c r="G2880" s="181" t="s">
        <v>647</v>
      </c>
      <c r="H2880" s="8">
        <v>23448.71</v>
      </c>
      <c r="I2880" s="8">
        <v>126.39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23575.100000000002</v>
      </c>
    </row>
    <row r="2881" spans="1:15">
      <c r="A2881" s="191">
        <v>44652</v>
      </c>
      <c r="B2881" s="181" t="s">
        <v>130</v>
      </c>
      <c r="C2881" s="181" t="s">
        <v>767</v>
      </c>
      <c r="D2881" s="181" t="str">
        <f t="shared" si="48"/>
        <v>39300</v>
      </c>
      <c r="E2881" s="181" t="s">
        <v>15</v>
      </c>
      <c r="F2881" s="181" t="s">
        <v>14</v>
      </c>
      <c r="G2881" s="181" t="s">
        <v>647</v>
      </c>
      <c r="H2881" s="8">
        <v>23575.100000000002</v>
      </c>
      <c r="I2881" s="8">
        <v>126.39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23701.49</v>
      </c>
    </row>
    <row r="2882" spans="1:15">
      <c r="A2882" s="191">
        <v>44682</v>
      </c>
      <c r="B2882" s="181" t="s">
        <v>129</v>
      </c>
      <c r="C2882" s="181" t="s">
        <v>767</v>
      </c>
      <c r="D2882" s="181" t="str">
        <f t="shared" si="48"/>
        <v>39300</v>
      </c>
      <c r="E2882" s="181" t="s">
        <v>15</v>
      </c>
      <c r="F2882" s="181" t="s">
        <v>14</v>
      </c>
      <c r="G2882" s="181" t="s">
        <v>647</v>
      </c>
      <c r="H2882" s="8">
        <v>23701.49</v>
      </c>
      <c r="I2882" s="8">
        <v>126.39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23827.88</v>
      </c>
    </row>
    <row r="2883" spans="1:15">
      <c r="A2883" s="191">
        <v>44713</v>
      </c>
      <c r="B2883" s="181" t="s">
        <v>128</v>
      </c>
      <c r="C2883" s="181" t="s">
        <v>767</v>
      </c>
      <c r="D2883" s="181" t="str">
        <f t="shared" si="48"/>
        <v>39300</v>
      </c>
      <c r="E2883" s="181" t="s">
        <v>15</v>
      </c>
      <c r="F2883" s="181" t="s">
        <v>14</v>
      </c>
      <c r="G2883" s="181" t="s">
        <v>647</v>
      </c>
      <c r="H2883" s="8">
        <v>23827.88</v>
      </c>
      <c r="I2883" s="8">
        <v>126.39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23954.27</v>
      </c>
    </row>
    <row r="2884" spans="1:15">
      <c r="A2884" s="191">
        <v>44743</v>
      </c>
      <c r="B2884" s="181" t="s">
        <v>127</v>
      </c>
      <c r="C2884" s="181" t="s">
        <v>767</v>
      </c>
      <c r="D2884" s="181" t="str">
        <f t="shared" si="48"/>
        <v>39300</v>
      </c>
      <c r="E2884" s="181" t="s">
        <v>15</v>
      </c>
      <c r="F2884" s="181" t="s">
        <v>14</v>
      </c>
      <c r="G2884" s="181" t="s">
        <v>647</v>
      </c>
      <c r="H2884" s="8">
        <v>23954.27</v>
      </c>
      <c r="I2884" s="8">
        <v>126.39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24080.66</v>
      </c>
    </row>
    <row r="2885" spans="1:15">
      <c r="A2885" s="191">
        <v>44774</v>
      </c>
      <c r="B2885" s="181" t="s">
        <v>126</v>
      </c>
      <c r="C2885" s="181" t="s">
        <v>767</v>
      </c>
      <c r="D2885" s="181" t="str">
        <f t="shared" si="48"/>
        <v>39300</v>
      </c>
      <c r="E2885" s="181" t="s">
        <v>15</v>
      </c>
      <c r="F2885" s="181" t="s">
        <v>14</v>
      </c>
      <c r="G2885" s="181" t="s">
        <v>647</v>
      </c>
      <c r="H2885" s="8">
        <v>24080.66</v>
      </c>
      <c r="I2885" s="8">
        <v>126.39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24207.05</v>
      </c>
    </row>
    <row r="2886" spans="1:15">
      <c r="A2886" s="191">
        <v>44805</v>
      </c>
      <c r="B2886" s="181" t="s">
        <v>125</v>
      </c>
      <c r="C2886" s="181" t="s">
        <v>767</v>
      </c>
      <c r="D2886" s="181" t="str">
        <f t="shared" si="48"/>
        <v>39300</v>
      </c>
      <c r="E2886" s="181" t="s">
        <v>15</v>
      </c>
      <c r="F2886" s="181" t="s">
        <v>14</v>
      </c>
      <c r="G2886" s="181" t="s">
        <v>647</v>
      </c>
      <c r="H2886" s="8">
        <v>24207.05</v>
      </c>
      <c r="I2886" s="8">
        <v>126.39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24333.439999999999</v>
      </c>
    </row>
    <row r="2887" spans="1:15">
      <c r="A2887" s="191">
        <v>44835</v>
      </c>
      <c r="B2887" s="181" t="s">
        <v>124</v>
      </c>
      <c r="C2887" s="181" t="s">
        <v>767</v>
      </c>
      <c r="D2887" s="181" t="str">
        <f t="shared" si="48"/>
        <v>39300</v>
      </c>
      <c r="E2887" s="181" t="s">
        <v>15</v>
      </c>
      <c r="F2887" s="181" t="s">
        <v>14</v>
      </c>
      <c r="G2887" s="181" t="s">
        <v>647</v>
      </c>
      <c r="H2887" s="8">
        <v>24333.439999999999</v>
      </c>
      <c r="I2887" s="8">
        <v>126.39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24459.83</v>
      </c>
    </row>
    <row r="2888" spans="1:15">
      <c r="A2888" s="191">
        <v>44866</v>
      </c>
      <c r="B2888" s="181" t="s">
        <v>123</v>
      </c>
      <c r="C2888" s="181" t="s">
        <v>767</v>
      </c>
      <c r="D2888" s="181" t="str">
        <f t="shared" si="48"/>
        <v>39300</v>
      </c>
      <c r="E2888" s="181" t="s">
        <v>15</v>
      </c>
      <c r="F2888" s="181" t="s">
        <v>14</v>
      </c>
      <c r="G2888" s="181" t="s">
        <v>647</v>
      </c>
      <c r="H2888" s="8">
        <v>24459.83</v>
      </c>
      <c r="I2888" s="8">
        <v>126.39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24586.22</v>
      </c>
    </row>
    <row r="2889" spans="1:15">
      <c r="A2889" s="191">
        <v>44896</v>
      </c>
      <c r="B2889" s="181" t="s">
        <v>122</v>
      </c>
      <c r="C2889" s="181" t="s">
        <v>767</v>
      </c>
      <c r="D2889" s="181" t="str">
        <f t="shared" si="48"/>
        <v>39300</v>
      </c>
      <c r="E2889" s="181" t="s">
        <v>15</v>
      </c>
      <c r="F2889" s="181" t="s">
        <v>14</v>
      </c>
      <c r="G2889" s="181" t="s">
        <v>647</v>
      </c>
      <c r="H2889" s="8">
        <v>24586.22</v>
      </c>
      <c r="I2889" s="8">
        <v>126.39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24712.61</v>
      </c>
    </row>
    <row r="2890" spans="1:15">
      <c r="A2890" s="191">
        <v>44531</v>
      </c>
      <c r="B2890" s="181" t="s">
        <v>13</v>
      </c>
      <c r="C2890" s="181" t="s">
        <v>768</v>
      </c>
      <c r="D2890" s="181" t="str">
        <f t="shared" si="48"/>
        <v>39400</v>
      </c>
      <c r="E2890" s="181" t="s">
        <v>15</v>
      </c>
      <c r="F2890" s="181" t="s">
        <v>14</v>
      </c>
      <c r="G2890" s="181" t="s">
        <v>647</v>
      </c>
      <c r="H2890" s="8">
        <v>0.01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0.01</v>
      </c>
    </row>
    <row r="2891" spans="1:15">
      <c r="A2891" s="191">
        <v>44531</v>
      </c>
      <c r="B2891" s="181" t="s">
        <v>13</v>
      </c>
      <c r="C2891" s="181" t="s">
        <v>769</v>
      </c>
      <c r="D2891" s="181" t="str">
        <f t="shared" si="48"/>
        <v>39400</v>
      </c>
      <c r="E2891" s="181" t="s">
        <v>15</v>
      </c>
      <c r="F2891" s="181" t="s">
        <v>14</v>
      </c>
      <c r="G2891" s="181" t="s">
        <v>647</v>
      </c>
      <c r="H2891" s="8">
        <v>88685.03</v>
      </c>
      <c r="I2891" s="8">
        <v>5246.86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93931.89</v>
      </c>
    </row>
    <row r="2892" spans="1:15">
      <c r="A2892" s="191">
        <v>44531</v>
      </c>
      <c r="B2892" s="181" t="s">
        <v>13</v>
      </c>
      <c r="C2892" s="181" t="s">
        <v>768</v>
      </c>
      <c r="D2892" s="181" t="str">
        <f t="shared" si="48"/>
        <v>39400</v>
      </c>
      <c r="E2892" s="181" t="s">
        <v>15</v>
      </c>
      <c r="F2892" s="181" t="s">
        <v>14</v>
      </c>
      <c r="G2892" s="181" t="s">
        <v>793</v>
      </c>
      <c r="H2892" s="8">
        <v>-0.03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-0.03</v>
      </c>
    </row>
    <row r="2893" spans="1:15">
      <c r="A2893" s="191">
        <v>44531</v>
      </c>
      <c r="B2893" s="181" t="s">
        <v>13</v>
      </c>
      <c r="C2893" s="181" t="s">
        <v>769</v>
      </c>
      <c r="D2893" s="181" t="str">
        <f t="shared" si="48"/>
        <v>39400</v>
      </c>
      <c r="E2893" s="181" t="s">
        <v>15</v>
      </c>
      <c r="F2893" s="181" t="s">
        <v>14</v>
      </c>
      <c r="G2893" s="181" t="s">
        <v>793</v>
      </c>
      <c r="H2893" s="8">
        <v>281245.40000000002</v>
      </c>
      <c r="I2893" s="8">
        <v>0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281245.40000000002</v>
      </c>
    </row>
    <row r="2894" spans="1:15">
      <c r="A2894" s="191">
        <v>44562</v>
      </c>
      <c r="B2894" s="181" t="s">
        <v>133</v>
      </c>
      <c r="C2894" s="181" t="s">
        <v>768</v>
      </c>
      <c r="D2894" s="181" t="str">
        <f t="shared" si="48"/>
        <v>39400</v>
      </c>
      <c r="E2894" s="181" t="s">
        <v>15</v>
      </c>
      <c r="F2894" s="181" t="s">
        <v>14</v>
      </c>
      <c r="G2894" s="181" t="s">
        <v>647</v>
      </c>
      <c r="H2894" s="8">
        <v>0.01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0.01</v>
      </c>
    </row>
    <row r="2895" spans="1:15">
      <c r="A2895" s="191">
        <v>44562</v>
      </c>
      <c r="B2895" s="181" t="s">
        <v>133</v>
      </c>
      <c r="C2895" s="181" t="s">
        <v>769</v>
      </c>
      <c r="D2895" s="181" t="str">
        <f t="shared" si="48"/>
        <v>39400</v>
      </c>
      <c r="E2895" s="181" t="s">
        <v>15</v>
      </c>
      <c r="F2895" s="181" t="s">
        <v>14</v>
      </c>
      <c r="G2895" s="181" t="s">
        <v>647</v>
      </c>
      <c r="H2895" s="8">
        <v>93931.89</v>
      </c>
      <c r="I2895" s="8">
        <v>5342.96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99274.85</v>
      </c>
    </row>
    <row r="2896" spans="1:15">
      <c r="A2896" s="191">
        <v>44562</v>
      </c>
      <c r="B2896" s="181" t="s">
        <v>133</v>
      </c>
      <c r="C2896" s="181" t="s">
        <v>768</v>
      </c>
      <c r="D2896" s="181" t="str">
        <f t="shared" si="48"/>
        <v>39400</v>
      </c>
      <c r="E2896" s="181" t="s">
        <v>15</v>
      </c>
      <c r="F2896" s="181" t="s">
        <v>14</v>
      </c>
      <c r="G2896" s="181" t="s">
        <v>793</v>
      </c>
      <c r="H2896" s="8">
        <v>-0.03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-0.03</v>
      </c>
    </row>
    <row r="2897" spans="1:15">
      <c r="A2897" s="191">
        <v>44562</v>
      </c>
      <c r="B2897" s="181" t="s">
        <v>133</v>
      </c>
      <c r="C2897" s="181" t="s">
        <v>769</v>
      </c>
      <c r="D2897" s="181" t="str">
        <f t="shared" si="48"/>
        <v>39400</v>
      </c>
      <c r="E2897" s="181" t="s">
        <v>15</v>
      </c>
      <c r="F2897" s="181" t="s">
        <v>14</v>
      </c>
      <c r="G2897" s="181" t="s">
        <v>793</v>
      </c>
      <c r="H2897" s="8">
        <v>281245.40000000002</v>
      </c>
      <c r="I2897" s="8">
        <v>0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281245.40000000002</v>
      </c>
    </row>
    <row r="2898" spans="1:15">
      <c r="A2898" s="191">
        <v>44593</v>
      </c>
      <c r="B2898" s="181" t="s">
        <v>132</v>
      </c>
      <c r="C2898" s="181" t="s">
        <v>768</v>
      </c>
      <c r="D2898" s="181" t="str">
        <f t="shared" si="48"/>
        <v>39400</v>
      </c>
      <c r="E2898" s="181" t="s">
        <v>15</v>
      </c>
      <c r="F2898" s="181" t="s">
        <v>14</v>
      </c>
      <c r="G2898" s="181" t="s">
        <v>647</v>
      </c>
      <c r="H2898" s="8">
        <v>0.01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0.01</v>
      </c>
    </row>
    <row r="2899" spans="1:15">
      <c r="A2899" s="191">
        <v>44593</v>
      </c>
      <c r="B2899" s="181" t="s">
        <v>132</v>
      </c>
      <c r="C2899" s="181" t="s">
        <v>769</v>
      </c>
      <c r="D2899" s="181" t="str">
        <f t="shared" si="48"/>
        <v>39400</v>
      </c>
      <c r="E2899" s="181" t="s">
        <v>15</v>
      </c>
      <c r="F2899" s="181" t="s">
        <v>14</v>
      </c>
      <c r="G2899" s="181" t="s">
        <v>647</v>
      </c>
      <c r="H2899" s="8">
        <v>99274.85</v>
      </c>
      <c r="I2899" s="8">
        <v>5386.6</v>
      </c>
      <c r="J2899" s="8">
        <v>-42624.68</v>
      </c>
      <c r="K2899" s="8">
        <v>0</v>
      </c>
      <c r="L2899" s="8">
        <v>0</v>
      </c>
      <c r="M2899" s="8">
        <v>0</v>
      </c>
      <c r="N2899" s="8">
        <v>0</v>
      </c>
      <c r="O2899" s="8">
        <v>62036.770000000004</v>
      </c>
    </row>
    <row r="2900" spans="1:15">
      <c r="A2900" s="191">
        <v>44593</v>
      </c>
      <c r="B2900" s="181" t="s">
        <v>132</v>
      </c>
      <c r="C2900" s="181" t="s">
        <v>768</v>
      </c>
      <c r="D2900" s="181" t="str">
        <f t="shared" si="48"/>
        <v>39400</v>
      </c>
      <c r="E2900" s="181" t="s">
        <v>15</v>
      </c>
      <c r="F2900" s="181" t="s">
        <v>14</v>
      </c>
      <c r="G2900" s="181" t="s">
        <v>793</v>
      </c>
      <c r="H2900" s="8">
        <v>-0.03</v>
      </c>
      <c r="I2900" s="8">
        <v>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-0.03</v>
      </c>
    </row>
    <row r="2901" spans="1:15">
      <c r="A2901" s="191">
        <v>44593</v>
      </c>
      <c r="B2901" s="181" t="s">
        <v>132</v>
      </c>
      <c r="C2901" s="181" t="s">
        <v>769</v>
      </c>
      <c r="D2901" s="181" t="str">
        <f t="shared" si="48"/>
        <v>39400</v>
      </c>
      <c r="E2901" s="181" t="s">
        <v>15</v>
      </c>
      <c r="F2901" s="181" t="s">
        <v>14</v>
      </c>
      <c r="G2901" s="181" t="s">
        <v>793</v>
      </c>
      <c r="H2901" s="8">
        <v>281245.40000000002</v>
      </c>
      <c r="I2901" s="8">
        <v>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281245.40000000002</v>
      </c>
    </row>
    <row r="2902" spans="1:15">
      <c r="A2902" s="191">
        <v>44621</v>
      </c>
      <c r="B2902" s="181" t="s">
        <v>131</v>
      </c>
      <c r="C2902" s="181" t="s">
        <v>768</v>
      </c>
      <c r="D2902" s="181" t="str">
        <f t="shared" si="48"/>
        <v>39400</v>
      </c>
      <c r="E2902" s="181" t="s">
        <v>15</v>
      </c>
      <c r="F2902" s="181" t="s">
        <v>14</v>
      </c>
      <c r="G2902" s="181" t="s">
        <v>647</v>
      </c>
      <c r="H2902" s="8">
        <v>0.01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0.01</v>
      </c>
    </row>
    <row r="2903" spans="1:15">
      <c r="A2903" s="191">
        <v>44621</v>
      </c>
      <c r="B2903" s="181" t="s">
        <v>131</v>
      </c>
      <c r="C2903" s="181" t="s">
        <v>769</v>
      </c>
      <c r="D2903" s="181" t="str">
        <f t="shared" si="48"/>
        <v>39400</v>
      </c>
      <c r="E2903" s="181" t="s">
        <v>15</v>
      </c>
      <c r="F2903" s="181" t="s">
        <v>14</v>
      </c>
      <c r="G2903" s="181" t="s">
        <v>647</v>
      </c>
      <c r="H2903" s="8">
        <v>62036.770000000004</v>
      </c>
      <c r="I2903" s="8">
        <v>5298.55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67335.320000000007</v>
      </c>
    </row>
    <row r="2904" spans="1:15">
      <c r="A2904" s="191">
        <v>44621</v>
      </c>
      <c r="B2904" s="181" t="s">
        <v>131</v>
      </c>
      <c r="C2904" s="181" t="s">
        <v>768</v>
      </c>
      <c r="D2904" s="181" t="str">
        <f t="shared" si="48"/>
        <v>39400</v>
      </c>
      <c r="E2904" s="181" t="s">
        <v>15</v>
      </c>
      <c r="F2904" s="181" t="s">
        <v>14</v>
      </c>
      <c r="G2904" s="181" t="s">
        <v>793</v>
      </c>
      <c r="H2904" s="8">
        <v>-0.03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-0.03</v>
      </c>
    </row>
    <row r="2905" spans="1:15">
      <c r="A2905" s="191">
        <v>44621</v>
      </c>
      <c r="B2905" s="181" t="s">
        <v>131</v>
      </c>
      <c r="C2905" s="181" t="s">
        <v>769</v>
      </c>
      <c r="D2905" s="181" t="str">
        <f t="shared" si="48"/>
        <v>39400</v>
      </c>
      <c r="E2905" s="181" t="s">
        <v>15</v>
      </c>
      <c r="F2905" s="181" t="s">
        <v>14</v>
      </c>
      <c r="G2905" s="181" t="s">
        <v>793</v>
      </c>
      <c r="H2905" s="8">
        <v>281245.40000000002</v>
      </c>
      <c r="I2905" s="8">
        <v>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281245.40000000002</v>
      </c>
    </row>
    <row r="2906" spans="1:15">
      <c r="A2906" s="191">
        <v>44652</v>
      </c>
      <c r="B2906" s="181" t="s">
        <v>130</v>
      </c>
      <c r="C2906" s="181" t="s">
        <v>768</v>
      </c>
      <c r="D2906" s="181" t="str">
        <f t="shared" si="48"/>
        <v>39400</v>
      </c>
      <c r="E2906" s="181" t="s">
        <v>15</v>
      </c>
      <c r="F2906" s="181" t="s">
        <v>14</v>
      </c>
      <c r="G2906" s="181" t="s">
        <v>647</v>
      </c>
      <c r="H2906" s="8">
        <v>0.01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0.01</v>
      </c>
    </row>
    <row r="2907" spans="1:15">
      <c r="A2907" s="191">
        <v>44652</v>
      </c>
      <c r="B2907" s="181" t="s">
        <v>130</v>
      </c>
      <c r="C2907" s="181" t="s">
        <v>769</v>
      </c>
      <c r="D2907" s="181" t="str">
        <f t="shared" si="48"/>
        <v>39400</v>
      </c>
      <c r="E2907" s="181" t="s">
        <v>15</v>
      </c>
      <c r="F2907" s="181" t="s">
        <v>14</v>
      </c>
      <c r="G2907" s="181" t="s">
        <v>647</v>
      </c>
      <c r="H2907" s="8">
        <v>67335.320000000007</v>
      </c>
      <c r="I2907" s="8">
        <v>5277.36</v>
      </c>
      <c r="J2907" s="8">
        <v>-2457.59</v>
      </c>
      <c r="K2907" s="8">
        <v>0</v>
      </c>
      <c r="L2907" s="8">
        <v>0</v>
      </c>
      <c r="M2907" s="8">
        <v>0</v>
      </c>
      <c r="N2907" s="8">
        <v>0</v>
      </c>
      <c r="O2907" s="8">
        <v>70155.09</v>
      </c>
    </row>
    <row r="2908" spans="1:15">
      <c r="A2908" s="191">
        <v>44652</v>
      </c>
      <c r="B2908" s="181" t="s">
        <v>130</v>
      </c>
      <c r="C2908" s="181" t="s">
        <v>768</v>
      </c>
      <c r="D2908" s="181" t="str">
        <f t="shared" si="48"/>
        <v>39400</v>
      </c>
      <c r="E2908" s="181" t="s">
        <v>15</v>
      </c>
      <c r="F2908" s="181" t="s">
        <v>14</v>
      </c>
      <c r="G2908" s="181" t="s">
        <v>793</v>
      </c>
      <c r="H2908" s="8">
        <v>-0.03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-0.03</v>
      </c>
    </row>
    <row r="2909" spans="1:15">
      <c r="A2909" s="191">
        <v>44652</v>
      </c>
      <c r="B2909" s="181" t="s">
        <v>130</v>
      </c>
      <c r="C2909" s="181" t="s">
        <v>769</v>
      </c>
      <c r="D2909" s="181" t="str">
        <f t="shared" si="48"/>
        <v>39400</v>
      </c>
      <c r="E2909" s="181" t="s">
        <v>15</v>
      </c>
      <c r="F2909" s="181" t="s">
        <v>14</v>
      </c>
      <c r="G2909" s="181" t="s">
        <v>793</v>
      </c>
      <c r="H2909" s="8">
        <v>281245.40000000002</v>
      </c>
      <c r="I2909" s="8">
        <v>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281245.40000000002</v>
      </c>
    </row>
    <row r="2910" spans="1:15">
      <c r="A2910" s="191">
        <v>44682</v>
      </c>
      <c r="B2910" s="181" t="s">
        <v>129</v>
      </c>
      <c r="C2910" s="181" t="s">
        <v>768</v>
      </c>
      <c r="D2910" s="181" t="str">
        <f t="shared" si="48"/>
        <v>39400</v>
      </c>
      <c r="E2910" s="181" t="s">
        <v>15</v>
      </c>
      <c r="F2910" s="181" t="s">
        <v>14</v>
      </c>
      <c r="G2910" s="181" t="s">
        <v>647</v>
      </c>
      <c r="H2910" s="8">
        <v>0.01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0.01</v>
      </c>
    </row>
    <row r="2911" spans="1:15">
      <c r="A2911" s="191">
        <v>44682</v>
      </c>
      <c r="B2911" s="181" t="s">
        <v>129</v>
      </c>
      <c r="C2911" s="181" t="s">
        <v>769</v>
      </c>
      <c r="D2911" s="181" t="str">
        <f t="shared" si="48"/>
        <v>39400</v>
      </c>
      <c r="E2911" s="181" t="s">
        <v>15</v>
      </c>
      <c r="F2911" s="181" t="s">
        <v>14</v>
      </c>
      <c r="G2911" s="181" t="s">
        <v>647</v>
      </c>
      <c r="H2911" s="8">
        <v>70155.09</v>
      </c>
      <c r="I2911" s="8">
        <v>5324.1500000000005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75479.240000000005</v>
      </c>
    </row>
    <row r="2912" spans="1:15">
      <c r="A2912" s="191">
        <v>44682</v>
      </c>
      <c r="B2912" s="181" t="s">
        <v>129</v>
      </c>
      <c r="C2912" s="181" t="s">
        <v>768</v>
      </c>
      <c r="D2912" s="181" t="str">
        <f t="shared" si="48"/>
        <v>39400</v>
      </c>
      <c r="E2912" s="181" t="s">
        <v>15</v>
      </c>
      <c r="F2912" s="181" t="s">
        <v>14</v>
      </c>
      <c r="G2912" s="181" t="s">
        <v>793</v>
      </c>
      <c r="H2912" s="8">
        <v>-0.03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-0.03</v>
      </c>
    </row>
    <row r="2913" spans="1:15">
      <c r="A2913" s="191">
        <v>44682</v>
      </c>
      <c r="B2913" s="181" t="s">
        <v>129</v>
      </c>
      <c r="C2913" s="181" t="s">
        <v>769</v>
      </c>
      <c r="D2913" s="181" t="str">
        <f t="shared" si="48"/>
        <v>39400</v>
      </c>
      <c r="E2913" s="181" t="s">
        <v>15</v>
      </c>
      <c r="F2913" s="181" t="s">
        <v>14</v>
      </c>
      <c r="G2913" s="181" t="s">
        <v>793</v>
      </c>
      <c r="H2913" s="8">
        <v>281245.40000000002</v>
      </c>
      <c r="I2913" s="8">
        <v>0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281245.40000000002</v>
      </c>
    </row>
    <row r="2914" spans="1:15">
      <c r="A2914" s="191">
        <v>44713</v>
      </c>
      <c r="B2914" s="181" t="s">
        <v>128</v>
      </c>
      <c r="C2914" s="181" t="s">
        <v>768</v>
      </c>
      <c r="D2914" s="181" t="str">
        <f t="shared" si="48"/>
        <v>39400</v>
      </c>
      <c r="E2914" s="181" t="s">
        <v>15</v>
      </c>
      <c r="F2914" s="181" t="s">
        <v>14</v>
      </c>
      <c r="G2914" s="181" t="s">
        <v>647</v>
      </c>
      <c r="H2914" s="8">
        <v>0.01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0.01</v>
      </c>
    </row>
    <row r="2915" spans="1:15">
      <c r="A2915" s="191">
        <v>44713</v>
      </c>
      <c r="B2915" s="181" t="s">
        <v>128</v>
      </c>
      <c r="C2915" s="181" t="s">
        <v>769</v>
      </c>
      <c r="D2915" s="181" t="str">
        <f t="shared" si="48"/>
        <v>39400</v>
      </c>
      <c r="E2915" s="181" t="s">
        <v>15</v>
      </c>
      <c r="F2915" s="181" t="s">
        <v>14</v>
      </c>
      <c r="G2915" s="181" t="s">
        <v>647</v>
      </c>
      <c r="H2915" s="8">
        <v>75479.240000000005</v>
      </c>
      <c r="I2915" s="8">
        <v>5436.49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80915.73</v>
      </c>
    </row>
    <row r="2916" spans="1:15">
      <c r="A2916" s="191">
        <v>44713</v>
      </c>
      <c r="B2916" s="181" t="s">
        <v>128</v>
      </c>
      <c r="C2916" s="181" t="s">
        <v>768</v>
      </c>
      <c r="D2916" s="181" t="str">
        <f t="shared" si="48"/>
        <v>39400</v>
      </c>
      <c r="E2916" s="181" t="s">
        <v>15</v>
      </c>
      <c r="F2916" s="181" t="s">
        <v>14</v>
      </c>
      <c r="G2916" s="181" t="s">
        <v>793</v>
      </c>
      <c r="H2916" s="8">
        <v>-0.03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-0.03</v>
      </c>
    </row>
    <row r="2917" spans="1:15">
      <c r="A2917" s="191">
        <v>44713</v>
      </c>
      <c r="B2917" s="181" t="s">
        <v>128</v>
      </c>
      <c r="C2917" s="181" t="s">
        <v>769</v>
      </c>
      <c r="D2917" s="181" t="str">
        <f t="shared" si="48"/>
        <v>39400</v>
      </c>
      <c r="E2917" s="181" t="s">
        <v>15</v>
      </c>
      <c r="F2917" s="181" t="s">
        <v>14</v>
      </c>
      <c r="G2917" s="181" t="s">
        <v>793</v>
      </c>
      <c r="H2917" s="8">
        <v>281245.40000000002</v>
      </c>
      <c r="I2917" s="8">
        <v>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281245.40000000002</v>
      </c>
    </row>
    <row r="2918" spans="1:15">
      <c r="A2918" s="191">
        <v>44743</v>
      </c>
      <c r="B2918" s="181" t="s">
        <v>127</v>
      </c>
      <c r="C2918" s="181" t="s">
        <v>768</v>
      </c>
      <c r="D2918" s="181" t="str">
        <f t="shared" si="48"/>
        <v>39400</v>
      </c>
      <c r="E2918" s="181" t="s">
        <v>15</v>
      </c>
      <c r="F2918" s="181" t="s">
        <v>14</v>
      </c>
      <c r="G2918" s="181" t="s">
        <v>647</v>
      </c>
      <c r="H2918" s="8">
        <v>0.01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0.01</v>
      </c>
    </row>
    <row r="2919" spans="1:15">
      <c r="A2919" s="191">
        <v>44743</v>
      </c>
      <c r="B2919" s="181" t="s">
        <v>127</v>
      </c>
      <c r="C2919" s="181" t="s">
        <v>769</v>
      </c>
      <c r="D2919" s="181" t="str">
        <f t="shared" si="48"/>
        <v>39400</v>
      </c>
      <c r="E2919" s="181" t="s">
        <v>15</v>
      </c>
      <c r="F2919" s="181" t="s">
        <v>14</v>
      </c>
      <c r="G2919" s="181" t="s">
        <v>647</v>
      </c>
      <c r="H2919" s="8">
        <v>80915.73</v>
      </c>
      <c r="I2919" s="8">
        <v>5516.2</v>
      </c>
      <c r="J2919" s="8">
        <v>-55798.03</v>
      </c>
      <c r="K2919" s="8">
        <v>0</v>
      </c>
      <c r="L2919" s="8">
        <v>0</v>
      </c>
      <c r="M2919" s="8">
        <v>0</v>
      </c>
      <c r="N2919" s="8">
        <v>0</v>
      </c>
      <c r="O2919" s="8">
        <v>30633.9</v>
      </c>
    </row>
    <row r="2920" spans="1:15">
      <c r="A2920" s="191">
        <v>44743</v>
      </c>
      <c r="B2920" s="181" t="s">
        <v>127</v>
      </c>
      <c r="C2920" s="181" t="s">
        <v>768</v>
      </c>
      <c r="D2920" s="181" t="str">
        <f t="shared" si="48"/>
        <v>39400</v>
      </c>
      <c r="E2920" s="181" t="s">
        <v>15</v>
      </c>
      <c r="F2920" s="181" t="s">
        <v>14</v>
      </c>
      <c r="G2920" s="181" t="s">
        <v>793</v>
      </c>
      <c r="H2920" s="8">
        <v>-0.03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-0.03</v>
      </c>
    </row>
    <row r="2921" spans="1:15">
      <c r="A2921" s="191">
        <v>44743</v>
      </c>
      <c r="B2921" s="181" t="s">
        <v>127</v>
      </c>
      <c r="C2921" s="181" t="s">
        <v>769</v>
      </c>
      <c r="D2921" s="181" t="str">
        <f t="shared" si="48"/>
        <v>39400</v>
      </c>
      <c r="E2921" s="181" t="s">
        <v>15</v>
      </c>
      <c r="F2921" s="181" t="s">
        <v>14</v>
      </c>
      <c r="G2921" s="181" t="s">
        <v>793</v>
      </c>
      <c r="H2921" s="8">
        <v>281245.40000000002</v>
      </c>
      <c r="I2921" s="8">
        <v>0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281245.40000000002</v>
      </c>
    </row>
    <row r="2922" spans="1:15">
      <c r="A2922" s="191">
        <v>44774</v>
      </c>
      <c r="B2922" s="181" t="s">
        <v>126</v>
      </c>
      <c r="C2922" s="181" t="s">
        <v>768</v>
      </c>
      <c r="D2922" s="181" t="str">
        <f t="shared" si="48"/>
        <v>39400</v>
      </c>
      <c r="E2922" s="181" t="s">
        <v>15</v>
      </c>
      <c r="F2922" s="181" t="s">
        <v>14</v>
      </c>
      <c r="G2922" s="181" t="s">
        <v>647</v>
      </c>
      <c r="H2922" s="8">
        <v>0.01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0.01</v>
      </c>
    </row>
    <row r="2923" spans="1:15">
      <c r="A2923" s="191">
        <v>44774</v>
      </c>
      <c r="B2923" s="181" t="s">
        <v>126</v>
      </c>
      <c r="C2923" s="181" t="s">
        <v>769</v>
      </c>
      <c r="D2923" s="181" t="str">
        <f t="shared" si="48"/>
        <v>39400</v>
      </c>
      <c r="E2923" s="181" t="s">
        <v>15</v>
      </c>
      <c r="F2923" s="181" t="s">
        <v>14</v>
      </c>
      <c r="G2923" s="181" t="s">
        <v>647</v>
      </c>
      <c r="H2923" s="8">
        <v>30633.9</v>
      </c>
      <c r="I2923" s="8">
        <v>5516.96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36150.86</v>
      </c>
    </row>
    <row r="2924" spans="1:15">
      <c r="A2924" s="191">
        <v>44774</v>
      </c>
      <c r="B2924" s="181" t="s">
        <v>126</v>
      </c>
      <c r="C2924" s="181" t="s">
        <v>768</v>
      </c>
      <c r="D2924" s="181" t="str">
        <f t="shared" si="48"/>
        <v>39400</v>
      </c>
      <c r="E2924" s="181" t="s">
        <v>15</v>
      </c>
      <c r="F2924" s="181" t="s">
        <v>14</v>
      </c>
      <c r="G2924" s="181" t="s">
        <v>793</v>
      </c>
      <c r="H2924" s="8">
        <v>-0.03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-0.03</v>
      </c>
    </row>
    <row r="2925" spans="1:15">
      <c r="A2925" s="191">
        <v>44774</v>
      </c>
      <c r="B2925" s="181" t="s">
        <v>126</v>
      </c>
      <c r="C2925" s="181" t="s">
        <v>769</v>
      </c>
      <c r="D2925" s="181" t="str">
        <f t="shared" si="48"/>
        <v>39400</v>
      </c>
      <c r="E2925" s="181" t="s">
        <v>15</v>
      </c>
      <c r="F2925" s="181" t="s">
        <v>14</v>
      </c>
      <c r="G2925" s="181" t="s">
        <v>793</v>
      </c>
      <c r="H2925" s="8">
        <v>281245.40000000002</v>
      </c>
      <c r="I2925" s="8">
        <v>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281245.40000000002</v>
      </c>
    </row>
    <row r="2926" spans="1:15">
      <c r="A2926" s="191">
        <v>44805</v>
      </c>
      <c r="B2926" s="181" t="s">
        <v>125</v>
      </c>
      <c r="C2926" s="181" t="s">
        <v>768</v>
      </c>
      <c r="D2926" s="181" t="str">
        <f t="shared" si="48"/>
        <v>39400</v>
      </c>
      <c r="E2926" s="181" t="s">
        <v>15</v>
      </c>
      <c r="F2926" s="181" t="s">
        <v>14</v>
      </c>
      <c r="G2926" s="181" t="s">
        <v>647</v>
      </c>
      <c r="H2926" s="8">
        <v>0.01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0.01</v>
      </c>
    </row>
    <row r="2927" spans="1:15">
      <c r="A2927" s="191">
        <v>44805</v>
      </c>
      <c r="B2927" s="181" t="s">
        <v>125</v>
      </c>
      <c r="C2927" s="181" t="s">
        <v>769</v>
      </c>
      <c r="D2927" s="181" t="str">
        <f t="shared" si="48"/>
        <v>39400</v>
      </c>
      <c r="E2927" s="181" t="s">
        <v>15</v>
      </c>
      <c r="F2927" s="181" t="s">
        <v>14</v>
      </c>
      <c r="G2927" s="181" t="s">
        <v>647</v>
      </c>
      <c r="H2927" s="8">
        <v>36150.86</v>
      </c>
      <c r="I2927" s="8">
        <v>5527.04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41677.9</v>
      </c>
    </row>
    <row r="2928" spans="1:15">
      <c r="A2928" s="191">
        <v>44805</v>
      </c>
      <c r="B2928" s="181" t="s">
        <v>125</v>
      </c>
      <c r="C2928" s="181" t="s">
        <v>768</v>
      </c>
      <c r="D2928" s="181" t="str">
        <f t="shared" si="48"/>
        <v>39400</v>
      </c>
      <c r="E2928" s="181" t="s">
        <v>15</v>
      </c>
      <c r="F2928" s="181" t="s">
        <v>14</v>
      </c>
      <c r="G2928" s="181" t="s">
        <v>793</v>
      </c>
      <c r="H2928" s="8">
        <v>-0.03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-0.03</v>
      </c>
    </row>
    <row r="2929" spans="1:15">
      <c r="A2929" s="191">
        <v>44805</v>
      </c>
      <c r="B2929" s="181" t="s">
        <v>125</v>
      </c>
      <c r="C2929" s="181" t="s">
        <v>769</v>
      </c>
      <c r="D2929" s="181" t="str">
        <f t="shared" si="48"/>
        <v>39400</v>
      </c>
      <c r="E2929" s="181" t="s">
        <v>15</v>
      </c>
      <c r="F2929" s="181" t="s">
        <v>14</v>
      </c>
      <c r="G2929" s="181" t="s">
        <v>793</v>
      </c>
      <c r="H2929" s="8">
        <v>281245.40000000002</v>
      </c>
      <c r="I2929" s="8">
        <v>0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281245.40000000002</v>
      </c>
    </row>
    <row r="2930" spans="1:15">
      <c r="A2930" s="191">
        <v>44835</v>
      </c>
      <c r="B2930" s="181" t="s">
        <v>124</v>
      </c>
      <c r="C2930" s="181" t="s">
        <v>768</v>
      </c>
      <c r="D2930" s="181" t="str">
        <f t="shared" si="48"/>
        <v>39400</v>
      </c>
      <c r="E2930" s="181" t="s">
        <v>15</v>
      </c>
      <c r="F2930" s="181" t="s">
        <v>14</v>
      </c>
      <c r="G2930" s="181" t="s">
        <v>647</v>
      </c>
      <c r="H2930" s="8">
        <v>0.01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0.01</v>
      </c>
    </row>
    <row r="2931" spans="1:15">
      <c r="A2931" s="191">
        <v>44835</v>
      </c>
      <c r="B2931" s="181" t="s">
        <v>124</v>
      </c>
      <c r="C2931" s="181" t="s">
        <v>769</v>
      </c>
      <c r="D2931" s="181" t="str">
        <f t="shared" si="48"/>
        <v>39400</v>
      </c>
      <c r="E2931" s="181" t="s">
        <v>15</v>
      </c>
      <c r="F2931" s="181" t="s">
        <v>14</v>
      </c>
      <c r="G2931" s="181" t="s">
        <v>647</v>
      </c>
      <c r="H2931" s="8">
        <v>41677.9</v>
      </c>
      <c r="I2931" s="8">
        <v>5540.88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47218.78</v>
      </c>
    </row>
    <row r="2932" spans="1:15">
      <c r="A2932" s="191">
        <v>44835</v>
      </c>
      <c r="B2932" s="181" t="s">
        <v>124</v>
      </c>
      <c r="C2932" s="181" t="s">
        <v>768</v>
      </c>
      <c r="D2932" s="181" t="str">
        <f t="shared" si="48"/>
        <v>39400</v>
      </c>
      <c r="E2932" s="181" t="s">
        <v>15</v>
      </c>
      <c r="F2932" s="181" t="s">
        <v>14</v>
      </c>
      <c r="G2932" s="181" t="s">
        <v>793</v>
      </c>
      <c r="H2932" s="8">
        <v>-0.03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-0.03</v>
      </c>
    </row>
    <row r="2933" spans="1:15">
      <c r="A2933" s="191">
        <v>44835</v>
      </c>
      <c r="B2933" s="181" t="s">
        <v>124</v>
      </c>
      <c r="C2933" s="181" t="s">
        <v>769</v>
      </c>
      <c r="D2933" s="181" t="str">
        <f t="shared" si="48"/>
        <v>39400</v>
      </c>
      <c r="E2933" s="181" t="s">
        <v>15</v>
      </c>
      <c r="F2933" s="181" t="s">
        <v>14</v>
      </c>
      <c r="G2933" s="181" t="s">
        <v>793</v>
      </c>
      <c r="H2933" s="8">
        <v>281245.40000000002</v>
      </c>
      <c r="I2933" s="8">
        <v>0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281245.40000000002</v>
      </c>
    </row>
    <row r="2934" spans="1:15">
      <c r="A2934" s="191">
        <v>44866</v>
      </c>
      <c r="B2934" s="181" t="s">
        <v>123</v>
      </c>
      <c r="C2934" s="181" t="s">
        <v>768</v>
      </c>
      <c r="D2934" s="181" t="str">
        <f t="shared" si="48"/>
        <v>39400</v>
      </c>
      <c r="E2934" s="181" t="s">
        <v>15</v>
      </c>
      <c r="F2934" s="181" t="s">
        <v>14</v>
      </c>
      <c r="G2934" s="181" t="s">
        <v>647</v>
      </c>
      <c r="H2934" s="8">
        <v>0.01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0.01</v>
      </c>
    </row>
    <row r="2935" spans="1:15">
      <c r="A2935" s="191">
        <v>44866</v>
      </c>
      <c r="B2935" s="181" t="s">
        <v>123</v>
      </c>
      <c r="C2935" s="181" t="s">
        <v>769</v>
      </c>
      <c r="D2935" s="181" t="str">
        <f t="shared" si="48"/>
        <v>39400</v>
      </c>
      <c r="E2935" s="181" t="s">
        <v>15</v>
      </c>
      <c r="F2935" s="181" t="s">
        <v>14</v>
      </c>
      <c r="G2935" s="181" t="s">
        <v>647</v>
      </c>
      <c r="H2935" s="8">
        <v>47218.78</v>
      </c>
      <c r="I2935" s="8">
        <v>5610.86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52829.64</v>
      </c>
    </row>
    <row r="2936" spans="1:15">
      <c r="A2936" s="191">
        <v>44866</v>
      </c>
      <c r="B2936" s="181" t="s">
        <v>123</v>
      </c>
      <c r="C2936" s="181" t="s">
        <v>768</v>
      </c>
      <c r="D2936" s="181" t="str">
        <f t="shared" si="48"/>
        <v>39400</v>
      </c>
      <c r="E2936" s="181" t="s">
        <v>15</v>
      </c>
      <c r="F2936" s="181" t="s">
        <v>14</v>
      </c>
      <c r="G2936" s="181" t="s">
        <v>793</v>
      </c>
      <c r="H2936" s="8">
        <v>-0.03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-0.03</v>
      </c>
    </row>
    <row r="2937" spans="1:15">
      <c r="A2937" s="191">
        <v>44866</v>
      </c>
      <c r="B2937" s="181" t="s">
        <v>123</v>
      </c>
      <c r="C2937" s="181" t="s">
        <v>769</v>
      </c>
      <c r="D2937" s="181" t="str">
        <f t="shared" si="48"/>
        <v>39400</v>
      </c>
      <c r="E2937" s="181" t="s">
        <v>15</v>
      </c>
      <c r="F2937" s="181" t="s">
        <v>14</v>
      </c>
      <c r="G2937" s="181" t="s">
        <v>793</v>
      </c>
      <c r="H2937" s="8">
        <v>281245.40000000002</v>
      </c>
      <c r="I2937" s="8">
        <v>0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281245.40000000002</v>
      </c>
    </row>
    <row r="2938" spans="1:15">
      <c r="A2938" s="191">
        <v>44896</v>
      </c>
      <c r="B2938" s="181" t="s">
        <v>122</v>
      </c>
      <c r="C2938" s="181" t="s">
        <v>768</v>
      </c>
      <c r="D2938" s="181" t="str">
        <f t="shared" si="48"/>
        <v>39400</v>
      </c>
      <c r="E2938" s="181" t="s">
        <v>15</v>
      </c>
      <c r="F2938" s="181" t="s">
        <v>14</v>
      </c>
      <c r="G2938" s="181" t="s">
        <v>647</v>
      </c>
      <c r="H2938" s="8">
        <v>0.01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0.01</v>
      </c>
    </row>
    <row r="2939" spans="1:15">
      <c r="A2939" s="191">
        <v>44896</v>
      </c>
      <c r="B2939" s="181" t="s">
        <v>122</v>
      </c>
      <c r="C2939" s="181" t="s">
        <v>769</v>
      </c>
      <c r="D2939" s="181" t="str">
        <f t="shared" si="48"/>
        <v>39400</v>
      </c>
      <c r="E2939" s="181" t="s">
        <v>15</v>
      </c>
      <c r="F2939" s="181" t="s">
        <v>14</v>
      </c>
      <c r="G2939" s="181" t="s">
        <v>647</v>
      </c>
      <c r="H2939" s="8">
        <v>52829.64</v>
      </c>
      <c r="I2939" s="8">
        <v>5715.78</v>
      </c>
      <c r="J2939" s="8">
        <v>-2020.16</v>
      </c>
      <c r="K2939" s="8">
        <v>0</v>
      </c>
      <c r="L2939" s="8">
        <v>0</v>
      </c>
      <c r="M2939" s="8">
        <v>0</v>
      </c>
      <c r="N2939" s="8">
        <v>0</v>
      </c>
      <c r="O2939" s="8">
        <v>56525.26</v>
      </c>
    </row>
    <row r="2940" spans="1:15">
      <c r="A2940" s="191">
        <v>44896</v>
      </c>
      <c r="B2940" s="181" t="s">
        <v>122</v>
      </c>
      <c r="C2940" s="181" t="s">
        <v>768</v>
      </c>
      <c r="D2940" s="181" t="str">
        <f t="shared" si="48"/>
        <v>39400</v>
      </c>
      <c r="E2940" s="181" t="s">
        <v>15</v>
      </c>
      <c r="F2940" s="181" t="s">
        <v>14</v>
      </c>
      <c r="G2940" s="181" t="s">
        <v>793</v>
      </c>
      <c r="H2940" s="8">
        <v>-0.03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-0.03</v>
      </c>
    </row>
    <row r="2941" spans="1:15">
      <c r="A2941" s="191">
        <v>44896</v>
      </c>
      <c r="B2941" s="181" t="s">
        <v>122</v>
      </c>
      <c r="C2941" s="181" t="s">
        <v>769</v>
      </c>
      <c r="D2941" s="181" t="str">
        <f t="shared" ref="D2941:D3004" si="49">MID(C2941,10,5)</f>
        <v>39400</v>
      </c>
      <c r="E2941" s="181" t="s">
        <v>15</v>
      </c>
      <c r="F2941" s="181" t="s">
        <v>14</v>
      </c>
      <c r="G2941" s="181" t="s">
        <v>793</v>
      </c>
      <c r="H2941" s="8">
        <v>281245.40000000002</v>
      </c>
      <c r="I2941" s="8">
        <v>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281245.40000000002</v>
      </c>
    </row>
    <row r="2942" spans="1:15">
      <c r="A2942" s="191">
        <v>44531</v>
      </c>
      <c r="B2942" s="181" t="s">
        <v>13</v>
      </c>
      <c r="C2942" s="181" t="s">
        <v>770</v>
      </c>
      <c r="D2942" s="181" t="str">
        <f t="shared" si="49"/>
        <v>39410</v>
      </c>
      <c r="E2942" s="181" t="s">
        <v>15</v>
      </c>
      <c r="F2942" s="181" t="s">
        <v>14</v>
      </c>
      <c r="G2942" s="181" t="s">
        <v>647</v>
      </c>
      <c r="H2942" s="8">
        <v>-9310.06</v>
      </c>
      <c r="I2942" s="8">
        <v>24.810000000000002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-9285.25</v>
      </c>
    </row>
    <row r="2943" spans="1:15">
      <c r="A2943" s="191">
        <v>44531</v>
      </c>
      <c r="B2943" s="181" t="s">
        <v>13</v>
      </c>
      <c r="C2943" s="181" t="s">
        <v>770</v>
      </c>
      <c r="D2943" s="181" t="str">
        <f t="shared" si="49"/>
        <v>39410</v>
      </c>
      <c r="E2943" s="181" t="s">
        <v>15</v>
      </c>
      <c r="F2943" s="181" t="s">
        <v>14</v>
      </c>
      <c r="G2943" s="181" t="s">
        <v>793</v>
      </c>
      <c r="H2943" s="8">
        <v>-7.24</v>
      </c>
      <c r="I2943" s="8">
        <v>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-7.24</v>
      </c>
    </row>
    <row r="2944" spans="1:15">
      <c r="A2944" s="191">
        <v>44562</v>
      </c>
      <c r="B2944" s="181" t="s">
        <v>133</v>
      </c>
      <c r="C2944" s="181" t="s">
        <v>770</v>
      </c>
      <c r="D2944" s="181" t="str">
        <f t="shared" si="49"/>
        <v>39410</v>
      </c>
      <c r="E2944" s="181" t="s">
        <v>15</v>
      </c>
      <c r="F2944" s="181" t="s">
        <v>14</v>
      </c>
      <c r="G2944" s="181" t="s">
        <v>647</v>
      </c>
      <c r="H2944" s="8">
        <v>-9285.25</v>
      </c>
      <c r="I2944" s="8">
        <v>24.810000000000002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-9260.44</v>
      </c>
    </row>
    <row r="2945" spans="1:15">
      <c r="A2945" s="191">
        <v>44562</v>
      </c>
      <c r="B2945" s="181" t="s">
        <v>133</v>
      </c>
      <c r="C2945" s="181" t="s">
        <v>770</v>
      </c>
      <c r="D2945" s="181" t="str">
        <f t="shared" si="49"/>
        <v>39410</v>
      </c>
      <c r="E2945" s="181" t="s">
        <v>15</v>
      </c>
      <c r="F2945" s="181" t="s">
        <v>14</v>
      </c>
      <c r="G2945" s="181" t="s">
        <v>793</v>
      </c>
      <c r="H2945" s="8">
        <v>-7.24</v>
      </c>
      <c r="I2945" s="8">
        <v>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-7.24</v>
      </c>
    </row>
    <row r="2946" spans="1:15">
      <c r="A2946" s="191">
        <v>44593</v>
      </c>
      <c r="B2946" s="181" t="s">
        <v>132</v>
      </c>
      <c r="C2946" s="181" t="s">
        <v>770</v>
      </c>
      <c r="D2946" s="181" t="str">
        <f t="shared" si="49"/>
        <v>39410</v>
      </c>
      <c r="E2946" s="181" t="s">
        <v>15</v>
      </c>
      <c r="F2946" s="181" t="s">
        <v>14</v>
      </c>
      <c r="G2946" s="181" t="s">
        <v>647</v>
      </c>
      <c r="H2946" s="8">
        <v>-9260.44</v>
      </c>
      <c r="I2946" s="8">
        <v>24.810000000000002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-9235.630000000001</v>
      </c>
    </row>
    <row r="2947" spans="1:15">
      <c r="A2947" s="191">
        <v>44593</v>
      </c>
      <c r="B2947" s="181" t="s">
        <v>132</v>
      </c>
      <c r="C2947" s="181" t="s">
        <v>770</v>
      </c>
      <c r="D2947" s="181" t="str">
        <f t="shared" si="49"/>
        <v>39410</v>
      </c>
      <c r="E2947" s="181" t="s">
        <v>15</v>
      </c>
      <c r="F2947" s="181" t="s">
        <v>14</v>
      </c>
      <c r="G2947" s="181" t="s">
        <v>793</v>
      </c>
      <c r="H2947" s="8">
        <v>-7.24</v>
      </c>
      <c r="I2947" s="8">
        <v>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-7.24</v>
      </c>
    </row>
    <row r="2948" spans="1:15">
      <c r="A2948" s="191">
        <v>44621</v>
      </c>
      <c r="B2948" s="181" t="s">
        <v>131</v>
      </c>
      <c r="C2948" s="181" t="s">
        <v>770</v>
      </c>
      <c r="D2948" s="181" t="str">
        <f t="shared" si="49"/>
        <v>39410</v>
      </c>
      <c r="E2948" s="181" t="s">
        <v>15</v>
      </c>
      <c r="F2948" s="181" t="s">
        <v>14</v>
      </c>
      <c r="G2948" s="181" t="s">
        <v>647</v>
      </c>
      <c r="H2948" s="8">
        <v>-9235.630000000001</v>
      </c>
      <c r="I2948" s="8">
        <v>24.810000000000002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-9210.82</v>
      </c>
    </row>
    <row r="2949" spans="1:15">
      <c r="A2949" s="191">
        <v>44621</v>
      </c>
      <c r="B2949" s="181" t="s">
        <v>131</v>
      </c>
      <c r="C2949" s="181" t="s">
        <v>770</v>
      </c>
      <c r="D2949" s="181" t="str">
        <f t="shared" si="49"/>
        <v>39410</v>
      </c>
      <c r="E2949" s="181" t="s">
        <v>15</v>
      </c>
      <c r="F2949" s="181" t="s">
        <v>14</v>
      </c>
      <c r="G2949" s="181" t="s">
        <v>793</v>
      </c>
      <c r="H2949" s="8">
        <v>-7.24</v>
      </c>
      <c r="I2949" s="8">
        <v>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-7.24</v>
      </c>
    </row>
    <row r="2950" spans="1:15">
      <c r="A2950" s="191">
        <v>44652</v>
      </c>
      <c r="B2950" s="181" t="s">
        <v>130</v>
      </c>
      <c r="C2950" s="181" t="s">
        <v>770</v>
      </c>
      <c r="D2950" s="181" t="str">
        <f t="shared" si="49"/>
        <v>39410</v>
      </c>
      <c r="E2950" s="181" t="s">
        <v>15</v>
      </c>
      <c r="F2950" s="181" t="s">
        <v>14</v>
      </c>
      <c r="G2950" s="181" t="s">
        <v>647</v>
      </c>
      <c r="H2950" s="8">
        <v>-9210.82</v>
      </c>
      <c r="I2950" s="8">
        <v>24.810000000000002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-9186.01</v>
      </c>
    </row>
    <row r="2951" spans="1:15">
      <c r="A2951" s="191">
        <v>44652</v>
      </c>
      <c r="B2951" s="181" t="s">
        <v>130</v>
      </c>
      <c r="C2951" s="181" t="s">
        <v>770</v>
      </c>
      <c r="D2951" s="181" t="str">
        <f t="shared" si="49"/>
        <v>39410</v>
      </c>
      <c r="E2951" s="181" t="s">
        <v>15</v>
      </c>
      <c r="F2951" s="181" t="s">
        <v>14</v>
      </c>
      <c r="G2951" s="181" t="s">
        <v>793</v>
      </c>
      <c r="H2951" s="8">
        <v>-7.24</v>
      </c>
      <c r="I2951" s="8">
        <v>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-7.24</v>
      </c>
    </row>
    <row r="2952" spans="1:15">
      <c r="A2952" s="191">
        <v>44682</v>
      </c>
      <c r="B2952" s="181" t="s">
        <v>129</v>
      </c>
      <c r="C2952" s="181" t="s">
        <v>770</v>
      </c>
      <c r="D2952" s="181" t="str">
        <f t="shared" si="49"/>
        <v>39410</v>
      </c>
      <c r="E2952" s="181" t="s">
        <v>15</v>
      </c>
      <c r="F2952" s="181" t="s">
        <v>14</v>
      </c>
      <c r="G2952" s="181" t="s">
        <v>647</v>
      </c>
      <c r="H2952" s="8">
        <v>-9186.01</v>
      </c>
      <c r="I2952" s="8">
        <v>24.810000000000002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-9161.2000000000007</v>
      </c>
    </row>
    <row r="2953" spans="1:15">
      <c r="A2953" s="191">
        <v>44682</v>
      </c>
      <c r="B2953" s="181" t="s">
        <v>129</v>
      </c>
      <c r="C2953" s="181" t="s">
        <v>770</v>
      </c>
      <c r="D2953" s="181" t="str">
        <f t="shared" si="49"/>
        <v>39410</v>
      </c>
      <c r="E2953" s="181" t="s">
        <v>15</v>
      </c>
      <c r="F2953" s="181" t="s">
        <v>14</v>
      </c>
      <c r="G2953" s="181" t="s">
        <v>793</v>
      </c>
      <c r="H2953" s="8">
        <v>-7.24</v>
      </c>
      <c r="I2953" s="8">
        <v>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-7.24</v>
      </c>
    </row>
    <row r="2954" spans="1:15">
      <c r="A2954" s="191">
        <v>44713</v>
      </c>
      <c r="B2954" s="181" t="s">
        <v>128</v>
      </c>
      <c r="C2954" s="181" t="s">
        <v>770</v>
      </c>
      <c r="D2954" s="181" t="str">
        <f t="shared" si="49"/>
        <v>39410</v>
      </c>
      <c r="E2954" s="181" t="s">
        <v>15</v>
      </c>
      <c r="F2954" s="181" t="s">
        <v>14</v>
      </c>
      <c r="G2954" s="181" t="s">
        <v>647</v>
      </c>
      <c r="H2954" s="8">
        <v>-9161.2000000000007</v>
      </c>
      <c r="I2954" s="8">
        <v>24.810000000000002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-9136.39</v>
      </c>
    </row>
    <row r="2955" spans="1:15">
      <c r="A2955" s="191">
        <v>44713</v>
      </c>
      <c r="B2955" s="181" t="s">
        <v>128</v>
      </c>
      <c r="C2955" s="181" t="s">
        <v>770</v>
      </c>
      <c r="D2955" s="181" t="str">
        <f t="shared" si="49"/>
        <v>39410</v>
      </c>
      <c r="E2955" s="181" t="s">
        <v>15</v>
      </c>
      <c r="F2955" s="181" t="s">
        <v>14</v>
      </c>
      <c r="G2955" s="181" t="s">
        <v>793</v>
      </c>
      <c r="H2955" s="8">
        <v>-7.24</v>
      </c>
      <c r="I2955" s="8">
        <v>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-7.24</v>
      </c>
    </row>
    <row r="2956" spans="1:15">
      <c r="A2956" s="191">
        <v>44743</v>
      </c>
      <c r="B2956" s="181" t="s">
        <v>127</v>
      </c>
      <c r="C2956" s="181" t="s">
        <v>770</v>
      </c>
      <c r="D2956" s="181" t="str">
        <f t="shared" si="49"/>
        <v>39410</v>
      </c>
      <c r="E2956" s="181" t="s">
        <v>15</v>
      </c>
      <c r="F2956" s="181" t="s">
        <v>14</v>
      </c>
      <c r="G2956" s="181" t="s">
        <v>647</v>
      </c>
      <c r="H2956" s="8">
        <v>-9136.39</v>
      </c>
      <c r="I2956" s="8">
        <v>24.810000000000002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-9111.58</v>
      </c>
    </row>
    <row r="2957" spans="1:15">
      <c r="A2957" s="191">
        <v>44743</v>
      </c>
      <c r="B2957" s="181" t="s">
        <v>127</v>
      </c>
      <c r="C2957" s="181" t="s">
        <v>770</v>
      </c>
      <c r="D2957" s="181" t="str">
        <f t="shared" si="49"/>
        <v>39410</v>
      </c>
      <c r="E2957" s="181" t="s">
        <v>15</v>
      </c>
      <c r="F2957" s="181" t="s">
        <v>14</v>
      </c>
      <c r="G2957" s="181" t="s">
        <v>793</v>
      </c>
      <c r="H2957" s="8">
        <v>-7.24</v>
      </c>
      <c r="I2957" s="8">
        <v>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-7.24</v>
      </c>
    </row>
    <row r="2958" spans="1:15">
      <c r="A2958" s="191">
        <v>44774</v>
      </c>
      <c r="B2958" s="181" t="s">
        <v>126</v>
      </c>
      <c r="C2958" s="181" t="s">
        <v>770</v>
      </c>
      <c r="D2958" s="181" t="str">
        <f t="shared" si="49"/>
        <v>39410</v>
      </c>
      <c r="E2958" s="181" t="s">
        <v>15</v>
      </c>
      <c r="F2958" s="181" t="s">
        <v>14</v>
      </c>
      <c r="G2958" s="181" t="s">
        <v>647</v>
      </c>
      <c r="H2958" s="8">
        <v>-9111.58</v>
      </c>
      <c r="I2958" s="8">
        <v>24.810000000000002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-9086.77</v>
      </c>
    </row>
    <row r="2959" spans="1:15">
      <c r="A2959" s="191">
        <v>44774</v>
      </c>
      <c r="B2959" s="181" t="s">
        <v>126</v>
      </c>
      <c r="C2959" s="181" t="s">
        <v>770</v>
      </c>
      <c r="D2959" s="181" t="str">
        <f t="shared" si="49"/>
        <v>39410</v>
      </c>
      <c r="E2959" s="181" t="s">
        <v>15</v>
      </c>
      <c r="F2959" s="181" t="s">
        <v>14</v>
      </c>
      <c r="G2959" s="181" t="s">
        <v>793</v>
      </c>
      <c r="H2959" s="8">
        <v>-7.24</v>
      </c>
      <c r="I2959" s="8">
        <v>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-7.24</v>
      </c>
    </row>
    <row r="2960" spans="1:15">
      <c r="A2960" s="191">
        <v>44805</v>
      </c>
      <c r="B2960" s="181" t="s">
        <v>125</v>
      </c>
      <c r="C2960" s="181" t="s">
        <v>770</v>
      </c>
      <c r="D2960" s="181" t="str">
        <f t="shared" si="49"/>
        <v>39410</v>
      </c>
      <c r="E2960" s="181" t="s">
        <v>15</v>
      </c>
      <c r="F2960" s="181" t="s">
        <v>14</v>
      </c>
      <c r="G2960" s="181" t="s">
        <v>647</v>
      </c>
      <c r="H2960" s="8">
        <v>-9086.77</v>
      </c>
      <c r="I2960" s="8">
        <v>24.810000000000002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-9061.9600000000009</v>
      </c>
    </row>
    <row r="2961" spans="1:15">
      <c r="A2961" s="191">
        <v>44805</v>
      </c>
      <c r="B2961" s="181" t="s">
        <v>125</v>
      </c>
      <c r="C2961" s="181" t="s">
        <v>770</v>
      </c>
      <c r="D2961" s="181" t="str">
        <f t="shared" si="49"/>
        <v>39410</v>
      </c>
      <c r="E2961" s="181" t="s">
        <v>15</v>
      </c>
      <c r="F2961" s="181" t="s">
        <v>14</v>
      </c>
      <c r="G2961" s="181" t="s">
        <v>793</v>
      </c>
      <c r="H2961" s="8">
        <v>-7.24</v>
      </c>
      <c r="I2961" s="8">
        <v>0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-7.24</v>
      </c>
    </row>
    <row r="2962" spans="1:15">
      <c r="A2962" s="191">
        <v>44835</v>
      </c>
      <c r="B2962" s="181" t="s">
        <v>124</v>
      </c>
      <c r="C2962" s="181" t="s">
        <v>770</v>
      </c>
      <c r="D2962" s="181" t="str">
        <f t="shared" si="49"/>
        <v>39410</v>
      </c>
      <c r="E2962" s="181" t="s">
        <v>15</v>
      </c>
      <c r="F2962" s="181" t="s">
        <v>14</v>
      </c>
      <c r="G2962" s="181" t="s">
        <v>647</v>
      </c>
      <c r="H2962" s="8">
        <v>-9061.9600000000009</v>
      </c>
      <c r="I2962" s="8">
        <v>24.810000000000002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-9037.15</v>
      </c>
    </row>
    <row r="2963" spans="1:15">
      <c r="A2963" s="191">
        <v>44835</v>
      </c>
      <c r="B2963" s="181" t="s">
        <v>124</v>
      </c>
      <c r="C2963" s="181" t="s">
        <v>770</v>
      </c>
      <c r="D2963" s="181" t="str">
        <f t="shared" si="49"/>
        <v>39410</v>
      </c>
      <c r="E2963" s="181" t="s">
        <v>15</v>
      </c>
      <c r="F2963" s="181" t="s">
        <v>14</v>
      </c>
      <c r="G2963" s="181" t="s">
        <v>793</v>
      </c>
      <c r="H2963" s="8">
        <v>-7.24</v>
      </c>
      <c r="I2963" s="8">
        <v>0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-7.24</v>
      </c>
    </row>
    <row r="2964" spans="1:15">
      <c r="A2964" s="191">
        <v>44866</v>
      </c>
      <c r="B2964" s="181" t="s">
        <v>123</v>
      </c>
      <c r="C2964" s="181" t="s">
        <v>770</v>
      </c>
      <c r="D2964" s="181" t="str">
        <f t="shared" si="49"/>
        <v>39410</v>
      </c>
      <c r="E2964" s="181" t="s">
        <v>15</v>
      </c>
      <c r="F2964" s="181" t="s">
        <v>14</v>
      </c>
      <c r="G2964" s="181" t="s">
        <v>647</v>
      </c>
      <c r="H2964" s="8">
        <v>-9037.15</v>
      </c>
      <c r="I2964" s="8">
        <v>24.810000000000002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-9012.34</v>
      </c>
    </row>
    <row r="2965" spans="1:15">
      <c r="A2965" s="191">
        <v>44866</v>
      </c>
      <c r="B2965" s="181" t="s">
        <v>123</v>
      </c>
      <c r="C2965" s="181" t="s">
        <v>770</v>
      </c>
      <c r="D2965" s="181" t="str">
        <f t="shared" si="49"/>
        <v>39410</v>
      </c>
      <c r="E2965" s="181" t="s">
        <v>15</v>
      </c>
      <c r="F2965" s="181" t="s">
        <v>14</v>
      </c>
      <c r="G2965" s="181" t="s">
        <v>793</v>
      </c>
      <c r="H2965" s="8">
        <v>-7.24</v>
      </c>
      <c r="I2965" s="8">
        <v>0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-7.24</v>
      </c>
    </row>
    <row r="2966" spans="1:15">
      <c r="A2966" s="191">
        <v>44896</v>
      </c>
      <c r="B2966" s="181" t="s">
        <v>122</v>
      </c>
      <c r="C2966" s="181" t="s">
        <v>770</v>
      </c>
      <c r="D2966" s="181" t="str">
        <f t="shared" si="49"/>
        <v>39410</v>
      </c>
      <c r="E2966" s="181" t="s">
        <v>15</v>
      </c>
      <c r="F2966" s="181" t="s">
        <v>14</v>
      </c>
      <c r="G2966" s="181" t="s">
        <v>647</v>
      </c>
      <c r="H2966" s="8">
        <v>-9012.34</v>
      </c>
      <c r="I2966" s="8">
        <v>24.810000000000002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-8987.5300000000007</v>
      </c>
    </row>
    <row r="2967" spans="1:15">
      <c r="A2967" s="191">
        <v>44896</v>
      </c>
      <c r="B2967" s="181" t="s">
        <v>122</v>
      </c>
      <c r="C2967" s="181" t="s">
        <v>770</v>
      </c>
      <c r="D2967" s="181" t="str">
        <f t="shared" si="49"/>
        <v>39410</v>
      </c>
      <c r="E2967" s="181" t="s">
        <v>15</v>
      </c>
      <c r="F2967" s="181" t="s">
        <v>14</v>
      </c>
      <c r="G2967" s="181" t="s">
        <v>793</v>
      </c>
      <c r="H2967" s="8">
        <v>-7.24</v>
      </c>
      <c r="I2967" s="8">
        <v>0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-7.24</v>
      </c>
    </row>
    <row r="2968" spans="1:15">
      <c r="A2968" s="191">
        <v>44531</v>
      </c>
      <c r="B2968" s="181" t="s">
        <v>13</v>
      </c>
      <c r="C2968" s="181" t="s">
        <v>771</v>
      </c>
      <c r="D2968" s="181" t="str">
        <f t="shared" si="49"/>
        <v>39500</v>
      </c>
      <c r="E2968" s="181" t="s">
        <v>15</v>
      </c>
      <c r="F2968" s="181" t="s">
        <v>14</v>
      </c>
      <c r="G2968" s="181" t="s">
        <v>647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0</v>
      </c>
    </row>
    <row r="2969" spans="1:15">
      <c r="A2969" s="191">
        <v>44531</v>
      </c>
      <c r="B2969" s="181" t="s">
        <v>13</v>
      </c>
      <c r="C2969" s="181" t="s">
        <v>772</v>
      </c>
      <c r="D2969" s="181" t="str">
        <f t="shared" si="49"/>
        <v>39500</v>
      </c>
      <c r="E2969" s="181" t="s">
        <v>15</v>
      </c>
      <c r="F2969" s="181" t="s">
        <v>14</v>
      </c>
      <c r="G2969" s="181" t="s">
        <v>647</v>
      </c>
      <c r="H2969" s="8">
        <v>245560.45</v>
      </c>
      <c r="I2969" s="8">
        <v>468.73</v>
      </c>
      <c r="J2969" s="8">
        <v>-84391.92</v>
      </c>
      <c r="K2969" s="8">
        <v>0</v>
      </c>
      <c r="L2969" s="8">
        <v>0</v>
      </c>
      <c r="M2969" s="8">
        <v>0</v>
      </c>
      <c r="N2969" s="8">
        <v>0</v>
      </c>
      <c r="O2969" s="8">
        <v>161637.26</v>
      </c>
    </row>
    <row r="2970" spans="1:15">
      <c r="A2970" s="191">
        <v>44531</v>
      </c>
      <c r="B2970" s="181" t="s">
        <v>13</v>
      </c>
      <c r="C2970" s="181" t="s">
        <v>772</v>
      </c>
      <c r="D2970" s="181" t="str">
        <f t="shared" si="49"/>
        <v>39500</v>
      </c>
      <c r="E2970" s="181" t="s">
        <v>15</v>
      </c>
      <c r="F2970" s="181" t="s">
        <v>14</v>
      </c>
      <c r="G2970" s="181" t="s">
        <v>793</v>
      </c>
      <c r="H2970" s="8">
        <v>10633.4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10633.4</v>
      </c>
    </row>
    <row r="2971" spans="1:15">
      <c r="A2971" s="191">
        <v>44562</v>
      </c>
      <c r="B2971" s="181" t="s">
        <v>133</v>
      </c>
      <c r="C2971" s="181" t="s">
        <v>771</v>
      </c>
      <c r="D2971" s="181" t="str">
        <f t="shared" si="49"/>
        <v>39500</v>
      </c>
      <c r="E2971" s="181" t="s">
        <v>15</v>
      </c>
      <c r="F2971" s="181" t="s">
        <v>14</v>
      </c>
      <c r="G2971" s="181" t="s">
        <v>647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0</v>
      </c>
    </row>
    <row r="2972" spans="1:15">
      <c r="A2972" s="191">
        <v>44562</v>
      </c>
      <c r="B2972" s="181" t="s">
        <v>133</v>
      </c>
      <c r="C2972" s="181" t="s">
        <v>772</v>
      </c>
      <c r="D2972" s="181" t="str">
        <f t="shared" si="49"/>
        <v>39500</v>
      </c>
      <c r="E2972" s="181" t="s">
        <v>15</v>
      </c>
      <c r="F2972" s="181" t="s">
        <v>14</v>
      </c>
      <c r="G2972" s="181" t="s">
        <v>647</v>
      </c>
      <c r="H2972" s="8">
        <v>161637.26</v>
      </c>
      <c r="I2972" s="8">
        <v>432.61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162069.87</v>
      </c>
    </row>
    <row r="2973" spans="1:15">
      <c r="A2973" s="191">
        <v>44562</v>
      </c>
      <c r="B2973" s="181" t="s">
        <v>133</v>
      </c>
      <c r="C2973" s="181" t="s">
        <v>772</v>
      </c>
      <c r="D2973" s="181" t="str">
        <f t="shared" si="49"/>
        <v>39500</v>
      </c>
      <c r="E2973" s="181" t="s">
        <v>15</v>
      </c>
      <c r="F2973" s="181" t="s">
        <v>14</v>
      </c>
      <c r="G2973" s="181" t="s">
        <v>793</v>
      </c>
      <c r="H2973" s="8">
        <v>10633.4</v>
      </c>
      <c r="I2973" s="8">
        <v>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10633.4</v>
      </c>
    </row>
    <row r="2974" spans="1:15">
      <c r="A2974" s="191">
        <v>44593</v>
      </c>
      <c r="B2974" s="181" t="s">
        <v>132</v>
      </c>
      <c r="C2974" s="181" t="s">
        <v>771</v>
      </c>
      <c r="D2974" s="181" t="str">
        <f t="shared" si="49"/>
        <v>39500</v>
      </c>
      <c r="E2974" s="181" t="s">
        <v>15</v>
      </c>
      <c r="F2974" s="181" t="s">
        <v>14</v>
      </c>
      <c r="G2974" s="181" t="s">
        <v>647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0</v>
      </c>
    </row>
    <row r="2975" spans="1:15">
      <c r="A2975" s="191">
        <v>44593</v>
      </c>
      <c r="B2975" s="181" t="s">
        <v>132</v>
      </c>
      <c r="C2975" s="181" t="s">
        <v>772</v>
      </c>
      <c r="D2975" s="181" t="str">
        <f t="shared" si="49"/>
        <v>39500</v>
      </c>
      <c r="E2975" s="181" t="s">
        <v>15</v>
      </c>
      <c r="F2975" s="181" t="s">
        <v>14</v>
      </c>
      <c r="G2975" s="181" t="s">
        <v>647</v>
      </c>
      <c r="H2975" s="8">
        <v>162069.87</v>
      </c>
      <c r="I2975" s="8">
        <v>433.44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162503.31</v>
      </c>
    </row>
    <row r="2976" spans="1:15">
      <c r="A2976" s="191">
        <v>44593</v>
      </c>
      <c r="B2976" s="181" t="s">
        <v>132</v>
      </c>
      <c r="C2976" s="181" t="s">
        <v>772</v>
      </c>
      <c r="D2976" s="181" t="str">
        <f t="shared" si="49"/>
        <v>39500</v>
      </c>
      <c r="E2976" s="181" t="s">
        <v>15</v>
      </c>
      <c r="F2976" s="181" t="s">
        <v>14</v>
      </c>
      <c r="G2976" s="181" t="s">
        <v>793</v>
      </c>
      <c r="H2976" s="8">
        <v>10633.4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10633.4</v>
      </c>
    </row>
    <row r="2977" spans="1:15">
      <c r="A2977" s="191">
        <v>44621</v>
      </c>
      <c r="B2977" s="181" t="s">
        <v>131</v>
      </c>
      <c r="C2977" s="181" t="s">
        <v>771</v>
      </c>
      <c r="D2977" s="181" t="str">
        <f t="shared" si="49"/>
        <v>39500</v>
      </c>
      <c r="E2977" s="181" t="s">
        <v>15</v>
      </c>
      <c r="F2977" s="181" t="s">
        <v>14</v>
      </c>
      <c r="G2977" s="181" t="s">
        <v>647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0</v>
      </c>
    </row>
    <row r="2978" spans="1:15">
      <c r="A2978" s="191">
        <v>44621</v>
      </c>
      <c r="B2978" s="181" t="s">
        <v>131</v>
      </c>
      <c r="C2978" s="181" t="s">
        <v>772</v>
      </c>
      <c r="D2978" s="181" t="str">
        <f t="shared" si="49"/>
        <v>39500</v>
      </c>
      <c r="E2978" s="181" t="s">
        <v>15</v>
      </c>
      <c r="F2978" s="181" t="s">
        <v>14</v>
      </c>
      <c r="G2978" s="181" t="s">
        <v>647</v>
      </c>
      <c r="H2978" s="8">
        <v>162503.31</v>
      </c>
      <c r="I2978" s="8">
        <v>433.16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162936.47</v>
      </c>
    </row>
    <row r="2979" spans="1:15">
      <c r="A2979" s="191">
        <v>44621</v>
      </c>
      <c r="B2979" s="181" t="s">
        <v>131</v>
      </c>
      <c r="C2979" s="181" t="s">
        <v>772</v>
      </c>
      <c r="D2979" s="181" t="str">
        <f t="shared" si="49"/>
        <v>39500</v>
      </c>
      <c r="E2979" s="181" t="s">
        <v>15</v>
      </c>
      <c r="F2979" s="181" t="s">
        <v>14</v>
      </c>
      <c r="G2979" s="181" t="s">
        <v>793</v>
      </c>
      <c r="H2979" s="8">
        <v>10633.4</v>
      </c>
      <c r="I2979" s="8">
        <v>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10633.4</v>
      </c>
    </row>
    <row r="2980" spans="1:15">
      <c r="A2980" s="191">
        <v>44652</v>
      </c>
      <c r="B2980" s="181" t="s">
        <v>130</v>
      </c>
      <c r="C2980" s="181" t="s">
        <v>771</v>
      </c>
      <c r="D2980" s="181" t="str">
        <f t="shared" si="49"/>
        <v>39500</v>
      </c>
      <c r="E2980" s="181" t="s">
        <v>15</v>
      </c>
      <c r="F2980" s="181" t="s">
        <v>14</v>
      </c>
      <c r="G2980" s="181" t="s">
        <v>647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0</v>
      </c>
    </row>
    <row r="2981" spans="1:15">
      <c r="A2981" s="191">
        <v>44652</v>
      </c>
      <c r="B2981" s="181" t="s">
        <v>130</v>
      </c>
      <c r="C2981" s="181" t="s">
        <v>772</v>
      </c>
      <c r="D2981" s="181" t="str">
        <f t="shared" si="49"/>
        <v>39500</v>
      </c>
      <c r="E2981" s="181" t="s">
        <v>15</v>
      </c>
      <c r="F2981" s="181" t="s">
        <v>14</v>
      </c>
      <c r="G2981" s="181" t="s">
        <v>647</v>
      </c>
      <c r="H2981" s="8">
        <v>162936.47</v>
      </c>
      <c r="I2981" s="8">
        <v>429.27</v>
      </c>
      <c r="J2981" s="8">
        <v>-7416.74</v>
      </c>
      <c r="K2981" s="8">
        <v>0</v>
      </c>
      <c r="L2981" s="8">
        <v>0</v>
      </c>
      <c r="M2981" s="8">
        <v>0</v>
      </c>
      <c r="N2981" s="8">
        <v>0</v>
      </c>
      <c r="O2981" s="8">
        <v>155949</v>
      </c>
    </row>
    <row r="2982" spans="1:15">
      <c r="A2982" s="191">
        <v>44652</v>
      </c>
      <c r="B2982" s="181" t="s">
        <v>130</v>
      </c>
      <c r="C2982" s="181" t="s">
        <v>772</v>
      </c>
      <c r="D2982" s="181" t="str">
        <f t="shared" si="49"/>
        <v>39500</v>
      </c>
      <c r="E2982" s="181" t="s">
        <v>15</v>
      </c>
      <c r="F2982" s="181" t="s">
        <v>14</v>
      </c>
      <c r="G2982" s="181" t="s">
        <v>793</v>
      </c>
      <c r="H2982" s="8">
        <v>10633.4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10633.4</v>
      </c>
    </row>
    <row r="2983" spans="1:15">
      <c r="A2983" s="191">
        <v>44682</v>
      </c>
      <c r="B2983" s="181" t="s">
        <v>129</v>
      </c>
      <c r="C2983" s="181" t="s">
        <v>771</v>
      </c>
      <c r="D2983" s="181" t="str">
        <f t="shared" si="49"/>
        <v>39500</v>
      </c>
      <c r="E2983" s="181" t="s">
        <v>15</v>
      </c>
      <c r="F2983" s="181" t="s">
        <v>14</v>
      </c>
      <c r="G2983" s="181" t="s">
        <v>647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0</v>
      </c>
    </row>
    <row r="2984" spans="1:15">
      <c r="A2984" s="191">
        <v>44682</v>
      </c>
      <c r="B2984" s="181" t="s">
        <v>129</v>
      </c>
      <c r="C2984" s="181" t="s">
        <v>772</v>
      </c>
      <c r="D2984" s="181" t="str">
        <f t="shared" si="49"/>
        <v>39500</v>
      </c>
      <c r="E2984" s="181" t="s">
        <v>15</v>
      </c>
      <c r="F2984" s="181" t="s">
        <v>14</v>
      </c>
      <c r="G2984" s="181" t="s">
        <v>647</v>
      </c>
      <c r="H2984" s="8">
        <v>155949</v>
      </c>
      <c r="I2984" s="8">
        <v>425.38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156374.38</v>
      </c>
    </row>
    <row r="2985" spans="1:15">
      <c r="A2985" s="191">
        <v>44682</v>
      </c>
      <c r="B2985" s="181" t="s">
        <v>129</v>
      </c>
      <c r="C2985" s="181" t="s">
        <v>772</v>
      </c>
      <c r="D2985" s="181" t="str">
        <f t="shared" si="49"/>
        <v>39500</v>
      </c>
      <c r="E2985" s="181" t="s">
        <v>15</v>
      </c>
      <c r="F2985" s="181" t="s">
        <v>14</v>
      </c>
      <c r="G2985" s="181" t="s">
        <v>793</v>
      </c>
      <c r="H2985" s="8">
        <v>10633.4</v>
      </c>
      <c r="I2985" s="8">
        <v>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10633.4</v>
      </c>
    </row>
    <row r="2986" spans="1:15">
      <c r="A2986" s="191">
        <v>44713</v>
      </c>
      <c r="B2986" s="181" t="s">
        <v>128</v>
      </c>
      <c r="C2986" s="181" t="s">
        <v>771</v>
      </c>
      <c r="D2986" s="181" t="str">
        <f t="shared" si="49"/>
        <v>39500</v>
      </c>
      <c r="E2986" s="181" t="s">
        <v>15</v>
      </c>
      <c r="F2986" s="181" t="s">
        <v>14</v>
      </c>
      <c r="G2986" s="181" t="s">
        <v>647</v>
      </c>
      <c r="H2986" s="8">
        <v>0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0</v>
      </c>
    </row>
    <row r="2987" spans="1:15">
      <c r="A2987" s="191">
        <v>44713</v>
      </c>
      <c r="B2987" s="181" t="s">
        <v>128</v>
      </c>
      <c r="C2987" s="181" t="s">
        <v>772</v>
      </c>
      <c r="D2987" s="181" t="str">
        <f t="shared" si="49"/>
        <v>39500</v>
      </c>
      <c r="E2987" s="181" t="s">
        <v>15</v>
      </c>
      <c r="F2987" s="181" t="s">
        <v>14</v>
      </c>
      <c r="G2987" s="181" t="s">
        <v>647</v>
      </c>
      <c r="H2987" s="8">
        <v>156374.38</v>
      </c>
      <c r="I2987" s="8">
        <v>418.92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156793.30000000002</v>
      </c>
    </row>
    <row r="2988" spans="1:15">
      <c r="A2988" s="191">
        <v>44713</v>
      </c>
      <c r="B2988" s="181" t="s">
        <v>128</v>
      </c>
      <c r="C2988" s="181" t="s">
        <v>772</v>
      </c>
      <c r="D2988" s="181" t="str">
        <f t="shared" si="49"/>
        <v>39500</v>
      </c>
      <c r="E2988" s="181" t="s">
        <v>15</v>
      </c>
      <c r="F2988" s="181" t="s">
        <v>14</v>
      </c>
      <c r="G2988" s="181" t="s">
        <v>793</v>
      </c>
      <c r="H2988" s="8">
        <v>10633.4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10633.4</v>
      </c>
    </row>
    <row r="2989" spans="1:15">
      <c r="A2989" s="191">
        <v>44743</v>
      </c>
      <c r="B2989" s="181" t="s">
        <v>127</v>
      </c>
      <c r="C2989" s="181" t="s">
        <v>771</v>
      </c>
      <c r="D2989" s="181" t="str">
        <f t="shared" si="49"/>
        <v>39500</v>
      </c>
      <c r="E2989" s="181" t="s">
        <v>15</v>
      </c>
      <c r="F2989" s="181" t="s">
        <v>14</v>
      </c>
      <c r="G2989" s="181" t="s">
        <v>647</v>
      </c>
      <c r="H2989" s="8">
        <v>0</v>
      </c>
      <c r="I2989" s="8">
        <v>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0</v>
      </c>
    </row>
    <row r="2990" spans="1:15">
      <c r="A2990" s="191">
        <v>44743</v>
      </c>
      <c r="B2990" s="181" t="s">
        <v>127</v>
      </c>
      <c r="C2990" s="181" t="s">
        <v>772</v>
      </c>
      <c r="D2990" s="181" t="str">
        <f t="shared" si="49"/>
        <v>39500</v>
      </c>
      <c r="E2990" s="181" t="s">
        <v>15</v>
      </c>
      <c r="F2990" s="181" t="s">
        <v>14</v>
      </c>
      <c r="G2990" s="181" t="s">
        <v>647</v>
      </c>
      <c r="H2990" s="8">
        <v>156793.30000000002</v>
      </c>
      <c r="I2990" s="8">
        <v>395.36</v>
      </c>
      <c r="J2990" s="8">
        <v>-32566.97</v>
      </c>
      <c r="K2990" s="8">
        <v>0</v>
      </c>
      <c r="L2990" s="8">
        <v>0</v>
      </c>
      <c r="M2990" s="8">
        <v>0</v>
      </c>
      <c r="N2990" s="8">
        <v>0</v>
      </c>
      <c r="O2990" s="8">
        <v>124621.69</v>
      </c>
    </row>
    <row r="2991" spans="1:15">
      <c r="A2991" s="191">
        <v>44743</v>
      </c>
      <c r="B2991" s="181" t="s">
        <v>127</v>
      </c>
      <c r="C2991" s="181" t="s">
        <v>772</v>
      </c>
      <c r="D2991" s="181" t="str">
        <f t="shared" si="49"/>
        <v>39500</v>
      </c>
      <c r="E2991" s="181" t="s">
        <v>15</v>
      </c>
      <c r="F2991" s="181" t="s">
        <v>14</v>
      </c>
      <c r="G2991" s="181" t="s">
        <v>793</v>
      </c>
      <c r="H2991" s="8">
        <v>10633.4</v>
      </c>
      <c r="I2991" s="8">
        <v>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10633.4</v>
      </c>
    </row>
    <row r="2992" spans="1:15">
      <c r="A2992" s="191">
        <v>44774</v>
      </c>
      <c r="B2992" s="181" t="s">
        <v>126</v>
      </c>
      <c r="C2992" s="181" t="s">
        <v>771</v>
      </c>
      <c r="D2992" s="181" t="str">
        <f t="shared" si="49"/>
        <v>39500</v>
      </c>
      <c r="E2992" s="181" t="s">
        <v>15</v>
      </c>
      <c r="F2992" s="181" t="s">
        <v>14</v>
      </c>
      <c r="G2992" s="181" t="s">
        <v>647</v>
      </c>
      <c r="H2992" s="8">
        <v>0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0</v>
      </c>
    </row>
    <row r="2993" spans="1:15">
      <c r="A2993" s="191">
        <v>44774</v>
      </c>
      <c r="B2993" s="181" t="s">
        <v>126</v>
      </c>
      <c r="C2993" s="181" t="s">
        <v>772</v>
      </c>
      <c r="D2993" s="181" t="str">
        <f t="shared" si="49"/>
        <v>39500</v>
      </c>
      <c r="E2993" s="181" t="s">
        <v>15</v>
      </c>
      <c r="F2993" s="181" t="s">
        <v>14</v>
      </c>
      <c r="G2993" s="181" t="s">
        <v>647</v>
      </c>
      <c r="H2993" s="8">
        <v>124621.69</v>
      </c>
      <c r="I2993" s="8">
        <v>378.27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124999.96</v>
      </c>
    </row>
    <row r="2994" spans="1:15">
      <c r="A2994" s="191">
        <v>44774</v>
      </c>
      <c r="B2994" s="181" t="s">
        <v>126</v>
      </c>
      <c r="C2994" s="181" t="s">
        <v>772</v>
      </c>
      <c r="D2994" s="181" t="str">
        <f t="shared" si="49"/>
        <v>39500</v>
      </c>
      <c r="E2994" s="181" t="s">
        <v>15</v>
      </c>
      <c r="F2994" s="181" t="s">
        <v>14</v>
      </c>
      <c r="G2994" s="181" t="s">
        <v>793</v>
      </c>
      <c r="H2994" s="8">
        <v>10633.4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10633.4</v>
      </c>
    </row>
    <row r="2995" spans="1:15">
      <c r="A2995" s="191">
        <v>44805</v>
      </c>
      <c r="B2995" s="181" t="s">
        <v>125</v>
      </c>
      <c r="C2995" s="181" t="s">
        <v>771</v>
      </c>
      <c r="D2995" s="181" t="str">
        <f t="shared" si="49"/>
        <v>39500</v>
      </c>
      <c r="E2995" s="181" t="s">
        <v>15</v>
      </c>
      <c r="F2995" s="181" t="s">
        <v>14</v>
      </c>
      <c r="G2995" s="181" t="s">
        <v>647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0</v>
      </c>
    </row>
    <row r="2996" spans="1:15">
      <c r="A2996" s="191">
        <v>44805</v>
      </c>
      <c r="B2996" s="181" t="s">
        <v>125</v>
      </c>
      <c r="C2996" s="181" t="s">
        <v>772</v>
      </c>
      <c r="D2996" s="181" t="str">
        <f t="shared" si="49"/>
        <v>39500</v>
      </c>
      <c r="E2996" s="181" t="s">
        <v>15</v>
      </c>
      <c r="F2996" s="181" t="s">
        <v>14</v>
      </c>
      <c r="G2996" s="181" t="s">
        <v>647</v>
      </c>
      <c r="H2996" s="8">
        <v>124999.96</v>
      </c>
      <c r="I2996" s="8">
        <v>375.66</v>
      </c>
      <c r="J2996" s="8">
        <v>-4954.59</v>
      </c>
      <c r="K2996" s="8">
        <v>0</v>
      </c>
      <c r="L2996" s="8">
        <v>0</v>
      </c>
      <c r="M2996" s="8">
        <v>0</v>
      </c>
      <c r="N2996" s="8">
        <v>0</v>
      </c>
      <c r="O2996" s="8">
        <v>120421.03</v>
      </c>
    </row>
    <row r="2997" spans="1:15">
      <c r="A2997" s="191">
        <v>44805</v>
      </c>
      <c r="B2997" s="181" t="s">
        <v>125</v>
      </c>
      <c r="C2997" s="181" t="s">
        <v>772</v>
      </c>
      <c r="D2997" s="181" t="str">
        <f t="shared" si="49"/>
        <v>39500</v>
      </c>
      <c r="E2997" s="181" t="s">
        <v>15</v>
      </c>
      <c r="F2997" s="181" t="s">
        <v>14</v>
      </c>
      <c r="G2997" s="181" t="s">
        <v>793</v>
      </c>
      <c r="H2997" s="8">
        <v>10633.4</v>
      </c>
      <c r="I2997" s="8">
        <v>0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10633.4</v>
      </c>
    </row>
    <row r="2998" spans="1:15">
      <c r="A2998" s="191">
        <v>44835</v>
      </c>
      <c r="B2998" s="181" t="s">
        <v>124</v>
      </c>
      <c r="C2998" s="181" t="s">
        <v>771</v>
      </c>
      <c r="D2998" s="181" t="str">
        <f t="shared" si="49"/>
        <v>39500</v>
      </c>
      <c r="E2998" s="181" t="s">
        <v>15</v>
      </c>
      <c r="F2998" s="181" t="s">
        <v>14</v>
      </c>
      <c r="G2998" s="181" t="s">
        <v>647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0</v>
      </c>
    </row>
    <row r="2999" spans="1:15">
      <c r="A2999" s="191">
        <v>44835</v>
      </c>
      <c r="B2999" s="181" t="s">
        <v>124</v>
      </c>
      <c r="C2999" s="181" t="s">
        <v>772</v>
      </c>
      <c r="D2999" s="181" t="str">
        <f t="shared" si="49"/>
        <v>39500</v>
      </c>
      <c r="E2999" s="181" t="s">
        <v>15</v>
      </c>
      <c r="F2999" s="181" t="s">
        <v>14</v>
      </c>
      <c r="G2999" s="181" t="s">
        <v>647</v>
      </c>
      <c r="H2999" s="8">
        <v>120421.03</v>
      </c>
      <c r="I2999" s="8">
        <v>373.06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120794.09</v>
      </c>
    </row>
    <row r="3000" spans="1:15">
      <c r="A3000" s="191">
        <v>44835</v>
      </c>
      <c r="B3000" s="181" t="s">
        <v>124</v>
      </c>
      <c r="C3000" s="181" t="s">
        <v>772</v>
      </c>
      <c r="D3000" s="181" t="str">
        <f t="shared" si="49"/>
        <v>39500</v>
      </c>
      <c r="E3000" s="181" t="s">
        <v>15</v>
      </c>
      <c r="F3000" s="181" t="s">
        <v>14</v>
      </c>
      <c r="G3000" s="181" t="s">
        <v>793</v>
      </c>
      <c r="H3000" s="8">
        <v>10633.4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10633.4</v>
      </c>
    </row>
    <row r="3001" spans="1:15">
      <c r="A3001" s="191">
        <v>44866</v>
      </c>
      <c r="B3001" s="181" t="s">
        <v>123</v>
      </c>
      <c r="C3001" s="181" t="s">
        <v>771</v>
      </c>
      <c r="D3001" s="181" t="str">
        <f t="shared" si="49"/>
        <v>39500</v>
      </c>
      <c r="E3001" s="181" t="s">
        <v>15</v>
      </c>
      <c r="F3001" s="181" t="s">
        <v>14</v>
      </c>
      <c r="G3001" s="181" t="s">
        <v>647</v>
      </c>
      <c r="H3001" s="8">
        <v>0</v>
      </c>
      <c r="I3001" s="8">
        <v>0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0</v>
      </c>
    </row>
    <row r="3002" spans="1:15">
      <c r="A3002" s="191">
        <v>44866</v>
      </c>
      <c r="B3002" s="181" t="s">
        <v>123</v>
      </c>
      <c r="C3002" s="181" t="s">
        <v>772</v>
      </c>
      <c r="D3002" s="181" t="str">
        <f t="shared" si="49"/>
        <v>39500</v>
      </c>
      <c r="E3002" s="181" t="s">
        <v>15</v>
      </c>
      <c r="F3002" s="181" t="s">
        <v>14</v>
      </c>
      <c r="G3002" s="181" t="s">
        <v>647</v>
      </c>
      <c r="H3002" s="8">
        <v>120794.09</v>
      </c>
      <c r="I3002" s="8">
        <v>373.06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121167.15000000001</v>
      </c>
    </row>
    <row r="3003" spans="1:15">
      <c r="A3003" s="191">
        <v>44866</v>
      </c>
      <c r="B3003" s="181" t="s">
        <v>123</v>
      </c>
      <c r="C3003" s="181" t="s">
        <v>772</v>
      </c>
      <c r="D3003" s="181" t="str">
        <f t="shared" si="49"/>
        <v>39500</v>
      </c>
      <c r="E3003" s="181" t="s">
        <v>15</v>
      </c>
      <c r="F3003" s="181" t="s">
        <v>14</v>
      </c>
      <c r="G3003" s="181" t="s">
        <v>793</v>
      </c>
      <c r="H3003" s="8">
        <v>10633.4</v>
      </c>
      <c r="I3003" s="8">
        <v>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10633.4</v>
      </c>
    </row>
    <row r="3004" spans="1:15">
      <c r="A3004" s="191">
        <v>44896</v>
      </c>
      <c r="B3004" s="181" t="s">
        <v>122</v>
      </c>
      <c r="C3004" s="181" t="s">
        <v>771</v>
      </c>
      <c r="D3004" s="181" t="str">
        <f t="shared" si="49"/>
        <v>39500</v>
      </c>
      <c r="E3004" s="181" t="s">
        <v>15</v>
      </c>
      <c r="F3004" s="181" t="s">
        <v>14</v>
      </c>
      <c r="G3004" s="181" t="s">
        <v>647</v>
      </c>
      <c r="H3004" s="8">
        <v>0</v>
      </c>
      <c r="I3004" s="8">
        <v>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0</v>
      </c>
    </row>
    <row r="3005" spans="1:15">
      <c r="A3005" s="191">
        <v>44896</v>
      </c>
      <c r="B3005" s="181" t="s">
        <v>122</v>
      </c>
      <c r="C3005" s="181" t="s">
        <v>772</v>
      </c>
      <c r="D3005" s="181" t="str">
        <f t="shared" ref="D3005:D3068" si="50">MID(C3005,10,5)</f>
        <v>39500</v>
      </c>
      <c r="E3005" s="181" t="s">
        <v>15</v>
      </c>
      <c r="F3005" s="181" t="s">
        <v>14</v>
      </c>
      <c r="G3005" s="181" t="s">
        <v>647</v>
      </c>
      <c r="H3005" s="8">
        <v>121167.15000000001</v>
      </c>
      <c r="I3005" s="8">
        <v>373.06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121540.21</v>
      </c>
    </row>
    <row r="3006" spans="1:15">
      <c r="A3006" s="191">
        <v>44896</v>
      </c>
      <c r="B3006" s="181" t="s">
        <v>122</v>
      </c>
      <c r="C3006" s="181" t="s">
        <v>772</v>
      </c>
      <c r="D3006" s="181" t="str">
        <f t="shared" si="50"/>
        <v>39500</v>
      </c>
      <c r="E3006" s="181" t="s">
        <v>15</v>
      </c>
      <c r="F3006" s="181" t="s">
        <v>14</v>
      </c>
      <c r="G3006" s="181" t="s">
        <v>793</v>
      </c>
      <c r="H3006" s="8">
        <v>10633.4</v>
      </c>
      <c r="I3006" s="8">
        <v>0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10633.4</v>
      </c>
    </row>
    <row r="3007" spans="1:15">
      <c r="A3007" s="191">
        <v>44531</v>
      </c>
      <c r="B3007" s="181" t="s">
        <v>13</v>
      </c>
      <c r="C3007" s="181" t="s">
        <v>773</v>
      </c>
      <c r="D3007" s="181" t="str">
        <f t="shared" si="50"/>
        <v>39601</v>
      </c>
      <c r="E3007" s="181" t="s">
        <v>15</v>
      </c>
      <c r="F3007" s="181" t="s">
        <v>14</v>
      </c>
      <c r="G3007" s="181" t="s">
        <v>647</v>
      </c>
      <c r="H3007" s="8">
        <v>24989.7</v>
      </c>
      <c r="I3007" s="8">
        <v>0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24989.7</v>
      </c>
    </row>
    <row r="3008" spans="1:15">
      <c r="A3008" s="191">
        <v>44531</v>
      </c>
      <c r="B3008" s="181" t="s">
        <v>13</v>
      </c>
      <c r="C3008" s="181" t="s">
        <v>774</v>
      </c>
      <c r="D3008" s="181" t="str">
        <f t="shared" si="50"/>
        <v>39601</v>
      </c>
      <c r="E3008" s="181" t="s">
        <v>15</v>
      </c>
      <c r="F3008" s="181" t="s">
        <v>14</v>
      </c>
      <c r="G3008" s="181" t="s">
        <v>647</v>
      </c>
      <c r="H3008" s="8">
        <v>0</v>
      </c>
      <c r="I3008" s="8">
        <v>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0</v>
      </c>
    </row>
    <row r="3009" spans="1:15">
      <c r="A3009" s="191">
        <v>44531</v>
      </c>
      <c r="B3009" s="181" t="s">
        <v>13</v>
      </c>
      <c r="C3009" s="181" t="s">
        <v>775</v>
      </c>
      <c r="D3009" s="181" t="str">
        <f t="shared" si="50"/>
        <v>39601</v>
      </c>
      <c r="E3009" s="181" t="s">
        <v>15</v>
      </c>
      <c r="F3009" s="181" t="s">
        <v>14</v>
      </c>
      <c r="G3009" s="181" t="s">
        <v>647</v>
      </c>
      <c r="H3009" s="8">
        <v>285970.87</v>
      </c>
      <c r="I3009" s="8">
        <v>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285970.87</v>
      </c>
    </row>
    <row r="3010" spans="1:15">
      <c r="A3010" s="191">
        <v>44531</v>
      </c>
      <c r="B3010" s="181" t="s">
        <v>13</v>
      </c>
      <c r="C3010" s="181" t="s">
        <v>776</v>
      </c>
      <c r="D3010" s="181" t="str">
        <f t="shared" si="50"/>
        <v>39601</v>
      </c>
      <c r="E3010" s="181" t="s">
        <v>15</v>
      </c>
      <c r="F3010" s="181" t="s">
        <v>14</v>
      </c>
      <c r="G3010" s="181" t="s">
        <v>647</v>
      </c>
      <c r="H3010" s="8">
        <v>0</v>
      </c>
      <c r="I3010" s="8">
        <v>0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0</v>
      </c>
    </row>
    <row r="3011" spans="1:15">
      <c r="A3011" s="191">
        <v>44562</v>
      </c>
      <c r="B3011" s="181" t="s">
        <v>133</v>
      </c>
      <c r="C3011" s="181" t="s">
        <v>773</v>
      </c>
      <c r="D3011" s="181" t="str">
        <f t="shared" si="50"/>
        <v>39601</v>
      </c>
      <c r="E3011" s="181" t="s">
        <v>15</v>
      </c>
      <c r="F3011" s="181" t="s">
        <v>14</v>
      </c>
      <c r="G3011" s="181" t="s">
        <v>647</v>
      </c>
      <c r="H3011" s="8">
        <v>24989.7</v>
      </c>
      <c r="I3011" s="8">
        <v>0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24989.7</v>
      </c>
    </row>
    <row r="3012" spans="1:15">
      <c r="A3012" s="191">
        <v>44562</v>
      </c>
      <c r="B3012" s="181" t="s">
        <v>133</v>
      </c>
      <c r="C3012" s="181" t="s">
        <v>774</v>
      </c>
      <c r="D3012" s="181" t="str">
        <f t="shared" si="50"/>
        <v>39601</v>
      </c>
      <c r="E3012" s="181" t="s">
        <v>15</v>
      </c>
      <c r="F3012" s="181" t="s">
        <v>14</v>
      </c>
      <c r="G3012" s="181" t="s">
        <v>647</v>
      </c>
      <c r="H3012" s="8">
        <v>0</v>
      </c>
      <c r="I3012" s="8">
        <v>0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0</v>
      </c>
    </row>
    <row r="3013" spans="1:15">
      <c r="A3013" s="191">
        <v>44562</v>
      </c>
      <c r="B3013" s="181" t="s">
        <v>133</v>
      </c>
      <c r="C3013" s="181" t="s">
        <v>775</v>
      </c>
      <c r="D3013" s="181" t="str">
        <f t="shared" si="50"/>
        <v>39601</v>
      </c>
      <c r="E3013" s="181" t="s">
        <v>15</v>
      </c>
      <c r="F3013" s="181" t="s">
        <v>14</v>
      </c>
      <c r="G3013" s="181" t="s">
        <v>647</v>
      </c>
      <c r="H3013" s="8">
        <v>285970.87</v>
      </c>
      <c r="I3013" s="8">
        <v>0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285970.87</v>
      </c>
    </row>
    <row r="3014" spans="1:15">
      <c r="A3014" s="191">
        <v>44562</v>
      </c>
      <c r="B3014" s="181" t="s">
        <v>133</v>
      </c>
      <c r="C3014" s="181" t="s">
        <v>776</v>
      </c>
      <c r="D3014" s="181" t="str">
        <f t="shared" si="50"/>
        <v>39601</v>
      </c>
      <c r="E3014" s="181" t="s">
        <v>15</v>
      </c>
      <c r="F3014" s="181" t="s">
        <v>14</v>
      </c>
      <c r="G3014" s="181" t="s">
        <v>647</v>
      </c>
      <c r="H3014" s="8">
        <v>0</v>
      </c>
      <c r="I3014" s="8">
        <v>0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0</v>
      </c>
    </row>
    <row r="3015" spans="1:15">
      <c r="A3015" s="191">
        <v>44593</v>
      </c>
      <c r="B3015" s="181" t="s">
        <v>132</v>
      </c>
      <c r="C3015" s="181" t="s">
        <v>773</v>
      </c>
      <c r="D3015" s="181" t="str">
        <f t="shared" si="50"/>
        <v>39601</v>
      </c>
      <c r="E3015" s="181" t="s">
        <v>15</v>
      </c>
      <c r="F3015" s="181" t="s">
        <v>14</v>
      </c>
      <c r="G3015" s="181" t="s">
        <v>647</v>
      </c>
      <c r="H3015" s="8">
        <v>24989.7</v>
      </c>
      <c r="I3015" s="8">
        <v>0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24989.7</v>
      </c>
    </row>
    <row r="3016" spans="1:15">
      <c r="A3016" s="191">
        <v>44593</v>
      </c>
      <c r="B3016" s="181" t="s">
        <v>132</v>
      </c>
      <c r="C3016" s="181" t="s">
        <v>774</v>
      </c>
      <c r="D3016" s="181" t="str">
        <f t="shared" si="50"/>
        <v>39601</v>
      </c>
      <c r="E3016" s="181" t="s">
        <v>15</v>
      </c>
      <c r="F3016" s="181" t="s">
        <v>14</v>
      </c>
      <c r="G3016" s="181" t="s">
        <v>647</v>
      </c>
      <c r="H3016" s="8">
        <v>0</v>
      </c>
      <c r="I3016" s="8">
        <v>0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0</v>
      </c>
    </row>
    <row r="3017" spans="1:15">
      <c r="A3017" s="191">
        <v>44593</v>
      </c>
      <c r="B3017" s="181" t="s">
        <v>132</v>
      </c>
      <c r="C3017" s="181" t="s">
        <v>775</v>
      </c>
      <c r="D3017" s="181" t="str">
        <f t="shared" si="50"/>
        <v>39601</v>
      </c>
      <c r="E3017" s="181" t="s">
        <v>15</v>
      </c>
      <c r="F3017" s="181" t="s">
        <v>14</v>
      </c>
      <c r="G3017" s="181" t="s">
        <v>647</v>
      </c>
      <c r="H3017" s="8">
        <v>285970.87</v>
      </c>
      <c r="I3017" s="8">
        <v>0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285970.87</v>
      </c>
    </row>
    <row r="3018" spans="1:15">
      <c r="A3018" s="191">
        <v>44593</v>
      </c>
      <c r="B3018" s="181" t="s">
        <v>132</v>
      </c>
      <c r="C3018" s="181" t="s">
        <v>776</v>
      </c>
      <c r="D3018" s="181" t="str">
        <f t="shared" si="50"/>
        <v>39601</v>
      </c>
      <c r="E3018" s="181" t="s">
        <v>15</v>
      </c>
      <c r="F3018" s="181" t="s">
        <v>14</v>
      </c>
      <c r="G3018" s="181" t="s">
        <v>647</v>
      </c>
      <c r="H3018" s="8">
        <v>0</v>
      </c>
      <c r="I3018" s="8">
        <v>0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0</v>
      </c>
    </row>
    <row r="3019" spans="1:15">
      <c r="A3019" s="191">
        <v>44621</v>
      </c>
      <c r="B3019" s="181" t="s">
        <v>131</v>
      </c>
      <c r="C3019" s="181" t="s">
        <v>773</v>
      </c>
      <c r="D3019" s="181" t="str">
        <f t="shared" si="50"/>
        <v>39601</v>
      </c>
      <c r="E3019" s="181" t="s">
        <v>15</v>
      </c>
      <c r="F3019" s="181" t="s">
        <v>14</v>
      </c>
      <c r="G3019" s="181" t="s">
        <v>647</v>
      </c>
      <c r="H3019" s="8">
        <v>24989.7</v>
      </c>
      <c r="I3019" s="8">
        <v>0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24989.7</v>
      </c>
    </row>
    <row r="3020" spans="1:15">
      <c r="A3020" s="191">
        <v>44621</v>
      </c>
      <c r="B3020" s="181" t="s">
        <v>131</v>
      </c>
      <c r="C3020" s="181" t="s">
        <v>774</v>
      </c>
      <c r="D3020" s="181" t="str">
        <f t="shared" si="50"/>
        <v>39601</v>
      </c>
      <c r="E3020" s="181" t="s">
        <v>15</v>
      </c>
      <c r="F3020" s="181" t="s">
        <v>14</v>
      </c>
      <c r="G3020" s="181" t="s">
        <v>647</v>
      </c>
      <c r="H3020" s="8">
        <v>0</v>
      </c>
      <c r="I3020" s="8">
        <v>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0</v>
      </c>
    </row>
    <row r="3021" spans="1:15">
      <c r="A3021" s="191">
        <v>44621</v>
      </c>
      <c r="B3021" s="181" t="s">
        <v>131</v>
      </c>
      <c r="C3021" s="181" t="s">
        <v>775</v>
      </c>
      <c r="D3021" s="181" t="str">
        <f t="shared" si="50"/>
        <v>39601</v>
      </c>
      <c r="E3021" s="181" t="s">
        <v>15</v>
      </c>
      <c r="F3021" s="181" t="s">
        <v>14</v>
      </c>
      <c r="G3021" s="181" t="s">
        <v>647</v>
      </c>
      <c r="H3021" s="8">
        <v>285970.87</v>
      </c>
      <c r="I3021" s="8">
        <v>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285970.87</v>
      </c>
    </row>
    <row r="3022" spans="1:15">
      <c r="A3022" s="191">
        <v>44621</v>
      </c>
      <c r="B3022" s="181" t="s">
        <v>131</v>
      </c>
      <c r="C3022" s="181" t="s">
        <v>776</v>
      </c>
      <c r="D3022" s="181" t="str">
        <f t="shared" si="50"/>
        <v>39601</v>
      </c>
      <c r="E3022" s="181" t="s">
        <v>15</v>
      </c>
      <c r="F3022" s="181" t="s">
        <v>14</v>
      </c>
      <c r="G3022" s="181" t="s">
        <v>647</v>
      </c>
      <c r="H3022" s="8">
        <v>0</v>
      </c>
      <c r="I3022" s="8">
        <v>0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0</v>
      </c>
    </row>
    <row r="3023" spans="1:15">
      <c r="A3023" s="191">
        <v>44652</v>
      </c>
      <c r="B3023" s="181" t="s">
        <v>130</v>
      </c>
      <c r="C3023" s="181" t="s">
        <v>773</v>
      </c>
      <c r="D3023" s="181" t="str">
        <f t="shared" si="50"/>
        <v>39601</v>
      </c>
      <c r="E3023" s="181" t="s">
        <v>15</v>
      </c>
      <c r="F3023" s="181" t="s">
        <v>14</v>
      </c>
      <c r="G3023" s="181" t="s">
        <v>647</v>
      </c>
      <c r="H3023" s="8">
        <v>24989.7</v>
      </c>
      <c r="I3023" s="8">
        <v>0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24989.7</v>
      </c>
    </row>
    <row r="3024" spans="1:15">
      <c r="A3024" s="191">
        <v>44652</v>
      </c>
      <c r="B3024" s="181" t="s">
        <v>130</v>
      </c>
      <c r="C3024" s="181" t="s">
        <v>774</v>
      </c>
      <c r="D3024" s="181" t="str">
        <f t="shared" si="50"/>
        <v>39601</v>
      </c>
      <c r="E3024" s="181" t="s">
        <v>15</v>
      </c>
      <c r="F3024" s="181" t="s">
        <v>14</v>
      </c>
      <c r="G3024" s="181" t="s">
        <v>647</v>
      </c>
      <c r="H3024" s="8">
        <v>0</v>
      </c>
      <c r="I3024" s="8">
        <v>0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0</v>
      </c>
    </row>
    <row r="3025" spans="1:15">
      <c r="A3025" s="191">
        <v>44652</v>
      </c>
      <c r="B3025" s="181" t="s">
        <v>130</v>
      </c>
      <c r="C3025" s="181" t="s">
        <v>775</v>
      </c>
      <c r="D3025" s="181" t="str">
        <f t="shared" si="50"/>
        <v>39601</v>
      </c>
      <c r="E3025" s="181" t="s">
        <v>15</v>
      </c>
      <c r="F3025" s="181" t="s">
        <v>14</v>
      </c>
      <c r="G3025" s="181" t="s">
        <v>647</v>
      </c>
      <c r="H3025" s="8">
        <v>285970.87</v>
      </c>
      <c r="I3025" s="8">
        <v>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285970.87</v>
      </c>
    </row>
    <row r="3026" spans="1:15">
      <c r="A3026" s="191">
        <v>44652</v>
      </c>
      <c r="B3026" s="181" t="s">
        <v>130</v>
      </c>
      <c r="C3026" s="181" t="s">
        <v>776</v>
      </c>
      <c r="D3026" s="181" t="str">
        <f t="shared" si="50"/>
        <v>39601</v>
      </c>
      <c r="E3026" s="181" t="s">
        <v>15</v>
      </c>
      <c r="F3026" s="181" t="s">
        <v>14</v>
      </c>
      <c r="G3026" s="181" t="s">
        <v>647</v>
      </c>
      <c r="H3026" s="8">
        <v>0</v>
      </c>
      <c r="I3026" s="8">
        <v>0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0</v>
      </c>
    </row>
    <row r="3027" spans="1:15">
      <c r="A3027" s="191">
        <v>44682</v>
      </c>
      <c r="B3027" s="181" t="s">
        <v>129</v>
      </c>
      <c r="C3027" s="181" t="s">
        <v>773</v>
      </c>
      <c r="D3027" s="181" t="str">
        <f t="shared" si="50"/>
        <v>39601</v>
      </c>
      <c r="E3027" s="181" t="s">
        <v>15</v>
      </c>
      <c r="F3027" s="181" t="s">
        <v>14</v>
      </c>
      <c r="G3027" s="181" t="s">
        <v>647</v>
      </c>
      <c r="H3027" s="8">
        <v>24989.7</v>
      </c>
      <c r="I3027" s="8">
        <v>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24989.7</v>
      </c>
    </row>
    <row r="3028" spans="1:15">
      <c r="A3028" s="191">
        <v>44682</v>
      </c>
      <c r="B3028" s="181" t="s">
        <v>129</v>
      </c>
      <c r="C3028" s="181" t="s">
        <v>774</v>
      </c>
      <c r="D3028" s="181" t="str">
        <f t="shared" si="50"/>
        <v>39601</v>
      </c>
      <c r="E3028" s="181" t="s">
        <v>15</v>
      </c>
      <c r="F3028" s="181" t="s">
        <v>14</v>
      </c>
      <c r="G3028" s="181" t="s">
        <v>647</v>
      </c>
      <c r="H3028" s="8">
        <v>0</v>
      </c>
      <c r="I3028" s="8">
        <v>0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0</v>
      </c>
    </row>
    <row r="3029" spans="1:15">
      <c r="A3029" s="191">
        <v>44682</v>
      </c>
      <c r="B3029" s="181" t="s">
        <v>129</v>
      </c>
      <c r="C3029" s="181" t="s">
        <v>775</v>
      </c>
      <c r="D3029" s="181" t="str">
        <f t="shared" si="50"/>
        <v>39601</v>
      </c>
      <c r="E3029" s="181" t="s">
        <v>15</v>
      </c>
      <c r="F3029" s="181" t="s">
        <v>14</v>
      </c>
      <c r="G3029" s="181" t="s">
        <v>647</v>
      </c>
      <c r="H3029" s="8">
        <v>285970.87</v>
      </c>
      <c r="I3029" s="8">
        <v>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285970.87</v>
      </c>
    </row>
    <row r="3030" spans="1:15">
      <c r="A3030" s="191">
        <v>44682</v>
      </c>
      <c r="B3030" s="181" t="s">
        <v>129</v>
      </c>
      <c r="C3030" s="181" t="s">
        <v>776</v>
      </c>
      <c r="D3030" s="181" t="str">
        <f t="shared" si="50"/>
        <v>39601</v>
      </c>
      <c r="E3030" s="181" t="s">
        <v>15</v>
      </c>
      <c r="F3030" s="181" t="s">
        <v>14</v>
      </c>
      <c r="G3030" s="181" t="s">
        <v>647</v>
      </c>
      <c r="H3030" s="8">
        <v>0</v>
      </c>
      <c r="I3030" s="8">
        <v>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0</v>
      </c>
    </row>
    <row r="3031" spans="1:15">
      <c r="A3031" s="191">
        <v>44713</v>
      </c>
      <c r="B3031" s="181" t="s">
        <v>128</v>
      </c>
      <c r="C3031" s="181" t="s">
        <v>773</v>
      </c>
      <c r="D3031" s="181" t="str">
        <f t="shared" si="50"/>
        <v>39601</v>
      </c>
      <c r="E3031" s="181" t="s">
        <v>15</v>
      </c>
      <c r="F3031" s="181" t="s">
        <v>14</v>
      </c>
      <c r="G3031" s="181" t="s">
        <v>647</v>
      </c>
      <c r="H3031" s="8">
        <v>24989.7</v>
      </c>
      <c r="I3031" s="8">
        <v>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24989.7</v>
      </c>
    </row>
    <row r="3032" spans="1:15">
      <c r="A3032" s="191">
        <v>44713</v>
      </c>
      <c r="B3032" s="181" t="s">
        <v>128</v>
      </c>
      <c r="C3032" s="181" t="s">
        <v>774</v>
      </c>
      <c r="D3032" s="181" t="str">
        <f t="shared" si="50"/>
        <v>39601</v>
      </c>
      <c r="E3032" s="181" t="s">
        <v>15</v>
      </c>
      <c r="F3032" s="181" t="s">
        <v>14</v>
      </c>
      <c r="G3032" s="181" t="s">
        <v>647</v>
      </c>
      <c r="H3032" s="8">
        <v>0</v>
      </c>
      <c r="I3032" s="8">
        <v>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0</v>
      </c>
    </row>
    <row r="3033" spans="1:15">
      <c r="A3033" s="191">
        <v>44713</v>
      </c>
      <c r="B3033" s="181" t="s">
        <v>128</v>
      </c>
      <c r="C3033" s="181" t="s">
        <v>775</v>
      </c>
      <c r="D3033" s="181" t="str">
        <f t="shared" si="50"/>
        <v>39601</v>
      </c>
      <c r="E3033" s="181" t="s">
        <v>15</v>
      </c>
      <c r="F3033" s="181" t="s">
        <v>14</v>
      </c>
      <c r="G3033" s="181" t="s">
        <v>647</v>
      </c>
      <c r="H3033" s="8">
        <v>285970.87</v>
      </c>
      <c r="I3033" s="8">
        <v>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285970.87</v>
      </c>
    </row>
    <row r="3034" spans="1:15">
      <c r="A3034" s="191">
        <v>44713</v>
      </c>
      <c r="B3034" s="181" t="s">
        <v>128</v>
      </c>
      <c r="C3034" s="181" t="s">
        <v>776</v>
      </c>
      <c r="D3034" s="181" t="str">
        <f t="shared" si="50"/>
        <v>39601</v>
      </c>
      <c r="E3034" s="181" t="s">
        <v>15</v>
      </c>
      <c r="F3034" s="181" t="s">
        <v>14</v>
      </c>
      <c r="G3034" s="181" t="s">
        <v>647</v>
      </c>
      <c r="H3034" s="8">
        <v>0</v>
      </c>
      <c r="I3034" s="8">
        <v>0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0</v>
      </c>
    </row>
    <row r="3035" spans="1:15">
      <c r="A3035" s="191">
        <v>44743</v>
      </c>
      <c r="B3035" s="181" t="s">
        <v>127</v>
      </c>
      <c r="C3035" s="181" t="s">
        <v>773</v>
      </c>
      <c r="D3035" s="181" t="str">
        <f t="shared" si="50"/>
        <v>39601</v>
      </c>
      <c r="E3035" s="181" t="s">
        <v>15</v>
      </c>
      <c r="F3035" s="181" t="s">
        <v>14</v>
      </c>
      <c r="G3035" s="181" t="s">
        <v>647</v>
      </c>
      <c r="H3035" s="8">
        <v>24989.7</v>
      </c>
      <c r="I3035" s="8">
        <v>0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24989.7</v>
      </c>
    </row>
    <row r="3036" spans="1:15">
      <c r="A3036" s="191">
        <v>44743</v>
      </c>
      <c r="B3036" s="181" t="s">
        <v>127</v>
      </c>
      <c r="C3036" s="181" t="s">
        <v>774</v>
      </c>
      <c r="D3036" s="181" t="str">
        <f t="shared" si="50"/>
        <v>39601</v>
      </c>
      <c r="E3036" s="181" t="s">
        <v>15</v>
      </c>
      <c r="F3036" s="181" t="s">
        <v>14</v>
      </c>
      <c r="G3036" s="181" t="s">
        <v>647</v>
      </c>
      <c r="H3036" s="8">
        <v>0</v>
      </c>
      <c r="I3036" s="8">
        <v>0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0</v>
      </c>
    </row>
    <row r="3037" spans="1:15">
      <c r="A3037" s="191">
        <v>44743</v>
      </c>
      <c r="B3037" s="181" t="s">
        <v>127</v>
      </c>
      <c r="C3037" s="181" t="s">
        <v>775</v>
      </c>
      <c r="D3037" s="181" t="str">
        <f t="shared" si="50"/>
        <v>39601</v>
      </c>
      <c r="E3037" s="181" t="s">
        <v>15</v>
      </c>
      <c r="F3037" s="181" t="s">
        <v>14</v>
      </c>
      <c r="G3037" s="181" t="s">
        <v>647</v>
      </c>
      <c r="H3037" s="8">
        <v>285970.87</v>
      </c>
      <c r="I3037" s="8">
        <v>0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285970.87</v>
      </c>
    </row>
    <row r="3038" spans="1:15">
      <c r="A3038" s="191">
        <v>44743</v>
      </c>
      <c r="B3038" s="181" t="s">
        <v>127</v>
      </c>
      <c r="C3038" s="181" t="s">
        <v>776</v>
      </c>
      <c r="D3038" s="181" t="str">
        <f t="shared" si="50"/>
        <v>39601</v>
      </c>
      <c r="E3038" s="181" t="s">
        <v>15</v>
      </c>
      <c r="F3038" s="181" t="s">
        <v>14</v>
      </c>
      <c r="G3038" s="181" t="s">
        <v>647</v>
      </c>
      <c r="H3038" s="8">
        <v>0</v>
      </c>
      <c r="I3038" s="8">
        <v>0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0</v>
      </c>
    </row>
    <row r="3039" spans="1:15">
      <c r="A3039" s="191">
        <v>44774</v>
      </c>
      <c r="B3039" s="181" t="s">
        <v>126</v>
      </c>
      <c r="C3039" s="181" t="s">
        <v>773</v>
      </c>
      <c r="D3039" s="181" t="str">
        <f t="shared" si="50"/>
        <v>39601</v>
      </c>
      <c r="E3039" s="181" t="s">
        <v>15</v>
      </c>
      <c r="F3039" s="181" t="s">
        <v>14</v>
      </c>
      <c r="G3039" s="181" t="s">
        <v>647</v>
      </c>
      <c r="H3039" s="8">
        <v>24989.7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24989.7</v>
      </c>
    </row>
    <row r="3040" spans="1:15">
      <c r="A3040" s="191">
        <v>44774</v>
      </c>
      <c r="B3040" s="181" t="s">
        <v>126</v>
      </c>
      <c r="C3040" s="181" t="s">
        <v>774</v>
      </c>
      <c r="D3040" s="181" t="str">
        <f t="shared" si="50"/>
        <v>39601</v>
      </c>
      <c r="E3040" s="181" t="s">
        <v>15</v>
      </c>
      <c r="F3040" s="181" t="s">
        <v>14</v>
      </c>
      <c r="G3040" s="181" t="s">
        <v>647</v>
      </c>
      <c r="H3040" s="8">
        <v>0</v>
      </c>
      <c r="I3040" s="8">
        <v>0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0</v>
      </c>
    </row>
    <row r="3041" spans="1:15">
      <c r="A3041" s="191">
        <v>44774</v>
      </c>
      <c r="B3041" s="181" t="s">
        <v>126</v>
      </c>
      <c r="C3041" s="181" t="s">
        <v>775</v>
      </c>
      <c r="D3041" s="181" t="str">
        <f t="shared" si="50"/>
        <v>39601</v>
      </c>
      <c r="E3041" s="181" t="s">
        <v>15</v>
      </c>
      <c r="F3041" s="181" t="s">
        <v>14</v>
      </c>
      <c r="G3041" s="181" t="s">
        <v>647</v>
      </c>
      <c r="H3041" s="8">
        <v>285970.87</v>
      </c>
      <c r="I3041" s="8">
        <v>0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285970.87</v>
      </c>
    </row>
    <row r="3042" spans="1:15">
      <c r="A3042" s="191">
        <v>44774</v>
      </c>
      <c r="B3042" s="181" t="s">
        <v>126</v>
      </c>
      <c r="C3042" s="181" t="s">
        <v>776</v>
      </c>
      <c r="D3042" s="181" t="str">
        <f t="shared" si="50"/>
        <v>39601</v>
      </c>
      <c r="E3042" s="181" t="s">
        <v>15</v>
      </c>
      <c r="F3042" s="181" t="s">
        <v>14</v>
      </c>
      <c r="G3042" s="181" t="s">
        <v>647</v>
      </c>
      <c r="H3042" s="8">
        <v>0</v>
      </c>
      <c r="I3042" s="8">
        <v>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0</v>
      </c>
    </row>
    <row r="3043" spans="1:15">
      <c r="A3043" s="191">
        <v>44805</v>
      </c>
      <c r="B3043" s="181" t="s">
        <v>125</v>
      </c>
      <c r="C3043" s="181" t="s">
        <v>773</v>
      </c>
      <c r="D3043" s="181" t="str">
        <f t="shared" si="50"/>
        <v>39601</v>
      </c>
      <c r="E3043" s="181" t="s">
        <v>15</v>
      </c>
      <c r="F3043" s="181" t="s">
        <v>14</v>
      </c>
      <c r="G3043" s="181" t="s">
        <v>647</v>
      </c>
      <c r="H3043" s="8">
        <v>24989.7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24989.7</v>
      </c>
    </row>
    <row r="3044" spans="1:15">
      <c r="A3044" s="191">
        <v>44805</v>
      </c>
      <c r="B3044" s="181" t="s">
        <v>125</v>
      </c>
      <c r="C3044" s="181" t="s">
        <v>774</v>
      </c>
      <c r="D3044" s="181" t="str">
        <f t="shared" si="50"/>
        <v>39601</v>
      </c>
      <c r="E3044" s="181" t="s">
        <v>15</v>
      </c>
      <c r="F3044" s="181" t="s">
        <v>14</v>
      </c>
      <c r="G3044" s="181" t="s">
        <v>647</v>
      </c>
      <c r="H3044" s="8">
        <v>0</v>
      </c>
      <c r="I3044" s="8">
        <v>0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0</v>
      </c>
    </row>
    <row r="3045" spans="1:15">
      <c r="A3045" s="191">
        <v>44805</v>
      </c>
      <c r="B3045" s="181" t="s">
        <v>125</v>
      </c>
      <c r="C3045" s="181" t="s">
        <v>775</v>
      </c>
      <c r="D3045" s="181" t="str">
        <f t="shared" si="50"/>
        <v>39601</v>
      </c>
      <c r="E3045" s="181" t="s">
        <v>15</v>
      </c>
      <c r="F3045" s="181" t="s">
        <v>14</v>
      </c>
      <c r="G3045" s="181" t="s">
        <v>647</v>
      </c>
      <c r="H3045" s="8">
        <v>285970.87</v>
      </c>
      <c r="I3045" s="8">
        <v>0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285970.87</v>
      </c>
    </row>
    <row r="3046" spans="1:15">
      <c r="A3046" s="191">
        <v>44805</v>
      </c>
      <c r="B3046" s="181" t="s">
        <v>125</v>
      </c>
      <c r="C3046" s="181" t="s">
        <v>776</v>
      </c>
      <c r="D3046" s="181" t="str">
        <f t="shared" si="50"/>
        <v>39601</v>
      </c>
      <c r="E3046" s="181" t="s">
        <v>15</v>
      </c>
      <c r="F3046" s="181" t="s">
        <v>14</v>
      </c>
      <c r="G3046" s="181" t="s">
        <v>647</v>
      </c>
      <c r="H3046" s="8">
        <v>0</v>
      </c>
      <c r="I3046" s="8">
        <v>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0</v>
      </c>
    </row>
    <row r="3047" spans="1:15">
      <c r="A3047" s="191">
        <v>44835</v>
      </c>
      <c r="B3047" s="181" t="s">
        <v>124</v>
      </c>
      <c r="C3047" s="181" t="s">
        <v>773</v>
      </c>
      <c r="D3047" s="181" t="str">
        <f t="shared" si="50"/>
        <v>39601</v>
      </c>
      <c r="E3047" s="181" t="s">
        <v>15</v>
      </c>
      <c r="F3047" s="181" t="s">
        <v>14</v>
      </c>
      <c r="G3047" s="181" t="s">
        <v>647</v>
      </c>
      <c r="H3047" s="8">
        <v>24989.7</v>
      </c>
      <c r="I3047" s="8">
        <v>0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24989.7</v>
      </c>
    </row>
    <row r="3048" spans="1:15">
      <c r="A3048" s="191">
        <v>44835</v>
      </c>
      <c r="B3048" s="181" t="s">
        <v>124</v>
      </c>
      <c r="C3048" s="181" t="s">
        <v>774</v>
      </c>
      <c r="D3048" s="181" t="str">
        <f t="shared" si="50"/>
        <v>39601</v>
      </c>
      <c r="E3048" s="181" t="s">
        <v>15</v>
      </c>
      <c r="F3048" s="181" t="s">
        <v>14</v>
      </c>
      <c r="G3048" s="181" t="s">
        <v>647</v>
      </c>
      <c r="H3048" s="8">
        <v>0</v>
      </c>
      <c r="I3048" s="8">
        <v>0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0</v>
      </c>
    </row>
    <row r="3049" spans="1:15">
      <c r="A3049" s="191">
        <v>44835</v>
      </c>
      <c r="B3049" s="181" t="s">
        <v>124</v>
      </c>
      <c r="C3049" s="181" t="s">
        <v>775</v>
      </c>
      <c r="D3049" s="181" t="str">
        <f t="shared" si="50"/>
        <v>39601</v>
      </c>
      <c r="E3049" s="181" t="s">
        <v>15</v>
      </c>
      <c r="F3049" s="181" t="s">
        <v>14</v>
      </c>
      <c r="G3049" s="181" t="s">
        <v>647</v>
      </c>
      <c r="H3049" s="8">
        <v>285970.87</v>
      </c>
      <c r="I3049" s="8">
        <v>0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285970.87</v>
      </c>
    </row>
    <row r="3050" spans="1:15">
      <c r="A3050" s="191">
        <v>44835</v>
      </c>
      <c r="B3050" s="181" t="s">
        <v>124</v>
      </c>
      <c r="C3050" s="181" t="s">
        <v>776</v>
      </c>
      <c r="D3050" s="181" t="str">
        <f t="shared" si="50"/>
        <v>39601</v>
      </c>
      <c r="E3050" s="181" t="s">
        <v>15</v>
      </c>
      <c r="F3050" s="181" t="s">
        <v>14</v>
      </c>
      <c r="G3050" s="181" t="s">
        <v>647</v>
      </c>
      <c r="H3050" s="8">
        <v>0</v>
      </c>
      <c r="I3050" s="8">
        <v>0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0</v>
      </c>
    </row>
    <row r="3051" spans="1:15">
      <c r="A3051" s="191">
        <v>44866</v>
      </c>
      <c r="B3051" s="181" t="s">
        <v>123</v>
      </c>
      <c r="C3051" s="181" t="s">
        <v>773</v>
      </c>
      <c r="D3051" s="181" t="str">
        <f t="shared" si="50"/>
        <v>39601</v>
      </c>
      <c r="E3051" s="181" t="s">
        <v>15</v>
      </c>
      <c r="F3051" s="181" t="s">
        <v>14</v>
      </c>
      <c r="G3051" s="181" t="s">
        <v>647</v>
      </c>
      <c r="H3051" s="8">
        <v>24989.7</v>
      </c>
      <c r="I3051" s="8">
        <v>0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24989.7</v>
      </c>
    </row>
    <row r="3052" spans="1:15">
      <c r="A3052" s="191">
        <v>44866</v>
      </c>
      <c r="B3052" s="181" t="s">
        <v>123</v>
      </c>
      <c r="C3052" s="181" t="s">
        <v>774</v>
      </c>
      <c r="D3052" s="181" t="str">
        <f t="shared" si="50"/>
        <v>39601</v>
      </c>
      <c r="E3052" s="181" t="s">
        <v>15</v>
      </c>
      <c r="F3052" s="181" t="s">
        <v>14</v>
      </c>
      <c r="G3052" s="181" t="s">
        <v>647</v>
      </c>
      <c r="H3052" s="8">
        <v>0</v>
      </c>
      <c r="I3052" s="8">
        <v>0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0</v>
      </c>
    </row>
    <row r="3053" spans="1:15">
      <c r="A3053" s="191">
        <v>44866</v>
      </c>
      <c r="B3053" s="181" t="s">
        <v>123</v>
      </c>
      <c r="C3053" s="181" t="s">
        <v>775</v>
      </c>
      <c r="D3053" s="181" t="str">
        <f t="shared" si="50"/>
        <v>39601</v>
      </c>
      <c r="E3053" s="181" t="s">
        <v>15</v>
      </c>
      <c r="F3053" s="181" t="s">
        <v>14</v>
      </c>
      <c r="G3053" s="181" t="s">
        <v>647</v>
      </c>
      <c r="H3053" s="8">
        <v>285970.87</v>
      </c>
      <c r="I3053" s="8">
        <v>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285970.87</v>
      </c>
    </row>
    <row r="3054" spans="1:15">
      <c r="A3054" s="191">
        <v>44866</v>
      </c>
      <c r="B3054" s="181" t="s">
        <v>123</v>
      </c>
      <c r="C3054" s="181" t="s">
        <v>776</v>
      </c>
      <c r="D3054" s="181" t="str">
        <f t="shared" si="50"/>
        <v>39601</v>
      </c>
      <c r="E3054" s="181" t="s">
        <v>15</v>
      </c>
      <c r="F3054" s="181" t="s">
        <v>14</v>
      </c>
      <c r="G3054" s="181" t="s">
        <v>647</v>
      </c>
      <c r="H3054" s="8">
        <v>0</v>
      </c>
      <c r="I3054" s="8">
        <v>0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0</v>
      </c>
    </row>
    <row r="3055" spans="1:15">
      <c r="A3055" s="191">
        <v>44896</v>
      </c>
      <c r="B3055" s="181" t="s">
        <v>122</v>
      </c>
      <c r="C3055" s="181" t="s">
        <v>773</v>
      </c>
      <c r="D3055" s="181" t="str">
        <f t="shared" si="50"/>
        <v>39601</v>
      </c>
      <c r="E3055" s="181" t="s">
        <v>15</v>
      </c>
      <c r="F3055" s="181" t="s">
        <v>14</v>
      </c>
      <c r="G3055" s="181" t="s">
        <v>647</v>
      </c>
      <c r="H3055" s="8">
        <v>24989.7</v>
      </c>
      <c r="I3055" s="8">
        <v>0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24989.7</v>
      </c>
    </row>
    <row r="3056" spans="1:15">
      <c r="A3056" s="191">
        <v>44896</v>
      </c>
      <c r="B3056" s="181" t="s">
        <v>122</v>
      </c>
      <c r="C3056" s="181" t="s">
        <v>774</v>
      </c>
      <c r="D3056" s="181" t="str">
        <f t="shared" si="50"/>
        <v>39601</v>
      </c>
      <c r="E3056" s="181" t="s">
        <v>15</v>
      </c>
      <c r="F3056" s="181" t="s">
        <v>14</v>
      </c>
      <c r="G3056" s="181" t="s">
        <v>647</v>
      </c>
      <c r="H3056" s="8">
        <v>0</v>
      </c>
      <c r="I3056" s="8">
        <v>0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0</v>
      </c>
    </row>
    <row r="3057" spans="1:15">
      <c r="A3057" s="191">
        <v>44896</v>
      </c>
      <c r="B3057" s="181" t="s">
        <v>122</v>
      </c>
      <c r="C3057" s="181" t="s">
        <v>775</v>
      </c>
      <c r="D3057" s="181" t="str">
        <f t="shared" si="50"/>
        <v>39601</v>
      </c>
      <c r="E3057" s="181" t="s">
        <v>15</v>
      </c>
      <c r="F3057" s="181" t="s">
        <v>14</v>
      </c>
      <c r="G3057" s="181" t="s">
        <v>647</v>
      </c>
      <c r="H3057" s="8">
        <v>285970.87</v>
      </c>
      <c r="I3057" s="8">
        <v>0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285970.87</v>
      </c>
    </row>
    <row r="3058" spans="1:15">
      <c r="A3058" s="191">
        <v>44896</v>
      </c>
      <c r="B3058" s="181" t="s">
        <v>122</v>
      </c>
      <c r="C3058" s="181" t="s">
        <v>776</v>
      </c>
      <c r="D3058" s="181" t="str">
        <f t="shared" si="50"/>
        <v>39601</v>
      </c>
      <c r="E3058" s="181" t="s">
        <v>15</v>
      </c>
      <c r="F3058" s="181" t="s">
        <v>14</v>
      </c>
      <c r="G3058" s="181" t="s">
        <v>647</v>
      </c>
      <c r="H3058" s="8">
        <v>0</v>
      </c>
      <c r="I3058" s="8">
        <v>0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0</v>
      </c>
    </row>
    <row r="3059" spans="1:15">
      <c r="A3059" s="191">
        <v>44531</v>
      </c>
      <c r="B3059" s="181" t="s">
        <v>13</v>
      </c>
      <c r="C3059" s="181" t="s">
        <v>777</v>
      </c>
      <c r="D3059" s="181" t="str">
        <f t="shared" si="50"/>
        <v>39602</v>
      </c>
      <c r="E3059" s="181" t="s">
        <v>15</v>
      </c>
      <c r="F3059" s="181" t="s">
        <v>14</v>
      </c>
      <c r="G3059" s="181" t="s">
        <v>647</v>
      </c>
      <c r="H3059" s="8">
        <v>186033.16</v>
      </c>
      <c r="I3059" s="8">
        <v>928.48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186961.64</v>
      </c>
    </row>
    <row r="3060" spans="1:15">
      <c r="A3060" s="191">
        <v>44531</v>
      </c>
      <c r="B3060" s="181" t="s">
        <v>13</v>
      </c>
      <c r="C3060" s="181" t="s">
        <v>778</v>
      </c>
      <c r="D3060" s="181" t="str">
        <f t="shared" si="50"/>
        <v>39602</v>
      </c>
      <c r="E3060" s="181" t="s">
        <v>15</v>
      </c>
      <c r="F3060" s="181" t="s">
        <v>14</v>
      </c>
      <c r="G3060" s="181" t="s">
        <v>647</v>
      </c>
      <c r="H3060" s="8">
        <v>0</v>
      </c>
      <c r="I3060" s="8">
        <v>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0</v>
      </c>
    </row>
    <row r="3061" spans="1:15">
      <c r="A3061" s="191">
        <v>44531</v>
      </c>
      <c r="B3061" s="181" t="s">
        <v>13</v>
      </c>
      <c r="C3061" s="181" t="s">
        <v>779</v>
      </c>
      <c r="D3061" s="181" t="str">
        <f t="shared" si="50"/>
        <v>39602</v>
      </c>
      <c r="E3061" s="181" t="s">
        <v>15</v>
      </c>
      <c r="F3061" s="181" t="s">
        <v>14</v>
      </c>
      <c r="G3061" s="181" t="s">
        <v>647</v>
      </c>
      <c r="H3061" s="8">
        <v>703442.72</v>
      </c>
      <c r="I3061" s="8">
        <v>8133.7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711576.42</v>
      </c>
    </row>
    <row r="3062" spans="1:15">
      <c r="A3062" s="191">
        <v>44531</v>
      </c>
      <c r="B3062" s="181" t="s">
        <v>13</v>
      </c>
      <c r="C3062" s="181" t="s">
        <v>780</v>
      </c>
      <c r="D3062" s="181" t="str">
        <f t="shared" si="50"/>
        <v>39602</v>
      </c>
      <c r="E3062" s="181" t="s">
        <v>15</v>
      </c>
      <c r="F3062" s="181" t="s">
        <v>14</v>
      </c>
      <c r="G3062" s="181" t="s">
        <v>647</v>
      </c>
      <c r="H3062" s="8">
        <v>-149012.38</v>
      </c>
      <c r="I3062" s="8">
        <v>134.65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-148877.73000000001</v>
      </c>
    </row>
    <row r="3063" spans="1:15">
      <c r="A3063" s="191">
        <v>44531</v>
      </c>
      <c r="B3063" s="181" t="s">
        <v>13</v>
      </c>
      <c r="C3063" s="181" t="s">
        <v>779</v>
      </c>
      <c r="D3063" s="181" t="str">
        <f t="shared" si="50"/>
        <v>39602</v>
      </c>
      <c r="E3063" s="181" t="s">
        <v>15</v>
      </c>
      <c r="F3063" s="181" t="s">
        <v>14</v>
      </c>
      <c r="G3063" s="181" t="s">
        <v>793</v>
      </c>
      <c r="H3063" s="8">
        <v>153577.04</v>
      </c>
      <c r="I3063" s="8">
        <v>0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153577.04</v>
      </c>
    </row>
    <row r="3064" spans="1:15">
      <c r="A3064" s="191">
        <v>44562</v>
      </c>
      <c r="B3064" s="181" t="s">
        <v>133</v>
      </c>
      <c r="C3064" s="181" t="s">
        <v>777</v>
      </c>
      <c r="D3064" s="181" t="str">
        <f t="shared" si="50"/>
        <v>39602</v>
      </c>
      <c r="E3064" s="181" t="s">
        <v>15</v>
      </c>
      <c r="F3064" s="181" t="s">
        <v>14</v>
      </c>
      <c r="G3064" s="181" t="s">
        <v>647</v>
      </c>
      <c r="H3064" s="8">
        <v>186961.64</v>
      </c>
      <c r="I3064" s="8">
        <v>928.48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187890.12</v>
      </c>
    </row>
    <row r="3065" spans="1:15">
      <c r="A3065" s="191">
        <v>44562</v>
      </c>
      <c r="B3065" s="181" t="s">
        <v>133</v>
      </c>
      <c r="C3065" s="181" t="s">
        <v>778</v>
      </c>
      <c r="D3065" s="181" t="str">
        <f t="shared" si="50"/>
        <v>39602</v>
      </c>
      <c r="E3065" s="181" t="s">
        <v>15</v>
      </c>
      <c r="F3065" s="181" t="s">
        <v>14</v>
      </c>
      <c r="G3065" s="181" t="s">
        <v>647</v>
      </c>
      <c r="H3065" s="8">
        <v>0</v>
      </c>
      <c r="I3065" s="8">
        <v>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0</v>
      </c>
    </row>
    <row r="3066" spans="1:15">
      <c r="A3066" s="191">
        <v>44562</v>
      </c>
      <c r="B3066" s="181" t="s">
        <v>133</v>
      </c>
      <c r="C3066" s="181" t="s">
        <v>779</v>
      </c>
      <c r="D3066" s="181" t="str">
        <f t="shared" si="50"/>
        <v>39602</v>
      </c>
      <c r="E3066" s="181" t="s">
        <v>15</v>
      </c>
      <c r="F3066" s="181" t="s">
        <v>14</v>
      </c>
      <c r="G3066" s="181" t="s">
        <v>647</v>
      </c>
      <c r="H3066" s="8">
        <v>711576.42</v>
      </c>
      <c r="I3066" s="8">
        <v>8133.7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719710.12</v>
      </c>
    </row>
    <row r="3067" spans="1:15">
      <c r="A3067" s="191">
        <v>44562</v>
      </c>
      <c r="B3067" s="181" t="s">
        <v>133</v>
      </c>
      <c r="C3067" s="181" t="s">
        <v>780</v>
      </c>
      <c r="D3067" s="181" t="str">
        <f t="shared" si="50"/>
        <v>39602</v>
      </c>
      <c r="E3067" s="181" t="s">
        <v>15</v>
      </c>
      <c r="F3067" s="181" t="s">
        <v>14</v>
      </c>
      <c r="G3067" s="181" t="s">
        <v>647</v>
      </c>
      <c r="H3067" s="8">
        <v>-148877.73000000001</v>
      </c>
      <c r="I3067" s="8">
        <v>134.65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-148743.08000000002</v>
      </c>
    </row>
    <row r="3068" spans="1:15">
      <c r="A3068" s="191">
        <v>44562</v>
      </c>
      <c r="B3068" s="181" t="s">
        <v>133</v>
      </c>
      <c r="C3068" s="181" t="s">
        <v>779</v>
      </c>
      <c r="D3068" s="181" t="str">
        <f t="shared" si="50"/>
        <v>39602</v>
      </c>
      <c r="E3068" s="181" t="s">
        <v>15</v>
      </c>
      <c r="F3068" s="181" t="s">
        <v>14</v>
      </c>
      <c r="G3068" s="181" t="s">
        <v>793</v>
      </c>
      <c r="H3068" s="8">
        <v>153577.04</v>
      </c>
      <c r="I3068" s="8">
        <v>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153577.04</v>
      </c>
    </row>
    <row r="3069" spans="1:15">
      <c r="A3069" s="191">
        <v>44593</v>
      </c>
      <c r="B3069" s="181" t="s">
        <v>132</v>
      </c>
      <c r="C3069" s="181" t="s">
        <v>777</v>
      </c>
      <c r="D3069" s="181" t="str">
        <f t="shared" ref="D3069:D3132" si="51">MID(C3069,10,5)</f>
        <v>39602</v>
      </c>
      <c r="E3069" s="181" t="s">
        <v>15</v>
      </c>
      <c r="F3069" s="181" t="s">
        <v>14</v>
      </c>
      <c r="G3069" s="181" t="s">
        <v>647</v>
      </c>
      <c r="H3069" s="8">
        <v>187890.12</v>
      </c>
      <c r="I3069" s="8">
        <v>928.48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188818.6</v>
      </c>
    </row>
    <row r="3070" spans="1:15">
      <c r="A3070" s="191">
        <v>44593</v>
      </c>
      <c r="B3070" s="181" t="s">
        <v>132</v>
      </c>
      <c r="C3070" s="181" t="s">
        <v>778</v>
      </c>
      <c r="D3070" s="181" t="str">
        <f t="shared" si="51"/>
        <v>39602</v>
      </c>
      <c r="E3070" s="181" t="s">
        <v>15</v>
      </c>
      <c r="F3070" s="181" t="s">
        <v>14</v>
      </c>
      <c r="G3070" s="181" t="s">
        <v>647</v>
      </c>
      <c r="H3070" s="8">
        <v>0</v>
      </c>
      <c r="I3070" s="8">
        <v>0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0</v>
      </c>
    </row>
    <row r="3071" spans="1:15">
      <c r="A3071" s="191">
        <v>44593</v>
      </c>
      <c r="B3071" s="181" t="s">
        <v>132</v>
      </c>
      <c r="C3071" s="181" t="s">
        <v>779</v>
      </c>
      <c r="D3071" s="181" t="str">
        <f t="shared" si="51"/>
        <v>39602</v>
      </c>
      <c r="E3071" s="181" t="s">
        <v>15</v>
      </c>
      <c r="F3071" s="181" t="s">
        <v>14</v>
      </c>
      <c r="G3071" s="181" t="s">
        <v>647</v>
      </c>
      <c r="H3071" s="8">
        <v>719710.12</v>
      </c>
      <c r="I3071" s="8">
        <v>8133.7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727843.82000000007</v>
      </c>
    </row>
    <row r="3072" spans="1:15">
      <c r="A3072" s="191">
        <v>44593</v>
      </c>
      <c r="B3072" s="181" t="s">
        <v>132</v>
      </c>
      <c r="C3072" s="181" t="s">
        <v>780</v>
      </c>
      <c r="D3072" s="181" t="str">
        <f t="shared" si="51"/>
        <v>39602</v>
      </c>
      <c r="E3072" s="181" t="s">
        <v>15</v>
      </c>
      <c r="F3072" s="181" t="s">
        <v>14</v>
      </c>
      <c r="G3072" s="181" t="s">
        <v>647</v>
      </c>
      <c r="H3072" s="8">
        <v>-148743.08000000002</v>
      </c>
      <c r="I3072" s="8">
        <v>134.65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-148608.43</v>
      </c>
    </row>
    <row r="3073" spans="1:15">
      <c r="A3073" s="191">
        <v>44593</v>
      </c>
      <c r="B3073" s="181" t="s">
        <v>132</v>
      </c>
      <c r="C3073" s="181" t="s">
        <v>779</v>
      </c>
      <c r="D3073" s="181" t="str">
        <f t="shared" si="51"/>
        <v>39602</v>
      </c>
      <c r="E3073" s="181" t="s">
        <v>15</v>
      </c>
      <c r="F3073" s="181" t="s">
        <v>14</v>
      </c>
      <c r="G3073" s="181" t="s">
        <v>793</v>
      </c>
      <c r="H3073" s="8">
        <v>153577.04</v>
      </c>
      <c r="I3073" s="8">
        <v>0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153577.04</v>
      </c>
    </row>
    <row r="3074" spans="1:15">
      <c r="A3074" s="191">
        <v>44621</v>
      </c>
      <c r="B3074" s="181" t="s">
        <v>131</v>
      </c>
      <c r="C3074" s="181" t="s">
        <v>777</v>
      </c>
      <c r="D3074" s="181" t="str">
        <f t="shared" si="51"/>
        <v>39602</v>
      </c>
      <c r="E3074" s="181" t="s">
        <v>15</v>
      </c>
      <c r="F3074" s="181" t="s">
        <v>14</v>
      </c>
      <c r="G3074" s="181" t="s">
        <v>647</v>
      </c>
      <c r="H3074" s="8">
        <v>188818.6</v>
      </c>
      <c r="I3074" s="8">
        <v>928.48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189747.08000000002</v>
      </c>
    </row>
    <row r="3075" spans="1:15">
      <c r="A3075" s="191">
        <v>44621</v>
      </c>
      <c r="B3075" s="181" t="s">
        <v>131</v>
      </c>
      <c r="C3075" s="181" t="s">
        <v>778</v>
      </c>
      <c r="D3075" s="181" t="str">
        <f t="shared" si="51"/>
        <v>39602</v>
      </c>
      <c r="E3075" s="181" t="s">
        <v>15</v>
      </c>
      <c r="F3075" s="181" t="s">
        <v>14</v>
      </c>
      <c r="G3075" s="181" t="s">
        <v>647</v>
      </c>
      <c r="H3075" s="8">
        <v>0</v>
      </c>
      <c r="I3075" s="8">
        <v>0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0</v>
      </c>
    </row>
    <row r="3076" spans="1:15">
      <c r="A3076" s="191">
        <v>44621</v>
      </c>
      <c r="B3076" s="181" t="s">
        <v>131</v>
      </c>
      <c r="C3076" s="181" t="s">
        <v>779</v>
      </c>
      <c r="D3076" s="181" t="str">
        <f t="shared" si="51"/>
        <v>39602</v>
      </c>
      <c r="E3076" s="181" t="s">
        <v>15</v>
      </c>
      <c r="F3076" s="181" t="s">
        <v>14</v>
      </c>
      <c r="G3076" s="181" t="s">
        <v>647</v>
      </c>
      <c r="H3076" s="8">
        <v>727843.82000000007</v>
      </c>
      <c r="I3076" s="8">
        <v>8254.23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736098.05</v>
      </c>
    </row>
    <row r="3077" spans="1:15">
      <c r="A3077" s="191">
        <v>44621</v>
      </c>
      <c r="B3077" s="181" t="s">
        <v>131</v>
      </c>
      <c r="C3077" s="181" t="s">
        <v>780</v>
      </c>
      <c r="D3077" s="181" t="str">
        <f t="shared" si="51"/>
        <v>39602</v>
      </c>
      <c r="E3077" s="181" t="s">
        <v>15</v>
      </c>
      <c r="F3077" s="181" t="s">
        <v>14</v>
      </c>
      <c r="G3077" s="181" t="s">
        <v>647</v>
      </c>
      <c r="H3077" s="8">
        <v>-148608.43</v>
      </c>
      <c r="I3077" s="8">
        <v>134.65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-148473.78</v>
      </c>
    </row>
    <row r="3078" spans="1:15">
      <c r="A3078" s="191">
        <v>44621</v>
      </c>
      <c r="B3078" s="181" t="s">
        <v>131</v>
      </c>
      <c r="C3078" s="181" t="s">
        <v>779</v>
      </c>
      <c r="D3078" s="181" t="str">
        <f t="shared" si="51"/>
        <v>39602</v>
      </c>
      <c r="E3078" s="181" t="s">
        <v>15</v>
      </c>
      <c r="F3078" s="181" t="s">
        <v>14</v>
      </c>
      <c r="G3078" s="181" t="s">
        <v>793</v>
      </c>
      <c r="H3078" s="8">
        <v>153577.04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153577.04</v>
      </c>
    </row>
    <row r="3079" spans="1:15">
      <c r="A3079" s="191">
        <v>44652</v>
      </c>
      <c r="B3079" s="181" t="s">
        <v>130</v>
      </c>
      <c r="C3079" s="181" t="s">
        <v>777</v>
      </c>
      <c r="D3079" s="181" t="str">
        <f t="shared" si="51"/>
        <v>39602</v>
      </c>
      <c r="E3079" s="181" t="s">
        <v>15</v>
      </c>
      <c r="F3079" s="181" t="s">
        <v>14</v>
      </c>
      <c r="G3079" s="181" t="s">
        <v>647</v>
      </c>
      <c r="H3079" s="8">
        <v>189747.08000000002</v>
      </c>
      <c r="I3079" s="8">
        <v>928.48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190675.56</v>
      </c>
    </row>
    <row r="3080" spans="1:15">
      <c r="A3080" s="191">
        <v>44652</v>
      </c>
      <c r="B3080" s="181" t="s">
        <v>130</v>
      </c>
      <c r="C3080" s="181" t="s">
        <v>778</v>
      </c>
      <c r="D3080" s="181" t="str">
        <f t="shared" si="51"/>
        <v>39602</v>
      </c>
      <c r="E3080" s="181" t="s">
        <v>15</v>
      </c>
      <c r="F3080" s="181" t="s">
        <v>14</v>
      </c>
      <c r="G3080" s="181" t="s">
        <v>647</v>
      </c>
      <c r="H3080" s="8">
        <v>0</v>
      </c>
      <c r="I3080" s="8">
        <v>0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0</v>
      </c>
    </row>
    <row r="3081" spans="1:15">
      <c r="A3081" s="191">
        <v>44652</v>
      </c>
      <c r="B3081" s="181" t="s">
        <v>130</v>
      </c>
      <c r="C3081" s="181" t="s">
        <v>779</v>
      </c>
      <c r="D3081" s="181" t="str">
        <f t="shared" si="51"/>
        <v>39602</v>
      </c>
      <c r="E3081" s="181" t="s">
        <v>15</v>
      </c>
      <c r="F3081" s="181" t="s">
        <v>14</v>
      </c>
      <c r="G3081" s="181" t="s">
        <v>647</v>
      </c>
      <c r="H3081" s="8">
        <v>736098.05</v>
      </c>
      <c r="I3081" s="8">
        <v>8374.77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744472.82000000007</v>
      </c>
    </row>
    <row r="3082" spans="1:15">
      <c r="A3082" s="191">
        <v>44652</v>
      </c>
      <c r="B3082" s="181" t="s">
        <v>130</v>
      </c>
      <c r="C3082" s="181" t="s">
        <v>780</v>
      </c>
      <c r="D3082" s="181" t="str">
        <f t="shared" si="51"/>
        <v>39602</v>
      </c>
      <c r="E3082" s="181" t="s">
        <v>15</v>
      </c>
      <c r="F3082" s="181" t="s">
        <v>14</v>
      </c>
      <c r="G3082" s="181" t="s">
        <v>647</v>
      </c>
      <c r="H3082" s="8">
        <v>-148473.78</v>
      </c>
      <c r="I3082" s="8">
        <v>134.65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-148339.13</v>
      </c>
    </row>
    <row r="3083" spans="1:15">
      <c r="A3083" s="191">
        <v>44652</v>
      </c>
      <c r="B3083" s="181" t="s">
        <v>130</v>
      </c>
      <c r="C3083" s="181" t="s">
        <v>779</v>
      </c>
      <c r="D3083" s="181" t="str">
        <f t="shared" si="51"/>
        <v>39602</v>
      </c>
      <c r="E3083" s="181" t="s">
        <v>15</v>
      </c>
      <c r="F3083" s="181" t="s">
        <v>14</v>
      </c>
      <c r="G3083" s="181" t="s">
        <v>793</v>
      </c>
      <c r="H3083" s="8">
        <v>153577.04</v>
      </c>
      <c r="I3083" s="8">
        <v>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153577.04</v>
      </c>
    </row>
    <row r="3084" spans="1:15">
      <c r="A3084" s="191">
        <v>44682</v>
      </c>
      <c r="B3084" s="181" t="s">
        <v>129</v>
      </c>
      <c r="C3084" s="181" t="s">
        <v>777</v>
      </c>
      <c r="D3084" s="181" t="str">
        <f t="shared" si="51"/>
        <v>39602</v>
      </c>
      <c r="E3084" s="181" t="s">
        <v>15</v>
      </c>
      <c r="F3084" s="181" t="s">
        <v>14</v>
      </c>
      <c r="G3084" s="181" t="s">
        <v>647</v>
      </c>
      <c r="H3084" s="8">
        <v>190675.56</v>
      </c>
      <c r="I3084" s="8">
        <v>928.48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191604.04</v>
      </c>
    </row>
    <row r="3085" spans="1:15">
      <c r="A3085" s="191">
        <v>44682</v>
      </c>
      <c r="B3085" s="181" t="s">
        <v>129</v>
      </c>
      <c r="C3085" s="181" t="s">
        <v>778</v>
      </c>
      <c r="D3085" s="181" t="str">
        <f t="shared" si="51"/>
        <v>39602</v>
      </c>
      <c r="E3085" s="181" t="s">
        <v>15</v>
      </c>
      <c r="F3085" s="181" t="s">
        <v>14</v>
      </c>
      <c r="G3085" s="181" t="s">
        <v>647</v>
      </c>
      <c r="H3085" s="8">
        <v>0</v>
      </c>
      <c r="I3085" s="8">
        <v>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0</v>
      </c>
    </row>
    <row r="3086" spans="1:15">
      <c r="A3086" s="191">
        <v>44682</v>
      </c>
      <c r="B3086" s="181" t="s">
        <v>129</v>
      </c>
      <c r="C3086" s="181" t="s">
        <v>779</v>
      </c>
      <c r="D3086" s="181" t="str">
        <f t="shared" si="51"/>
        <v>39602</v>
      </c>
      <c r="E3086" s="181" t="s">
        <v>15</v>
      </c>
      <c r="F3086" s="181" t="s">
        <v>14</v>
      </c>
      <c r="G3086" s="181" t="s">
        <v>647</v>
      </c>
      <c r="H3086" s="8">
        <v>744472.82000000007</v>
      </c>
      <c r="I3086" s="8">
        <v>8374.77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752847.59</v>
      </c>
    </row>
    <row r="3087" spans="1:15">
      <c r="A3087" s="191">
        <v>44682</v>
      </c>
      <c r="B3087" s="181" t="s">
        <v>129</v>
      </c>
      <c r="C3087" s="181" t="s">
        <v>780</v>
      </c>
      <c r="D3087" s="181" t="str">
        <f t="shared" si="51"/>
        <v>39602</v>
      </c>
      <c r="E3087" s="181" t="s">
        <v>15</v>
      </c>
      <c r="F3087" s="181" t="s">
        <v>14</v>
      </c>
      <c r="G3087" s="181" t="s">
        <v>647</v>
      </c>
      <c r="H3087" s="8">
        <v>-148339.13</v>
      </c>
      <c r="I3087" s="8">
        <v>134.65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-148204.48000000001</v>
      </c>
    </row>
    <row r="3088" spans="1:15">
      <c r="A3088" s="191">
        <v>44682</v>
      </c>
      <c r="B3088" s="181" t="s">
        <v>129</v>
      </c>
      <c r="C3088" s="181" t="s">
        <v>779</v>
      </c>
      <c r="D3088" s="181" t="str">
        <f t="shared" si="51"/>
        <v>39602</v>
      </c>
      <c r="E3088" s="181" t="s">
        <v>15</v>
      </c>
      <c r="F3088" s="181" t="s">
        <v>14</v>
      </c>
      <c r="G3088" s="181" t="s">
        <v>793</v>
      </c>
      <c r="H3088" s="8">
        <v>153577.04</v>
      </c>
      <c r="I3088" s="8">
        <v>0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153577.04</v>
      </c>
    </row>
    <row r="3089" spans="1:15">
      <c r="A3089" s="191">
        <v>44713</v>
      </c>
      <c r="B3089" s="181" t="s">
        <v>128</v>
      </c>
      <c r="C3089" s="181" t="s">
        <v>777</v>
      </c>
      <c r="D3089" s="181" t="str">
        <f t="shared" si="51"/>
        <v>39602</v>
      </c>
      <c r="E3089" s="181" t="s">
        <v>15</v>
      </c>
      <c r="F3089" s="181" t="s">
        <v>14</v>
      </c>
      <c r="G3089" s="181" t="s">
        <v>647</v>
      </c>
      <c r="H3089" s="8">
        <v>191604.04</v>
      </c>
      <c r="I3089" s="8">
        <v>928.48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192532.52</v>
      </c>
    </row>
    <row r="3090" spans="1:15">
      <c r="A3090" s="191">
        <v>44713</v>
      </c>
      <c r="B3090" s="181" t="s">
        <v>128</v>
      </c>
      <c r="C3090" s="181" t="s">
        <v>778</v>
      </c>
      <c r="D3090" s="181" t="str">
        <f t="shared" si="51"/>
        <v>39602</v>
      </c>
      <c r="E3090" s="181" t="s">
        <v>15</v>
      </c>
      <c r="F3090" s="181" t="s">
        <v>14</v>
      </c>
      <c r="G3090" s="181" t="s">
        <v>647</v>
      </c>
      <c r="H3090" s="8">
        <v>0</v>
      </c>
      <c r="I3090" s="8">
        <v>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0</v>
      </c>
    </row>
    <row r="3091" spans="1:15">
      <c r="A3091" s="191">
        <v>44713</v>
      </c>
      <c r="B3091" s="181" t="s">
        <v>128</v>
      </c>
      <c r="C3091" s="181" t="s">
        <v>779</v>
      </c>
      <c r="D3091" s="181" t="str">
        <f t="shared" si="51"/>
        <v>39602</v>
      </c>
      <c r="E3091" s="181" t="s">
        <v>15</v>
      </c>
      <c r="F3091" s="181" t="s">
        <v>14</v>
      </c>
      <c r="G3091" s="181" t="s">
        <v>647</v>
      </c>
      <c r="H3091" s="8">
        <v>752847.59</v>
      </c>
      <c r="I3091" s="8">
        <v>8374.77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761222.36</v>
      </c>
    </row>
    <row r="3092" spans="1:15">
      <c r="A3092" s="191">
        <v>44713</v>
      </c>
      <c r="B3092" s="181" t="s">
        <v>128</v>
      </c>
      <c r="C3092" s="181" t="s">
        <v>780</v>
      </c>
      <c r="D3092" s="181" t="str">
        <f t="shared" si="51"/>
        <v>39602</v>
      </c>
      <c r="E3092" s="181" t="s">
        <v>15</v>
      </c>
      <c r="F3092" s="181" t="s">
        <v>14</v>
      </c>
      <c r="G3092" s="181" t="s">
        <v>647</v>
      </c>
      <c r="H3092" s="8">
        <v>-148204.48000000001</v>
      </c>
      <c r="I3092" s="8">
        <v>134.65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-148069.83000000002</v>
      </c>
    </row>
    <row r="3093" spans="1:15">
      <c r="A3093" s="191">
        <v>44713</v>
      </c>
      <c r="B3093" s="181" t="s">
        <v>128</v>
      </c>
      <c r="C3093" s="181" t="s">
        <v>779</v>
      </c>
      <c r="D3093" s="181" t="str">
        <f t="shared" si="51"/>
        <v>39602</v>
      </c>
      <c r="E3093" s="181" t="s">
        <v>15</v>
      </c>
      <c r="F3093" s="181" t="s">
        <v>14</v>
      </c>
      <c r="G3093" s="181" t="s">
        <v>793</v>
      </c>
      <c r="H3093" s="8">
        <v>153577.04</v>
      </c>
      <c r="I3093" s="8">
        <v>0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153577.04</v>
      </c>
    </row>
    <row r="3094" spans="1:15">
      <c r="A3094" s="191">
        <v>44743</v>
      </c>
      <c r="B3094" s="181" t="s">
        <v>127</v>
      </c>
      <c r="C3094" s="181" t="s">
        <v>777</v>
      </c>
      <c r="D3094" s="181" t="str">
        <f t="shared" si="51"/>
        <v>39602</v>
      </c>
      <c r="E3094" s="181" t="s">
        <v>15</v>
      </c>
      <c r="F3094" s="181" t="s">
        <v>14</v>
      </c>
      <c r="G3094" s="181" t="s">
        <v>647</v>
      </c>
      <c r="H3094" s="8">
        <v>192532.52</v>
      </c>
      <c r="I3094" s="8">
        <v>928.48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193461</v>
      </c>
    </row>
    <row r="3095" spans="1:15">
      <c r="A3095" s="191">
        <v>44743</v>
      </c>
      <c r="B3095" s="181" t="s">
        <v>127</v>
      </c>
      <c r="C3095" s="181" t="s">
        <v>778</v>
      </c>
      <c r="D3095" s="181" t="str">
        <f t="shared" si="51"/>
        <v>39602</v>
      </c>
      <c r="E3095" s="181" t="s">
        <v>15</v>
      </c>
      <c r="F3095" s="181" t="s">
        <v>14</v>
      </c>
      <c r="G3095" s="181" t="s">
        <v>647</v>
      </c>
      <c r="H3095" s="8">
        <v>0</v>
      </c>
      <c r="I3095" s="8">
        <v>0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0</v>
      </c>
    </row>
    <row r="3096" spans="1:15">
      <c r="A3096" s="191">
        <v>44743</v>
      </c>
      <c r="B3096" s="181" t="s">
        <v>127</v>
      </c>
      <c r="C3096" s="181" t="s">
        <v>779</v>
      </c>
      <c r="D3096" s="181" t="str">
        <f t="shared" si="51"/>
        <v>39602</v>
      </c>
      <c r="E3096" s="181" t="s">
        <v>15</v>
      </c>
      <c r="F3096" s="181" t="s">
        <v>14</v>
      </c>
      <c r="G3096" s="181" t="s">
        <v>647</v>
      </c>
      <c r="H3096" s="8">
        <v>761222.36</v>
      </c>
      <c r="I3096" s="8">
        <v>8374.77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769597.13</v>
      </c>
    </row>
    <row r="3097" spans="1:15">
      <c r="A3097" s="191">
        <v>44743</v>
      </c>
      <c r="B3097" s="181" t="s">
        <v>127</v>
      </c>
      <c r="C3097" s="181" t="s">
        <v>780</v>
      </c>
      <c r="D3097" s="181" t="str">
        <f t="shared" si="51"/>
        <v>39602</v>
      </c>
      <c r="E3097" s="181" t="s">
        <v>15</v>
      </c>
      <c r="F3097" s="181" t="s">
        <v>14</v>
      </c>
      <c r="G3097" s="181" t="s">
        <v>647</v>
      </c>
      <c r="H3097" s="8">
        <v>-148069.83000000002</v>
      </c>
      <c r="I3097" s="8">
        <v>134.65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-147935.18</v>
      </c>
    </row>
    <row r="3098" spans="1:15">
      <c r="A3098" s="191">
        <v>44743</v>
      </c>
      <c r="B3098" s="181" t="s">
        <v>127</v>
      </c>
      <c r="C3098" s="181" t="s">
        <v>779</v>
      </c>
      <c r="D3098" s="181" t="str">
        <f t="shared" si="51"/>
        <v>39602</v>
      </c>
      <c r="E3098" s="181" t="s">
        <v>15</v>
      </c>
      <c r="F3098" s="181" t="s">
        <v>14</v>
      </c>
      <c r="G3098" s="181" t="s">
        <v>793</v>
      </c>
      <c r="H3098" s="8">
        <v>153577.04</v>
      </c>
      <c r="I3098" s="8">
        <v>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153577.04</v>
      </c>
    </row>
    <row r="3099" spans="1:15">
      <c r="A3099" s="191">
        <v>44774</v>
      </c>
      <c r="B3099" s="181" t="s">
        <v>126</v>
      </c>
      <c r="C3099" s="181" t="s">
        <v>777</v>
      </c>
      <c r="D3099" s="181" t="str">
        <f t="shared" si="51"/>
        <v>39602</v>
      </c>
      <c r="E3099" s="181" t="s">
        <v>15</v>
      </c>
      <c r="F3099" s="181" t="s">
        <v>14</v>
      </c>
      <c r="G3099" s="181" t="s">
        <v>647</v>
      </c>
      <c r="H3099" s="8">
        <v>193461</v>
      </c>
      <c r="I3099" s="8">
        <v>928.48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194389.48</v>
      </c>
    </row>
    <row r="3100" spans="1:15">
      <c r="A3100" s="191">
        <v>44774</v>
      </c>
      <c r="B3100" s="181" t="s">
        <v>126</v>
      </c>
      <c r="C3100" s="181" t="s">
        <v>778</v>
      </c>
      <c r="D3100" s="181" t="str">
        <f t="shared" si="51"/>
        <v>39602</v>
      </c>
      <c r="E3100" s="181" t="s">
        <v>15</v>
      </c>
      <c r="F3100" s="181" t="s">
        <v>14</v>
      </c>
      <c r="G3100" s="181" t="s">
        <v>647</v>
      </c>
      <c r="H3100" s="8">
        <v>0</v>
      </c>
      <c r="I3100" s="8">
        <v>0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0</v>
      </c>
    </row>
    <row r="3101" spans="1:15">
      <c r="A3101" s="191">
        <v>44774</v>
      </c>
      <c r="B3101" s="181" t="s">
        <v>126</v>
      </c>
      <c r="C3101" s="181" t="s">
        <v>779</v>
      </c>
      <c r="D3101" s="181" t="str">
        <f t="shared" si="51"/>
        <v>39602</v>
      </c>
      <c r="E3101" s="181" t="s">
        <v>15</v>
      </c>
      <c r="F3101" s="181" t="s">
        <v>14</v>
      </c>
      <c r="G3101" s="181" t="s">
        <v>647</v>
      </c>
      <c r="H3101" s="8">
        <v>769597.13</v>
      </c>
      <c r="I3101" s="8">
        <v>8385.5400000000009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777982.67</v>
      </c>
    </row>
    <row r="3102" spans="1:15">
      <c r="A3102" s="191">
        <v>44774</v>
      </c>
      <c r="B3102" s="181" t="s">
        <v>126</v>
      </c>
      <c r="C3102" s="181" t="s">
        <v>780</v>
      </c>
      <c r="D3102" s="181" t="str">
        <f t="shared" si="51"/>
        <v>39602</v>
      </c>
      <c r="E3102" s="181" t="s">
        <v>15</v>
      </c>
      <c r="F3102" s="181" t="s">
        <v>14</v>
      </c>
      <c r="G3102" s="181" t="s">
        <v>647</v>
      </c>
      <c r="H3102" s="8">
        <v>-147935.18</v>
      </c>
      <c r="I3102" s="8">
        <v>134.65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-147800.53</v>
      </c>
    </row>
    <row r="3103" spans="1:15">
      <c r="A3103" s="191">
        <v>44774</v>
      </c>
      <c r="B3103" s="181" t="s">
        <v>126</v>
      </c>
      <c r="C3103" s="181" t="s">
        <v>779</v>
      </c>
      <c r="D3103" s="181" t="str">
        <f t="shared" si="51"/>
        <v>39602</v>
      </c>
      <c r="E3103" s="181" t="s">
        <v>15</v>
      </c>
      <c r="F3103" s="181" t="s">
        <v>14</v>
      </c>
      <c r="G3103" s="181" t="s">
        <v>793</v>
      </c>
      <c r="H3103" s="8">
        <v>153577.04</v>
      </c>
      <c r="I3103" s="8">
        <v>0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153577.04</v>
      </c>
    </row>
    <row r="3104" spans="1:15">
      <c r="A3104" s="191">
        <v>44805</v>
      </c>
      <c r="B3104" s="181" t="s">
        <v>125</v>
      </c>
      <c r="C3104" s="181" t="s">
        <v>777</v>
      </c>
      <c r="D3104" s="181" t="str">
        <f t="shared" si="51"/>
        <v>39602</v>
      </c>
      <c r="E3104" s="181" t="s">
        <v>15</v>
      </c>
      <c r="F3104" s="181" t="s">
        <v>14</v>
      </c>
      <c r="G3104" s="181" t="s">
        <v>647</v>
      </c>
      <c r="H3104" s="8">
        <v>194389.48</v>
      </c>
      <c r="I3104" s="8">
        <v>928.48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195317.96</v>
      </c>
    </row>
    <row r="3105" spans="1:15">
      <c r="A3105" s="191">
        <v>44805</v>
      </c>
      <c r="B3105" s="181" t="s">
        <v>125</v>
      </c>
      <c r="C3105" s="181" t="s">
        <v>778</v>
      </c>
      <c r="D3105" s="181" t="str">
        <f t="shared" si="51"/>
        <v>39602</v>
      </c>
      <c r="E3105" s="181" t="s">
        <v>15</v>
      </c>
      <c r="F3105" s="181" t="s">
        <v>14</v>
      </c>
      <c r="G3105" s="181" t="s">
        <v>647</v>
      </c>
      <c r="H3105" s="8">
        <v>0</v>
      </c>
      <c r="I3105" s="8">
        <v>0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0</v>
      </c>
    </row>
    <row r="3106" spans="1:15">
      <c r="A3106" s="191">
        <v>44805</v>
      </c>
      <c r="B3106" s="181" t="s">
        <v>125</v>
      </c>
      <c r="C3106" s="181" t="s">
        <v>779</v>
      </c>
      <c r="D3106" s="181" t="str">
        <f t="shared" si="51"/>
        <v>39602</v>
      </c>
      <c r="E3106" s="181" t="s">
        <v>15</v>
      </c>
      <c r="F3106" s="181" t="s">
        <v>14</v>
      </c>
      <c r="G3106" s="181" t="s">
        <v>647</v>
      </c>
      <c r="H3106" s="8">
        <v>777982.67</v>
      </c>
      <c r="I3106" s="8">
        <v>8396.33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786379</v>
      </c>
    </row>
    <row r="3107" spans="1:15">
      <c r="A3107" s="191">
        <v>44805</v>
      </c>
      <c r="B3107" s="181" t="s">
        <v>125</v>
      </c>
      <c r="C3107" s="181" t="s">
        <v>780</v>
      </c>
      <c r="D3107" s="181" t="str">
        <f t="shared" si="51"/>
        <v>39602</v>
      </c>
      <c r="E3107" s="181" t="s">
        <v>15</v>
      </c>
      <c r="F3107" s="181" t="s">
        <v>14</v>
      </c>
      <c r="G3107" s="181" t="s">
        <v>647</v>
      </c>
      <c r="H3107" s="8">
        <v>-147800.53</v>
      </c>
      <c r="I3107" s="8">
        <v>134.65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-147665.88</v>
      </c>
    </row>
    <row r="3108" spans="1:15">
      <c r="A3108" s="191">
        <v>44805</v>
      </c>
      <c r="B3108" s="181" t="s">
        <v>125</v>
      </c>
      <c r="C3108" s="181" t="s">
        <v>779</v>
      </c>
      <c r="D3108" s="181" t="str">
        <f t="shared" si="51"/>
        <v>39602</v>
      </c>
      <c r="E3108" s="181" t="s">
        <v>15</v>
      </c>
      <c r="F3108" s="181" t="s">
        <v>14</v>
      </c>
      <c r="G3108" s="181" t="s">
        <v>793</v>
      </c>
      <c r="H3108" s="8">
        <v>153577.04</v>
      </c>
      <c r="I3108" s="8">
        <v>0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153577.04</v>
      </c>
    </row>
    <row r="3109" spans="1:15">
      <c r="A3109" s="191">
        <v>44835</v>
      </c>
      <c r="B3109" s="181" t="s">
        <v>124</v>
      </c>
      <c r="C3109" s="181" t="s">
        <v>777</v>
      </c>
      <c r="D3109" s="181" t="str">
        <f t="shared" si="51"/>
        <v>39602</v>
      </c>
      <c r="E3109" s="181" t="s">
        <v>15</v>
      </c>
      <c r="F3109" s="181" t="s">
        <v>14</v>
      </c>
      <c r="G3109" s="181" t="s">
        <v>647</v>
      </c>
      <c r="H3109" s="8">
        <v>195317.96</v>
      </c>
      <c r="I3109" s="8">
        <v>928.48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196246.44</v>
      </c>
    </row>
    <row r="3110" spans="1:15">
      <c r="A3110" s="191">
        <v>44835</v>
      </c>
      <c r="B3110" s="181" t="s">
        <v>124</v>
      </c>
      <c r="C3110" s="181" t="s">
        <v>778</v>
      </c>
      <c r="D3110" s="181" t="str">
        <f t="shared" si="51"/>
        <v>39602</v>
      </c>
      <c r="E3110" s="181" t="s">
        <v>15</v>
      </c>
      <c r="F3110" s="181" t="s">
        <v>14</v>
      </c>
      <c r="G3110" s="181" t="s">
        <v>647</v>
      </c>
      <c r="H3110" s="8">
        <v>0</v>
      </c>
      <c r="I3110" s="8">
        <v>0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0</v>
      </c>
    </row>
    <row r="3111" spans="1:15">
      <c r="A3111" s="191">
        <v>44835</v>
      </c>
      <c r="B3111" s="181" t="s">
        <v>124</v>
      </c>
      <c r="C3111" s="181" t="s">
        <v>779</v>
      </c>
      <c r="D3111" s="181" t="str">
        <f t="shared" si="51"/>
        <v>39602</v>
      </c>
      <c r="E3111" s="181" t="s">
        <v>15</v>
      </c>
      <c r="F3111" s="181" t="s">
        <v>14</v>
      </c>
      <c r="G3111" s="181" t="s">
        <v>647</v>
      </c>
      <c r="H3111" s="8">
        <v>786379</v>
      </c>
      <c r="I3111" s="8">
        <v>8396.33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794775.33000000007</v>
      </c>
    </row>
    <row r="3112" spans="1:15">
      <c r="A3112" s="191">
        <v>44835</v>
      </c>
      <c r="B3112" s="181" t="s">
        <v>124</v>
      </c>
      <c r="C3112" s="181" t="s">
        <v>780</v>
      </c>
      <c r="D3112" s="181" t="str">
        <f t="shared" si="51"/>
        <v>39602</v>
      </c>
      <c r="E3112" s="181" t="s">
        <v>15</v>
      </c>
      <c r="F3112" s="181" t="s">
        <v>14</v>
      </c>
      <c r="G3112" s="181" t="s">
        <v>647</v>
      </c>
      <c r="H3112" s="8">
        <v>-147665.88</v>
      </c>
      <c r="I3112" s="8">
        <v>134.65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-147531.23000000001</v>
      </c>
    </row>
    <row r="3113" spans="1:15">
      <c r="A3113" s="191">
        <v>44835</v>
      </c>
      <c r="B3113" s="181" t="s">
        <v>124</v>
      </c>
      <c r="C3113" s="181" t="s">
        <v>779</v>
      </c>
      <c r="D3113" s="181" t="str">
        <f t="shared" si="51"/>
        <v>39602</v>
      </c>
      <c r="E3113" s="181" t="s">
        <v>15</v>
      </c>
      <c r="F3113" s="181" t="s">
        <v>14</v>
      </c>
      <c r="G3113" s="181" t="s">
        <v>793</v>
      </c>
      <c r="H3113" s="8">
        <v>153577.04</v>
      </c>
      <c r="I3113" s="8">
        <v>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153577.04</v>
      </c>
    </row>
    <row r="3114" spans="1:15">
      <c r="A3114" s="191">
        <v>44866</v>
      </c>
      <c r="B3114" s="181" t="s">
        <v>123</v>
      </c>
      <c r="C3114" s="181" t="s">
        <v>777</v>
      </c>
      <c r="D3114" s="181" t="str">
        <f t="shared" si="51"/>
        <v>39602</v>
      </c>
      <c r="E3114" s="181" t="s">
        <v>15</v>
      </c>
      <c r="F3114" s="181" t="s">
        <v>14</v>
      </c>
      <c r="G3114" s="181" t="s">
        <v>647</v>
      </c>
      <c r="H3114" s="8">
        <v>196246.44</v>
      </c>
      <c r="I3114" s="8">
        <v>928.48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197174.92</v>
      </c>
    </row>
    <row r="3115" spans="1:15">
      <c r="A3115" s="191">
        <v>44866</v>
      </c>
      <c r="B3115" s="181" t="s">
        <v>123</v>
      </c>
      <c r="C3115" s="181" t="s">
        <v>778</v>
      </c>
      <c r="D3115" s="181" t="str">
        <f t="shared" si="51"/>
        <v>39602</v>
      </c>
      <c r="E3115" s="181" t="s">
        <v>15</v>
      </c>
      <c r="F3115" s="181" t="s">
        <v>14</v>
      </c>
      <c r="G3115" s="181" t="s">
        <v>647</v>
      </c>
      <c r="H3115" s="8">
        <v>0</v>
      </c>
      <c r="I3115" s="8">
        <v>0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0</v>
      </c>
    </row>
    <row r="3116" spans="1:15">
      <c r="A3116" s="191">
        <v>44866</v>
      </c>
      <c r="B3116" s="181" t="s">
        <v>123</v>
      </c>
      <c r="C3116" s="181" t="s">
        <v>779</v>
      </c>
      <c r="D3116" s="181" t="str">
        <f t="shared" si="51"/>
        <v>39602</v>
      </c>
      <c r="E3116" s="181" t="s">
        <v>15</v>
      </c>
      <c r="F3116" s="181" t="s">
        <v>14</v>
      </c>
      <c r="G3116" s="181" t="s">
        <v>647</v>
      </c>
      <c r="H3116" s="8">
        <v>794775.33000000007</v>
      </c>
      <c r="I3116" s="8">
        <v>8396.33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803171.66</v>
      </c>
    </row>
    <row r="3117" spans="1:15">
      <c r="A3117" s="191">
        <v>44866</v>
      </c>
      <c r="B3117" s="181" t="s">
        <v>123</v>
      </c>
      <c r="C3117" s="181" t="s">
        <v>780</v>
      </c>
      <c r="D3117" s="181" t="str">
        <f t="shared" si="51"/>
        <v>39602</v>
      </c>
      <c r="E3117" s="181" t="s">
        <v>15</v>
      </c>
      <c r="F3117" s="181" t="s">
        <v>14</v>
      </c>
      <c r="G3117" s="181" t="s">
        <v>647</v>
      </c>
      <c r="H3117" s="8">
        <v>-147531.23000000001</v>
      </c>
      <c r="I3117" s="8">
        <v>134.65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-147396.58000000002</v>
      </c>
    </row>
    <row r="3118" spans="1:15">
      <c r="A3118" s="191">
        <v>44866</v>
      </c>
      <c r="B3118" s="181" t="s">
        <v>123</v>
      </c>
      <c r="C3118" s="181" t="s">
        <v>779</v>
      </c>
      <c r="D3118" s="181" t="str">
        <f t="shared" si="51"/>
        <v>39602</v>
      </c>
      <c r="E3118" s="181" t="s">
        <v>15</v>
      </c>
      <c r="F3118" s="181" t="s">
        <v>14</v>
      </c>
      <c r="G3118" s="181" t="s">
        <v>793</v>
      </c>
      <c r="H3118" s="8">
        <v>153577.04</v>
      </c>
      <c r="I3118" s="8">
        <v>0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153577.04</v>
      </c>
    </row>
    <row r="3119" spans="1:15">
      <c r="A3119" s="191">
        <v>44896</v>
      </c>
      <c r="B3119" s="181" t="s">
        <v>122</v>
      </c>
      <c r="C3119" s="181" t="s">
        <v>777</v>
      </c>
      <c r="D3119" s="181" t="str">
        <f t="shared" si="51"/>
        <v>39602</v>
      </c>
      <c r="E3119" s="181" t="s">
        <v>15</v>
      </c>
      <c r="F3119" s="181" t="s">
        <v>14</v>
      </c>
      <c r="G3119" s="181" t="s">
        <v>647</v>
      </c>
      <c r="H3119" s="8">
        <v>197174.92</v>
      </c>
      <c r="I3119" s="8">
        <v>928.48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198103.4</v>
      </c>
    </row>
    <row r="3120" spans="1:15">
      <c r="A3120" s="191">
        <v>44896</v>
      </c>
      <c r="B3120" s="181" t="s">
        <v>122</v>
      </c>
      <c r="C3120" s="181" t="s">
        <v>778</v>
      </c>
      <c r="D3120" s="181" t="str">
        <f t="shared" si="51"/>
        <v>39602</v>
      </c>
      <c r="E3120" s="181" t="s">
        <v>15</v>
      </c>
      <c r="F3120" s="181" t="s">
        <v>14</v>
      </c>
      <c r="G3120" s="181" t="s">
        <v>647</v>
      </c>
      <c r="H3120" s="8">
        <v>0</v>
      </c>
      <c r="I3120" s="8">
        <v>0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0</v>
      </c>
    </row>
    <row r="3121" spans="1:15">
      <c r="A3121" s="191">
        <v>44896</v>
      </c>
      <c r="B3121" s="181" t="s">
        <v>122</v>
      </c>
      <c r="C3121" s="181" t="s">
        <v>779</v>
      </c>
      <c r="D3121" s="181" t="str">
        <f t="shared" si="51"/>
        <v>39602</v>
      </c>
      <c r="E3121" s="181" t="s">
        <v>15</v>
      </c>
      <c r="F3121" s="181" t="s">
        <v>14</v>
      </c>
      <c r="G3121" s="181" t="s">
        <v>647</v>
      </c>
      <c r="H3121" s="8">
        <v>803171.66</v>
      </c>
      <c r="I3121" s="8">
        <v>8396.33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811567.99</v>
      </c>
    </row>
    <row r="3122" spans="1:15">
      <c r="A3122" s="191">
        <v>44896</v>
      </c>
      <c r="B3122" s="181" t="s">
        <v>122</v>
      </c>
      <c r="C3122" s="181" t="s">
        <v>780</v>
      </c>
      <c r="D3122" s="181" t="str">
        <f t="shared" si="51"/>
        <v>39602</v>
      </c>
      <c r="E3122" s="181" t="s">
        <v>15</v>
      </c>
      <c r="F3122" s="181" t="s">
        <v>14</v>
      </c>
      <c r="G3122" s="181" t="s">
        <v>647</v>
      </c>
      <c r="H3122" s="8">
        <v>-147396.58000000002</v>
      </c>
      <c r="I3122" s="8">
        <v>0</v>
      </c>
      <c r="J3122" s="8">
        <v>0</v>
      </c>
      <c r="K3122" s="8">
        <v>0</v>
      </c>
      <c r="L3122" s="8">
        <v>0</v>
      </c>
      <c r="M3122" s="8">
        <v>147396.58000000002</v>
      </c>
      <c r="N3122" s="8">
        <v>0</v>
      </c>
      <c r="O3122" s="8">
        <v>0</v>
      </c>
    </row>
    <row r="3123" spans="1:15">
      <c r="A3123" s="191">
        <v>44896</v>
      </c>
      <c r="B3123" s="181" t="s">
        <v>122</v>
      </c>
      <c r="C3123" s="181" t="s">
        <v>779</v>
      </c>
      <c r="D3123" s="181" t="str">
        <f t="shared" si="51"/>
        <v>39602</v>
      </c>
      <c r="E3123" s="181" t="s">
        <v>15</v>
      </c>
      <c r="F3123" s="181" t="s">
        <v>14</v>
      </c>
      <c r="G3123" s="181" t="s">
        <v>793</v>
      </c>
      <c r="H3123" s="8">
        <v>153577.04</v>
      </c>
      <c r="I3123" s="8">
        <v>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153577.04</v>
      </c>
    </row>
    <row r="3124" spans="1:15">
      <c r="A3124" s="191">
        <v>44531</v>
      </c>
      <c r="B3124" s="181" t="s">
        <v>13</v>
      </c>
      <c r="C3124" s="181" t="s">
        <v>781</v>
      </c>
      <c r="D3124" s="181" t="str">
        <f t="shared" si="51"/>
        <v>39700</v>
      </c>
      <c r="E3124" s="181" t="s">
        <v>15</v>
      </c>
      <c r="F3124" s="181" t="s">
        <v>14</v>
      </c>
      <c r="G3124" s="181" t="s">
        <v>647</v>
      </c>
      <c r="H3124" s="8">
        <v>700326.28</v>
      </c>
      <c r="I3124" s="8">
        <v>9178.0500000000011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709504.33</v>
      </c>
    </row>
    <row r="3125" spans="1:15">
      <c r="A3125" s="191">
        <v>44531</v>
      </c>
      <c r="B3125" s="181" t="s">
        <v>13</v>
      </c>
      <c r="C3125" s="181" t="s">
        <v>782</v>
      </c>
      <c r="D3125" s="181" t="str">
        <f t="shared" si="51"/>
        <v>39700</v>
      </c>
      <c r="E3125" s="181" t="s">
        <v>15</v>
      </c>
      <c r="F3125" s="181" t="s">
        <v>14</v>
      </c>
      <c r="G3125" s="181" t="s">
        <v>647</v>
      </c>
      <c r="H3125" s="8">
        <v>0</v>
      </c>
      <c r="I3125" s="8">
        <v>0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0</v>
      </c>
    </row>
    <row r="3126" spans="1:15">
      <c r="A3126" s="191">
        <v>44531</v>
      </c>
      <c r="B3126" s="181" t="s">
        <v>13</v>
      </c>
      <c r="C3126" s="181" t="s">
        <v>781</v>
      </c>
      <c r="D3126" s="181" t="str">
        <f t="shared" si="51"/>
        <v>39700</v>
      </c>
      <c r="E3126" s="181" t="s">
        <v>15</v>
      </c>
      <c r="F3126" s="181" t="s">
        <v>14</v>
      </c>
      <c r="G3126" s="181" t="s">
        <v>793</v>
      </c>
      <c r="H3126" s="8">
        <v>27879.47</v>
      </c>
      <c r="I3126" s="8">
        <v>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27879.47</v>
      </c>
    </row>
    <row r="3127" spans="1:15">
      <c r="A3127" s="191">
        <v>44562</v>
      </c>
      <c r="B3127" s="181" t="s">
        <v>133</v>
      </c>
      <c r="C3127" s="181" t="s">
        <v>781</v>
      </c>
      <c r="D3127" s="181" t="str">
        <f t="shared" si="51"/>
        <v>39700</v>
      </c>
      <c r="E3127" s="181" t="s">
        <v>15</v>
      </c>
      <c r="F3127" s="181" t="s">
        <v>14</v>
      </c>
      <c r="G3127" s="181" t="s">
        <v>647</v>
      </c>
      <c r="H3127" s="8">
        <v>709504.33</v>
      </c>
      <c r="I3127" s="8">
        <v>9178.0500000000011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718682.38</v>
      </c>
    </row>
    <row r="3128" spans="1:15">
      <c r="A3128" s="191">
        <v>44562</v>
      </c>
      <c r="B3128" s="181" t="s">
        <v>133</v>
      </c>
      <c r="C3128" s="181" t="s">
        <v>782</v>
      </c>
      <c r="D3128" s="181" t="str">
        <f t="shared" si="51"/>
        <v>39700</v>
      </c>
      <c r="E3128" s="181" t="s">
        <v>15</v>
      </c>
      <c r="F3128" s="181" t="s">
        <v>14</v>
      </c>
      <c r="G3128" s="181" t="s">
        <v>647</v>
      </c>
      <c r="H3128" s="8">
        <v>0</v>
      </c>
      <c r="I3128" s="8">
        <v>0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0</v>
      </c>
    </row>
    <row r="3129" spans="1:15">
      <c r="A3129" s="191">
        <v>44562</v>
      </c>
      <c r="B3129" s="181" t="s">
        <v>133</v>
      </c>
      <c r="C3129" s="181" t="s">
        <v>781</v>
      </c>
      <c r="D3129" s="181" t="str">
        <f t="shared" si="51"/>
        <v>39700</v>
      </c>
      <c r="E3129" s="181" t="s">
        <v>15</v>
      </c>
      <c r="F3129" s="181" t="s">
        <v>14</v>
      </c>
      <c r="G3129" s="181" t="s">
        <v>793</v>
      </c>
      <c r="H3129" s="8">
        <v>27879.47</v>
      </c>
      <c r="I3129" s="8">
        <v>0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27879.47</v>
      </c>
    </row>
    <row r="3130" spans="1:15">
      <c r="A3130" s="191">
        <v>44593</v>
      </c>
      <c r="B3130" s="181" t="s">
        <v>132</v>
      </c>
      <c r="C3130" s="181" t="s">
        <v>781</v>
      </c>
      <c r="D3130" s="181" t="str">
        <f t="shared" si="51"/>
        <v>39700</v>
      </c>
      <c r="E3130" s="181" t="s">
        <v>15</v>
      </c>
      <c r="F3130" s="181" t="s">
        <v>14</v>
      </c>
      <c r="G3130" s="181" t="s">
        <v>647</v>
      </c>
      <c r="H3130" s="8">
        <v>718682.38</v>
      </c>
      <c r="I3130" s="8">
        <v>9178.0500000000011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727860.43</v>
      </c>
    </row>
    <row r="3131" spans="1:15">
      <c r="A3131" s="191">
        <v>44593</v>
      </c>
      <c r="B3131" s="181" t="s">
        <v>132</v>
      </c>
      <c r="C3131" s="181" t="s">
        <v>782</v>
      </c>
      <c r="D3131" s="181" t="str">
        <f t="shared" si="51"/>
        <v>39700</v>
      </c>
      <c r="E3131" s="181" t="s">
        <v>15</v>
      </c>
      <c r="F3131" s="181" t="s">
        <v>14</v>
      </c>
      <c r="G3131" s="181" t="s">
        <v>647</v>
      </c>
      <c r="H3131" s="8">
        <v>0</v>
      </c>
      <c r="I3131" s="8">
        <v>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0</v>
      </c>
    </row>
    <row r="3132" spans="1:15">
      <c r="A3132" s="191">
        <v>44593</v>
      </c>
      <c r="B3132" s="181" t="s">
        <v>132</v>
      </c>
      <c r="C3132" s="181" t="s">
        <v>781</v>
      </c>
      <c r="D3132" s="181" t="str">
        <f t="shared" si="51"/>
        <v>39700</v>
      </c>
      <c r="E3132" s="181" t="s">
        <v>15</v>
      </c>
      <c r="F3132" s="181" t="s">
        <v>14</v>
      </c>
      <c r="G3132" s="181" t="s">
        <v>793</v>
      </c>
      <c r="H3132" s="8">
        <v>27879.47</v>
      </c>
      <c r="I3132" s="8">
        <v>0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27879.47</v>
      </c>
    </row>
    <row r="3133" spans="1:15">
      <c r="A3133" s="191">
        <v>44621</v>
      </c>
      <c r="B3133" s="181" t="s">
        <v>131</v>
      </c>
      <c r="C3133" s="181" t="s">
        <v>781</v>
      </c>
      <c r="D3133" s="181" t="str">
        <f t="shared" ref="D3133:D3196" si="52">MID(C3133,10,5)</f>
        <v>39700</v>
      </c>
      <c r="E3133" s="181" t="s">
        <v>15</v>
      </c>
      <c r="F3133" s="181" t="s">
        <v>14</v>
      </c>
      <c r="G3133" s="181" t="s">
        <v>647</v>
      </c>
      <c r="H3133" s="8">
        <v>727860.43</v>
      </c>
      <c r="I3133" s="8">
        <v>8102.46</v>
      </c>
      <c r="J3133" s="8">
        <v>-299121</v>
      </c>
      <c r="K3133" s="8">
        <v>0</v>
      </c>
      <c r="L3133" s="8">
        <v>0</v>
      </c>
      <c r="M3133" s="8">
        <v>0</v>
      </c>
      <c r="N3133" s="8">
        <v>0</v>
      </c>
      <c r="O3133" s="8">
        <v>436841.89</v>
      </c>
    </row>
    <row r="3134" spans="1:15">
      <c r="A3134" s="191">
        <v>44621</v>
      </c>
      <c r="B3134" s="181" t="s">
        <v>131</v>
      </c>
      <c r="C3134" s="181" t="s">
        <v>782</v>
      </c>
      <c r="D3134" s="181" t="str">
        <f t="shared" si="52"/>
        <v>39700</v>
      </c>
      <c r="E3134" s="181" t="s">
        <v>15</v>
      </c>
      <c r="F3134" s="181" t="s">
        <v>14</v>
      </c>
      <c r="G3134" s="181" t="s">
        <v>647</v>
      </c>
      <c r="H3134" s="8">
        <v>0</v>
      </c>
      <c r="I3134" s="8">
        <v>0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0</v>
      </c>
    </row>
    <row r="3135" spans="1:15">
      <c r="A3135" s="191">
        <v>44621</v>
      </c>
      <c r="B3135" s="181" t="s">
        <v>131</v>
      </c>
      <c r="C3135" s="181" t="s">
        <v>781</v>
      </c>
      <c r="D3135" s="181" t="str">
        <f t="shared" si="52"/>
        <v>39700</v>
      </c>
      <c r="E3135" s="181" t="s">
        <v>15</v>
      </c>
      <c r="F3135" s="181" t="s">
        <v>14</v>
      </c>
      <c r="G3135" s="181" t="s">
        <v>793</v>
      </c>
      <c r="H3135" s="8">
        <v>27879.47</v>
      </c>
      <c r="I3135" s="8">
        <v>0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27879.47</v>
      </c>
    </row>
    <row r="3136" spans="1:15">
      <c r="A3136" s="191">
        <v>44652</v>
      </c>
      <c r="B3136" s="181" t="s">
        <v>130</v>
      </c>
      <c r="C3136" s="181" t="s">
        <v>781</v>
      </c>
      <c r="D3136" s="181" t="str">
        <f t="shared" si="52"/>
        <v>39700</v>
      </c>
      <c r="E3136" s="181" t="s">
        <v>15</v>
      </c>
      <c r="F3136" s="181" t="s">
        <v>14</v>
      </c>
      <c r="G3136" s="181" t="s">
        <v>647</v>
      </c>
      <c r="H3136" s="8">
        <v>436841.89</v>
      </c>
      <c r="I3136" s="8">
        <v>7026.87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443868.76</v>
      </c>
    </row>
    <row r="3137" spans="1:15">
      <c r="A3137" s="191">
        <v>44652</v>
      </c>
      <c r="B3137" s="181" t="s">
        <v>130</v>
      </c>
      <c r="C3137" s="181" t="s">
        <v>782</v>
      </c>
      <c r="D3137" s="181" t="str">
        <f t="shared" si="52"/>
        <v>39700</v>
      </c>
      <c r="E3137" s="181" t="s">
        <v>15</v>
      </c>
      <c r="F3137" s="181" t="s">
        <v>14</v>
      </c>
      <c r="G3137" s="181" t="s">
        <v>647</v>
      </c>
      <c r="H3137" s="8">
        <v>0</v>
      </c>
      <c r="I3137" s="8">
        <v>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0</v>
      </c>
    </row>
    <row r="3138" spans="1:15">
      <c r="A3138" s="191">
        <v>44652</v>
      </c>
      <c r="B3138" s="181" t="s">
        <v>130</v>
      </c>
      <c r="C3138" s="181" t="s">
        <v>781</v>
      </c>
      <c r="D3138" s="181" t="str">
        <f t="shared" si="52"/>
        <v>39700</v>
      </c>
      <c r="E3138" s="181" t="s">
        <v>15</v>
      </c>
      <c r="F3138" s="181" t="s">
        <v>14</v>
      </c>
      <c r="G3138" s="181" t="s">
        <v>793</v>
      </c>
      <c r="H3138" s="8">
        <v>27879.47</v>
      </c>
      <c r="I3138" s="8">
        <v>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27879.47</v>
      </c>
    </row>
    <row r="3139" spans="1:15">
      <c r="A3139" s="191">
        <v>44682</v>
      </c>
      <c r="B3139" s="181" t="s">
        <v>129</v>
      </c>
      <c r="C3139" s="181" t="s">
        <v>781</v>
      </c>
      <c r="D3139" s="181" t="str">
        <f t="shared" si="52"/>
        <v>39700</v>
      </c>
      <c r="E3139" s="181" t="s">
        <v>15</v>
      </c>
      <c r="F3139" s="181" t="s">
        <v>14</v>
      </c>
      <c r="G3139" s="181" t="s">
        <v>647</v>
      </c>
      <c r="H3139" s="8">
        <v>443868.76</v>
      </c>
      <c r="I3139" s="8">
        <v>7026.87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450895.63</v>
      </c>
    </row>
    <row r="3140" spans="1:15">
      <c r="A3140" s="191">
        <v>44682</v>
      </c>
      <c r="B3140" s="181" t="s">
        <v>129</v>
      </c>
      <c r="C3140" s="181" t="s">
        <v>782</v>
      </c>
      <c r="D3140" s="181" t="str">
        <f t="shared" si="52"/>
        <v>39700</v>
      </c>
      <c r="E3140" s="181" t="s">
        <v>15</v>
      </c>
      <c r="F3140" s="181" t="s">
        <v>14</v>
      </c>
      <c r="G3140" s="181" t="s">
        <v>647</v>
      </c>
      <c r="H3140" s="8">
        <v>0</v>
      </c>
      <c r="I3140" s="8">
        <v>0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0</v>
      </c>
    </row>
    <row r="3141" spans="1:15">
      <c r="A3141" s="191">
        <v>44682</v>
      </c>
      <c r="B3141" s="181" t="s">
        <v>129</v>
      </c>
      <c r="C3141" s="181" t="s">
        <v>781</v>
      </c>
      <c r="D3141" s="181" t="str">
        <f t="shared" si="52"/>
        <v>39700</v>
      </c>
      <c r="E3141" s="181" t="s">
        <v>15</v>
      </c>
      <c r="F3141" s="181" t="s">
        <v>14</v>
      </c>
      <c r="G3141" s="181" t="s">
        <v>793</v>
      </c>
      <c r="H3141" s="8">
        <v>27879.47</v>
      </c>
      <c r="I3141" s="8">
        <v>0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27879.47</v>
      </c>
    </row>
    <row r="3142" spans="1:15">
      <c r="A3142" s="191">
        <v>44713</v>
      </c>
      <c r="B3142" s="181" t="s">
        <v>128</v>
      </c>
      <c r="C3142" s="181" t="s">
        <v>781</v>
      </c>
      <c r="D3142" s="181" t="str">
        <f t="shared" si="52"/>
        <v>39700</v>
      </c>
      <c r="E3142" s="181" t="s">
        <v>15</v>
      </c>
      <c r="F3142" s="181" t="s">
        <v>14</v>
      </c>
      <c r="G3142" s="181" t="s">
        <v>647</v>
      </c>
      <c r="H3142" s="8">
        <v>450895.63</v>
      </c>
      <c r="I3142" s="8">
        <v>7026.87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457922.5</v>
      </c>
    </row>
    <row r="3143" spans="1:15">
      <c r="A3143" s="191">
        <v>44713</v>
      </c>
      <c r="B3143" s="181" t="s">
        <v>128</v>
      </c>
      <c r="C3143" s="181" t="s">
        <v>782</v>
      </c>
      <c r="D3143" s="181" t="str">
        <f t="shared" si="52"/>
        <v>39700</v>
      </c>
      <c r="E3143" s="181" t="s">
        <v>15</v>
      </c>
      <c r="F3143" s="181" t="s">
        <v>14</v>
      </c>
      <c r="G3143" s="181" t="s">
        <v>647</v>
      </c>
      <c r="H3143" s="8">
        <v>0</v>
      </c>
      <c r="I3143" s="8">
        <v>0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0</v>
      </c>
    </row>
    <row r="3144" spans="1:15">
      <c r="A3144" s="191">
        <v>44713</v>
      </c>
      <c r="B3144" s="181" t="s">
        <v>128</v>
      </c>
      <c r="C3144" s="181" t="s">
        <v>781</v>
      </c>
      <c r="D3144" s="181" t="str">
        <f t="shared" si="52"/>
        <v>39700</v>
      </c>
      <c r="E3144" s="181" t="s">
        <v>15</v>
      </c>
      <c r="F3144" s="181" t="s">
        <v>14</v>
      </c>
      <c r="G3144" s="181" t="s">
        <v>793</v>
      </c>
      <c r="H3144" s="8">
        <v>27879.47</v>
      </c>
      <c r="I3144" s="8">
        <v>0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27879.47</v>
      </c>
    </row>
    <row r="3145" spans="1:15">
      <c r="A3145" s="191">
        <v>44743</v>
      </c>
      <c r="B3145" s="181" t="s">
        <v>127</v>
      </c>
      <c r="C3145" s="181" t="s">
        <v>781</v>
      </c>
      <c r="D3145" s="181" t="str">
        <f t="shared" si="52"/>
        <v>39700</v>
      </c>
      <c r="E3145" s="181" t="s">
        <v>15</v>
      </c>
      <c r="F3145" s="181" t="s">
        <v>14</v>
      </c>
      <c r="G3145" s="181" t="s">
        <v>647</v>
      </c>
      <c r="H3145" s="8">
        <v>457922.5</v>
      </c>
      <c r="I3145" s="8">
        <v>7026.87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464949.37</v>
      </c>
    </row>
    <row r="3146" spans="1:15">
      <c r="A3146" s="191">
        <v>44743</v>
      </c>
      <c r="B3146" s="181" t="s">
        <v>127</v>
      </c>
      <c r="C3146" s="181" t="s">
        <v>782</v>
      </c>
      <c r="D3146" s="181" t="str">
        <f t="shared" si="52"/>
        <v>39700</v>
      </c>
      <c r="E3146" s="181" t="s">
        <v>15</v>
      </c>
      <c r="F3146" s="181" t="s">
        <v>14</v>
      </c>
      <c r="G3146" s="181" t="s">
        <v>647</v>
      </c>
      <c r="H3146" s="8">
        <v>0</v>
      </c>
      <c r="I3146" s="8">
        <v>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0</v>
      </c>
    </row>
    <row r="3147" spans="1:15">
      <c r="A3147" s="191">
        <v>44743</v>
      </c>
      <c r="B3147" s="181" t="s">
        <v>127</v>
      </c>
      <c r="C3147" s="181" t="s">
        <v>781</v>
      </c>
      <c r="D3147" s="181" t="str">
        <f t="shared" si="52"/>
        <v>39700</v>
      </c>
      <c r="E3147" s="181" t="s">
        <v>15</v>
      </c>
      <c r="F3147" s="181" t="s">
        <v>14</v>
      </c>
      <c r="G3147" s="181" t="s">
        <v>793</v>
      </c>
      <c r="H3147" s="8">
        <v>27879.47</v>
      </c>
      <c r="I3147" s="8">
        <v>0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27879.47</v>
      </c>
    </row>
    <row r="3148" spans="1:15">
      <c r="A3148" s="191">
        <v>44774</v>
      </c>
      <c r="B3148" s="181" t="s">
        <v>126</v>
      </c>
      <c r="C3148" s="181" t="s">
        <v>781</v>
      </c>
      <c r="D3148" s="181" t="str">
        <f t="shared" si="52"/>
        <v>39700</v>
      </c>
      <c r="E3148" s="181" t="s">
        <v>15</v>
      </c>
      <c r="F3148" s="181" t="s">
        <v>14</v>
      </c>
      <c r="G3148" s="181" t="s">
        <v>647</v>
      </c>
      <c r="H3148" s="8">
        <v>464949.37</v>
      </c>
      <c r="I3148" s="8">
        <v>7026.87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>
        <v>471976.24</v>
      </c>
    </row>
    <row r="3149" spans="1:15">
      <c r="A3149" s="191">
        <v>44774</v>
      </c>
      <c r="B3149" s="181" t="s">
        <v>126</v>
      </c>
      <c r="C3149" s="181" t="s">
        <v>782</v>
      </c>
      <c r="D3149" s="181" t="str">
        <f t="shared" si="52"/>
        <v>39700</v>
      </c>
      <c r="E3149" s="181" t="s">
        <v>15</v>
      </c>
      <c r="F3149" s="181" t="s">
        <v>14</v>
      </c>
      <c r="G3149" s="181" t="s">
        <v>647</v>
      </c>
      <c r="H3149" s="8">
        <v>0</v>
      </c>
      <c r="I3149" s="8">
        <v>0</v>
      </c>
      <c r="J3149" s="8">
        <v>0</v>
      </c>
      <c r="K3149" s="8">
        <v>0</v>
      </c>
      <c r="L3149" s="8">
        <v>0</v>
      </c>
      <c r="M3149" s="8">
        <v>0</v>
      </c>
      <c r="N3149" s="8">
        <v>0</v>
      </c>
      <c r="O3149" s="8">
        <v>0</v>
      </c>
    </row>
    <row r="3150" spans="1:15">
      <c r="A3150" s="191">
        <v>44774</v>
      </c>
      <c r="B3150" s="181" t="s">
        <v>126</v>
      </c>
      <c r="C3150" s="181" t="s">
        <v>781</v>
      </c>
      <c r="D3150" s="181" t="str">
        <f t="shared" si="52"/>
        <v>39700</v>
      </c>
      <c r="E3150" s="181" t="s">
        <v>15</v>
      </c>
      <c r="F3150" s="181" t="s">
        <v>14</v>
      </c>
      <c r="G3150" s="181" t="s">
        <v>793</v>
      </c>
      <c r="H3150" s="8">
        <v>27879.47</v>
      </c>
      <c r="I3150" s="8">
        <v>0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27879.47</v>
      </c>
    </row>
    <row r="3151" spans="1:15">
      <c r="A3151" s="191">
        <v>44805</v>
      </c>
      <c r="B3151" s="181" t="s">
        <v>125</v>
      </c>
      <c r="C3151" s="181" t="s">
        <v>781</v>
      </c>
      <c r="D3151" s="181" t="str">
        <f t="shared" si="52"/>
        <v>39700</v>
      </c>
      <c r="E3151" s="181" t="s">
        <v>15</v>
      </c>
      <c r="F3151" s="181" t="s">
        <v>14</v>
      </c>
      <c r="G3151" s="181" t="s">
        <v>647</v>
      </c>
      <c r="H3151" s="8">
        <v>471976.24</v>
      </c>
      <c r="I3151" s="8">
        <v>7026.87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479003.11</v>
      </c>
    </row>
    <row r="3152" spans="1:15">
      <c r="A3152" s="191">
        <v>44805</v>
      </c>
      <c r="B3152" s="181" t="s">
        <v>125</v>
      </c>
      <c r="C3152" s="181" t="s">
        <v>782</v>
      </c>
      <c r="D3152" s="181" t="str">
        <f t="shared" si="52"/>
        <v>39700</v>
      </c>
      <c r="E3152" s="181" t="s">
        <v>15</v>
      </c>
      <c r="F3152" s="181" t="s">
        <v>14</v>
      </c>
      <c r="G3152" s="181" t="s">
        <v>647</v>
      </c>
      <c r="H3152" s="8">
        <v>0</v>
      </c>
      <c r="I3152" s="8">
        <v>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0</v>
      </c>
    </row>
    <row r="3153" spans="1:15">
      <c r="A3153" s="191">
        <v>44805</v>
      </c>
      <c r="B3153" s="181" t="s">
        <v>125</v>
      </c>
      <c r="C3153" s="181" t="s">
        <v>781</v>
      </c>
      <c r="D3153" s="181" t="str">
        <f t="shared" si="52"/>
        <v>39700</v>
      </c>
      <c r="E3153" s="181" t="s">
        <v>15</v>
      </c>
      <c r="F3153" s="181" t="s">
        <v>14</v>
      </c>
      <c r="G3153" s="181" t="s">
        <v>793</v>
      </c>
      <c r="H3153" s="8">
        <v>27879.47</v>
      </c>
      <c r="I3153" s="8">
        <v>0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27879.47</v>
      </c>
    </row>
    <row r="3154" spans="1:15">
      <c r="A3154" s="191">
        <v>44835</v>
      </c>
      <c r="B3154" s="181" t="s">
        <v>124</v>
      </c>
      <c r="C3154" s="181" t="s">
        <v>781</v>
      </c>
      <c r="D3154" s="181" t="str">
        <f t="shared" si="52"/>
        <v>39700</v>
      </c>
      <c r="E3154" s="181" t="s">
        <v>15</v>
      </c>
      <c r="F3154" s="181" t="s">
        <v>14</v>
      </c>
      <c r="G3154" s="181" t="s">
        <v>647</v>
      </c>
      <c r="H3154" s="8">
        <v>479003.11</v>
      </c>
      <c r="I3154" s="8">
        <v>7026.87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486029.98</v>
      </c>
    </row>
    <row r="3155" spans="1:15">
      <c r="A3155" s="191">
        <v>44835</v>
      </c>
      <c r="B3155" s="181" t="s">
        <v>124</v>
      </c>
      <c r="C3155" s="181" t="s">
        <v>782</v>
      </c>
      <c r="D3155" s="181" t="str">
        <f t="shared" si="52"/>
        <v>39700</v>
      </c>
      <c r="E3155" s="181" t="s">
        <v>15</v>
      </c>
      <c r="F3155" s="181" t="s">
        <v>14</v>
      </c>
      <c r="G3155" s="181" t="s">
        <v>647</v>
      </c>
      <c r="H3155" s="8">
        <v>0</v>
      </c>
      <c r="I3155" s="8">
        <v>0</v>
      </c>
      <c r="J3155" s="8">
        <v>0</v>
      </c>
      <c r="K3155" s="8">
        <v>0</v>
      </c>
      <c r="L3155" s="8">
        <v>0</v>
      </c>
      <c r="M3155" s="8">
        <v>0</v>
      </c>
      <c r="N3155" s="8">
        <v>0</v>
      </c>
      <c r="O3155" s="8">
        <v>0</v>
      </c>
    </row>
    <row r="3156" spans="1:15">
      <c r="A3156" s="191">
        <v>44835</v>
      </c>
      <c r="B3156" s="181" t="s">
        <v>124</v>
      </c>
      <c r="C3156" s="181" t="s">
        <v>781</v>
      </c>
      <c r="D3156" s="181" t="str">
        <f t="shared" si="52"/>
        <v>39700</v>
      </c>
      <c r="E3156" s="181" t="s">
        <v>15</v>
      </c>
      <c r="F3156" s="181" t="s">
        <v>14</v>
      </c>
      <c r="G3156" s="181" t="s">
        <v>793</v>
      </c>
      <c r="H3156" s="8">
        <v>27879.47</v>
      </c>
      <c r="I3156" s="8">
        <v>0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27879.47</v>
      </c>
    </row>
    <row r="3157" spans="1:15">
      <c r="A3157" s="191">
        <v>44866</v>
      </c>
      <c r="B3157" s="181" t="s">
        <v>123</v>
      </c>
      <c r="C3157" s="181" t="s">
        <v>781</v>
      </c>
      <c r="D3157" s="181" t="str">
        <f t="shared" si="52"/>
        <v>39700</v>
      </c>
      <c r="E3157" s="181" t="s">
        <v>15</v>
      </c>
      <c r="F3157" s="181" t="s">
        <v>14</v>
      </c>
      <c r="G3157" s="181" t="s">
        <v>647</v>
      </c>
      <c r="H3157" s="8">
        <v>486029.98</v>
      </c>
      <c r="I3157" s="8">
        <v>6554.42</v>
      </c>
      <c r="J3157" s="8">
        <v>-131387.79999999999</v>
      </c>
      <c r="K3157" s="8">
        <v>0</v>
      </c>
      <c r="L3157" s="8">
        <v>0</v>
      </c>
      <c r="M3157" s="8">
        <v>0</v>
      </c>
      <c r="N3157" s="8">
        <v>0</v>
      </c>
      <c r="O3157" s="8">
        <v>361196.60000000003</v>
      </c>
    </row>
    <row r="3158" spans="1:15">
      <c r="A3158" s="191">
        <v>44866</v>
      </c>
      <c r="B3158" s="181" t="s">
        <v>123</v>
      </c>
      <c r="C3158" s="181" t="s">
        <v>782</v>
      </c>
      <c r="D3158" s="181" t="str">
        <f t="shared" si="52"/>
        <v>39700</v>
      </c>
      <c r="E3158" s="181" t="s">
        <v>15</v>
      </c>
      <c r="F3158" s="181" t="s">
        <v>14</v>
      </c>
      <c r="G3158" s="181" t="s">
        <v>647</v>
      </c>
      <c r="H3158" s="8">
        <v>0</v>
      </c>
      <c r="I3158" s="8">
        <v>0</v>
      </c>
      <c r="J3158" s="8">
        <v>0</v>
      </c>
      <c r="K3158" s="8">
        <v>0</v>
      </c>
      <c r="L3158" s="8">
        <v>0</v>
      </c>
      <c r="M3158" s="8">
        <v>0</v>
      </c>
      <c r="N3158" s="8">
        <v>0</v>
      </c>
      <c r="O3158" s="8">
        <v>0</v>
      </c>
    </row>
    <row r="3159" spans="1:15">
      <c r="A3159" s="191">
        <v>44866</v>
      </c>
      <c r="B3159" s="181" t="s">
        <v>123</v>
      </c>
      <c r="C3159" s="181" t="s">
        <v>781</v>
      </c>
      <c r="D3159" s="181" t="str">
        <f t="shared" si="52"/>
        <v>39700</v>
      </c>
      <c r="E3159" s="181" t="s">
        <v>15</v>
      </c>
      <c r="F3159" s="181" t="s">
        <v>14</v>
      </c>
      <c r="G3159" s="181" t="s">
        <v>793</v>
      </c>
      <c r="H3159" s="8">
        <v>27879.47</v>
      </c>
      <c r="I3159" s="8">
        <v>0</v>
      </c>
      <c r="J3159" s="8">
        <v>0</v>
      </c>
      <c r="K3159" s="8">
        <v>0</v>
      </c>
      <c r="L3159" s="8">
        <v>0</v>
      </c>
      <c r="M3159" s="8">
        <v>0</v>
      </c>
      <c r="N3159" s="8">
        <v>0</v>
      </c>
      <c r="O3159" s="8">
        <v>27879.47</v>
      </c>
    </row>
    <row r="3160" spans="1:15">
      <c r="A3160" s="191">
        <v>44896</v>
      </c>
      <c r="B3160" s="181" t="s">
        <v>122</v>
      </c>
      <c r="C3160" s="181" t="s">
        <v>781</v>
      </c>
      <c r="D3160" s="181" t="str">
        <f t="shared" si="52"/>
        <v>39700</v>
      </c>
      <c r="E3160" s="181" t="s">
        <v>15</v>
      </c>
      <c r="F3160" s="181" t="s">
        <v>14</v>
      </c>
      <c r="G3160" s="181" t="s">
        <v>647</v>
      </c>
      <c r="H3160" s="8">
        <v>361196.60000000003</v>
      </c>
      <c r="I3160" s="8">
        <v>6318.87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367515.47000000003</v>
      </c>
    </row>
    <row r="3161" spans="1:15">
      <c r="A3161" s="191">
        <v>44896</v>
      </c>
      <c r="B3161" s="181" t="s">
        <v>122</v>
      </c>
      <c r="C3161" s="181" t="s">
        <v>782</v>
      </c>
      <c r="D3161" s="181" t="str">
        <f t="shared" si="52"/>
        <v>39700</v>
      </c>
      <c r="E3161" s="181" t="s">
        <v>15</v>
      </c>
      <c r="F3161" s="181" t="s">
        <v>14</v>
      </c>
      <c r="G3161" s="181" t="s">
        <v>647</v>
      </c>
      <c r="H3161" s="8">
        <v>0</v>
      </c>
      <c r="I3161" s="8">
        <v>0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0</v>
      </c>
    </row>
    <row r="3162" spans="1:15">
      <c r="A3162" s="191">
        <v>44896</v>
      </c>
      <c r="B3162" s="181" t="s">
        <v>122</v>
      </c>
      <c r="C3162" s="181" t="s">
        <v>781</v>
      </c>
      <c r="D3162" s="181" t="str">
        <f t="shared" si="52"/>
        <v>39700</v>
      </c>
      <c r="E3162" s="181" t="s">
        <v>15</v>
      </c>
      <c r="F3162" s="181" t="s">
        <v>14</v>
      </c>
      <c r="G3162" s="181" t="s">
        <v>793</v>
      </c>
      <c r="H3162" s="8">
        <v>27879.47</v>
      </c>
      <c r="I3162" s="8">
        <v>0</v>
      </c>
      <c r="J3162" s="8">
        <v>0</v>
      </c>
      <c r="K3162" s="8">
        <v>0</v>
      </c>
      <c r="L3162" s="8">
        <v>0</v>
      </c>
      <c r="M3162" s="8">
        <v>0</v>
      </c>
      <c r="N3162" s="8">
        <v>0</v>
      </c>
      <c r="O3162" s="8">
        <v>27879.47</v>
      </c>
    </row>
    <row r="3163" spans="1:15">
      <c r="A3163" s="191">
        <v>44531</v>
      </c>
      <c r="B3163" s="181" t="s">
        <v>13</v>
      </c>
      <c r="C3163" s="181" t="s">
        <v>783</v>
      </c>
      <c r="D3163" s="181" t="str">
        <f t="shared" si="52"/>
        <v>39710</v>
      </c>
      <c r="E3163" s="181" t="s">
        <v>15</v>
      </c>
      <c r="F3163" s="181" t="s">
        <v>14</v>
      </c>
      <c r="G3163" s="181" t="s">
        <v>647</v>
      </c>
      <c r="H3163" s="8">
        <v>1031383.53</v>
      </c>
      <c r="I3163" s="8">
        <v>8665.6200000000008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1040049.15</v>
      </c>
    </row>
    <row r="3164" spans="1:15">
      <c r="A3164" s="191">
        <v>44531</v>
      </c>
      <c r="B3164" s="181" t="s">
        <v>13</v>
      </c>
      <c r="C3164" s="181" t="s">
        <v>783</v>
      </c>
      <c r="D3164" s="181" t="str">
        <f t="shared" si="52"/>
        <v>39710</v>
      </c>
      <c r="E3164" s="181" t="s">
        <v>15</v>
      </c>
      <c r="F3164" s="181" t="s">
        <v>14</v>
      </c>
      <c r="G3164" s="181" t="s">
        <v>793</v>
      </c>
      <c r="H3164" s="8">
        <v>24.310000000000002</v>
      </c>
      <c r="I3164" s="8">
        <v>0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24.310000000000002</v>
      </c>
    </row>
    <row r="3165" spans="1:15">
      <c r="A3165" s="191">
        <v>44562</v>
      </c>
      <c r="B3165" s="181" t="s">
        <v>133</v>
      </c>
      <c r="C3165" s="181" t="s">
        <v>783</v>
      </c>
      <c r="D3165" s="181" t="str">
        <f t="shared" si="52"/>
        <v>39710</v>
      </c>
      <c r="E3165" s="181" t="s">
        <v>15</v>
      </c>
      <c r="F3165" s="181" t="s">
        <v>14</v>
      </c>
      <c r="G3165" s="181" t="s">
        <v>647</v>
      </c>
      <c r="H3165" s="8">
        <v>1040049.15</v>
      </c>
      <c r="I3165" s="8">
        <v>8665.6200000000008</v>
      </c>
      <c r="J3165" s="8">
        <v>0</v>
      </c>
      <c r="K3165" s="8">
        <v>0</v>
      </c>
      <c r="L3165" s="8">
        <v>0</v>
      </c>
      <c r="M3165" s="8">
        <v>0</v>
      </c>
      <c r="N3165" s="8">
        <v>0</v>
      </c>
      <c r="O3165" s="8">
        <v>1048714.77</v>
      </c>
    </row>
    <row r="3166" spans="1:15">
      <c r="A3166" s="191">
        <v>44562</v>
      </c>
      <c r="B3166" s="181" t="s">
        <v>133</v>
      </c>
      <c r="C3166" s="181" t="s">
        <v>783</v>
      </c>
      <c r="D3166" s="181" t="str">
        <f t="shared" si="52"/>
        <v>39710</v>
      </c>
      <c r="E3166" s="181" t="s">
        <v>15</v>
      </c>
      <c r="F3166" s="181" t="s">
        <v>14</v>
      </c>
      <c r="G3166" s="181" t="s">
        <v>793</v>
      </c>
      <c r="H3166" s="8">
        <v>24.310000000000002</v>
      </c>
      <c r="I3166" s="8">
        <v>0</v>
      </c>
      <c r="J3166" s="8">
        <v>0</v>
      </c>
      <c r="K3166" s="8">
        <v>0</v>
      </c>
      <c r="L3166" s="8">
        <v>0</v>
      </c>
      <c r="M3166" s="8">
        <v>0</v>
      </c>
      <c r="N3166" s="8">
        <v>0</v>
      </c>
      <c r="O3166" s="8">
        <v>24.310000000000002</v>
      </c>
    </row>
    <row r="3167" spans="1:15">
      <c r="A3167" s="191">
        <v>44593</v>
      </c>
      <c r="B3167" s="181" t="s">
        <v>132</v>
      </c>
      <c r="C3167" s="181" t="s">
        <v>783</v>
      </c>
      <c r="D3167" s="181" t="str">
        <f t="shared" si="52"/>
        <v>39710</v>
      </c>
      <c r="E3167" s="181" t="s">
        <v>15</v>
      </c>
      <c r="F3167" s="181" t="s">
        <v>14</v>
      </c>
      <c r="G3167" s="181" t="s">
        <v>647</v>
      </c>
      <c r="H3167" s="8">
        <v>1048714.77</v>
      </c>
      <c r="I3167" s="8">
        <v>8665.6200000000008</v>
      </c>
      <c r="J3167" s="8">
        <v>0</v>
      </c>
      <c r="K3167" s="8">
        <v>0</v>
      </c>
      <c r="L3167" s="8">
        <v>0</v>
      </c>
      <c r="M3167" s="8">
        <v>0</v>
      </c>
      <c r="N3167" s="8">
        <v>0</v>
      </c>
      <c r="O3167" s="8">
        <v>1057380.3899999999</v>
      </c>
    </row>
    <row r="3168" spans="1:15">
      <c r="A3168" s="191">
        <v>44593</v>
      </c>
      <c r="B3168" s="181" t="s">
        <v>132</v>
      </c>
      <c r="C3168" s="181" t="s">
        <v>783</v>
      </c>
      <c r="D3168" s="181" t="str">
        <f t="shared" si="52"/>
        <v>39710</v>
      </c>
      <c r="E3168" s="181" t="s">
        <v>15</v>
      </c>
      <c r="F3168" s="181" t="s">
        <v>14</v>
      </c>
      <c r="G3168" s="181" t="s">
        <v>793</v>
      </c>
      <c r="H3168" s="8">
        <v>24.310000000000002</v>
      </c>
      <c r="I3168" s="8">
        <v>0</v>
      </c>
      <c r="J3168" s="8">
        <v>0</v>
      </c>
      <c r="K3168" s="8">
        <v>0</v>
      </c>
      <c r="L3168" s="8">
        <v>0</v>
      </c>
      <c r="M3168" s="8">
        <v>0</v>
      </c>
      <c r="N3168" s="8">
        <v>0</v>
      </c>
      <c r="O3168" s="8">
        <v>24.310000000000002</v>
      </c>
    </row>
    <row r="3169" spans="1:15">
      <c r="A3169" s="191">
        <v>44621</v>
      </c>
      <c r="B3169" s="181" t="s">
        <v>131</v>
      </c>
      <c r="C3169" s="181" t="s">
        <v>783</v>
      </c>
      <c r="D3169" s="181" t="str">
        <f t="shared" si="52"/>
        <v>39710</v>
      </c>
      <c r="E3169" s="181" t="s">
        <v>15</v>
      </c>
      <c r="F3169" s="181" t="s">
        <v>14</v>
      </c>
      <c r="G3169" s="181" t="s">
        <v>647</v>
      </c>
      <c r="H3169" s="8">
        <v>1057380.3899999999</v>
      </c>
      <c r="I3169" s="8">
        <v>8665.6200000000008</v>
      </c>
      <c r="J3169" s="8">
        <v>0</v>
      </c>
      <c r="K3169" s="8">
        <v>0</v>
      </c>
      <c r="L3169" s="8">
        <v>0</v>
      </c>
      <c r="M3169" s="8">
        <v>0</v>
      </c>
      <c r="N3169" s="8">
        <v>0</v>
      </c>
      <c r="O3169" s="8">
        <v>1066046.01</v>
      </c>
    </row>
    <row r="3170" spans="1:15">
      <c r="A3170" s="191">
        <v>44621</v>
      </c>
      <c r="B3170" s="181" t="s">
        <v>131</v>
      </c>
      <c r="C3170" s="181" t="s">
        <v>783</v>
      </c>
      <c r="D3170" s="181" t="str">
        <f t="shared" si="52"/>
        <v>39710</v>
      </c>
      <c r="E3170" s="181" t="s">
        <v>15</v>
      </c>
      <c r="F3170" s="181" t="s">
        <v>14</v>
      </c>
      <c r="G3170" s="181" t="s">
        <v>793</v>
      </c>
      <c r="H3170" s="8">
        <v>24.310000000000002</v>
      </c>
      <c r="I3170" s="8">
        <v>0</v>
      </c>
      <c r="J3170" s="8">
        <v>0</v>
      </c>
      <c r="K3170" s="8">
        <v>0</v>
      </c>
      <c r="L3170" s="8">
        <v>0</v>
      </c>
      <c r="M3170" s="8">
        <v>0</v>
      </c>
      <c r="N3170" s="8">
        <v>0</v>
      </c>
      <c r="O3170" s="8">
        <v>24.310000000000002</v>
      </c>
    </row>
    <row r="3171" spans="1:15">
      <c r="A3171" s="191">
        <v>44652</v>
      </c>
      <c r="B3171" s="181" t="s">
        <v>130</v>
      </c>
      <c r="C3171" s="181" t="s">
        <v>783</v>
      </c>
      <c r="D3171" s="181" t="str">
        <f t="shared" si="52"/>
        <v>39710</v>
      </c>
      <c r="E3171" s="181" t="s">
        <v>15</v>
      </c>
      <c r="F3171" s="181" t="s">
        <v>14</v>
      </c>
      <c r="G3171" s="181" t="s">
        <v>647</v>
      </c>
      <c r="H3171" s="8">
        <v>1066046.01</v>
      </c>
      <c r="I3171" s="8">
        <v>8665.6200000000008</v>
      </c>
      <c r="J3171" s="8">
        <v>0</v>
      </c>
      <c r="K3171" s="8">
        <v>0</v>
      </c>
      <c r="L3171" s="8">
        <v>0</v>
      </c>
      <c r="M3171" s="8">
        <v>0</v>
      </c>
      <c r="N3171" s="8">
        <v>0</v>
      </c>
      <c r="O3171" s="8">
        <v>1074711.6299999999</v>
      </c>
    </row>
    <row r="3172" spans="1:15">
      <c r="A3172" s="191">
        <v>44652</v>
      </c>
      <c r="B3172" s="181" t="s">
        <v>130</v>
      </c>
      <c r="C3172" s="181" t="s">
        <v>783</v>
      </c>
      <c r="D3172" s="181" t="str">
        <f t="shared" si="52"/>
        <v>39710</v>
      </c>
      <c r="E3172" s="181" t="s">
        <v>15</v>
      </c>
      <c r="F3172" s="181" t="s">
        <v>14</v>
      </c>
      <c r="G3172" s="181" t="s">
        <v>793</v>
      </c>
      <c r="H3172" s="8">
        <v>24.310000000000002</v>
      </c>
      <c r="I3172" s="8">
        <v>0</v>
      </c>
      <c r="J3172" s="8">
        <v>0</v>
      </c>
      <c r="K3172" s="8">
        <v>0</v>
      </c>
      <c r="L3172" s="8">
        <v>0</v>
      </c>
      <c r="M3172" s="8">
        <v>0</v>
      </c>
      <c r="N3172" s="8">
        <v>0</v>
      </c>
      <c r="O3172" s="8">
        <v>24.310000000000002</v>
      </c>
    </row>
    <row r="3173" spans="1:15">
      <c r="A3173" s="191">
        <v>44682</v>
      </c>
      <c r="B3173" s="181" t="s">
        <v>129</v>
      </c>
      <c r="C3173" s="181" t="s">
        <v>783</v>
      </c>
      <c r="D3173" s="181" t="str">
        <f t="shared" si="52"/>
        <v>39710</v>
      </c>
      <c r="E3173" s="181" t="s">
        <v>15</v>
      </c>
      <c r="F3173" s="181" t="s">
        <v>14</v>
      </c>
      <c r="G3173" s="181" t="s">
        <v>647</v>
      </c>
      <c r="H3173" s="8">
        <v>1074711.6299999999</v>
      </c>
      <c r="I3173" s="8">
        <v>8665.6200000000008</v>
      </c>
      <c r="J3173" s="8">
        <v>0</v>
      </c>
      <c r="K3173" s="8">
        <v>0</v>
      </c>
      <c r="L3173" s="8">
        <v>0</v>
      </c>
      <c r="M3173" s="8">
        <v>0</v>
      </c>
      <c r="N3173" s="8">
        <v>0</v>
      </c>
      <c r="O3173" s="8">
        <v>1083377.25</v>
      </c>
    </row>
    <row r="3174" spans="1:15">
      <c r="A3174" s="191">
        <v>44682</v>
      </c>
      <c r="B3174" s="181" t="s">
        <v>129</v>
      </c>
      <c r="C3174" s="181" t="s">
        <v>783</v>
      </c>
      <c r="D3174" s="181" t="str">
        <f t="shared" si="52"/>
        <v>39710</v>
      </c>
      <c r="E3174" s="181" t="s">
        <v>15</v>
      </c>
      <c r="F3174" s="181" t="s">
        <v>14</v>
      </c>
      <c r="G3174" s="181" t="s">
        <v>793</v>
      </c>
      <c r="H3174" s="8">
        <v>24.310000000000002</v>
      </c>
      <c r="I3174" s="8">
        <v>0</v>
      </c>
      <c r="J3174" s="8">
        <v>0</v>
      </c>
      <c r="K3174" s="8">
        <v>0</v>
      </c>
      <c r="L3174" s="8">
        <v>0</v>
      </c>
      <c r="M3174" s="8">
        <v>0</v>
      </c>
      <c r="N3174" s="8">
        <v>0</v>
      </c>
      <c r="O3174" s="8">
        <v>24.310000000000002</v>
      </c>
    </row>
    <row r="3175" spans="1:15">
      <c r="A3175" s="191">
        <v>44713</v>
      </c>
      <c r="B3175" s="181" t="s">
        <v>128</v>
      </c>
      <c r="C3175" s="181" t="s">
        <v>783</v>
      </c>
      <c r="D3175" s="181" t="str">
        <f t="shared" si="52"/>
        <v>39710</v>
      </c>
      <c r="E3175" s="181" t="s">
        <v>15</v>
      </c>
      <c r="F3175" s="181" t="s">
        <v>14</v>
      </c>
      <c r="G3175" s="181" t="s">
        <v>647</v>
      </c>
      <c r="H3175" s="8">
        <v>1083377.25</v>
      </c>
      <c r="I3175" s="8">
        <v>8665.6200000000008</v>
      </c>
      <c r="J3175" s="8">
        <v>0</v>
      </c>
      <c r="K3175" s="8">
        <v>0</v>
      </c>
      <c r="L3175" s="8">
        <v>0</v>
      </c>
      <c r="M3175" s="8">
        <v>0</v>
      </c>
      <c r="N3175" s="8">
        <v>0</v>
      </c>
      <c r="O3175" s="8">
        <v>1092042.8700000001</v>
      </c>
    </row>
    <row r="3176" spans="1:15">
      <c r="A3176" s="191">
        <v>44713</v>
      </c>
      <c r="B3176" s="181" t="s">
        <v>128</v>
      </c>
      <c r="C3176" s="181" t="s">
        <v>783</v>
      </c>
      <c r="D3176" s="181" t="str">
        <f t="shared" si="52"/>
        <v>39710</v>
      </c>
      <c r="E3176" s="181" t="s">
        <v>15</v>
      </c>
      <c r="F3176" s="181" t="s">
        <v>14</v>
      </c>
      <c r="G3176" s="181" t="s">
        <v>793</v>
      </c>
      <c r="H3176" s="8">
        <v>24.310000000000002</v>
      </c>
      <c r="I3176" s="8">
        <v>0</v>
      </c>
      <c r="J3176" s="8">
        <v>0</v>
      </c>
      <c r="K3176" s="8">
        <v>0</v>
      </c>
      <c r="L3176" s="8">
        <v>0</v>
      </c>
      <c r="M3176" s="8">
        <v>0</v>
      </c>
      <c r="N3176" s="8">
        <v>0</v>
      </c>
      <c r="O3176" s="8">
        <v>24.310000000000002</v>
      </c>
    </row>
    <row r="3177" spans="1:15">
      <c r="A3177" s="191">
        <v>44743</v>
      </c>
      <c r="B3177" s="181" t="s">
        <v>127</v>
      </c>
      <c r="C3177" s="181" t="s">
        <v>783</v>
      </c>
      <c r="D3177" s="181" t="str">
        <f t="shared" si="52"/>
        <v>39710</v>
      </c>
      <c r="E3177" s="181" t="s">
        <v>15</v>
      </c>
      <c r="F3177" s="181" t="s">
        <v>14</v>
      </c>
      <c r="G3177" s="181" t="s">
        <v>647</v>
      </c>
      <c r="H3177" s="8">
        <v>1092042.8700000001</v>
      </c>
      <c r="I3177" s="8">
        <v>8665.6200000000008</v>
      </c>
      <c r="J3177" s="8">
        <v>0</v>
      </c>
      <c r="K3177" s="8">
        <v>0</v>
      </c>
      <c r="L3177" s="8">
        <v>0</v>
      </c>
      <c r="M3177" s="8">
        <v>0</v>
      </c>
      <c r="N3177" s="8">
        <v>0</v>
      </c>
      <c r="O3177" s="8">
        <v>1100708.49</v>
      </c>
    </row>
    <row r="3178" spans="1:15">
      <c r="A3178" s="191">
        <v>44743</v>
      </c>
      <c r="B3178" s="181" t="s">
        <v>127</v>
      </c>
      <c r="C3178" s="181" t="s">
        <v>783</v>
      </c>
      <c r="D3178" s="181" t="str">
        <f t="shared" si="52"/>
        <v>39710</v>
      </c>
      <c r="E3178" s="181" t="s">
        <v>15</v>
      </c>
      <c r="F3178" s="181" t="s">
        <v>14</v>
      </c>
      <c r="G3178" s="181" t="s">
        <v>793</v>
      </c>
      <c r="H3178" s="8">
        <v>24.310000000000002</v>
      </c>
      <c r="I3178" s="8">
        <v>0</v>
      </c>
      <c r="J3178" s="8">
        <v>0</v>
      </c>
      <c r="K3178" s="8">
        <v>0</v>
      </c>
      <c r="L3178" s="8">
        <v>0</v>
      </c>
      <c r="M3178" s="8">
        <v>0</v>
      </c>
      <c r="N3178" s="8">
        <v>0</v>
      </c>
      <c r="O3178" s="8">
        <v>24.310000000000002</v>
      </c>
    </row>
    <row r="3179" spans="1:15">
      <c r="A3179" s="191">
        <v>44774</v>
      </c>
      <c r="B3179" s="181" t="s">
        <v>126</v>
      </c>
      <c r="C3179" s="181" t="s">
        <v>783</v>
      </c>
      <c r="D3179" s="181" t="str">
        <f t="shared" si="52"/>
        <v>39710</v>
      </c>
      <c r="E3179" s="181" t="s">
        <v>15</v>
      </c>
      <c r="F3179" s="181" t="s">
        <v>14</v>
      </c>
      <c r="G3179" s="181" t="s">
        <v>647</v>
      </c>
      <c r="H3179" s="8">
        <v>1100708.49</v>
      </c>
      <c r="I3179" s="8">
        <v>8665.6200000000008</v>
      </c>
      <c r="J3179" s="8">
        <v>0</v>
      </c>
      <c r="K3179" s="8">
        <v>0</v>
      </c>
      <c r="L3179" s="8">
        <v>0</v>
      </c>
      <c r="M3179" s="8">
        <v>0</v>
      </c>
      <c r="N3179" s="8">
        <v>0</v>
      </c>
      <c r="O3179" s="8">
        <v>1109374.1100000001</v>
      </c>
    </row>
    <row r="3180" spans="1:15">
      <c r="A3180" s="191">
        <v>44774</v>
      </c>
      <c r="B3180" s="181" t="s">
        <v>126</v>
      </c>
      <c r="C3180" s="181" t="s">
        <v>783</v>
      </c>
      <c r="D3180" s="181" t="str">
        <f t="shared" si="52"/>
        <v>39710</v>
      </c>
      <c r="E3180" s="181" t="s">
        <v>15</v>
      </c>
      <c r="F3180" s="181" t="s">
        <v>14</v>
      </c>
      <c r="G3180" s="181" t="s">
        <v>793</v>
      </c>
      <c r="H3180" s="8">
        <v>24.310000000000002</v>
      </c>
      <c r="I3180" s="8">
        <v>0</v>
      </c>
      <c r="J3180" s="8">
        <v>0</v>
      </c>
      <c r="K3180" s="8">
        <v>0</v>
      </c>
      <c r="L3180" s="8">
        <v>0</v>
      </c>
      <c r="M3180" s="8">
        <v>0</v>
      </c>
      <c r="N3180" s="8">
        <v>0</v>
      </c>
      <c r="O3180" s="8">
        <v>24.310000000000002</v>
      </c>
    </row>
    <row r="3181" spans="1:15">
      <c r="A3181" s="191">
        <v>44805</v>
      </c>
      <c r="B3181" s="181" t="s">
        <v>125</v>
      </c>
      <c r="C3181" s="181" t="s">
        <v>783</v>
      </c>
      <c r="D3181" s="181" t="str">
        <f t="shared" si="52"/>
        <v>39710</v>
      </c>
      <c r="E3181" s="181" t="s">
        <v>15</v>
      </c>
      <c r="F3181" s="181" t="s">
        <v>14</v>
      </c>
      <c r="G3181" s="181" t="s">
        <v>647</v>
      </c>
      <c r="H3181" s="8">
        <v>1109374.1100000001</v>
      </c>
      <c r="I3181" s="8">
        <v>8673.52</v>
      </c>
      <c r="J3181" s="8">
        <v>2197.7200000000003</v>
      </c>
      <c r="K3181" s="8">
        <v>0</v>
      </c>
      <c r="L3181" s="8">
        <v>0</v>
      </c>
      <c r="M3181" s="8">
        <v>0</v>
      </c>
      <c r="N3181" s="8">
        <v>0</v>
      </c>
      <c r="O3181" s="8">
        <v>1120245.3500000001</v>
      </c>
    </row>
    <row r="3182" spans="1:15">
      <c r="A3182" s="191">
        <v>44805</v>
      </c>
      <c r="B3182" s="181" t="s">
        <v>125</v>
      </c>
      <c r="C3182" s="181" t="s">
        <v>783</v>
      </c>
      <c r="D3182" s="181" t="str">
        <f t="shared" si="52"/>
        <v>39710</v>
      </c>
      <c r="E3182" s="181" t="s">
        <v>15</v>
      </c>
      <c r="F3182" s="181" t="s">
        <v>14</v>
      </c>
      <c r="G3182" s="181" t="s">
        <v>793</v>
      </c>
      <c r="H3182" s="8">
        <v>24.310000000000002</v>
      </c>
      <c r="I3182" s="8">
        <v>0</v>
      </c>
      <c r="J3182" s="8">
        <v>0</v>
      </c>
      <c r="K3182" s="8">
        <v>0</v>
      </c>
      <c r="L3182" s="8">
        <v>0</v>
      </c>
      <c r="M3182" s="8">
        <v>0</v>
      </c>
      <c r="N3182" s="8">
        <v>0</v>
      </c>
      <c r="O3182" s="8">
        <v>24.310000000000002</v>
      </c>
    </row>
    <row r="3183" spans="1:15">
      <c r="A3183" s="191">
        <v>44835</v>
      </c>
      <c r="B3183" s="181" t="s">
        <v>124</v>
      </c>
      <c r="C3183" s="181" t="s">
        <v>783</v>
      </c>
      <c r="D3183" s="181" t="str">
        <f t="shared" si="52"/>
        <v>39710</v>
      </c>
      <c r="E3183" s="181" t="s">
        <v>15</v>
      </c>
      <c r="F3183" s="181" t="s">
        <v>14</v>
      </c>
      <c r="G3183" s="181" t="s">
        <v>647</v>
      </c>
      <c r="H3183" s="8">
        <v>1120245.3500000001</v>
      </c>
      <c r="I3183" s="8">
        <v>8681.42</v>
      </c>
      <c r="J3183" s="8">
        <v>0</v>
      </c>
      <c r="K3183" s="8">
        <v>0</v>
      </c>
      <c r="L3183" s="8">
        <v>0</v>
      </c>
      <c r="M3183" s="8">
        <v>0</v>
      </c>
      <c r="N3183" s="8">
        <v>0</v>
      </c>
      <c r="O3183" s="8">
        <v>1128926.77</v>
      </c>
    </row>
    <row r="3184" spans="1:15">
      <c r="A3184" s="191">
        <v>44835</v>
      </c>
      <c r="B3184" s="181" t="s">
        <v>124</v>
      </c>
      <c r="C3184" s="181" t="s">
        <v>783</v>
      </c>
      <c r="D3184" s="181" t="str">
        <f t="shared" si="52"/>
        <v>39710</v>
      </c>
      <c r="E3184" s="181" t="s">
        <v>15</v>
      </c>
      <c r="F3184" s="181" t="s">
        <v>14</v>
      </c>
      <c r="G3184" s="181" t="s">
        <v>793</v>
      </c>
      <c r="H3184" s="8">
        <v>24.310000000000002</v>
      </c>
      <c r="I3184" s="8">
        <v>0</v>
      </c>
      <c r="J3184" s="8">
        <v>0</v>
      </c>
      <c r="K3184" s="8">
        <v>0</v>
      </c>
      <c r="L3184" s="8">
        <v>0</v>
      </c>
      <c r="M3184" s="8">
        <v>0</v>
      </c>
      <c r="N3184" s="8">
        <v>0</v>
      </c>
      <c r="O3184" s="8">
        <v>24.310000000000002</v>
      </c>
    </row>
    <row r="3185" spans="1:15">
      <c r="A3185" s="191">
        <v>44866</v>
      </c>
      <c r="B3185" s="181" t="s">
        <v>123</v>
      </c>
      <c r="C3185" s="181" t="s">
        <v>783</v>
      </c>
      <c r="D3185" s="181" t="str">
        <f t="shared" si="52"/>
        <v>39710</v>
      </c>
      <c r="E3185" s="181" t="s">
        <v>15</v>
      </c>
      <c r="F3185" s="181" t="s">
        <v>14</v>
      </c>
      <c r="G3185" s="181" t="s">
        <v>647</v>
      </c>
      <c r="H3185" s="8">
        <v>1128926.77</v>
      </c>
      <c r="I3185" s="8">
        <v>8681.42</v>
      </c>
      <c r="J3185" s="8">
        <v>0</v>
      </c>
      <c r="K3185" s="8">
        <v>0</v>
      </c>
      <c r="L3185" s="8">
        <v>0</v>
      </c>
      <c r="M3185" s="8">
        <v>0</v>
      </c>
      <c r="N3185" s="8">
        <v>0</v>
      </c>
      <c r="O3185" s="8">
        <v>1137608.19</v>
      </c>
    </row>
    <row r="3186" spans="1:15">
      <c r="A3186" s="191">
        <v>44866</v>
      </c>
      <c r="B3186" s="181" t="s">
        <v>123</v>
      </c>
      <c r="C3186" s="181" t="s">
        <v>783</v>
      </c>
      <c r="D3186" s="181" t="str">
        <f t="shared" si="52"/>
        <v>39710</v>
      </c>
      <c r="E3186" s="181" t="s">
        <v>15</v>
      </c>
      <c r="F3186" s="181" t="s">
        <v>14</v>
      </c>
      <c r="G3186" s="181" t="s">
        <v>793</v>
      </c>
      <c r="H3186" s="8">
        <v>24.310000000000002</v>
      </c>
      <c r="I3186" s="8">
        <v>0</v>
      </c>
      <c r="J3186" s="8">
        <v>0</v>
      </c>
      <c r="K3186" s="8">
        <v>0</v>
      </c>
      <c r="L3186" s="8">
        <v>0</v>
      </c>
      <c r="M3186" s="8">
        <v>0</v>
      </c>
      <c r="N3186" s="8">
        <v>0</v>
      </c>
      <c r="O3186" s="8">
        <v>24.310000000000002</v>
      </c>
    </row>
    <row r="3187" spans="1:15">
      <c r="A3187" s="191">
        <v>44896</v>
      </c>
      <c r="B3187" s="181" t="s">
        <v>122</v>
      </c>
      <c r="C3187" s="181" t="s">
        <v>783</v>
      </c>
      <c r="D3187" s="181" t="str">
        <f t="shared" si="52"/>
        <v>39710</v>
      </c>
      <c r="E3187" s="181" t="s">
        <v>15</v>
      </c>
      <c r="F3187" s="181" t="s">
        <v>14</v>
      </c>
      <c r="G3187" s="181" t="s">
        <v>647</v>
      </c>
      <c r="H3187" s="8">
        <v>1137608.19</v>
      </c>
      <c r="I3187" s="8">
        <v>8791.98</v>
      </c>
      <c r="J3187" s="8">
        <v>0</v>
      </c>
      <c r="K3187" s="8">
        <v>0</v>
      </c>
      <c r="L3187" s="8">
        <v>0</v>
      </c>
      <c r="M3187" s="8">
        <v>0</v>
      </c>
      <c r="N3187" s="8">
        <v>0</v>
      </c>
      <c r="O3187" s="8">
        <v>1146400.17</v>
      </c>
    </row>
    <row r="3188" spans="1:15">
      <c r="A3188" s="191">
        <v>44896</v>
      </c>
      <c r="B3188" s="181" t="s">
        <v>122</v>
      </c>
      <c r="C3188" s="181" t="s">
        <v>783</v>
      </c>
      <c r="D3188" s="181" t="str">
        <f t="shared" si="52"/>
        <v>39710</v>
      </c>
      <c r="E3188" s="181" t="s">
        <v>15</v>
      </c>
      <c r="F3188" s="181" t="s">
        <v>14</v>
      </c>
      <c r="G3188" s="181" t="s">
        <v>793</v>
      </c>
      <c r="H3188" s="8">
        <v>24.310000000000002</v>
      </c>
      <c r="I3188" s="8">
        <v>0</v>
      </c>
      <c r="J3188" s="8">
        <v>0</v>
      </c>
      <c r="K3188" s="8">
        <v>0</v>
      </c>
      <c r="L3188" s="8">
        <v>0</v>
      </c>
      <c r="M3188" s="8">
        <v>0</v>
      </c>
      <c r="N3188" s="8">
        <v>0</v>
      </c>
      <c r="O3188" s="8">
        <v>24.310000000000002</v>
      </c>
    </row>
    <row r="3189" spans="1:15">
      <c r="A3189" s="191">
        <v>44531</v>
      </c>
      <c r="B3189" s="181" t="s">
        <v>13</v>
      </c>
      <c r="C3189" s="181" t="s">
        <v>784</v>
      </c>
      <c r="D3189" s="181" t="str">
        <f t="shared" si="52"/>
        <v>39800</v>
      </c>
      <c r="E3189" s="181" t="s">
        <v>15</v>
      </c>
      <c r="F3189" s="181" t="s">
        <v>14</v>
      </c>
      <c r="G3189" s="181" t="s">
        <v>647</v>
      </c>
      <c r="H3189" s="8">
        <v>81713.61</v>
      </c>
      <c r="I3189" s="8">
        <v>631.18000000000006</v>
      </c>
      <c r="J3189" s="8">
        <v>0</v>
      </c>
      <c r="K3189" s="8">
        <v>0</v>
      </c>
      <c r="L3189" s="8">
        <v>0</v>
      </c>
      <c r="M3189" s="8">
        <v>0</v>
      </c>
      <c r="N3189" s="8">
        <v>0</v>
      </c>
      <c r="O3189" s="8">
        <v>82344.790000000008</v>
      </c>
    </row>
    <row r="3190" spans="1:15">
      <c r="A3190" s="191">
        <v>44531</v>
      </c>
      <c r="B3190" s="181" t="s">
        <v>13</v>
      </c>
      <c r="C3190" s="181" t="s">
        <v>784</v>
      </c>
      <c r="D3190" s="181" t="str">
        <f t="shared" si="52"/>
        <v>39800</v>
      </c>
      <c r="E3190" s="181" t="s">
        <v>15</v>
      </c>
      <c r="F3190" s="181" t="s">
        <v>14</v>
      </c>
      <c r="G3190" s="181" t="s">
        <v>793</v>
      </c>
      <c r="H3190" s="8">
        <v>4146.53</v>
      </c>
      <c r="I3190" s="8">
        <v>0</v>
      </c>
      <c r="J3190" s="8">
        <v>0</v>
      </c>
      <c r="K3190" s="8">
        <v>0</v>
      </c>
      <c r="L3190" s="8">
        <v>0</v>
      </c>
      <c r="M3190" s="8">
        <v>0</v>
      </c>
      <c r="N3190" s="8">
        <v>0</v>
      </c>
      <c r="O3190" s="8">
        <v>4146.53</v>
      </c>
    </row>
    <row r="3191" spans="1:15">
      <c r="A3191" s="191">
        <v>44562</v>
      </c>
      <c r="B3191" s="181" t="s">
        <v>133</v>
      </c>
      <c r="C3191" s="181" t="s">
        <v>784</v>
      </c>
      <c r="D3191" s="181" t="str">
        <f t="shared" si="52"/>
        <v>39800</v>
      </c>
      <c r="E3191" s="181" t="s">
        <v>15</v>
      </c>
      <c r="F3191" s="181" t="s">
        <v>14</v>
      </c>
      <c r="G3191" s="181" t="s">
        <v>647</v>
      </c>
      <c r="H3191" s="8">
        <v>82344.790000000008</v>
      </c>
      <c r="I3191" s="8">
        <v>631.18000000000006</v>
      </c>
      <c r="J3191" s="8">
        <v>0</v>
      </c>
      <c r="K3191" s="8">
        <v>0</v>
      </c>
      <c r="L3191" s="8">
        <v>0</v>
      </c>
      <c r="M3191" s="8">
        <v>0</v>
      </c>
      <c r="N3191" s="8">
        <v>0</v>
      </c>
      <c r="O3191" s="8">
        <v>82975.97</v>
      </c>
    </row>
    <row r="3192" spans="1:15">
      <c r="A3192" s="191">
        <v>44562</v>
      </c>
      <c r="B3192" s="181" t="s">
        <v>133</v>
      </c>
      <c r="C3192" s="181" t="s">
        <v>784</v>
      </c>
      <c r="D3192" s="181" t="str">
        <f t="shared" si="52"/>
        <v>39800</v>
      </c>
      <c r="E3192" s="181" t="s">
        <v>15</v>
      </c>
      <c r="F3192" s="181" t="s">
        <v>14</v>
      </c>
      <c r="G3192" s="181" t="s">
        <v>793</v>
      </c>
      <c r="H3192" s="8">
        <v>4146.53</v>
      </c>
      <c r="I3192" s="8">
        <v>0</v>
      </c>
      <c r="J3192" s="8">
        <v>0</v>
      </c>
      <c r="K3192" s="8">
        <v>0</v>
      </c>
      <c r="L3192" s="8">
        <v>0</v>
      </c>
      <c r="M3192" s="8">
        <v>0</v>
      </c>
      <c r="N3192" s="8">
        <v>0</v>
      </c>
      <c r="O3192" s="8">
        <v>4146.53</v>
      </c>
    </row>
    <row r="3193" spans="1:15">
      <c r="A3193" s="191">
        <v>44593</v>
      </c>
      <c r="B3193" s="181" t="s">
        <v>132</v>
      </c>
      <c r="C3193" s="181" t="s">
        <v>784</v>
      </c>
      <c r="D3193" s="181" t="str">
        <f t="shared" si="52"/>
        <v>39800</v>
      </c>
      <c r="E3193" s="181" t="s">
        <v>15</v>
      </c>
      <c r="F3193" s="181" t="s">
        <v>14</v>
      </c>
      <c r="G3193" s="181" t="s">
        <v>647</v>
      </c>
      <c r="H3193" s="8">
        <v>82975.97</v>
      </c>
      <c r="I3193" s="8">
        <v>631.18000000000006</v>
      </c>
      <c r="J3193" s="8">
        <v>0</v>
      </c>
      <c r="K3193" s="8">
        <v>0</v>
      </c>
      <c r="L3193" s="8">
        <v>0</v>
      </c>
      <c r="M3193" s="8">
        <v>0</v>
      </c>
      <c r="N3193" s="8">
        <v>0</v>
      </c>
      <c r="O3193" s="8">
        <v>83607.150000000009</v>
      </c>
    </row>
    <row r="3194" spans="1:15">
      <c r="A3194" s="191">
        <v>44593</v>
      </c>
      <c r="B3194" s="181" t="s">
        <v>132</v>
      </c>
      <c r="C3194" s="181" t="s">
        <v>784</v>
      </c>
      <c r="D3194" s="181" t="str">
        <f t="shared" si="52"/>
        <v>39800</v>
      </c>
      <c r="E3194" s="181" t="s">
        <v>15</v>
      </c>
      <c r="F3194" s="181" t="s">
        <v>14</v>
      </c>
      <c r="G3194" s="181" t="s">
        <v>793</v>
      </c>
      <c r="H3194" s="8">
        <v>4146.53</v>
      </c>
      <c r="I3194" s="8">
        <v>0</v>
      </c>
      <c r="J3194" s="8">
        <v>0</v>
      </c>
      <c r="K3194" s="8">
        <v>0</v>
      </c>
      <c r="L3194" s="8">
        <v>0</v>
      </c>
      <c r="M3194" s="8">
        <v>0</v>
      </c>
      <c r="N3194" s="8">
        <v>0</v>
      </c>
      <c r="O3194" s="8">
        <v>4146.53</v>
      </c>
    </row>
    <row r="3195" spans="1:15">
      <c r="A3195" s="191">
        <v>44621</v>
      </c>
      <c r="B3195" s="181" t="s">
        <v>131</v>
      </c>
      <c r="C3195" s="181" t="s">
        <v>784</v>
      </c>
      <c r="D3195" s="181" t="str">
        <f t="shared" si="52"/>
        <v>39800</v>
      </c>
      <c r="E3195" s="181" t="s">
        <v>15</v>
      </c>
      <c r="F3195" s="181" t="s">
        <v>14</v>
      </c>
      <c r="G3195" s="181" t="s">
        <v>647</v>
      </c>
      <c r="H3195" s="8">
        <v>83607.150000000009</v>
      </c>
      <c r="I3195" s="8">
        <v>679.31000000000006</v>
      </c>
      <c r="J3195" s="8">
        <v>0</v>
      </c>
      <c r="K3195" s="8">
        <v>0</v>
      </c>
      <c r="L3195" s="8">
        <v>0</v>
      </c>
      <c r="M3195" s="8">
        <v>0</v>
      </c>
      <c r="N3195" s="8">
        <v>0</v>
      </c>
      <c r="O3195" s="8">
        <v>84286.46</v>
      </c>
    </row>
    <row r="3196" spans="1:15">
      <c r="A3196" s="191">
        <v>44621</v>
      </c>
      <c r="B3196" s="181" t="s">
        <v>131</v>
      </c>
      <c r="C3196" s="181" t="s">
        <v>784</v>
      </c>
      <c r="D3196" s="181" t="str">
        <f t="shared" si="52"/>
        <v>39800</v>
      </c>
      <c r="E3196" s="181" t="s">
        <v>15</v>
      </c>
      <c r="F3196" s="181" t="s">
        <v>14</v>
      </c>
      <c r="G3196" s="181" t="s">
        <v>793</v>
      </c>
      <c r="H3196" s="8">
        <v>4146.53</v>
      </c>
      <c r="I3196" s="8">
        <v>0</v>
      </c>
      <c r="J3196" s="8">
        <v>0</v>
      </c>
      <c r="K3196" s="8">
        <v>0</v>
      </c>
      <c r="L3196" s="8">
        <v>0</v>
      </c>
      <c r="M3196" s="8">
        <v>0</v>
      </c>
      <c r="N3196" s="8">
        <v>0</v>
      </c>
      <c r="O3196" s="8">
        <v>4146.53</v>
      </c>
    </row>
    <row r="3197" spans="1:15">
      <c r="A3197" s="191">
        <v>44652</v>
      </c>
      <c r="B3197" s="181" t="s">
        <v>130</v>
      </c>
      <c r="C3197" s="181" t="s">
        <v>784</v>
      </c>
      <c r="D3197" s="181" t="str">
        <f t="shared" ref="D3197:D3253" si="53">MID(C3197,10,5)</f>
        <v>39800</v>
      </c>
      <c r="E3197" s="181" t="s">
        <v>15</v>
      </c>
      <c r="F3197" s="181" t="s">
        <v>14</v>
      </c>
      <c r="G3197" s="181" t="s">
        <v>647</v>
      </c>
      <c r="H3197" s="8">
        <v>84286.46</v>
      </c>
      <c r="I3197" s="8">
        <v>727.44</v>
      </c>
      <c r="J3197" s="8">
        <v>0</v>
      </c>
      <c r="K3197" s="8">
        <v>0</v>
      </c>
      <c r="L3197" s="8">
        <v>0</v>
      </c>
      <c r="M3197" s="8">
        <v>0</v>
      </c>
      <c r="N3197" s="8">
        <v>0</v>
      </c>
      <c r="O3197" s="8">
        <v>85013.900000000009</v>
      </c>
    </row>
    <row r="3198" spans="1:15">
      <c r="A3198" s="191">
        <v>44652</v>
      </c>
      <c r="B3198" s="181" t="s">
        <v>130</v>
      </c>
      <c r="C3198" s="181" t="s">
        <v>784</v>
      </c>
      <c r="D3198" s="181" t="str">
        <f t="shared" si="53"/>
        <v>39800</v>
      </c>
      <c r="E3198" s="181" t="s">
        <v>15</v>
      </c>
      <c r="F3198" s="181" t="s">
        <v>14</v>
      </c>
      <c r="G3198" s="181" t="s">
        <v>793</v>
      </c>
      <c r="H3198" s="8">
        <v>4146.53</v>
      </c>
      <c r="I3198" s="8">
        <v>0</v>
      </c>
      <c r="J3198" s="8">
        <v>0</v>
      </c>
      <c r="K3198" s="8">
        <v>0</v>
      </c>
      <c r="L3198" s="8">
        <v>0</v>
      </c>
      <c r="M3198" s="8">
        <v>0</v>
      </c>
      <c r="N3198" s="8">
        <v>0</v>
      </c>
      <c r="O3198" s="8">
        <v>4146.53</v>
      </c>
    </row>
    <row r="3199" spans="1:15">
      <c r="A3199" s="191">
        <v>44682</v>
      </c>
      <c r="B3199" s="181" t="s">
        <v>129</v>
      </c>
      <c r="C3199" s="181" t="s">
        <v>784</v>
      </c>
      <c r="D3199" s="181" t="str">
        <f t="shared" si="53"/>
        <v>39800</v>
      </c>
      <c r="E3199" s="181" t="s">
        <v>15</v>
      </c>
      <c r="F3199" s="181" t="s">
        <v>14</v>
      </c>
      <c r="G3199" s="181" t="s">
        <v>647</v>
      </c>
      <c r="H3199" s="8">
        <v>85013.900000000009</v>
      </c>
      <c r="I3199" s="8">
        <v>727.44</v>
      </c>
      <c r="J3199" s="8">
        <v>0</v>
      </c>
      <c r="K3199" s="8">
        <v>0</v>
      </c>
      <c r="L3199" s="8">
        <v>0</v>
      </c>
      <c r="M3199" s="8">
        <v>0</v>
      </c>
      <c r="N3199" s="8">
        <v>0</v>
      </c>
      <c r="O3199" s="8">
        <v>85741.34</v>
      </c>
    </row>
    <row r="3200" spans="1:15">
      <c r="A3200" s="191">
        <v>44682</v>
      </c>
      <c r="B3200" s="181" t="s">
        <v>129</v>
      </c>
      <c r="C3200" s="181" t="s">
        <v>784</v>
      </c>
      <c r="D3200" s="181" t="str">
        <f t="shared" si="53"/>
        <v>39800</v>
      </c>
      <c r="E3200" s="181" t="s">
        <v>15</v>
      </c>
      <c r="F3200" s="181" t="s">
        <v>14</v>
      </c>
      <c r="G3200" s="181" t="s">
        <v>793</v>
      </c>
      <c r="H3200" s="8">
        <v>4146.53</v>
      </c>
      <c r="I3200" s="8">
        <v>0</v>
      </c>
      <c r="J3200" s="8">
        <v>0</v>
      </c>
      <c r="K3200" s="8">
        <v>0</v>
      </c>
      <c r="L3200" s="8">
        <v>0</v>
      </c>
      <c r="M3200" s="8">
        <v>0</v>
      </c>
      <c r="N3200" s="8">
        <v>0</v>
      </c>
      <c r="O3200" s="8">
        <v>4146.53</v>
      </c>
    </row>
    <row r="3201" spans="1:15">
      <c r="A3201" s="191">
        <v>44713</v>
      </c>
      <c r="B3201" s="181" t="s">
        <v>128</v>
      </c>
      <c r="C3201" s="181" t="s">
        <v>784</v>
      </c>
      <c r="D3201" s="181" t="str">
        <f t="shared" si="53"/>
        <v>39800</v>
      </c>
      <c r="E3201" s="181" t="s">
        <v>15</v>
      </c>
      <c r="F3201" s="181" t="s">
        <v>14</v>
      </c>
      <c r="G3201" s="181" t="s">
        <v>647</v>
      </c>
      <c r="H3201" s="8">
        <v>85741.34</v>
      </c>
      <c r="I3201" s="8">
        <v>727.44</v>
      </c>
      <c r="J3201" s="8">
        <v>0</v>
      </c>
      <c r="K3201" s="8">
        <v>0</v>
      </c>
      <c r="L3201" s="8">
        <v>0</v>
      </c>
      <c r="M3201" s="8">
        <v>0</v>
      </c>
      <c r="N3201" s="8">
        <v>0</v>
      </c>
      <c r="O3201" s="8">
        <v>86468.78</v>
      </c>
    </row>
    <row r="3202" spans="1:15">
      <c r="A3202" s="191">
        <v>44713</v>
      </c>
      <c r="B3202" s="181" t="s">
        <v>128</v>
      </c>
      <c r="C3202" s="181" t="s">
        <v>784</v>
      </c>
      <c r="D3202" s="181" t="str">
        <f t="shared" si="53"/>
        <v>39800</v>
      </c>
      <c r="E3202" s="181" t="s">
        <v>15</v>
      </c>
      <c r="F3202" s="181" t="s">
        <v>14</v>
      </c>
      <c r="G3202" s="181" t="s">
        <v>793</v>
      </c>
      <c r="H3202" s="8">
        <v>4146.53</v>
      </c>
      <c r="I3202" s="8">
        <v>0</v>
      </c>
      <c r="J3202" s="8">
        <v>0</v>
      </c>
      <c r="K3202" s="8">
        <v>0</v>
      </c>
      <c r="L3202" s="8">
        <v>0</v>
      </c>
      <c r="M3202" s="8">
        <v>0</v>
      </c>
      <c r="N3202" s="8">
        <v>0</v>
      </c>
      <c r="O3202" s="8">
        <v>4146.53</v>
      </c>
    </row>
    <row r="3203" spans="1:15">
      <c r="A3203" s="191">
        <v>44743</v>
      </c>
      <c r="B3203" s="181" t="s">
        <v>127</v>
      </c>
      <c r="C3203" s="181" t="s">
        <v>784</v>
      </c>
      <c r="D3203" s="181" t="str">
        <f t="shared" si="53"/>
        <v>39800</v>
      </c>
      <c r="E3203" s="181" t="s">
        <v>15</v>
      </c>
      <c r="F3203" s="181" t="s">
        <v>14</v>
      </c>
      <c r="G3203" s="181" t="s">
        <v>647</v>
      </c>
      <c r="H3203" s="8">
        <v>86468.78</v>
      </c>
      <c r="I3203" s="8">
        <v>727.44</v>
      </c>
      <c r="J3203" s="8">
        <v>0</v>
      </c>
      <c r="K3203" s="8">
        <v>0</v>
      </c>
      <c r="L3203" s="8">
        <v>0</v>
      </c>
      <c r="M3203" s="8">
        <v>0</v>
      </c>
      <c r="N3203" s="8">
        <v>0</v>
      </c>
      <c r="O3203" s="8">
        <v>87196.22</v>
      </c>
    </row>
    <row r="3204" spans="1:15">
      <c r="A3204" s="191">
        <v>44743</v>
      </c>
      <c r="B3204" s="181" t="s">
        <v>127</v>
      </c>
      <c r="C3204" s="181" t="s">
        <v>784</v>
      </c>
      <c r="D3204" s="181" t="str">
        <f t="shared" si="53"/>
        <v>39800</v>
      </c>
      <c r="E3204" s="181" t="s">
        <v>15</v>
      </c>
      <c r="F3204" s="181" t="s">
        <v>14</v>
      </c>
      <c r="G3204" s="181" t="s">
        <v>793</v>
      </c>
      <c r="H3204" s="8">
        <v>4146.53</v>
      </c>
      <c r="I3204" s="8">
        <v>0</v>
      </c>
      <c r="J3204" s="8">
        <v>0</v>
      </c>
      <c r="K3204" s="8">
        <v>0</v>
      </c>
      <c r="L3204" s="8">
        <v>0</v>
      </c>
      <c r="M3204" s="8">
        <v>0</v>
      </c>
      <c r="N3204" s="8">
        <v>0</v>
      </c>
      <c r="O3204" s="8">
        <v>4146.53</v>
      </c>
    </row>
    <row r="3205" spans="1:15">
      <c r="A3205" s="191">
        <v>44774</v>
      </c>
      <c r="B3205" s="181" t="s">
        <v>126</v>
      </c>
      <c r="C3205" s="181" t="s">
        <v>784</v>
      </c>
      <c r="D3205" s="181" t="str">
        <f t="shared" si="53"/>
        <v>39800</v>
      </c>
      <c r="E3205" s="181" t="s">
        <v>15</v>
      </c>
      <c r="F3205" s="181" t="s">
        <v>14</v>
      </c>
      <c r="G3205" s="181" t="s">
        <v>647</v>
      </c>
      <c r="H3205" s="8">
        <v>87196.22</v>
      </c>
      <c r="I3205" s="8">
        <v>727.44</v>
      </c>
      <c r="J3205" s="8">
        <v>0</v>
      </c>
      <c r="K3205" s="8">
        <v>0</v>
      </c>
      <c r="L3205" s="8">
        <v>0</v>
      </c>
      <c r="M3205" s="8">
        <v>0</v>
      </c>
      <c r="N3205" s="8">
        <v>0</v>
      </c>
      <c r="O3205" s="8">
        <v>87923.66</v>
      </c>
    </row>
    <row r="3206" spans="1:15">
      <c r="A3206" s="191">
        <v>44774</v>
      </c>
      <c r="B3206" s="181" t="s">
        <v>126</v>
      </c>
      <c r="C3206" s="181" t="s">
        <v>784</v>
      </c>
      <c r="D3206" s="181" t="str">
        <f t="shared" si="53"/>
        <v>39800</v>
      </c>
      <c r="E3206" s="181" t="s">
        <v>15</v>
      </c>
      <c r="F3206" s="181" t="s">
        <v>14</v>
      </c>
      <c r="G3206" s="181" t="s">
        <v>793</v>
      </c>
      <c r="H3206" s="8">
        <v>4146.53</v>
      </c>
      <c r="I3206" s="8">
        <v>0</v>
      </c>
      <c r="J3206" s="8">
        <v>0</v>
      </c>
      <c r="K3206" s="8">
        <v>0</v>
      </c>
      <c r="L3206" s="8">
        <v>0</v>
      </c>
      <c r="M3206" s="8">
        <v>0</v>
      </c>
      <c r="N3206" s="8">
        <v>0</v>
      </c>
      <c r="O3206" s="8">
        <v>4146.53</v>
      </c>
    </row>
    <row r="3207" spans="1:15">
      <c r="A3207" s="191">
        <v>44805</v>
      </c>
      <c r="B3207" s="181" t="s">
        <v>125</v>
      </c>
      <c r="C3207" s="181" t="s">
        <v>784</v>
      </c>
      <c r="D3207" s="181" t="str">
        <f t="shared" si="53"/>
        <v>39800</v>
      </c>
      <c r="E3207" s="181" t="s">
        <v>15</v>
      </c>
      <c r="F3207" s="181" t="s">
        <v>14</v>
      </c>
      <c r="G3207" s="181" t="s">
        <v>647</v>
      </c>
      <c r="H3207" s="8">
        <v>87923.66</v>
      </c>
      <c r="I3207" s="8">
        <v>727.44</v>
      </c>
      <c r="J3207" s="8">
        <v>0</v>
      </c>
      <c r="K3207" s="8">
        <v>0</v>
      </c>
      <c r="L3207" s="8">
        <v>0</v>
      </c>
      <c r="M3207" s="8">
        <v>0</v>
      </c>
      <c r="N3207" s="8">
        <v>0</v>
      </c>
      <c r="O3207" s="8">
        <v>88651.1</v>
      </c>
    </row>
    <row r="3208" spans="1:15">
      <c r="A3208" s="191">
        <v>44805</v>
      </c>
      <c r="B3208" s="181" t="s">
        <v>125</v>
      </c>
      <c r="C3208" s="181" t="s">
        <v>784</v>
      </c>
      <c r="D3208" s="181" t="str">
        <f t="shared" si="53"/>
        <v>39800</v>
      </c>
      <c r="E3208" s="181" t="s">
        <v>15</v>
      </c>
      <c r="F3208" s="181" t="s">
        <v>14</v>
      </c>
      <c r="G3208" s="181" t="s">
        <v>793</v>
      </c>
      <c r="H3208" s="8">
        <v>4146.53</v>
      </c>
      <c r="I3208" s="8">
        <v>0</v>
      </c>
      <c r="J3208" s="8">
        <v>0</v>
      </c>
      <c r="K3208" s="8">
        <v>0</v>
      </c>
      <c r="L3208" s="8">
        <v>0</v>
      </c>
      <c r="M3208" s="8">
        <v>0</v>
      </c>
      <c r="N3208" s="8">
        <v>0</v>
      </c>
      <c r="O3208" s="8">
        <v>4146.53</v>
      </c>
    </row>
    <row r="3209" spans="1:15">
      <c r="A3209" s="191">
        <v>44835</v>
      </c>
      <c r="B3209" s="181" t="s">
        <v>124</v>
      </c>
      <c r="C3209" s="181" t="s">
        <v>784</v>
      </c>
      <c r="D3209" s="181" t="str">
        <f t="shared" si="53"/>
        <v>39800</v>
      </c>
      <c r="E3209" s="181" t="s">
        <v>15</v>
      </c>
      <c r="F3209" s="181" t="s">
        <v>14</v>
      </c>
      <c r="G3209" s="181" t="s">
        <v>647</v>
      </c>
      <c r="H3209" s="8">
        <v>88651.1</v>
      </c>
      <c r="I3209" s="8">
        <v>727.44</v>
      </c>
      <c r="J3209" s="8">
        <v>0</v>
      </c>
      <c r="K3209" s="8">
        <v>0</v>
      </c>
      <c r="L3209" s="8">
        <v>0</v>
      </c>
      <c r="M3209" s="8">
        <v>0</v>
      </c>
      <c r="N3209" s="8">
        <v>0</v>
      </c>
      <c r="O3209" s="8">
        <v>89378.540000000008</v>
      </c>
    </row>
    <row r="3210" spans="1:15">
      <c r="A3210" s="191">
        <v>44835</v>
      </c>
      <c r="B3210" s="181" t="s">
        <v>124</v>
      </c>
      <c r="C3210" s="181" t="s">
        <v>784</v>
      </c>
      <c r="D3210" s="181" t="str">
        <f t="shared" si="53"/>
        <v>39800</v>
      </c>
      <c r="E3210" s="181" t="s">
        <v>15</v>
      </c>
      <c r="F3210" s="181" t="s">
        <v>14</v>
      </c>
      <c r="G3210" s="181" t="s">
        <v>793</v>
      </c>
      <c r="H3210" s="8">
        <v>4146.53</v>
      </c>
      <c r="I3210" s="8">
        <v>0</v>
      </c>
      <c r="J3210" s="8">
        <v>0</v>
      </c>
      <c r="K3210" s="8">
        <v>0</v>
      </c>
      <c r="L3210" s="8">
        <v>0</v>
      </c>
      <c r="M3210" s="8">
        <v>0</v>
      </c>
      <c r="N3210" s="8">
        <v>0</v>
      </c>
      <c r="O3210" s="8">
        <v>4146.53</v>
      </c>
    </row>
    <row r="3211" spans="1:15">
      <c r="A3211" s="191">
        <v>44866</v>
      </c>
      <c r="B3211" s="181" t="s">
        <v>123</v>
      </c>
      <c r="C3211" s="181" t="s">
        <v>784</v>
      </c>
      <c r="D3211" s="181" t="str">
        <f t="shared" si="53"/>
        <v>39800</v>
      </c>
      <c r="E3211" s="181" t="s">
        <v>15</v>
      </c>
      <c r="F3211" s="181" t="s">
        <v>14</v>
      </c>
      <c r="G3211" s="181" t="s">
        <v>647</v>
      </c>
      <c r="H3211" s="8">
        <v>89378.540000000008</v>
      </c>
      <c r="I3211" s="8">
        <v>727.44</v>
      </c>
      <c r="J3211" s="8">
        <v>0</v>
      </c>
      <c r="K3211" s="8">
        <v>0</v>
      </c>
      <c r="L3211" s="8">
        <v>0</v>
      </c>
      <c r="M3211" s="8">
        <v>0</v>
      </c>
      <c r="N3211" s="8">
        <v>0</v>
      </c>
      <c r="O3211" s="8">
        <v>90105.98</v>
      </c>
    </row>
    <row r="3212" spans="1:15">
      <c r="A3212" s="191">
        <v>44866</v>
      </c>
      <c r="B3212" s="181" t="s">
        <v>123</v>
      </c>
      <c r="C3212" s="181" t="s">
        <v>784</v>
      </c>
      <c r="D3212" s="181" t="str">
        <f t="shared" si="53"/>
        <v>39800</v>
      </c>
      <c r="E3212" s="181" t="s">
        <v>15</v>
      </c>
      <c r="F3212" s="181" t="s">
        <v>14</v>
      </c>
      <c r="G3212" s="181" t="s">
        <v>793</v>
      </c>
      <c r="H3212" s="8">
        <v>4146.53</v>
      </c>
      <c r="I3212" s="8">
        <v>0</v>
      </c>
      <c r="J3212" s="8">
        <v>0</v>
      </c>
      <c r="K3212" s="8">
        <v>0</v>
      </c>
      <c r="L3212" s="8">
        <v>0</v>
      </c>
      <c r="M3212" s="8">
        <v>0</v>
      </c>
      <c r="N3212" s="8">
        <v>0</v>
      </c>
      <c r="O3212" s="8">
        <v>4146.53</v>
      </c>
    </row>
    <row r="3213" spans="1:15">
      <c r="A3213" s="191">
        <v>44896</v>
      </c>
      <c r="B3213" s="181" t="s">
        <v>122</v>
      </c>
      <c r="C3213" s="181" t="s">
        <v>784</v>
      </c>
      <c r="D3213" s="181" t="str">
        <f t="shared" si="53"/>
        <v>39800</v>
      </c>
      <c r="E3213" s="181" t="s">
        <v>15</v>
      </c>
      <c r="F3213" s="181" t="s">
        <v>14</v>
      </c>
      <c r="G3213" s="181" t="s">
        <v>647</v>
      </c>
      <c r="H3213" s="8">
        <v>90105.98</v>
      </c>
      <c r="I3213" s="8">
        <v>822.83</v>
      </c>
      <c r="J3213" s="8">
        <v>0</v>
      </c>
      <c r="K3213" s="8">
        <v>0</v>
      </c>
      <c r="L3213" s="8">
        <v>0</v>
      </c>
      <c r="M3213" s="8">
        <v>0</v>
      </c>
      <c r="N3213" s="8">
        <v>0</v>
      </c>
      <c r="O3213" s="8">
        <v>90928.81</v>
      </c>
    </row>
    <row r="3214" spans="1:15">
      <c r="A3214" s="191">
        <v>44896</v>
      </c>
      <c r="B3214" s="181" t="s">
        <v>122</v>
      </c>
      <c r="C3214" s="181" t="s">
        <v>784</v>
      </c>
      <c r="D3214" s="181" t="str">
        <f t="shared" si="53"/>
        <v>39800</v>
      </c>
      <c r="E3214" s="181" t="s">
        <v>15</v>
      </c>
      <c r="F3214" s="181" t="s">
        <v>14</v>
      </c>
      <c r="G3214" s="181" t="s">
        <v>793</v>
      </c>
      <c r="H3214" s="8">
        <v>4146.53</v>
      </c>
      <c r="I3214" s="8">
        <v>0</v>
      </c>
      <c r="J3214" s="8">
        <v>0</v>
      </c>
      <c r="K3214" s="8">
        <v>0</v>
      </c>
      <c r="L3214" s="8">
        <v>0</v>
      </c>
      <c r="M3214" s="8">
        <v>0</v>
      </c>
      <c r="N3214" s="8">
        <v>0</v>
      </c>
      <c r="O3214" s="8">
        <v>4146.53</v>
      </c>
    </row>
    <row r="3215" spans="1:15">
      <c r="A3215" s="191">
        <v>44531</v>
      </c>
      <c r="B3215" s="181" t="s">
        <v>13</v>
      </c>
      <c r="C3215" s="181" t="s">
        <v>822</v>
      </c>
      <c r="D3215" s="181" t="str">
        <f t="shared" si="53"/>
        <v>EXT -</v>
      </c>
      <c r="E3215" s="181" t="s">
        <v>15</v>
      </c>
      <c r="F3215" s="181" t="s">
        <v>14</v>
      </c>
      <c r="G3215" s="181" t="s">
        <v>647</v>
      </c>
      <c r="H3215" s="8">
        <v>0</v>
      </c>
      <c r="I3215" s="8">
        <v>0</v>
      </c>
      <c r="J3215" s="8">
        <v>0</v>
      </c>
      <c r="K3215" s="8">
        <v>0</v>
      </c>
      <c r="L3215" s="8">
        <v>0</v>
      </c>
      <c r="M3215" s="8">
        <v>0</v>
      </c>
      <c r="N3215" s="8">
        <v>0</v>
      </c>
      <c r="O3215" s="8">
        <v>0</v>
      </c>
    </row>
    <row r="3216" spans="1:15">
      <c r="A3216" s="191">
        <v>44562</v>
      </c>
      <c r="B3216" s="181" t="s">
        <v>133</v>
      </c>
      <c r="C3216" s="181" t="s">
        <v>822</v>
      </c>
      <c r="D3216" s="181" t="str">
        <f t="shared" si="53"/>
        <v>EXT -</v>
      </c>
      <c r="E3216" s="181" t="s">
        <v>15</v>
      </c>
      <c r="F3216" s="181" t="s">
        <v>14</v>
      </c>
      <c r="G3216" s="181" t="s">
        <v>647</v>
      </c>
      <c r="H3216" s="8">
        <v>0</v>
      </c>
      <c r="I3216" s="8">
        <v>0</v>
      </c>
      <c r="J3216" s="8">
        <v>0</v>
      </c>
      <c r="K3216" s="8">
        <v>0</v>
      </c>
      <c r="L3216" s="8">
        <v>0</v>
      </c>
      <c r="M3216" s="8">
        <v>0</v>
      </c>
      <c r="N3216" s="8">
        <v>0</v>
      </c>
      <c r="O3216" s="8">
        <v>0</v>
      </c>
    </row>
    <row r="3217" spans="1:15">
      <c r="A3217" s="191">
        <v>44593</v>
      </c>
      <c r="B3217" s="181" t="s">
        <v>132</v>
      </c>
      <c r="C3217" s="181" t="s">
        <v>822</v>
      </c>
      <c r="D3217" s="181" t="str">
        <f t="shared" si="53"/>
        <v>EXT -</v>
      </c>
      <c r="E3217" s="181" t="s">
        <v>15</v>
      </c>
      <c r="F3217" s="181" t="s">
        <v>14</v>
      </c>
      <c r="G3217" s="181" t="s">
        <v>647</v>
      </c>
      <c r="H3217" s="8">
        <v>0</v>
      </c>
      <c r="I3217" s="8">
        <v>0</v>
      </c>
      <c r="J3217" s="8">
        <v>0</v>
      </c>
      <c r="K3217" s="8">
        <v>0</v>
      </c>
      <c r="L3217" s="8">
        <v>0</v>
      </c>
      <c r="M3217" s="8">
        <v>0</v>
      </c>
      <c r="N3217" s="8">
        <v>0</v>
      </c>
      <c r="O3217" s="8">
        <v>0</v>
      </c>
    </row>
    <row r="3218" spans="1:15">
      <c r="A3218" s="191">
        <v>44621</v>
      </c>
      <c r="B3218" s="181" t="s">
        <v>131</v>
      </c>
      <c r="C3218" s="181" t="s">
        <v>822</v>
      </c>
      <c r="D3218" s="181" t="str">
        <f t="shared" si="53"/>
        <v>EXT -</v>
      </c>
      <c r="E3218" s="181" t="s">
        <v>15</v>
      </c>
      <c r="F3218" s="181" t="s">
        <v>14</v>
      </c>
      <c r="G3218" s="181" t="s">
        <v>647</v>
      </c>
      <c r="H3218" s="8">
        <v>0</v>
      </c>
      <c r="I3218" s="8">
        <v>0</v>
      </c>
      <c r="J3218" s="8">
        <v>0</v>
      </c>
      <c r="K3218" s="8">
        <v>0</v>
      </c>
      <c r="L3218" s="8">
        <v>0</v>
      </c>
      <c r="M3218" s="8">
        <v>0</v>
      </c>
      <c r="N3218" s="8">
        <v>0</v>
      </c>
      <c r="O3218" s="8">
        <v>0</v>
      </c>
    </row>
    <row r="3219" spans="1:15">
      <c r="A3219" s="191">
        <v>44652</v>
      </c>
      <c r="B3219" s="181" t="s">
        <v>130</v>
      </c>
      <c r="C3219" s="181" t="s">
        <v>822</v>
      </c>
      <c r="D3219" s="181" t="str">
        <f t="shared" si="53"/>
        <v>EXT -</v>
      </c>
      <c r="E3219" s="181" t="s">
        <v>15</v>
      </c>
      <c r="F3219" s="181" t="s">
        <v>14</v>
      </c>
      <c r="G3219" s="181" t="s">
        <v>647</v>
      </c>
      <c r="H3219" s="8">
        <v>0</v>
      </c>
      <c r="I3219" s="8">
        <v>0</v>
      </c>
      <c r="J3219" s="8">
        <v>0</v>
      </c>
      <c r="K3219" s="8">
        <v>0</v>
      </c>
      <c r="L3219" s="8">
        <v>0</v>
      </c>
      <c r="M3219" s="8">
        <v>0</v>
      </c>
      <c r="N3219" s="8">
        <v>0</v>
      </c>
      <c r="O3219" s="8">
        <v>0</v>
      </c>
    </row>
    <row r="3220" spans="1:15">
      <c r="A3220" s="191">
        <v>44682</v>
      </c>
      <c r="B3220" s="181" t="s">
        <v>129</v>
      </c>
      <c r="C3220" s="181" t="s">
        <v>822</v>
      </c>
      <c r="D3220" s="181" t="str">
        <f t="shared" si="53"/>
        <v>EXT -</v>
      </c>
      <c r="E3220" s="181" t="s">
        <v>15</v>
      </c>
      <c r="F3220" s="181" t="s">
        <v>14</v>
      </c>
      <c r="G3220" s="181" t="s">
        <v>647</v>
      </c>
      <c r="H3220" s="8">
        <v>0</v>
      </c>
      <c r="I3220" s="8">
        <v>0</v>
      </c>
      <c r="J3220" s="8">
        <v>0</v>
      </c>
      <c r="K3220" s="8">
        <v>0</v>
      </c>
      <c r="L3220" s="8">
        <v>0</v>
      </c>
      <c r="M3220" s="8">
        <v>0</v>
      </c>
      <c r="N3220" s="8">
        <v>0</v>
      </c>
      <c r="O3220" s="8">
        <v>0</v>
      </c>
    </row>
    <row r="3221" spans="1:15">
      <c r="A3221" s="191">
        <v>44713</v>
      </c>
      <c r="B3221" s="181" t="s">
        <v>128</v>
      </c>
      <c r="C3221" s="181" t="s">
        <v>822</v>
      </c>
      <c r="D3221" s="181" t="str">
        <f t="shared" si="53"/>
        <v>EXT -</v>
      </c>
      <c r="E3221" s="181" t="s">
        <v>15</v>
      </c>
      <c r="F3221" s="181" t="s">
        <v>14</v>
      </c>
      <c r="G3221" s="181" t="s">
        <v>647</v>
      </c>
      <c r="H3221" s="8">
        <v>0</v>
      </c>
      <c r="I3221" s="8">
        <v>0</v>
      </c>
      <c r="J3221" s="8">
        <v>0</v>
      </c>
      <c r="K3221" s="8">
        <v>0</v>
      </c>
      <c r="L3221" s="8">
        <v>0</v>
      </c>
      <c r="M3221" s="8">
        <v>0</v>
      </c>
      <c r="N3221" s="8">
        <v>0</v>
      </c>
      <c r="O3221" s="8">
        <v>0</v>
      </c>
    </row>
    <row r="3222" spans="1:15">
      <c r="A3222" s="191">
        <v>44743</v>
      </c>
      <c r="B3222" s="181" t="s">
        <v>127</v>
      </c>
      <c r="C3222" s="181" t="s">
        <v>822</v>
      </c>
      <c r="D3222" s="181" t="str">
        <f t="shared" si="53"/>
        <v>EXT -</v>
      </c>
      <c r="E3222" s="181" t="s">
        <v>15</v>
      </c>
      <c r="F3222" s="181" t="s">
        <v>14</v>
      </c>
      <c r="G3222" s="181" t="s">
        <v>647</v>
      </c>
      <c r="H3222" s="8">
        <v>0</v>
      </c>
      <c r="I3222" s="8">
        <v>0</v>
      </c>
      <c r="J3222" s="8">
        <v>0</v>
      </c>
      <c r="K3222" s="8">
        <v>0</v>
      </c>
      <c r="L3222" s="8">
        <v>0</v>
      </c>
      <c r="M3222" s="8">
        <v>0</v>
      </c>
      <c r="N3222" s="8">
        <v>0</v>
      </c>
      <c r="O3222" s="8">
        <v>0</v>
      </c>
    </row>
    <row r="3223" spans="1:15">
      <c r="A3223" s="191">
        <v>44774</v>
      </c>
      <c r="B3223" s="181" t="s">
        <v>126</v>
      </c>
      <c r="C3223" s="181" t="s">
        <v>822</v>
      </c>
      <c r="D3223" s="181" t="str">
        <f t="shared" si="53"/>
        <v>EXT -</v>
      </c>
      <c r="E3223" s="181" t="s">
        <v>15</v>
      </c>
      <c r="F3223" s="181" t="s">
        <v>14</v>
      </c>
      <c r="G3223" s="181" t="s">
        <v>647</v>
      </c>
      <c r="H3223" s="8">
        <v>0</v>
      </c>
      <c r="I3223" s="8">
        <v>0</v>
      </c>
      <c r="J3223" s="8">
        <v>0</v>
      </c>
      <c r="K3223" s="8">
        <v>0</v>
      </c>
      <c r="L3223" s="8">
        <v>0</v>
      </c>
      <c r="M3223" s="8">
        <v>0</v>
      </c>
      <c r="N3223" s="8">
        <v>0</v>
      </c>
      <c r="O3223" s="8">
        <v>0</v>
      </c>
    </row>
    <row r="3224" spans="1:15">
      <c r="A3224" s="191">
        <v>44805</v>
      </c>
      <c r="B3224" s="181" t="s">
        <v>125</v>
      </c>
      <c r="C3224" s="181" t="s">
        <v>822</v>
      </c>
      <c r="D3224" s="181" t="str">
        <f t="shared" si="53"/>
        <v>EXT -</v>
      </c>
      <c r="E3224" s="181" t="s">
        <v>15</v>
      </c>
      <c r="F3224" s="181" t="s">
        <v>14</v>
      </c>
      <c r="G3224" s="181" t="s">
        <v>647</v>
      </c>
      <c r="H3224" s="8">
        <v>0</v>
      </c>
      <c r="I3224" s="8">
        <v>0</v>
      </c>
      <c r="J3224" s="8">
        <v>0</v>
      </c>
      <c r="K3224" s="8">
        <v>0</v>
      </c>
      <c r="L3224" s="8">
        <v>0</v>
      </c>
      <c r="M3224" s="8">
        <v>0</v>
      </c>
      <c r="N3224" s="8">
        <v>0</v>
      </c>
      <c r="O3224" s="8">
        <v>0</v>
      </c>
    </row>
    <row r="3225" spans="1:15">
      <c r="A3225" s="191">
        <v>44835</v>
      </c>
      <c r="B3225" s="181" t="s">
        <v>124</v>
      </c>
      <c r="C3225" s="181" t="s">
        <v>822</v>
      </c>
      <c r="D3225" s="181" t="str">
        <f t="shared" si="53"/>
        <v>EXT -</v>
      </c>
      <c r="E3225" s="181" t="s">
        <v>15</v>
      </c>
      <c r="F3225" s="181" t="s">
        <v>14</v>
      </c>
      <c r="G3225" s="181" t="s">
        <v>647</v>
      </c>
      <c r="H3225" s="8">
        <v>0</v>
      </c>
      <c r="I3225" s="8">
        <v>0</v>
      </c>
      <c r="J3225" s="8">
        <v>0</v>
      </c>
      <c r="K3225" s="8">
        <v>0</v>
      </c>
      <c r="L3225" s="8">
        <v>0</v>
      </c>
      <c r="M3225" s="8">
        <v>0</v>
      </c>
      <c r="N3225" s="8">
        <v>0</v>
      </c>
      <c r="O3225" s="8">
        <v>0</v>
      </c>
    </row>
    <row r="3226" spans="1:15">
      <c r="A3226" s="191">
        <v>44866</v>
      </c>
      <c r="B3226" s="181" t="s">
        <v>123</v>
      </c>
      <c r="C3226" s="181" t="s">
        <v>822</v>
      </c>
      <c r="D3226" s="181" t="str">
        <f t="shared" si="53"/>
        <v>EXT -</v>
      </c>
      <c r="E3226" s="181" t="s">
        <v>15</v>
      </c>
      <c r="F3226" s="181" t="s">
        <v>14</v>
      </c>
      <c r="G3226" s="181" t="s">
        <v>647</v>
      </c>
      <c r="H3226" s="8">
        <v>0</v>
      </c>
      <c r="I3226" s="8">
        <v>0</v>
      </c>
      <c r="J3226" s="8">
        <v>0</v>
      </c>
      <c r="K3226" s="8">
        <v>0</v>
      </c>
      <c r="L3226" s="8">
        <v>0</v>
      </c>
      <c r="M3226" s="8">
        <v>0</v>
      </c>
      <c r="N3226" s="8">
        <v>0</v>
      </c>
      <c r="O3226" s="8">
        <v>0</v>
      </c>
    </row>
    <row r="3227" spans="1:15">
      <c r="A3227" s="191">
        <v>44896</v>
      </c>
      <c r="B3227" s="181" t="s">
        <v>122</v>
      </c>
      <c r="C3227" s="181" t="s">
        <v>822</v>
      </c>
      <c r="D3227" s="181" t="str">
        <f t="shared" si="53"/>
        <v>EXT -</v>
      </c>
      <c r="E3227" s="181" t="s">
        <v>15</v>
      </c>
      <c r="F3227" s="181" t="s">
        <v>14</v>
      </c>
      <c r="G3227" s="181" t="s">
        <v>647</v>
      </c>
      <c r="H3227" s="8">
        <v>0</v>
      </c>
      <c r="I3227" s="8">
        <v>0</v>
      </c>
      <c r="J3227" s="8">
        <v>0</v>
      </c>
      <c r="K3227" s="8">
        <v>0</v>
      </c>
      <c r="L3227" s="8">
        <v>0</v>
      </c>
      <c r="M3227" s="8">
        <v>0</v>
      </c>
      <c r="N3227" s="8">
        <v>0</v>
      </c>
      <c r="O3227" s="8">
        <v>0</v>
      </c>
    </row>
    <row r="3228" spans="1:15">
      <c r="A3228" s="191">
        <v>44531</v>
      </c>
      <c r="B3228" s="181" t="s">
        <v>13</v>
      </c>
      <c r="C3228" s="181" t="s">
        <v>824</v>
      </c>
      <c r="D3228" s="181" t="str">
        <f t="shared" si="53"/>
        <v>nspec</v>
      </c>
      <c r="E3228" s="181" t="s">
        <v>15</v>
      </c>
      <c r="F3228" s="181" t="s">
        <v>14</v>
      </c>
      <c r="G3228" s="181" t="s">
        <v>647</v>
      </c>
      <c r="H3228" s="8">
        <v>-713429.09</v>
      </c>
      <c r="I3228" s="8">
        <v>0</v>
      </c>
      <c r="J3228" s="8">
        <v>0</v>
      </c>
      <c r="K3228" s="8">
        <v>0</v>
      </c>
      <c r="L3228" s="8">
        <v>0</v>
      </c>
      <c r="M3228" s="8">
        <v>0</v>
      </c>
      <c r="N3228" s="8">
        <v>0</v>
      </c>
      <c r="O3228" s="8">
        <v>-713429.09</v>
      </c>
    </row>
    <row r="3229" spans="1:15">
      <c r="A3229" s="191">
        <v>44531</v>
      </c>
      <c r="B3229" s="181" t="s">
        <v>13</v>
      </c>
      <c r="C3229" s="181" t="s">
        <v>824</v>
      </c>
      <c r="D3229" s="181" t="str">
        <f t="shared" si="53"/>
        <v>nspec</v>
      </c>
      <c r="E3229" s="181" t="s">
        <v>15</v>
      </c>
      <c r="F3229" s="181" t="s">
        <v>14</v>
      </c>
      <c r="G3229" s="181" t="s">
        <v>793</v>
      </c>
      <c r="H3229" s="8">
        <v>713429.09</v>
      </c>
      <c r="I3229" s="8">
        <v>0</v>
      </c>
      <c r="J3229" s="8">
        <v>0</v>
      </c>
      <c r="K3229" s="8">
        <v>0</v>
      </c>
      <c r="L3229" s="8">
        <v>0</v>
      </c>
      <c r="M3229" s="8">
        <v>0</v>
      </c>
      <c r="N3229" s="8">
        <v>0</v>
      </c>
      <c r="O3229" s="8">
        <v>713429.09</v>
      </c>
    </row>
    <row r="3230" spans="1:15">
      <c r="A3230" s="191">
        <v>44562</v>
      </c>
      <c r="B3230" s="181" t="s">
        <v>133</v>
      </c>
      <c r="C3230" s="181" t="s">
        <v>824</v>
      </c>
      <c r="D3230" s="181" t="str">
        <f t="shared" si="53"/>
        <v>nspec</v>
      </c>
      <c r="E3230" s="181" t="s">
        <v>15</v>
      </c>
      <c r="F3230" s="181" t="s">
        <v>14</v>
      </c>
      <c r="G3230" s="181" t="s">
        <v>647</v>
      </c>
      <c r="H3230" s="8">
        <v>-713429.09</v>
      </c>
      <c r="I3230" s="8">
        <v>0</v>
      </c>
      <c r="J3230" s="8">
        <v>0</v>
      </c>
      <c r="K3230" s="8">
        <v>0</v>
      </c>
      <c r="L3230" s="8">
        <v>0</v>
      </c>
      <c r="M3230" s="8">
        <v>0</v>
      </c>
      <c r="N3230" s="8">
        <v>0</v>
      </c>
      <c r="O3230" s="8">
        <v>-713429.09</v>
      </c>
    </row>
    <row r="3231" spans="1:15">
      <c r="A3231" s="191">
        <v>44562</v>
      </c>
      <c r="B3231" s="181" t="s">
        <v>133</v>
      </c>
      <c r="C3231" s="181" t="s">
        <v>824</v>
      </c>
      <c r="D3231" s="181" t="str">
        <f t="shared" si="53"/>
        <v>nspec</v>
      </c>
      <c r="E3231" s="181" t="s">
        <v>15</v>
      </c>
      <c r="F3231" s="181" t="s">
        <v>14</v>
      </c>
      <c r="G3231" s="181" t="s">
        <v>793</v>
      </c>
      <c r="H3231" s="8">
        <v>713429.09</v>
      </c>
      <c r="I3231" s="8">
        <v>0</v>
      </c>
      <c r="J3231" s="8">
        <v>0</v>
      </c>
      <c r="K3231" s="8">
        <v>0</v>
      </c>
      <c r="L3231" s="8">
        <v>0</v>
      </c>
      <c r="M3231" s="8">
        <v>0</v>
      </c>
      <c r="N3231" s="8">
        <v>0</v>
      </c>
      <c r="O3231" s="8">
        <v>713429.09</v>
      </c>
    </row>
    <row r="3232" spans="1:15">
      <c r="A3232" s="191">
        <v>44593</v>
      </c>
      <c r="B3232" s="181" t="s">
        <v>132</v>
      </c>
      <c r="C3232" s="181" t="s">
        <v>824</v>
      </c>
      <c r="D3232" s="181" t="str">
        <f t="shared" si="53"/>
        <v>nspec</v>
      </c>
      <c r="E3232" s="181" t="s">
        <v>15</v>
      </c>
      <c r="F3232" s="181" t="s">
        <v>14</v>
      </c>
      <c r="G3232" s="181" t="s">
        <v>647</v>
      </c>
      <c r="H3232" s="8">
        <v>-713429.09</v>
      </c>
      <c r="I3232" s="8">
        <v>0</v>
      </c>
      <c r="J3232" s="8">
        <v>0</v>
      </c>
      <c r="K3232" s="8">
        <v>0</v>
      </c>
      <c r="L3232" s="8">
        <v>0</v>
      </c>
      <c r="M3232" s="8">
        <v>0</v>
      </c>
      <c r="N3232" s="8">
        <v>0</v>
      </c>
      <c r="O3232" s="8">
        <v>-713429.09</v>
      </c>
    </row>
    <row r="3233" spans="1:15">
      <c r="A3233" s="191">
        <v>44593</v>
      </c>
      <c r="B3233" s="181" t="s">
        <v>132</v>
      </c>
      <c r="C3233" s="181" t="s">
        <v>824</v>
      </c>
      <c r="D3233" s="181" t="str">
        <f t="shared" si="53"/>
        <v>nspec</v>
      </c>
      <c r="E3233" s="181" t="s">
        <v>15</v>
      </c>
      <c r="F3233" s="181" t="s">
        <v>14</v>
      </c>
      <c r="G3233" s="181" t="s">
        <v>793</v>
      </c>
      <c r="H3233" s="8">
        <v>713429.09</v>
      </c>
      <c r="I3233" s="8">
        <v>0</v>
      </c>
      <c r="J3233" s="8">
        <v>0</v>
      </c>
      <c r="K3233" s="8">
        <v>0</v>
      </c>
      <c r="L3233" s="8">
        <v>0</v>
      </c>
      <c r="M3233" s="8">
        <v>0</v>
      </c>
      <c r="N3233" s="8">
        <v>0</v>
      </c>
      <c r="O3233" s="8">
        <v>713429.09</v>
      </c>
    </row>
    <row r="3234" spans="1:15">
      <c r="A3234" s="191">
        <v>44621</v>
      </c>
      <c r="B3234" s="181" t="s">
        <v>131</v>
      </c>
      <c r="C3234" s="181" t="s">
        <v>824</v>
      </c>
      <c r="D3234" s="181" t="str">
        <f t="shared" si="53"/>
        <v>nspec</v>
      </c>
      <c r="E3234" s="181" t="s">
        <v>15</v>
      </c>
      <c r="F3234" s="181" t="s">
        <v>14</v>
      </c>
      <c r="G3234" s="181" t="s">
        <v>647</v>
      </c>
      <c r="H3234" s="8">
        <v>-713429.09</v>
      </c>
      <c r="I3234" s="8">
        <v>0</v>
      </c>
      <c r="J3234" s="8">
        <v>0</v>
      </c>
      <c r="K3234" s="8">
        <v>0</v>
      </c>
      <c r="L3234" s="8">
        <v>0</v>
      </c>
      <c r="M3234" s="8">
        <v>0</v>
      </c>
      <c r="N3234" s="8">
        <v>0</v>
      </c>
      <c r="O3234" s="8">
        <v>-713429.09</v>
      </c>
    </row>
    <row r="3235" spans="1:15">
      <c r="A3235" s="191">
        <v>44621</v>
      </c>
      <c r="B3235" s="181" t="s">
        <v>131</v>
      </c>
      <c r="C3235" s="181" t="s">
        <v>824</v>
      </c>
      <c r="D3235" s="181" t="str">
        <f t="shared" si="53"/>
        <v>nspec</v>
      </c>
      <c r="E3235" s="181" t="s">
        <v>15</v>
      </c>
      <c r="F3235" s="181" t="s">
        <v>14</v>
      </c>
      <c r="G3235" s="181" t="s">
        <v>793</v>
      </c>
      <c r="H3235" s="8">
        <v>713429.09</v>
      </c>
      <c r="I3235" s="8">
        <v>0</v>
      </c>
      <c r="J3235" s="8">
        <v>0</v>
      </c>
      <c r="K3235" s="8">
        <v>0</v>
      </c>
      <c r="L3235" s="8">
        <v>0</v>
      </c>
      <c r="M3235" s="8">
        <v>0</v>
      </c>
      <c r="N3235" s="8">
        <v>0</v>
      </c>
      <c r="O3235" s="8">
        <v>713429.09</v>
      </c>
    </row>
    <row r="3236" spans="1:15">
      <c r="A3236" s="191">
        <v>44652</v>
      </c>
      <c r="B3236" s="181" t="s">
        <v>130</v>
      </c>
      <c r="C3236" s="181" t="s">
        <v>824</v>
      </c>
      <c r="D3236" s="181" t="str">
        <f t="shared" si="53"/>
        <v>nspec</v>
      </c>
      <c r="E3236" s="181" t="s">
        <v>15</v>
      </c>
      <c r="F3236" s="181" t="s">
        <v>14</v>
      </c>
      <c r="G3236" s="181" t="s">
        <v>647</v>
      </c>
      <c r="H3236" s="8">
        <v>-713429.09</v>
      </c>
      <c r="I3236" s="8">
        <v>0</v>
      </c>
      <c r="J3236" s="8">
        <v>0</v>
      </c>
      <c r="K3236" s="8">
        <v>0</v>
      </c>
      <c r="L3236" s="8">
        <v>0</v>
      </c>
      <c r="M3236" s="8">
        <v>0</v>
      </c>
      <c r="N3236" s="8">
        <v>0</v>
      </c>
      <c r="O3236" s="8">
        <v>-713429.09</v>
      </c>
    </row>
    <row r="3237" spans="1:15">
      <c r="A3237" s="191">
        <v>44652</v>
      </c>
      <c r="B3237" s="181" t="s">
        <v>130</v>
      </c>
      <c r="C3237" s="181" t="s">
        <v>824</v>
      </c>
      <c r="D3237" s="181" t="str">
        <f t="shared" si="53"/>
        <v>nspec</v>
      </c>
      <c r="E3237" s="181" t="s">
        <v>15</v>
      </c>
      <c r="F3237" s="181" t="s">
        <v>14</v>
      </c>
      <c r="G3237" s="181" t="s">
        <v>793</v>
      </c>
      <c r="H3237" s="8">
        <v>713429.09</v>
      </c>
      <c r="I3237" s="8">
        <v>0</v>
      </c>
      <c r="J3237" s="8">
        <v>0</v>
      </c>
      <c r="K3237" s="8">
        <v>0</v>
      </c>
      <c r="L3237" s="8">
        <v>0</v>
      </c>
      <c r="M3237" s="8">
        <v>0</v>
      </c>
      <c r="N3237" s="8">
        <v>0</v>
      </c>
      <c r="O3237" s="8">
        <v>713429.09</v>
      </c>
    </row>
    <row r="3238" spans="1:15">
      <c r="A3238" s="191">
        <v>44682</v>
      </c>
      <c r="B3238" s="181" t="s">
        <v>129</v>
      </c>
      <c r="C3238" s="181" t="s">
        <v>824</v>
      </c>
      <c r="D3238" s="181" t="str">
        <f t="shared" si="53"/>
        <v>nspec</v>
      </c>
      <c r="E3238" s="181" t="s">
        <v>15</v>
      </c>
      <c r="F3238" s="181" t="s">
        <v>14</v>
      </c>
      <c r="G3238" s="181" t="s">
        <v>647</v>
      </c>
      <c r="H3238" s="8">
        <v>-713429.09</v>
      </c>
      <c r="I3238" s="8">
        <v>0</v>
      </c>
      <c r="J3238" s="8">
        <v>0</v>
      </c>
      <c r="K3238" s="8">
        <v>0</v>
      </c>
      <c r="L3238" s="8">
        <v>0</v>
      </c>
      <c r="M3238" s="8">
        <v>0</v>
      </c>
      <c r="N3238" s="8">
        <v>0</v>
      </c>
      <c r="O3238" s="8">
        <v>-713429.09</v>
      </c>
    </row>
    <row r="3239" spans="1:15">
      <c r="A3239" s="191">
        <v>44682</v>
      </c>
      <c r="B3239" s="181" t="s">
        <v>129</v>
      </c>
      <c r="C3239" s="181" t="s">
        <v>824</v>
      </c>
      <c r="D3239" s="181" t="str">
        <f t="shared" si="53"/>
        <v>nspec</v>
      </c>
      <c r="E3239" s="181" t="s">
        <v>15</v>
      </c>
      <c r="F3239" s="181" t="s">
        <v>14</v>
      </c>
      <c r="G3239" s="181" t="s">
        <v>793</v>
      </c>
      <c r="H3239" s="8">
        <v>713429.09</v>
      </c>
      <c r="I3239" s="8">
        <v>0</v>
      </c>
      <c r="J3239" s="8">
        <v>0</v>
      </c>
      <c r="K3239" s="8">
        <v>0</v>
      </c>
      <c r="L3239" s="8">
        <v>0</v>
      </c>
      <c r="M3239" s="8">
        <v>0</v>
      </c>
      <c r="N3239" s="8">
        <v>0</v>
      </c>
      <c r="O3239" s="8">
        <v>713429.09</v>
      </c>
    </row>
    <row r="3240" spans="1:15">
      <c r="A3240" s="191">
        <v>44713</v>
      </c>
      <c r="B3240" s="181" t="s">
        <v>128</v>
      </c>
      <c r="C3240" s="181" t="s">
        <v>824</v>
      </c>
      <c r="D3240" s="181" t="str">
        <f t="shared" si="53"/>
        <v>nspec</v>
      </c>
      <c r="E3240" s="181" t="s">
        <v>15</v>
      </c>
      <c r="F3240" s="181" t="s">
        <v>14</v>
      </c>
      <c r="G3240" s="181" t="s">
        <v>647</v>
      </c>
      <c r="H3240" s="8">
        <v>-713429.09</v>
      </c>
      <c r="I3240" s="8">
        <v>0</v>
      </c>
      <c r="J3240" s="8">
        <v>0</v>
      </c>
      <c r="K3240" s="8">
        <v>0</v>
      </c>
      <c r="L3240" s="8">
        <v>0</v>
      </c>
      <c r="M3240" s="8">
        <v>0</v>
      </c>
      <c r="N3240" s="8">
        <v>0</v>
      </c>
      <c r="O3240" s="8">
        <v>-713429.09</v>
      </c>
    </row>
    <row r="3241" spans="1:15">
      <c r="A3241" s="191">
        <v>44713</v>
      </c>
      <c r="B3241" s="181" t="s">
        <v>128</v>
      </c>
      <c r="C3241" s="181" t="s">
        <v>824</v>
      </c>
      <c r="D3241" s="181" t="str">
        <f t="shared" si="53"/>
        <v>nspec</v>
      </c>
      <c r="E3241" s="181" t="s">
        <v>15</v>
      </c>
      <c r="F3241" s="181" t="s">
        <v>14</v>
      </c>
      <c r="G3241" s="181" t="s">
        <v>793</v>
      </c>
      <c r="H3241" s="8">
        <v>713429.09</v>
      </c>
      <c r="I3241" s="8">
        <v>0</v>
      </c>
      <c r="J3241" s="8">
        <v>0</v>
      </c>
      <c r="K3241" s="8">
        <v>0</v>
      </c>
      <c r="L3241" s="8">
        <v>0</v>
      </c>
      <c r="M3241" s="8">
        <v>0</v>
      </c>
      <c r="N3241" s="8">
        <v>0</v>
      </c>
      <c r="O3241" s="8">
        <v>713429.09</v>
      </c>
    </row>
    <row r="3242" spans="1:15">
      <c r="A3242" s="191">
        <v>44743</v>
      </c>
      <c r="B3242" s="181" t="s">
        <v>127</v>
      </c>
      <c r="C3242" s="181" t="s">
        <v>824</v>
      </c>
      <c r="D3242" s="181" t="str">
        <f t="shared" si="53"/>
        <v>nspec</v>
      </c>
      <c r="E3242" s="181" t="s">
        <v>15</v>
      </c>
      <c r="F3242" s="181" t="s">
        <v>14</v>
      </c>
      <c r="G3242" s="181" t="s">
        <v>647</v>
      </c>
      <c r="H3242" s="8">
        <v>-713429.09</v>
      </c>
      <c r="I3242" s="8">
        <v>0</v>
      </c>
      <c r="J3242" s="8">
        <v>0</v>
      </c>
      <c r="K3242" s="8">
        <v>0</v>
      </c>
      <c r="L3242" s="8">
        <v>0</v>
      </c>
      <c r="M3242" s="8">
        <v>0</v>
      </c>
      <c r="N3242" s="8">
        <v>0</v>
      </c>
      <c r="O3242" s="8">
        <v>-713429.09</v>
      </c>
    </row>
    <row r="3243" spans="1:15">
      <c r="A3243" s="191">
        <v>44743</v>
      </c>
      <c r="B3243" s="181" t="s">
        <v>127</v>
      </c>
      <c r="C3243" s="181" t="s">
        <v>824</v>
      </c>
      <c r="D3243" s="181" t="str">
        <f t="shared" si="53"/>
        <v>nspec</v>
      </c>
      <c r="E3243" s="181" t="s">
        <v>15</v>
      </c>
      <c r="F3243" s="181" t="s">
        <v>14</v>
      </c>
      <c r="G3243" s="181" t="s">
        <v>793</v>
      </c>
      <c r="H3243" s="8">
        <v>713429.09</v>
      </c>
      <c r="I3243" s="8">
        <v>0</v>
      </c>
      <c r="J3243" s="8">
        <v>0</v>
      </c>
      <c r="K3243" s="8">
        <v>0</v>
      </c>
      <c r="L3243" s="8">
        <v>0</v>
      </c>
      <c r="M3243" s="8">
        <v>0</v>
      </c>
      <c r="N3243" s="8">
        <v>0</v>
      </c>
      <c r="O3243" s="8">
        <v>713429.09</v>
      </c>
    </row>
    <row r="3244" spans="1:15">
      <c r="A3244" s="191">
        <v>44774</v>
      </c>
      <c r="B3244" s="181" t="s">
        <v>126</v>
      </c>
      <c r="C3244" s="181" t="s">
        <v>824</v>
      </c>
      <c r="D3244" s="181" t="str">
        <f t="shared" si="53"/>
        <v>nspec</v>
      </c>
      <c r="E3244" s="181" t="s">
        <v>15</v>
      </c>
      <c r="F3244" s="181" t="s">
        <v>14</v>
      </c>
      <c r="G3244" s="181" t="s">
        <v>647</v>
      </c>
      <c r="H3244" s="8">
        <v>-713429.09</v>
      </c>
      <c r="I3244" s="8">
        <v>0</v>
      </c>
      <c r="J3244" s="8">
        <v>0</v>
      </c>
      <c r="K3244" s="8">
        <v>0</v>
      </c>
      <c r="L3244" s="8">
        <v>0</v>
      </c>
      <c r="M3244" s="8">
        <v>0</v>
      </c>
      <c r="N3244" s="8">
        <v>0</v>
      </c>
      <c r="O3244" s="8">
        <v>-713429.09</v>
      </c>
    </row>
    <row r="3245" spans="1:15">
      <c r="A3245" s="191">
        <v>44774</v>
      </c>
      <c r="B3245" s="181" t="s">
        <v>126</v>
      </c>
      <c r="C3245" s="181" t="s">
        <v>824</v>
      </c>
      <c r="D3245" s="181" t="str">
        <f t="shared" si="53"/>
        <v>nspec</v>
      </c>
      <c r="E3245" s="181" t="s">
        <v>15</v>
      </c>
      <c r="F3245" s="181" t="s">
        <v>14</v>
      </c>
      <c r="G3245" s="181" t="s">
        <v>793</v>
      </c>
      <c r="H3245" s="8">
        <v>713429.09</v>
      </c>
      <c r="I3245" s="8">
        <v>0</v>
      </c>
      <c r="J3245" s="8">
        <v>0</v>
      </c>
      <c r="K3245" s="8">
        <v>0</v>
      </c>
      <c r="L3245" s="8">
        <v>0</v>
      </c>
      <c r="M3245" s="8">
        <v>0</v>
      </c>
      <c r="N3245" s="8">
        <v>0</v>
      </c>
      <c r="O3245" s="8">
        <v>713429.09</v>
      </c>
    </row>
    <row r="3246" spans="1:15">
      <c r="A3246" s="191">
        <v>44805</v>
      </c>
      <c r="B3246" s="181" t="s">
        <v>125</v>
      </c>
      <c r="C3246" s="181" t="s">
        <v>824</v>
      </c>
      <c r="D3246" s="181" t="str">
        <f t="shared" si="53"/>
        <v>nspec</v>
      </c>
      <c r="E3246" s="181" t="s">
        <v>15</v>
      </c>
      <c r="F3246" s="181" t="s">
        <v>14</v>
      </c>
      <c r="G3246" s="181" t="s">
        <v>647</v>
      </c>
      <c r="H3246" s="8">
        <v>-713429.09</v>
      </c>
      <c r="I3246" s="8">
        <v>0</v>
      </c>
      <c r="J3246" s="8">
        <v>0</v>
      </c>
      <c r="K3246" s="8">
        <v>0</v>
      </c>
      <c r="L3246" s="8">
        <v>0</v>
      </c>
      <c r="M3246" s="8">
        <v>0</v>
      </c>
      <c r="N3246" s="8">
        <v>0</v>
      </c>
      <c r="O3246" s="8">
        <v>-713429.09</v>
      </c>
    </row>
    <row r="3247" spans="1:15">
      <c r="A3247" s="191">
        <v>44805</v>
      </c>
      <c r="B3247" s="181" t="s">
        <v>125</v>
      </c>
      <c r="C3247" s="181" t="s">
        <v>824</v>
      </c>
      <c r="D3247" s="181" t="str">
        <f t="shared" si="53"/>
        <v>nspec</v>
      </c>
      <c r="E3247" s="181" t="s">
        <v>15</v>
      </c>
      <c r="F3247" s="181" t="s">
        <v>14</v>
      </c>
      <c r="G3247" s="181" t="s">
        <v>793</v>
      </c>
      <c r="H3247" s="8">
        <v>713429.09</v>
      </c>
      <c r="I3247" s="8">
        <v>0</v>
      </c>
      <c r="J3247" s="8">
        <v>0</v>
      </c>
      <c r="K3247" s="8">
        <v>0</v>
      </c>
      <c r="L3247" s="8">
        <v>0</v>
      </c>
      <c r="M3247" s="8">
        <v>0</v>
      </c>
      <c r="N3247" s="8">
        <v>0</v>
      </c>
      <c r="O3247" s="8">
        <v>713429.09</v>
      </c>
    </row>
    <row r="3248" spans="1:15">
      <c r="A3248" s="191">
        <v>44835</v>
      </c>
      <c r="B3248" s="181" t="s">
        <v>124</v>
      </c>
      <c r="C3248" s="181" t="s">
        <v>824</v>
      </c>
      <c r="D3248" s="181" t="str">
        <f t="shared" si="53"/>
        <v>nspec</v>
      </c>
      <c r="E3248" s="181" t="s">
        <v>15</v>
      </c>
      <c r="F3248" s="181" t="s">
        <v>14</v>
      </c>
      <c r="G3248" s="181" t="s">
        <v>647</v>
      </c>
      <c r="H3248" s="8">
        <v>-713429.09</v>
      </c>
      <c r="I3248" s="8">
        <v>0</v>
      </c>
      <c r="J3248" s="8">
        <v>0</v>
      </c>
      <c r="K3248" s="8">
        <v>0</v>
      </c>
      <c r="L3248" s="8">
        <v>0</v>
      </c>
      <c r="M3248" s="8">
        <v>0</v>
      </c>
      <c r="N3248" s="8">
        <v>0</v>
      </c>
      <c r="O3248" s="8">
        <v>-713429.09</v>
      </c>
    </row>
    <row r="3249" spans="1:15">
      <c r="A3249" s="191">
        <v>44835</v>
      </c>
      <c r="B3249" s="181" t="s">
        <v>124</v>
      </c>
      <c r="C3249" s="181" t="s">
        <v>824</v>
      </c>
      <c r="D3249" s="181" t="str">
        <f t="shared" si="53"/>
        <v>nspec</v>
      </c>
      <c r="E3249" s="181" t="s">
        <v>15</v>
      </c>
      <c r="F3249" s="181" t="s">
        <v>14</v>
      </c>
      <c r="G3249" s="181" t="s">
        <v>793</v>
      </c>
      <c r="H3249" s="8">
        <v>713429.09</v>
      </c>
      <c r="I3249" s="8">
        <v>0</v>
      </c>
      <c r="J3249" s="8">
        <v>0</v>
      </c>
      <c r="K3249" s="8">
        <v>0</v>
      </c>
      <c r="L3249" s="8">
        <v>0</v>
      </c>
      <c r="M3249" s="8">
        <v>0</v>
      </c>
      <c r="N3249" s="8">
        <v>0</v>
      </c>
      <c r="O3249" s="8">
        <v>713429.09</v>
      </c>
    </row>
    <row r="3250" spans="1:15">
      <c r="A3250" s="191">
        <v>44866</v>
      </c>
      <c r="B3250" s="181" t="s">
        <v>123</v>
      </c>
      <c r="C3250" s="181" t="s">
        <v>824</v>
      </c>
      <c r="D3250" s="181" t="str">
        <f t="shared" si="53"/>
        <v>nspec</v>
      </c>
      <c r="E3250" s="181" t="s">
        <v>15</v>
      </c>
      <c r="F3250" s="181" t="s">
        <v>14</v>
      </c>
      <c r="G3250" s="181" t="s">
        <v>647</v>
      </c>
      <c r="H3250" s="8">
        <v>-713429.09</v>
      </c>
      <c r="I3250" s="8">
        <v>0</v>
      </c>
      <c r="J3250" s="8">
        <v>0</v>
      </c>
      <c r="K3250" s="8">
        <v>0</v>
      </c>
      <c r="L3250" s="8">
        <v>0</v>
      </c>
      <c r="M3250" s="8">
        <v>0</v>
      </c>
      <c r="N3250" s="8">
        <v>0</v>
      </c>
      <c r="O3250" s="8">
        <v>-713429.09</v>
      </c>
    </row>
    <row r="3251" spans="1:15">
      <c r="A3251" s="191">
        <v>44866</v>
      </c>
      <c r="B3251" s="181" t="s">
        <v>123</v>
      </c>
      <c r="C3251" s="181" t="s">
        <v>824</v>
      </c>
      <c r="D3251" s="181" t="str">
        <f t="shared" si="53"/>
        <v>nspec</v>
      </c>
      <c r="E3251" s="181" t="s">
        <v>15</v>
      </c>
      <c r="F3251" s="181" t="s">
        <v>14</v>
      </c>
      <c r="G3251" s="181" t="s">
        <v>793</v>
      </c>
      <c r="H3251" s="8">
        <v>713429.09</v>
      </c>
      <c r="I3251" s="8">
        <v>0</v>
      </c>
      <c r="J3251" s="8">
        <v>0</v>
      </c>
      <c r="K3251" s="8">
        <v>0</v>
      </c>
      <c r="L3251" s="8">
        <v>0</v>
      </c>
      <c r="M3251" s="8">
        <v>0</v>
      </c>
      <c r="N3251" s="8">
        <v>0</v>
      </c>
      <c r="O3251" s="8">
        <v>713429.09</v>
      </c>
    </row>
    <row r="3252" spans="1:15">
      <c r="A3252" s="191">
        <v>44896</v>
      </c>
      <c r="B3252" s="181" t="s">
        <v>122</v>
      </c>
      <c r="C3252" s="181" t="s">
        <v>824</v>
      </c>
      <c r="D3252" s="181" t="str">
        <f t="shared" si="53"/>
        <v>nspec</v>
      </c>
      <c r="E3252" s="181" t="s">
        <v>15</v>
      </c>
      <c r="F3252" s="181" t="s">
        <v>14</v>
      </c>
      <c r="G3252" s="181" t="s">
        <v>647</v>
      </c>
      <c r="H3252" s="8">
        <v>-713429.09</v>
      </c>
      <c r="I3252" s="8">
        <v>0</v>
      </c>
      <c r="J3252" s="8">
        <v>0</v>
      </c>
      <c r="K3252" s="8">
        <v>0</v>
      </c>
      <c r="L3252" s="8">
        <v>0</v>
      </c>
      <c r="M3252" s="8">
        <v>0</v>
      </c>
      <c r="N3252" s="8">
        <v>0</v>
      </c>
      <c r="O3252" s="8">
        <v>-713429.09</v>
      </c>
    </row>
    <row r="3253" spans="1:15">
      <c r="A3253" s="191">
        <v>44896</v>
      </c>
      <c r="B3253" s="181" t="s">
        <v>122</v>
      </c>
      <c r="C3253" s="181" t="s">
        <v>824</v>
      </c>
      <c r="D3253" s="181" t="str">
        <f t="shared" si="53"/>
        <v>nspec</v>
      </c>
      <c r="E3253" s="181" t="s">
        <v>15</v>
      </c>
      <c r="F3253" s="181" t="s">
        <v>14</v>
      </c>
      <c r="G3253" s="181" t="s">
        <v>793</v>
      </c>
      <c r="H3253" s="8">
        <v>713429.09</v>
      </c>
      <c r="I3253" s="8">
        <v>0</v>
      </c>
      <c r="J3253" s="8">
        <v>0</v>
      </c>
      <c r="K3253" s="8">
        <v>0</v>
      </c>
      <c r="L3253" s="8">
        <v>0</v>
      </c>
      <c r="M3253" s="8">
        <v>0</v>
      </c>
      <c r="N3253" s="8">
        <v>0</v>
      </c>
      <c r="O3253" s="8">
        <v>713429.09</v>
      </c>
    </row>
  </sheetData>
  <autoFilter ref="A1:O3253" xr:uid="{CE324FF2-CE14-4999-8DE0-332373A4C3B1}"/>
  <pageMargins left="0.5" right="0.25" top="1" bottom="1" header="0.25" footer="0.5"/>
  <pageSetup scale="60" orientation="portrait" r:id="rId1"/>
  <headerFooter alignWithMargins="0">
    <oddHeader>&amp;L&amp;"Times New Roman,Regular"&amp;12ARPA 5-8_Attach A.xlsx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733E2-5F2C-4473-9850-7F3BADAD6AD9}">
  <sheetPr>
    <tabColor theme="7" tint="0.39997558519241921"/>
  </sheetPr>
  <dimension ref="A1:Z47"/>
  <sheetViews>
    <sheetView topLeftCell="E1" zoomScale="80" zoomScaleNormal="80" workbookViewId="0"/>
  </sheetViews>
  <sheetFormatPr defaultRowHeight="12.75"/>
  <cols>
    <col min="1" max="1" width="7.28515625" bestFit="1" customWidth="1"/>
    <col min="2" max="2" width="30.5703125" bestFit="1" customWidth="1"/>
    <col min="3" max="3" width="15.28515625" customWidth="1"/>
    <col min="4" max="4" width="45.7109375" bestFit="1" customWidth="1"/>
    <col min="5" max="5" width="32" bestFit="1" customWidth="1"/>
    <col min="6" max="6" width="19.7109375" bestFit="1" customWidth="1"/>
    <col min="7" max="7" width="20.140625" customWidth="1"/>
    <col min="8" max="20" width="13.140625" bestFit="1" customWidth="1"/>
    <col min="21" max="21" width="12.28515625" bestFit="1" customWidth="1"/>
    <col min="22" max="22" width="11" bestFit="1" customWidth="1"/>
    <col min="23" max="23" width="13.42578125" bestFit="1" customWidth="1"/>
    <col min="25" max="25" width="15.7109375" bestFit="1" customWidth="1"/>
  </cols>
  <sheetData>
    <row r="1" spans="1:26">
      <c r="A1" s="107"/>
      <c r="B1" s="141"/>
      <c r="C1" s="326" t="s">
        <v>622</v>
      </c>
      <c r="D1" s="327"/>
      <c r="E1" s="327"/>
      <c r="F1" s="327"/>
      <c r="G1" s="168" t="s">
        <v>623</v>
      </c>
    </row>
    <row r="2" spans="1:26">
      <c r="A2" s="107" t="s">
        <v>579</v>
      </c>
      <c r="B2" s="77" t="s">
        <v>538</v>
      </c>
      <c r="C2" s="202" t="s">
        <v>624</v>
      </c>
      <c r="D2" s="202" t="s">
        <v>625</v>
      </c>
      <c r="E2" s="202" t="s">
        <v>626</v>
      </c>
      <c r="F2" s="202" t="s">
        <v>627</v>
      </c>
      <c r="G2" s="116"/>
    </row>
    <row r="3" spans="1:26">
      <c r="A3" s="107"/>
      <c r="B3" s="77" t="s">
        <v>543</v>
      </c>
      <c r="C3" s="116" t="s">
        <v>544</v>
      </c>
      <c r="D3" s="116" t="s">
        <v>545</v>
      </c>
      <c r="E3" s="116" t="s">
        <v>546</v>
      </c>
      <c r="F3" s="116" t="s">
        <v>547</v>
      </c>
      <c r="G3" s="150" t="s">
        <v>548</v>
      </c>
    </row>
    <row r="4" spans="1:26">
      <c r="A4" s="107"/>
      <c r="B4" s="118" t="s">
        <v>551</v>
      </c>
      <c r="C4" s="77" t="s">
        <v>628</v>
      </c>
      <c r="D4" s="77" t="s">
        <v>629</v>
      </c>
      <c r="E4" s="77" t="s">
        <v>630</v>
      </c>
      <c r="F4" s="77" t="s">
        <v>631</v>
      </c>
      <c r="G4" s="116"/>
    </row>
    <row r="5" spans="1:26">
      <c r="A5" s="107">
        <v>1</v>
      </c>
      <c r="B5" s="119" t="s">
        <v>559</v>
      </c>
      <c r="C5" s="83">
        <f>+H36</f>
        <v>24500.83536333856</v>
      </c>
      <c r="D5" s="83">
        <f>+H44</f>
        <v>940890</v>
      </c>
      <c r="E5" s="83">
        <f>+H34</f>
        <v>4530716.0385195892</v>
      </c>
      <c r="F5" s="171">
        <f>SUM(C5:E5)</f>
        <v>5496106.8738829279</v>
      </c>
      <c r="G5" s="116"/>
    </row>
    <row r="6" spans="1:26">
      <c r="A6" s="107">
        <v>2</v>
      </c>
      <c r="B6" s="119" t="s">
        <v>560</v>
      </c>
      <c r="C6" s="83">
        <f>+I36</f>
        <v>25030.189719868842</v>
      </c>
      <c r="D6" s="83">
        <f>+I44</f>
        <v>1025149</v>
      </c>
      <c r="E6" s="83">
        <f>+I34</f>
        <v>4628604.7120127678</v>
      </c>
      <c r="F6" s="171">
        <f t="shared" ref="F6:F17" si="0">SUM(C6:E6)</f>
        <v>5678783.9017326366</v>
      </c>
      <c r="G6" s="116"/>
    </row>
    <row r="7" spans="1:26">
      <c r="A7" s="107">
        <v>3</v>
      </c>
      <c r="B7" s="102" t="s">
        <v>561</v>
      </c>
      <c r="C7" s="83">
        <f>+J36</f>
        <v>24830.123307070662</v>
      </c>
      <c r="D7" s="83">
        <f>+J44</f>
        <v>1039430</v>
      </c>
      <c r="E7" s="83">
        <f>+J34</f>
        <v>4591608.254880121</v>
      </c>
      <c r="F7" s="171">
        <f t="shared" si="0"/>
        <v>5655868.3781871917</v>
      </c>
      <c r="G7" s="116"/>
    </row>
    <row r="8" spans="1:26">
      <c r="A8" s="107">
        <v>4</v>
      </c>
      <c r="B8" s="102" t="s">
        <v>562</v>
      </c>
      <c r="C8" s="83">
        <f>+K36</f>
        <v>25381.574004017813</v>
      </c>
      <c r="D8" s="83">
        <f>+K44</f>
        <v>1109064</v>
      </c>
      <c r="E8" s="83">
        <f>+K34</f>
        <v>4693583.0030901274</v>
      </c>
      <c r="F8" s="171">
        <f t="shared" si="0"/>
        <v>5828028.5770941451</v>
      </c>
      <c r="G8" s="116"/>
    </row>
    <row r="9" spans="1:26">
      <c r="A9" s="107">
        <v>5</v>
      </c>
      <c r="B9" s="102" t="s">
        <v>563</v>
      </c>
      <c r="C9" s="83">
        <f>+L36</f>
        <v>25578.183959494847</v>
      </c>
      <c r="D9" s="83">
        <f>+L44</f>
        <v>1113084</v>
      </c>
      <c r="E9" s="83">
        <f>+L34</f>
        <v>4729940.2890929272</v>
      </c>
      <c r="F9" s="171">
        <f t="shared" si="0"/>
        <v>5868602.4730524216</v>
      </c>
      <c r="G9" s="116"/>
      <c r="U9" s="204" t="s">
        <v>826</v>
      </c>
      <c r="V9" s="9">
        <v>4992309</v>
      </c>
      <c r="W9" s="205">
        <f>+V9/V18</f>
        <v>0.51339046574035174</v>
      </c>
      <c r="Y9">
        <v>4426394</v>
      </c>
      <c r="Z9" s="205">
        <f>+Y9/Y18</f>
        <v>0.5015693894497143</v>
      </c>
    </row>
    <row r="10" spans="1:26">
      <c r="A10" s="107">
        <v>6</v>
      </c>
      <c r="B10" s="102" t="s">
        <v>142</v>
      </c>
      <c r="C10" s="83">
        <f>+M36</f>
        <v>26104.39280104934</v>
      </c>
      <c r="D10" s="83">
        <f>+M44</f>
        <v>1185209</v>
      </c>
      <c r="E10" s="83">
        <f>+M34</f>
        <v>4827247.2911884217</v>
      </c>
      <c r="F10" s="171">
        <f t="shared" si="0"/>
        <v>6038560.6839894708</v>
      </c>
      <c r="G10" s="116"/>
      <c r="U10" s="201"/>
      <c r="V10" s="9"/>
      <c r="W10" s="205"/>
    </row>
    <row r="11" spans="1:26">
      <c r="A11" s="107">
        <v>7</v>
      </c>
      <c r="B11" s="102" t="s">
        <v>564</v>
      </c>
      <c r="C11" s="83">
        <f>+N36</f>
        <v>26470.788382174567</v>
      </c>
      <c r="D11" s="83">
        <f>+N44</f>
        <v>950337</v>
      </c>
      <c r="E11" s="83">
        <f>+N34</f>
        <v>4895001.484514039</v>
      </c>
      <c r="F11" s="171">
        <f t="shared" si="0"/>
        <v>5871809.2728962135</v>
      </c>
      <c r="G11" s="116"/>
      <c r="U11" s="201"/>
      <c r="V11" s="9"/>
      <c r="W11" s="205"/>
    </row>
    <row r="12" spans="1:26">
      <c r="A12" s="107">
        <v>8</v>
      </c>
      <c r="B12" s="102" t="s">
        <v>565</v>
      </c>
      <c r="C12" s="83">
        <f>+O36</f>
        <v>26625.348937984068</v>
      </c>
      <c r="D12" s="83">
        <f>+O44</f>
        <v>985101</v>
      </c>
      <c r="E12" s="83">
        <f>+O34</f>
        <v>4923582.9585227361</v>
      </c>
      <c r="F12" s="171">
        <f t="shared" si="0"/>
        <v>5935309.3074607197</v>
      </c>
      <c r="G12" s="116"/>
      <c r="U12" s="204" t="s">
        <v>536</v>
      </c>
      <c r="V12" s="9">
        <v>4585277</v>
      </c>
      <c r="W12" s="205">
        <f>+V12/V18</f>
        <v>0.47153281068510039</v>
      </c>
      <c r="Y12" s="9">
        <v>4315055</v>
      </c>
      <c r="Z12" s="205">
        <f>+Y12/Y18</f>
        <v>0.48895319797377657</v>
      </c>
    </row>
    <row r="13" spans="1:26">
      <c r="A13" s="107">
        <v>9</v>
      </c>
      <c r="B13" s="102" t="s">
        <v>566</v>
      </c>
      <c r="C13" s="83">
        <f>+P36</f>
        <v>26794.459929793673</v>
      </c>
      <c r="D13" s="83">
        <f>+P44</f>
        <v>1107172</v>
      </c>
      <c r="E13" s="83">
        <f>+P34</f>
        <v>4954855.111962378</v>
      </c>
      <c r="F13" s="171">
        <f t="shared" si="0"/>
        <v>6088821.5718921721</v>
      </c>
      <c r="G13" s="116"/>
      <c r="U13" s="204" t="s">
        <v>528</v>
      </c>
      <c r="V13" s="9">
        <v>26997</v>
      </c>
      <c r="W13" s="205">
        <f>+V13/V18</f>
        <v>2.7762709406794085E-3</v>
      </c>
      <c r="Y13" s="9">
        <v>6067</v>
      </c>
      <c r="Z13" s="205">
        <f>+Y13/Y18</f>
        <v>6.8747189829721812E-4</v>
      </c>
    </row>
    <row r="14" spans="1:26">
      <c r="A14" s="107">
        <v>10</v>
      </c>
      <c r="B14" s="102" t="s">
        <v>567</v>
      </c>
      <c r="C14" s="83">
        <f>+Q36</f>
        <v>26866.040523457214</v>
      </c>
      <c r="D14" s="83">
        <f>+Q44</f>
        <v>1225739</v>
      </c>
      <c r="E14" s="83">
        <f>+Q34</f>
        <v>4968091.8583405614</v>
      </c>
      <c r="F14" s="171">
        <f t="shared" si="0"/>
        <v>6220696.8988640187</v>
      </c>
      <c r="G14" s="116"/>
      <c r="U14" s="204" t="s">
        <v>525</v>
      </c>
      <c r="V14" s="9">
        <v>120527</v>
      </c>
      <c r="W14" s="205">
        <f>+V14/V18</f>
        <v>1.2394547826323927E-2</v>
      </c>
      <c r="Y14" s="9">
        <v>66265</v>
      </c>
      <c r="Z14" s="205">
        <f>+Y14/Y18</f>
        <v>7.5087069953296785E-3</v>
      </c>
    </row>
    <row r="15" spans="1:26">
      <c r="A15" s="107">
        <v>11</v>
      </c>
      <c r="B15" s="102" t="s">
        <v>568</v>
      </c>
      <c r="C15" s="83">
        <f>+R36</f>
        <v>26216.212665727086</v>
      </c>
      <c r="D15" s="83">
        <f>+R44</f>
        <v>1203784</v>
      </c>
      <c r="E15" s="83">
        <f>+R34</f>
        <v>4847925.1189770466</v>
      </c>
      <c r="F15" s="171">
        <f t="shared" si="0"/>
        <v>6077925.3316427739</v>
      </c>
      <c r="G15" s="116"/>
      <c r="U15" s="201"/>
      <c r="V15" s="9"/>
      <c r="W15" s="205"/>
      <c r="Y15" s="9"/>
      <c r="Z15" s="205"/>
    </row>
    <row r="16" spans="1:26">
      <c r="A16" s="107">
        <v>12</v>
      </c>
      <c r="B16" s="102" t="s">
        <v>569</v>
      </c>
      <c r="C16" s="83">
        <f>+S36</f>
        <v>26994.434725650812</v>
      </c>
      <c r="D16" s="83">
        <f>+S44</f>
        <v>1320593</v>
      </c>
      <c r="E16" s="172">
        <f>+S34</f>
        <v>4991834.6272096559</v>
      </c>
      <c r="F16" s="171">
        <f t="shared" si="0"/>
        <v>6339422.0619353065</v>
      </c>
      <c r="G16" s="116"/>
      <c r="U16" s="201"/>
      <c r="V16" s="9"/>
      <c r="W16" s="205"/>
      <c r="Y16" s="9"/>
      <c r="Z16" s="205"/>
    </row>
    <row r="17" spans="1:26">
      <c r="A17" s="107">
        <v>13</v>
      </c>
      <c r="B17" s="102" t="s">
        <v>570</v>
      </c>
      <c r="C17" s="83">
        <f>+T36</f>
        <v>26997</v>
      </c>
      <c r="D17" s="83">
        <f>+T44</f>
        <v>1307851</v>
      </c>
      <c r="E17" s="83">
        <f>+T34</f>
        <v>4992309</v>
      </c>
      <c r="F17" s="171">
        <f t="shared" si="0"/>
        <v>6327157</v>
      </c>
      <c r="G17" s="116"/>
      <c r="U17" s="204" t="s">
        <v>827</v>
      </c>
      <c r="V17" s="103">
        <v>-915</v>
      </c>
      <c r="W17" s="205">
        <f>+V17/V18</f>
        <v>-9.4095192455519457E-5</v>
      </c>
      <c r="Y17" s="9">
        <v>11307</v>
      </c>
      <c r="Z17" s="205">
        <f>+Y17/Y18</f>
        <v>1.2812336828822556E-3</v>
      </c>
    </row>
    <row r="18" spans="1:26">
      <c r="A18" s="107">
        <v>14</v>
      </c>
      <c r="B18" s="118" t="s">
        <v>606</v>
      </c>
      <c r="C18" s="173">
        <f>SUM(C5:C17)/13</f>
        <v>26029.968024586731</v>
      </c>
      <c r="D18" s="173">
        <f t="shared" ref="D18:E18" si="1">SUM(D5:D17)/13</f>
        <v>1116415.6153846155</v>
      </c>
      <c r="E18" s="173">
        <f t="shared" si="1"/>
        <v>4813484.5960238744</v>
      </c>
      <c r="F18" s="173">
        <f>SUM(F5:F17)/13</f>
        <v>5955930.1794330776</v>
      </c>
      <c r="G18" s="116"/>
      <c r="V18" s="9">
        <f>SUM(V9:V17)</f>
        <v>9724195</v>
      </c>
      <c r="Y18" s="9">
        <v>8825088</v>
      </c>
    </row>
    <row r="19" spans="1:26">
      <c r="A19" s="107">
        <v>15</v>
      </c>
      <c r="B19" s="118" t="s">
        <v>632</v>
      </c>
      <c r="C19" s="174" t="s">
        <v>633</v>
      </c>
      <c r="D19" s="174" t="s">
        <v>634</v>
      </c>
      <c r="E19" s="174" t="s">
        <v>635</v>
      </c>
      <c r="F19" s="175"/>
      <c r="G19" s="116"/>
    </row>
    <row r="20" spans="1:26">
      <c r="A20" s="107">
        <v>16</v>
      </c>
      <c r="B20" s="118" t="s">
        <v>636</v>
      </c>
      <c r="C20" s="176"/>
      <c r="D20" s="176"/>
      <c r="E20" s="176"/>
      <c r="F20" s="175"/>
      <c r="G20" s="116"/>
    </row>
    <row r="21" spans="1:26" ht="13.5" thickBot="1">
      <c r="A21" s="107">
        <v>17</v>
      </c>
      <c r="B21" s="118" t="s">
        <v>637</v>
      </c>
      <c r="C21" s="121"/>
      <c r="D21" s="121"/>
      <c r="E21" s="121"/>
      <c r="F21" s="121"/>
      <c r="G21" s="116"/>
    </row>
    <row r="22" spans="1:26" ht="13.5" thickTop="1">
      <c r="A22" s="107">
        <v>18</v>
      </c>
      <c r="B22" s="148"/>
      <c r="C22" s="149"/>
      <c r="D22" s="149"/>
      <c r="E22" s="149"/>
      <c r="F22" s="149"/>
      <c r="G22" s="177"/>
    </row>
    <row r="24" spans="1:26">
      <c r="G24" s="201"/>
    </row>
    <row r="29" spans="1:26">
      <c r="H29" s="16">
        <v>44531</v>
      </c>
      <c r="I29" s="16">
        <v>44562</v>
      </c>
      <c r="J29" s="16">
        <v>44593</v>
      </c>
      <c r="K29" s="16">
        <v>44621</v>
      </c>
      <c r="L29" s="16">
        <v>44652</v>
      </c>
      <c r="M29" s="16">
        <v>44682</v>
      </c>
      <c r="N29" s="16">
        <v>44713</v>
      </c>
      <c r="O29" s="16">
        <v>44743</v>
      </c>
      <c r="P29" s="16">
        <v>44774</v>
      </c>
      <c r="Q29" s="16">
        <v>44805</v>
      </c>
      <c r="R29" s="16">
        <v>44835</v>
      </c>
      <c r="S29" s="16">
        <v>44866</v>
      </c>
      <c r="T29" s="16">
        <v>44896</v>
      </c>
    </row>
    <row r="30" spans="1:26">
      <c r="G30" s="201" t="s">
        <v>326</v>
      </c>
      <c r="H30" s="9">
        <f>+'Balance Sheet - Jan - Dec 2021'!M83</f>
        <v>8821288</v>
      </c>
      <c r="I30" s="9">
        <f>+'Balance Sheet - Jan - Dec 2022'!B83</f>
        <v>9011959</v>
      </c>
      <c r="J30" s="9">
        <f>+'Balance Sheet - Jan - Dec 2022'!C83</f>
        <v>8939896</v>
      </c>
      <c r="K30" s="9">
        <f>+'Balance Sheet - Jan - Dec 2022'!D83</f>
        <v>9138526</v>
      </c>
      <c r="L30" s="9">
        <f>+'Balance Sheet - Jan - Dec 2022'!E83</f>
        <v>9209344</v>
      </c>
      <c r="M30" s="9">
        <f>+'Balance Sheet - Jan - Dec 2022'!F83</f>
        <v>9398882</v>
      </c>
      <c r="N30" s="9">
        <f>+'Balance Sheet - Jan - Dec 2022'!G83</f>
        <v>9530856</v>
      </c>
      <c r="O30" s="9">
        <f>+'Balance Sheet - Jan - Dec 2022'!H83</f>
        <v>9586528</v>
      </c>
      <c r="P30" s="9">
        <f>+'Balance Sheet - Jan - Dec 2022'!I83</f>
        <v>9647441</v>
      </c>
      <c r="Q30" s="9">
        <f>+'Balance Sheet - Jan - Dec 2022'!J83</f>
        <v>9671801</v>
      </c>
      <c r="R30" s="9">
        <f>+'Balance Sheet - Jan - Dec 2022'!K83</f>
        <v>9443439</v>
      </c>
      <c r="S30" s="9">
        <f>+'Balance Sheet - Jan - Dec 2022'!L83</f>
        <v>9684342</v>
      </c>
      <c r="T30" s="9">
        <f>+'Balance Sheet - Jan - Dec 2022'!M83</f>
        <v>9719847</v>
      </c>
    </row>
    <row r="31" spans="1:26">
      <c r="G31" s="201" t="s">
        <v>327</v>
      </c>
      <c r="H31" s="9">
        <f>+'Balance Sheet - Jan - Dec 2021'!M84</f>
        <v>3800</v>
      </c>
      <c r="I31" s="9">
        <f>+'Balance Sheet - Jan - Dec 2022'!B84</f>
        <v>3800</v>
      </c>
      <c r="J31" s="9">
        <f>+'Balance Sheet - Jan - Dec 2022'!C84</f>
        <v>3800</v>
      </c>
      <c r="K31" s="9">
        <f>+'Balance Sheet - Jan - Dec 2022'!D84</f>
        <v>3800</v>
      </c>
      <c r="L31" s="9">
        <f>+'Balance Sheet - Jan - Dec 2022'!E84</f>
        <v>3800</v>
      </c>
      <c r="M31" s="9">
        <f>+'Balance Sheet - Jan - Dec 2022'!F84</f>
        <v>3800</v>
      </c>
      <c r="N31" s="9">
        <f>+'Balance Sheet - Jan - Dec 2022'!G84</f>
        <v>3800</v>
      </c>
      <c r="O31" s="9">
        <f>+'Balance Sheet - Jan - Dec 2022'!H84</f>
        <v>3800</v>
      </c>
      <c r="P31" s="9">
        <f>+'Balance Sheet - Jan - Dec 2022'!I84</f>
        <v>3800</v>
      </c>
      <c r="Q31" s="9">
        <f>+'Balance Sheet - Jan - Dec 2022'!J84</f>
        <v>3800</v>
      </c>
      <c r="R31" s="9">
        <f>+'Balance Sheet - Jan - Dec 2022'!K84</f>
        <v>-480</v>
      </c>
      <c r="S31" s="9">
        <f>+'Balance Sheet - Jan - Dec 2022'!L84</f>
        <v>3800</v>
      </c>
      <c r="T31" s="9">
        <f>+'Balance Sheet - Jan - Dec 2022'!M84</f>
        <v>3800</v>
      </c>
    </row>
    <row r="32" spans="1:26" ht="13.5" thickBot="1">
      <c r="G32" s="201" t="s">
        <v>328</v>
      </c>
      <c r="H32" s="246">
        <f>+'Balance Sheet - Jan - Dec 2021'!M85</f>
        <v>0</v>
      </c>
      <c r="I32" s="246">
        <f>+'Balance Sheet - Jan - Dec 2022'!B85</f>
        <v>0</v>
      </c>
      <c r="J32" s="246">
        <f>+'Balance Sheet - Jan - Dec 2022'!C85</f>
        <v>0</v>
      </c>
      <c r="K32" s="246">
        <f>+'Balance Sheet - Jan - Dec 2022'!D85</f>
        <v>0</v>
      </c>
      <c r="L32" s="246">
        <f>+'Balance Sheet - Jan - Dec 2022'!E85</f>
        <v>0</v>
      </c>
      <c r="M32" s="246">
        <f>+'Balance Sheet - Jan - Dec 2022'!F85</f>
        <v>0</v>
      </c>
      <c r="N32" s="246">
        <f>+'Balance Sheet - Jan - Dec 2022'!G85</f>
        <v>0</v>
      </c>
      <c r="O32" s="246">
        <f>+'Balance Sheet - Jan - Dec 2022'!H85</f>
        <v>0</v>
      </c>
      <c r="P32" s="246">
        <f>+'Balance Sheet - Jan - Dec 2022'!I85</f>
        <v>0</v>
      </c>
      <c r="Q32" s="246">
        <f>+'Balance Sheet - Jan - Dec 2022'!J85</f>
        <v>1423</v>
      </c>
      <c r="R32" s="246">
        <f>+'Balance Sheet - Jan - Dec 2022'!K85</f>
        <v>0</v>
      </c>
      <c r="S32" s="246">
        <f>+'Balance Sheet - Jan - Dec 2022'!L85</f>
        <v>35129</v>
      </c>
      <c r="T32" s="246">
        <f>+'Balance Sheet - Jan - Dec 2022'!M85</f>
        <v>548</v>
      </c>
    </row>
    <row r="33" spans="5:20">
      <c r="E33" s="300"/>
      <c r="F33" s="293"/>
      <c r="G33" s="301" t="s">
        <v>329</v>
      </c>
      <c r="H33" s="302">
        <f>SUM(H30:H32)</f>
        <v>8825088</v>
      </c>
      <c r="I33" s="302">
        <f t="shared" ref="I33:T33" si="2">SUM(I30:I32)</f>
        <v>9015759</v>
      </c>
      <c r="J33" s="302">
        <f t="shared" si="2"/>
        <v>8943696</v>
      </c>
      <c r="K33" s="302">
        <f t="shared" si="2"/>
        <v>9142326</v>
      </c>
      <c r="L33" s="302">
        <f t="shared" si="2"/>
        <v>9213144</v>
      </c>
      <c r="M33" s="302">
        <f t="shared" si="2"/>
        <v>9402682</v>
      </c>
      <c r="N33" s="302">
        <f t="shared" si="2"/>
        <v>9534656</v>
      </c>
      <c r="O33" s="302">
        <f t="shared" si="2"/>
        <v>9590328</v>
      </c>
      <c r="P33" s="302">
        <f t="shared" si="2"/>
        <v>9651241</v>
      </c>
      <c r="Q33" s="302">
        <f t="shared" si="2"/>
        <v>9677024</v>
      </c>
      <c r="R33" s="302">
        <f t="shared" si="2"/>
        <v>9442959</v>
      </c>
      <c r="S33" s="302">
        <f t="shared" si="2"/>
        <v>9723271</v>
      </c>
      <c r="T33" s="303">
        <f t="shared" si="2"/>
        <v>9724195</v>
      </c>
    </row>
    <row r="34" spans="5:20">
      <c r="E34" s="304"/>
      <c r="F34" s="2" t="s">
        <v>859</v>
      </c>
      <c r="G34" s="204" t="s">
        <v>826</v>
      </c>
      <c r="H34" s="305">
        <f>+H33*$W$9</f>
        <v>4530716.0385195892</v>
      </c>
      <c r="I34" s="305">
        <f t="shared" ref="I34:T34" si="3">+I33*$W$9</f>
        <v>4628604.7120127678</v>
      </c>
      <c r="J34" s="305">
        <f t="shared" si="3"/>
        <v>4591608.254880121</v>
      </c>
      <c r="K34" s="305">
        <f t="shared" si="3"/>
        <v>4693583.0030901274</v>
      </c>
      <c r="L34" s="305">
        <f t="shared" si="3"/>
        <v>4729940.2890929272</v>
      </c>
      <c r="M34" s="305">
        <f t="shared" si="3"/>
        <v>4827247.2911884217</v>
      </c>
      <c r="N34" s="305">
        <f t="shared" si="3"/>
        <v>4895001.484514039</v>
      </c>
      <c r="O34" s="305">
        <f t="shared" si="3"/>
        <v>4923582.9585227361</v>
      </c>
      <c r="P34" s="305">
        <f t="shared" si="3"/>
        <v>4954855.111962378</v>
      </c>
      <c r="Q34" s="305">
        <f t="shared" si="3"/>
        <v>4968091.8583405614</v>
      </c>
      <c r="R34" s="305">
        <f t="shared" si="3"/>
        <v>4847925.1189770466</v>
      </c>
      <c r="S34" s="305">
        <f t="shared" si="3"/>
        <v>4991834.6272096559</v>
      </c>
      <c r="T34" s="306">
        <f t="shared" si="3"/>
        <v>4992309</v>
      </c>
    </row>
    <row r="35" spans="5:20">
      <c r="E35" s="304"/>
      <c r="F35" s="2" t="s">
        <v>861</v>
      </c>
      <c r="G35" s="204" t="s">
        <v>536</v>
      </c>
      <c r="H35" s="305">
        <f>+H33*$W$12</f>
        <v>4161318.5491833515</v>
      </c>
      <c r="I35" s="305">
        <f t="shared" ref="I35:T35" si="4">+I33*$W$12</f>
        <v>4251226.1817294899</v>
      </c>
      <c r="J35" s="305">
        <f t="shared" si="4"/>
        <v>4217246.1127930898</v>
      </c>
      <c r="K35" s="305">
        <f t="shared" si="4"/>
        <v>4310906.6749794707</v>
      </c>
      <c r="L35" s="305">
        <f t="shared" si="4"/>
        <v>4344299.6855665687</v>
      </c>
      <c r="M35" s="305">
        <f t="shared" si="4"/>
        <v>4433673.0714382008</v>
      </c>
      <c r="N35" s="305">
        <f t="shared" si="4"/>
        <v>4495903.1425955566</v>
      </c>
      <c r="O35" s="305">
        <f t="shared" si="4"/>
        <v>4522154.3172320174</v>
      </c>
      <c r="P35" s="305">
        <f t="shared" si="4"/>
        <v>4550876.7953292793</v>
      </c>
      <c r="Q35" s="305">
        <f t="shared" si="4"/>
        <v>4563034.3257871727</v>
      </c>
      <c r="R35" s="305">
        <f t="shared" si="4"/>
        <v>4452664.9984541647</v>
      </c>
      <c r="S35" s="305">
        <f t="shared" si="4"/>
        <v>4584841.303682927</v>
      </c>
      <c r="T35" s="306">
        <f t="shared" si="4"/>
        <v>4585277</v>
      </c>
    </row>
    <row r="36" spans="5:20">
      <c r="E36" s="304"/>
      <c r="F36" s="2" t="s">
        <v>860</v>
      </c>
      <c r="G36" s="204" t="s">
        <v>528</v>
      </c>
      <c r="H36" s="305">
        <f>+H33*$W$13</f>
        <v>24500.83536333856</v>
      </c>
      <c r="I36" s="305">
        <f t="shared" ref="I36:T36" si="5">+I33*$W$13</f>
        <v>25030.189719868842</v>
      </c>
      <c r="J36" s="305">
        <f t="shared" si="5"/>
        <v>24830.123307070662</v>
      </c>
      <c r="K36" s="305">
        <f t="shared" si="5"/>
        <v>25381.574004017813</v>
      </c>
      <c r="L36" s="305">
        <f t="shared" si="5"/>
        <v>25578.183959494847</v>
      </c>
      <c r="M36" s="305">
        <f t="shared" si="5"/>
        <v>26104.39280104934</v>
      </c>
      <c r="N36" s="305">
        <f t="shared" si="5"/>
        <v>26470.788382174567</v>
      </c>
      <c r="O36" s="305">
        <f t="shared" si="5"/>
        <v>26625.348937984068</v>
      </c>
      <c r="P36" s="305">
        <f t="shared" si="5"/>
        <v>26794.459929793673</v>
      </c>
      <c r="Q36" s="305">
        <f t="shared" si="5"/>
        <v>26866.040523457214</v>
      </c>
      <c r="R36" s="305">
        <f t="shared" si="5"/>
        <v>26216.212665727086</v>
      </c>
      <c r="S36" s="305">
        <f t="shared" si="5"/>
        <v>26994.434725650812</v>
      </c>
      <c r="T36" s="306">
        <f t="shared" si="5"/>
        <v>26997</v>
      </c>
    </row>
    <row r="37" spans="5:20">
      <c r="E37" s="304"/>
      <c r="F37" s="2" t="s">
        <v>862</v>
      </c>
      <c r="G37" s="204" t="s">
        <v>525</v>
      </c>
      <c r="H37" s="246">
        <f>+H33*$W$14</f>
        <v>109382.97528751737</v>
      </c>
      <c r="I37" s="246">
        <f t="shared" ref="I37:T37" si="6">+I33*$W$14</f>
        <v>111746.25611611038</v>
      </c>
      <c r="J37" s="246">
        <f t="shared" si="6"/>
        <v>110853.06781610199</v>
      </c>
      <c r="K37" s="246">
        <f t="shared" si="6"/>
        <v>113314.99685084472</v>
      </c>
      <c r="L37" s="246">
        <f t="shared" si="6"/>
        <v>114192.75393880933</v>
      </c>
      <c r="M37" s="246">
        <f t="shared" si="6"/>
        <v>116541.99174471511</v>
      </c>
      <c r="N37" s="246">
        <f t="shared" si="6"/>
        <v>118177.74979954638</v>
      </c>
      <c r="O37" s="246">
        <f t="shared" si="6"/>
        <v>118867.77906613349</v>
      </c>
      <c r="P37" s="246">
        <f t="shared" si="6"/>
        <v>119622.76815787835</v>
      </c>
      <c r="Q37" s="246">
        <f t="shared" si="6"/>
        <v>119942.33678448446</v>
      </c>
      <c r="R37" s="246">
        <f t="shared" si="6"/>
        <v>117041.20694751595</v>
      </c>
      <c r="S37" s="246">
        <f t="shared" si="6"/>
        <v>120515.54743780848</v>
      </c>
      <c r="T37" s="280">
        <f t="shared" si="6"/>
        <v>120527</v>
      </c>
    </row>
    <row r="38" spans="5:20">
      <c r="E38" s="304"/>
      <c r="F38" s="2" t="s">
        <v>863</v>
      </c>
      <c r="G38" s="250" t="s">
        <v>827</v>
      </c>
      <c r="H38" s="103">
        <f>+H33*$W$17</f>
        <v>-830.39835379689532</v>
      </c>
      <c r="I38" s="103">
        <f t="shared" ref="I38:T38" si="7">+I33*$W$17</f>
        <v>-848.33957823758169</v>
      </c>
      <c r="J38" s="103">
        <f t="shared" si="7"/>
        <v>-841.55879638365957</v>
      </c>
      <c r="K38" s="103">
        <f t="shared" si="7"/>
        <v>-860.24892446109936</v>
      </c>
      <c r="L38" s="103">
        <f t="shared" si="7"/>
        <v>-866.91255780041433</v>
      </c>
      <c r="M38" s="103">
        <f t="shared" si="7"/>
        <v>-884.74717238804863</v>
      </c>
      <c r="N38" s="103">
        <f t="shared" si="7"/>
        <v>-897.16529131717334</v>
      </c>
      <c r="O38" s="103">
        <f t="shared" si="7"/>
        <v>-902.40375887155699</v>
      </c>
      <c r="P38" s="103">
        <f t="shared" si="7"/>
        <v>-908.13537932960003</v>
      </c>
      <c r="Q38" s="103">
        <f t="shared" si="7"/>
        <v>-910.56143567668073</v>
      </c>
      <c r="R38" s="103">
        <f t="shared" si="7"/>
        <v>-888.53704445457959</v>
      </c>
      <c r="S38" s="103">
        <f t="shared" si="7"/>
        <v>-914.91305604217109</v>
      </c>
      <c r="T38" s="281">
        <f t="shared" si="7"/>
        <v>-915</v>
      </c>
    </row>
    <row r="39" spans="5:20" ht="13.5" thickBot="1">
      <c r="E39" s="307"/>
      <c r="F39" s="295"/>
      <c r="G39" s="297" t="s">
        <v>535</v>
      </c>
      <c r="H39" s="298">
        <f>+H33-H34-H35-H36-H37-H38</f>
        <v>2.829665390891023E-10</v>
      </c>
      <c r="I39" s="298">
        <f t="shared" ref="I39:T39" si="8">+I33-I34-I35-I36-I37-I38</f>
        <v>6.3369043346028775E-10</v>
      </c>
      <c r="J39" s="298">
        <f t="shared" si="8"/>
        <v>2.0452262106118724E-10</v>
      </c>
      <c r="K39" s="298">
        <f t="shared" si="8"/>
        <v>5.3171334002399817E-10</v>
      </c>
      <c r="L39" s="298">
        <f t="shared" si="8"/>
        <v>2.5943336368072778E-10</v>
      </c>
      <c r="M39" s="298">
        <f t="shared" si="8"/>
        <v>1.1683596312650479E-9</v>
      </c>
      <c r="N39" s="298">
        <f t="shared" si="8"/>
        <v>6.5710992203094065E-10</v>
      </c>
      <c r="O39" s="298">
        <f t="shared" si="8"/>
        <v>5.0806647777790204E-10</v>
      </c>
      <c r="P39" s="298">
        <f t="shared" si="8"/>
        <v>2.908109308918938E-10</v>
      </c>
      <c r="Q39" s="298">
        <f t="shared" si="8"/>
        <v>9.6656549430917948E-10</v>
      </c>
      <c r="R39" s="298">
        <f t="shared" si="8"/>
        <v>2.5727331376401708E-10</v>
      </c>
      <c r="S39" s="298">
        <f t="shared" si="8"/>
        <v>-1.070930011337623E-10</v>
      </c>
      <c r="T39" s="308">
        <f t="shared" si="8"/>
        <v>0</v>
      </c>
    </row>
    <row r="42" spans="5:20" ht="13.5" thickBot="1"/>
    <row r="43" spans="5:20">
      <c r="E43" s="300"/>
      <c r="F43" s="293"/>
      <c r="G43" s="293"/>
      <c r="H43" s="275">
        <v>44531</v>
      </c>
      <c r="I43" s="275">
        <v>44562</v>
      </c>
      <c r="J43" s="275">
        <v>44593</v>
      </c>
      <c r="K43" s="275">
        <v>44621</v>
      </c>
      <c r="L43" s="275">
        <v>44652</v>
      </c>
      <c r="M43" s="275">
        <v>44682</v>
      </c>
      <c r="N43" s="275">
        <v>44713</v>
      </c>
      <c r="O43" s="275">
        <v>44743</v>
      </c>
      <c r="P43" s="275">
        <v>44774</v>
      </c>
      <c r="Q43" s="275">
        <v>44805</v>
      </c>
      <c r="R43" s="275">
        <v>44835</v>
      </c>
      <c r="S43" s="275">
        <v>44866</v>
      </c>
      <c r="T43" s="276">
        <v>44896</v>
      </c>
    </row>
    <row r="44" spans="5:20">
      <c r="E44" s="309"/>
      <c r="F44" s="68"/>
      <c r="G44" s="203" t="s">
        <v>330</v>
      </c>
      <c r="H44" s="103">
        <f>+'Balance Sheet - Jan - Dec 2021'!M87</f>
        <v>940890</v>
      </c>
      <c r="I44" s="103">
        <f>+'Balance Sheet - Jan - Dec 2022'!B87</f>
        <v>1025149</v>
      </c>
      <c r="J44" s="103">
        <f>+'Balance Sheet - Jan - Dec 2022'!C87</f>
        <v>1039430</v>
      </c>
      <c r="K44" s="103">
        <f>+'Balance Sheet - Jan - Dec 2022'!D87</f>
        <v>1109064</v>
      </c>
      <c r="L44" s="103">
        <f>+'Balance Sheet - Jan - Dec 2022'!E87</f>
        <v>1113084</v>
      </c>
      <c r="M44" s="103">
        <f>+'Balance Sheet - Jan - Dec 2022'!F87</f>
        <v>1185209</v>
      </c>
      <c r="N44" s="103">
        <f>+'Balance Sheet - Jan - Dec 2022'!G87</f>
        <v>950337</v>
      </c>
      <c r="O44" s="103">
        <f>+'Balance Sheet - Jan - Dec 2022'!H87</f>
        <v>985101</v>
      </c>
      <c r="P44" s="103">
        <f>+'Balance Sheet - Jan - Dec 2022'!I87</f>
        <v>1107172</v>
      </c>
      <c r="Q44" s="103">
        <f>+'Balance Sheet - Jan - Dec 2022'!J87</f>
        <v>1225739</v>
      </c>
      <c r="R44" s="103">
        <f>+'Balance Sheet - Jan - Dec 2022'!K87</f>
        <v>1203784</v>
      </c>
      <c r="S44" s="103">
        <f>+'Balance Sheet - Jan - Dec 2022'!L87</f>
        <v>1320593</v>
      </c>
      <c r="T44" s="281">
        <f>+'Balance Sheet - Jan - Dec 2022'!M87</f>
        <v>1307851</v>
      </c>
    </row>
    <row r="45" spans="5:20">
      <c r="E45" s="304"/>
      <c r="G45" s="310" t="s">
        <v>331</v>
      </c>
      <c r="H45" s="100">
        <v>940890</v>
      </c>
      <c r="I45" s="100">
        <v>1025149</v>
      </c>
      <c r="J45" s="100">
        <v>1039430</v>
      </c>
      <c r="K45" s="100">
        <v>1109064</v>
      </c>
      <c r="L45" s="100">
        <v>1113084</v>
      </c>
      <c r="M45" s="100">
        <v>1185209</v>
      </c>
      <c r="N45" s="100">
        <v>950337</v>
      </c>
      <c r="O45" s="100">
        <v>985101</v>
      </c>
      <c r="P45" s="100">
        <v>1107172</v>
      </c>
      <c r="Q45" s="100">
        <v>1225739</v>
      </c>
      <c r="R45" s="100">
        <v>1203784</v>
      </c>
      <c r="S45" s="100">
        <v>1320593</v>
      </c>
      <c r="T45" s="311">
        <v>1307851</v>
      </c>
    </row>
    <row r="46" spans="5:20">
      <c r="E46" s="304"/>
      <c r="G46" s="61" t="s">
        <v>864</v>
      </c>
      <c r="H46" s="103">
        <v>940890</v>
      </c>
      <c r="S46" s="61" t="s">
        <v>864</v>
      </c>
      <c r="T46" s="281">
        <v>1307851</v>
      </c>
    </row>
    <row r="47" spans="5:20" ht="13.5" thickBot="1">
      <c r="E47" s="307"/>
      <c r="F47" s="295"/>
      <c r="G47" s="297" t="s">
        <v>535</v>
      </c>
      <c r="H47" s="312">
        <f>+H45-H46</f>
        <v>0</v>
      </c>
      <c r="I47" s="295"/>
      <c r="J47" s="295"/>
      <c r="K47" s="295"/>
      <c r="L47" s="295"/>
      <c r="M47" s="295"/>
      <c r="N47" s="295"/>
      <c r="O47" s="295"/>
      <c r="P47" s="295"/>
      <c r="Q47" s="295"/>
      <c r="R47" s="295"/>
      <c r="S47" s="297" t="s">
        <v>535</v>
      </c>
      <c r="T47" s="299">
        <f>+T45-T46</f>
        <v>0</v>
      </c>
    </row>
  </sheetData>
  <mergeCells count="1">
    <mergeCell ref="C1:F1"/>
  </mergeCells>
  <pageMargins left="0.5" right="0.25" top="1" bottom="1" header="0.25" footer="0.5"/>
  <pageSetup scale="60" orientation="portrait" verticalDpi="0" r:id="rId1"/>
  <headerFooter alignWithMargins="0">
    <oddHeader>&amp;L&amp;"Times New Roman,Regular"&amp;12ARPA 5-8_Attach A.xlsx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9443-BEBE-4BEB-A52C-17050B87224E}">
  <sheetPr>
    <tabColor theme="7" tint="0.39997558519241921"/>
  </sheetPr>
  <dimension ref="A1:P30"/>
  <sheetViews>
    <sheetView zoomScale="80" zoomScaleNormal="80" workbookViewId="0"/>
  </sheetViews>
  <sheetFormatPr defaultRowHeight="12.75"/>
  <cols>
    <col min="2" max="2" width="20.7109375" customWidth="1"/>
    <col min="3" max="3" width="41.28515625" bestFit="1" customWidth="1"/>
    <col min="4" max="4" width="13.140625" bestFit="1" customWidth="1"/>
    <col min="5" max="8" width="10.42578125" bestFit="1" customWidth="1"/>
    <col min="9" max="9" width="11.7109375" bestFit="1" customWidth="1"/>
    <col min="10" max="10" width="10.42578125" bestFit="1" customWidth="1"/>
    <col min="11" max="13" width="8.85546875" bestFit="1" customWidth="1"/>
    <col min="14" max="15" width="10.42578125" bestFit="1" customWidth="1"/>
    <col min="16" max="16" width="13.140625" bestFit="1" customWidth="1"/>
    <col min="17" max="18" width="11.42578125" bestFit="1" customWidth="1"/>
    <col min="19" max="21" width="13.140625" bestFit="1" customWidth="1"/>
  </cols>
  <sheetData>
    <row r="1" spans="1:9">
      <c r="A1" s="107"/>
      <c r="B1" s="141"/>
      <c r="C1" s="326" t="s">
        <v>595</v>
      </c>
      <c r="D1" s="327"/>
      <c r="E1" s="327"/>
      <c r="F1" s="327"/>
      <c r="G1" s="327"/>
      <c r="H1" s="327"/>
      <c r="I1" s="328"/>
    </row>
    <row r="2" spans="1:9" ht="76.5">
      <c r="A2" s="107" t="s">
        <v>579</v>
      </c>
      <c r="B2" s="77" t="s">
        <v>538</v>
      </c>
      <c r="C2" s="116" t="s">
        <v>596</v>
      </c>
      <c r="D2" s="116" t="s">
        <v>597</v>
      </c>
      <c r="E2" s="116" t="s">
        <v>598</v>
      </c>
      <c r="F2" s="116" t="s">
        <v>599</v>
      </c>
      <c r="G2" s="116" t="s">
        <v>600</v>
      </c>
      <c r="H2" s="116" t="s">
        <v>601</v>
      </c>
      <c r="I2" s="116" t="s">
        <v>602</v>
      </c>
    </row>
    <row r="3" spans="1:9">
      <c r="A3" s="107"/>
      <c r="B3" s="77" t="s">
        <v>543</v>
      </c>
      <c r="C3" s="116" t="s">
        <v>544</v>
      </c>
      <c r="D3" s="116" t="s">
        <v>545</v>
      </c>
      <c r="E3" s="116" t="s">
        <v>546</v>
      </c>
      <c r="F3" s="116" t="s">
        <v>547</v>
      </c>
      <c r="G3" s="116" t="s">
        <v>548</v>
      </c>
      <c r="H3" s="116" t="s">
        <v>549</v>
      </c>
      <c r="I3" s="116" t="s">
        <v>550</v>
      </c>
    </row>
    <row r="4" spans="1:9">
      <c r="A4" s="107"/>
      <c r="B4" s="118" t="s">
        <v>551</v>
      </c>
      <c r="C4" s="78" t="s">
        <v>603</v>
      </c>
      <c r="D4" s="116" t="s">
        <v>604</v>
      </c>
      <c r="E4" s="116" t="s">
        <v>605</v>
      </c>
      <c r="F4" s="116" t="s">
        <v>605</v>
      </c>
      <c r="G4" s="116" t="s">
        <v>605</v>
      </c>
      <c r="H4" s="116" t="s">
        <v>605</v>
      </c>
      <c r="I4" s="116">
        <v>111.57</v>
      </c>
    </row>
    <row r="5" spans="1:9">
      <c r="A5" s="107">
        <v>1</v>
      </c>
      <c r="B5" s="119" t="s">
        <v>559</v>
      </c>
      <c r="C5" s="83">
        <v>0</v>
      </c>
      <c r="D5" s="83">
        <v>0</v>
      </c>
      <c r="E5" s="142"/>
      <c r="F5" s="142"/>
      <c r="G5" s="142"/>
      <c r="H5" s="142"/>
      <c r="I5" s="83">
        <f>+D28</f>
        <v>1130673</v>
      </c>
    </row>
    <row r="6" spans="1:9">
      <c r="A6" s="107">
        <v>2</v>
      </c>
      <c r="B6" s="119" t="s">
        <v>560</v>
      </c>
      <c r="C6" s="83">
        <v>0</v>
      </c>
      <c r="D6" s="83">
        <v>0</v>
      </c>
      <c r="E6" s="143"/>
      <c r="F6" s="143"/>
      <c r="G6" s="143"/>
      <c r="H6" s="143"/>
      <c r="I6" s="83">
        <f>+E28</f>
        <v>1524675</v>
      </c>
    </row>
    <row r="7" spans="1:9">
      <c r="A7" s="107">
        <v>3</v>
      </c>
      <c r="B7" s="102" t="s">
        <v>561</v>
      </c>
      <c r="C7" s="83">
        <v>0</v>
      </c>
      <c r="D7" s="83">
        <v>0</v>
      </c>
      <c r="E7" s="143"/>
      <c r="F7" s="143"/>
      <c r="G7" s="143"/>
      <c r="H7" s="143"/>
      <c r="I7" s="83">
        <f>+F28</f>
        <v>1299321</v>
      </c>
    </row>
    <row r="8" spans="1:9">
      <c r="A8" s="107">
        <v>4</v>
      </c>
      <c r="B8" s="102" t="s">
        <v>562</v>
      </c>
      <c r="C8" s="83">
        <v>0</v>
      </c>
      <c r="D8" s="83">
        <v>0</v>
      </c>
      <c r="E8" s="143"/>
      <c r="F8" s="143"/>
      <c r="G8" s="143"/>
      <c r="H8" s="143"/>
      <c r="I8" s="83">
        <f>+G28</f>
        <v>1001352</v>
      </c>
    </row>
    <row r="9" spans="1:9">
      <c r="A9" s="107">
        <v>5</v>
      </c>
      <c r="B9" s="102" t="s">
        <v>563</v>
      </c>
      <c r="C9" s="83">
        <v>0</v>
      </c>
      <c r="D9" s="83">
        <v>0</v>
      </c>
      <c r="E9" s="143"/>
      <c r="F9" s="143"/>
      <c r="G9" s="143"/>
      <c r="H9" s="143"/>
      <c r="I9" s="83">
        <f>+H28</f>
        <v>1150846</v>
      </c>
    </row>
    <row r="10" spans="1:9">
      <c r="A10" s="107">
        <v>6</v>
      </c>
      <c r="B10" s="102" t="s">
        <v>142</v>
      </c>
      <c r="C10" s="83">
        <v>0</v>
      </c>
      <c r="D10" s="83">
        <v>0</v>
      </c>
      <c r="E10" s="143"/>
      <c r="F10" s="143"/>
      <c r="G10" s="143"/>
      <c r="H10" s="143"/>
      <c r="I10" s="83">
        <f>+I28</f>
        <v>1384484</v>
      </c>
    </row>
    <row r="11" spans="1:9">
      <c r="A11" s="107">
        <v>7</v>
      </c>
      <c r="B11" s="102" t="s">
        <v>564</v>
      </c>
      <c r="C11" s="83">
        <v>0</v>
      </c>
      <c r="D11" s="83">
        <v>0</v>
      </c>
      <c r="E11" s="143"/>
      <c r="F11" s="143"/>
      <c r="G11" s="143"/>
      <c r="H11" s="143"/>
      <c r="I11" s="83">
        <f>+J28</f>
        <v>1168891</v>
      </c>
    </row>
    <row r="12" spans="1:9">
      <c r="A12" s="107">
        <v>8</v>
      </c>
      <c r="B12" s="102" t="s">
        <v>565</v>
      </c>
      <c r="C12" s="83">
        <v>0</v>
      </c>
      <c r="D12" s="83">
        <v>0</v>
      </c>
      <c r="E12" s="143"/>
      <c r="F12" s="143"/>
      <c r="G12" s="143"/>
      <c r="H12" s="143"/>
      <c r="I12" s="83">
        <f>+K28</f>
        <v>900174</v>
      </c>
    </row>
    <row r="13" spans="1:9">
      <c r="A13" s="107">
        <v>9</v>
      </c>
      <c r="B13" s="102" t="s">
        <v>566</v>
      </c>
      <c r="C13" s="83">
        <v>0</v>
      </c>
      <c r="D13" s="83">
        <v>0</v>
      </c>
      <c r="E13" s="143"/>
      <c r="F13" s="143"/>
      <c r="G13" s="143"/>
      <c r="H13" s="143"/>
      <c r="I13" s="83">
        <f>+L28</f>
        <v>579084</v>
      </c>
    </row>
    <row r="14" spans="1:9">
      <c r="A14" s="107">
        <v>10</v>
      </c>
      <c r="B14" s="102" t="s">
        <v>567</v>
      </c>
      <c r="C14" s="83">
        <v>0</v>
      </c>
      <c r="D14" s="83">
        <v>0</v>
      </c>
      <c r="E14" s="143"/>
      <c r="F14" s="143"/>
      <c r="G14" s="143"/>
      <c r="H14" s="143"/>
      <c r="I14" s="83">
        <f>+M28</f>
        <v>747625</v>
      </c>
    </row>
    <row r="15" spans="1:9">
      <c r="A15" s="107">
        <v>11</v>
      </c>
      <c r="B15" s="102" t="s">
        <v>568</v>
      </c>
      <c r="C15" s="83">
        <v>0</v>
      </c>
      <c r="D15" s="83">
        <v>0</v>
      </c>
      <c r="E15" s="143"/>
      <c r="F15" s="143"/>
      <c r="G15" s="143"/>
      <c r="H15" s="143"/>
      <c r="I15" s="83">
        <f>+N28</f>
        <v>1483975</v>
      </c>
    </row>
    <row r="16" spans="1:9">
      <c r="A16" s="107">
        <v>12</v>
      </c>
      <c r="B16" s="102" t="s">
        <v>569</v>
      </c>
      <c r="C16" s="83">
        <v>0</v>
      </c>
      <c r="D16" s="83">
        <v>0</v>
      </c>
      <c r="E16" s="143"/>
      <c r="F16" s="143"/>
      <c r="G16" s="143"/>
      <c r="H16" s="143"/>
      <c r="I16" s="83">
        <f>+O28</f>
        <v>1363964</v>
      </c>
    </row>
    <row r="17" spans="1:16">
      <c r="A17" s="107">
        <v>13</v>
      </c>
      <c r="B17" s="102" t="s">
        <v>570</v>
      </c>
      <c r="C17" s="83">
        <v>0</v>
      </c>
      <c r="D17" s="83">
        <v>0</v>
      </c>
      <c r="E17" s="142"/>
      <c r="F17" s="142"/>
      <c r="G17" s="142"/>
      <c r="H17" s="142"/>
      <c r="I17" s="83">
        <f>+P28</f>
        <v>1578989</v>
      </c>
    </row>
    <row r="18" spans="1:16" ht="13.5" thickBot="1">
      <c r="A18" s="107">
        <v>14</v>
      </c>
      <c r="B18" s="118" t="s">
        <v>606</v>
      </c>
      <c r="C18" s="121">
        <f>SUM(C5:C17)/13</f>
        <v>0</v>
      </c>
      <c r="D18" s="144">
        <f>SUM(D5:D17)/13</f>
        <v>0</v>
      </c>
      <c r="E18" s="145"/>
      <c r="F18" s="145"/>
      <c r="G18" s="145"/>
      <c r="H18" s="145"/>
      <c r="I18" s="146">
        <f t="shared" ref="I18" si="0">SUM(I5:I17)/13</f>
        <v>1178004.076923077</v>
      </c>
    </row>
    <row r="19" spans="1:16" ht="13.5" thickTop="1">
      <c r="A19" s="107">
        <v>15</v>
      </c>
      <c r="B19" s="102" t="s">
        <v>607</v>
      </c>
      <c r="C19" s="105"/>
      <c r="D19" s="105"/>
      <c r="E19" s="147"/>
      <c r="F19" s="147"/>
      <c r="G19" s="147"/>
      <c r="H19" s="147"/>
      <c r="I19" s="123"/>
    </row>
    <row r="21" spans="1:16">
      <c r="D21" s="16">
        <v>44531</v>
      </c>
      <c r="E21" s="16">
        <v>44562</v>
      </c>
      <c r="F21" s="16">
        <v>44593</v>
      </c>
      <c r="G21" s="16">
        <v>44621</v>
      </c>
      <c r="H21" s="16">
        <v>44652</v>
      </c>
      <c r="I21" s="16">
        <v>44682</v>
      </c>
      <c r="J21" s="16">
        <v>44713</v>
      </c>
      <c r="K21" s="16">
        <v>44743</v>
      </c>
      <c r="L21" s="16">
        <v>44774</v>
      </c>
      <c r="M21" s="16">
        <v>44805</v>
      </c>
      <c r="N21" s="16">
        <v>44835</v>
      </c>
      <c r="O21" s="16">
        <v>44866</v>
      </c>
      <c r="P21" s="16">
        <v>44896</v>
      </c>
    </row>
    <row r="22" spans="1:16">
      <c r="C22" s="201" t="s">
        <v>332</v>
      </c>
      <c r="D22" s="9">
        <f>+'Balance Sheet - Jan - Dec 2021'!M89</f>
        <v>957019</v>
      </c>
      <c r="E22" s="9">
        <f>+'Balance Sheet - Jan - Dec 2022'!B89</f>
        <v>849122</v>
      </c>
      <c r="F22" s="9">
        <f>+'Balance Sheet - Jan - Dec 2022'!C89</f>
        <v>741224</v>
      </c>
      <c r="G22" s="9">
        <f>+'Balance Sheet - Jan - Dec 2022'!D89</f>
        <v>633327</v>
      </c>
      <c r="H22" s="9">
        <f>+'Balance Sheet - Jan - Dec 2022'!E89</f>
        <v>525430</v>
      </c>
      <c r="I22" s="9">
        <f>+'Balance Sheet - Jan - Dec 2022'!F89</f>
        <v>417836</v>
      </c>
      <c r="J22" s="9">
        <f>+'Balance Sheet - Jan - Dec 2022'!G89</f>
        <v>309939</v>
      </c>
      <c r="K22" s="9">
        <f>+'Balance Sheet - Jan - Dec 2022'!H89</f>
        <v>254984</v>
      </c>
      <c r="L22" s="9">
        <f>+'Balance Sheet - Jan - Dec 2022'!I89</f>
        <v>147275</v>
      </c>
      <c r="M22" s="9">
        <f>+'Balance Sheet - Jan - Dec 2022'!J89</f>
        <v>39566</v>
      </c>
      <c r="N22" s="9">
        <f>+'Balance Sheet - Jan - Dec 2022'!K89</f>
        <v>955356</v>
      </c>
      <c r="O22" s="9">
        <f>+'Balance Sheet - Jan - Dec 2022'!L89</f>
        <v>890608</v>
      </c>
      <c r="P22" s="9">
        <f>+'Balance Sheet - Jan - Dec 2022'!M89</f>
        <v>800228</v>
      </c>
    </row>
    <row r="23" spans="1:16">
      <c r="C23" s="201" t="s">
        <v>333</v>
      </c>
      <c r="D23" s="9">
        <f>+'Balance Sheet - Jan - Dec 2021'!M90</f>
        <v>2196</v>
      </c>
      <c r="E23" s="9">
        <f>+'Balance Sheet - Jan - Dec 2022'!B90</f>
        <v>1757</v>
      </c>
      <c r="F23" s="9">
        <f>+'Balance Sheet - Jan - Dec 2022'!C90</f>
        <v>1317</v>
      </c>
      <c r="G23" s="9">
        <f>+'Balance Sheet - Jan - Dec 2022'!D90</f>
        <v>878</v>
      </c>
      <c r="H23" s="9">
        <f>+'Balance Sheet - Jan - Dec 2022'!E90</f>
        <v>439</v>
      </c>
      <c r="I23" s="9">
        <f>+'Balance Sheet - Jan - Dec 2022'!F90</f>
        <v>0</v>
      </c>
      <c r="J23" s="9">
        <f>+'Balance Sheet - Jan - Dec 2022'!G90</f>
        <v>5375</v>
      </c>
      <c r="K23" s="9">
        <f>+'Balance Sheet - Jan - Dec 2022'!H90</f>
        <v>4683</v>
      </c>
      <c r="L23" s="9">
        <f>+'Balance Sheet - Jan - Dec 2022'!I90</f>
        <v>4194</v>
      </c>
      <c r="M23" s="9">
        <f>+'Balance Sheet - Jan - Dec 2022'!J90</f>
        <v>3909</v>
      </c>
      <c r="N23" s="9">
        <f>+'Balance Sheet - Jan - Dec 2022'!K90</f>
        <v>3421</v>
      </c>
      <c r="O23" s="9">
        <f>+'Balance Sheet - Jan - Dec 2022'!L90</f>
        <v>7145</v>
      </c>
      <c r="P23" s="9">
        <f>+'Balance Sheet - Jan - Dec 2022'!M90</f>
        <v>24297</v>
      </c>
    </row>
    <row r="24" spans="1:16">
      <c r="C24" s="201" t="s">
        <v>334</v>
      </c>
      <c r="D24" s="9">
        <f>+'Balance Sheet - Jan - Dec 2021'!M91</f>
        <v>1</v>
      </c>
      <c r="E24" s="9">
        <f>+'Balance Sheet - Jan - Dec 2022'!B91</f>
        <v>1</v>
      </c>
      <c r="F24" s="9">
        <f>+'Balance Sheet - Jan - Dec 2022'!C91</f>
        <v>1</v>
      </c>
      <c r="G24" s="9">
        <f>+'Balance Sheet - Jan - Dec 2022'!D91</f>
        <v>2</v>
      </c>
      <c r="H24" s="9">
        <f>+'Balance Sheet - Jan - Dec 2022'!E91</f>
        <v>2</v>
      </c>
      <c r="I24" s="9">
        <f>+'Balance Sheet - Jan - Dec 2022'!F91</f>
        <v>2</v>
      </c>
      <c r="J24" s="9">
        <f>+'Balance Sheet - Jan - Dec 2022'!G91</f>
        <v>2</v>
      </c>
      <c r="K24" s="9">
        <f>+'Balance Sheet - Jan - Dec 2022'!H91</f>
        <v>2</v>
      </c>
      <c r="L24" s="9">
        <f>+'Balance Sheet - Jan - Dec 2022'!I91</f>
        <v>2</v>
      </c>
      <c r="M24" s="9">
        <f>+'Balance Sheet - Jan - Dec 2022'!J91</f>
        <v>2</v>
      </c>
      <c r="N24" s="9">
        <f>+'Balance Sheet - Jan - Dec 2022'!K91</f>
        <v>2</v>
      </c>
      <c r="O24" s="9">
        <f>+'Balance Sheet - Jan - Dec 2022'!L91</f>
        <v>2</v>
      </c>
      <c r="P24" s="9">
        <f>+'Balance Sheet - Jan - Dec 2022'!M91</f>
        <v>2</v>
      </c>
    </row>
    <row r="25" spans="1:16">
      <c r="C25" s="201" t="s">
        <v>335</v>
      </c>
      <c r="D25" s="9">
        <f>+'Balance Sheet - Jan - Dec 2021'!M92</f>
        <v>72267</v>
      </c>
      <c r="E25" s="9">
        <f>+'Balance Sheet - Jan - Dec 2022'!B92</f>
        <v>479219</v>
      </c>
      <c r="F25" s="9">
        <f>+'Balance Sheet - Jan - Dec 2022'!C92</f>
        <v>379891</v>
      </c>
      <c r="G25" s="9">
        <f>+'Balance Sheet - Jan - Dec 2022'!D92</f>
        <v>207947</v>
      </c>
      <c r="H25" s="9">
        <f>+'Balance Sheet - Jan - Dec 2022'!E92</f>
        <v>483466</v>
      </c>
      <c r="I25" s="9">
        <f>+'Balance Sheet - Jan - Dec 2022'!F92</f>
        <v>842825</v>
      </c>
      <c r="J25" s="9">
        <f>+'Balance Sheet - Jan - Dec 2022'!G92</f>
        <v>747443</v>
      </c>
      <c r="K25" s="9">
        <f>+'Balance Sheet - Jan - Dec 2022'!H92</f>
        <v>552061</v>
      </c>
      <c r="L25" s="9">
        <f>+'Balance Sheet - Jan - Dec 2022'!I92</f>
        <v>356858</v>
      </c>
      <c r="M25" s="9">
        <f>+'Balance Sheet - Jan - Dec 2022'!J92</f>
        <v>651082</v>
      </c>
      <c r="N25" s="9">
        <f>+'Balance Sheet - Jan - Dec 2022'!K92</f>
        <v>489820</v>
      </c>
      <c r="O25" s="9">
        <f>+'Balance Sheet - Jan - Dec 2022'!L92</f>
        <v>262209</v>
      </c>
      <c r="P25" s="9">
        <f>+'Balance Sheet - Jan - Dec 2022'!M92</f>
        <v>568150</v>
      </c>
    </row>
    <row r="26" spans="1:16">
      <c r="C26" s="201" t="s">
        <v>336</v>
      </c>
      <c r="D26" s="9">
        <f>+'Balance Sheet - Jan - Dec 2021'!M93</f>
        <v>99190</v>
      </c>
      <c r="E26" s="9">
        <f>+'Balance Sheet - Jan - Dec 2022'!B93</f>
        <v>194576</v>
      </c>
      <c r="F26" s="9">
        <f>+'Balance Sheet - Jan - Dec 2022'!C93</f>
        <v>176887</v>
      </c>
      <c r="G26" s="9">
        <f>+'Balance Sheet - Jan - Dec 2022'!D93</f>
        <v>159199</v>
      </c>
      <c r="H26" s="9">
        <f>+'Balance Sheet - Jan - Dec 2022'!E93</f>
        <v>141510</v>
      </c>
      <c r="I26" s="9">
        <f>+'Balance Sheet - Jan - Dec 2022'!F93</f>
        <v>123821</v>
      </c>
      <c r="J26" s="9">
        <f>+'Balance Sheet - Jan - Dec 2022'!G93</f>
        <v>106132</v>
      </c>
      <c r="K26" s="9">
        <f>+'Balance Sheet - Jan - Dec 2022'!H93</f>
        <v>88444</v>
      </c>
      <c r="L26" s="9">
        <f>+'Balance Sheet - Jan - Dec 2022'!I93</f>
        <v>70755</v>
      </c>
      <c r="M26" s="9">
        <f>+'Balance Sheet - Jan - Dec 2022'!J93</f>
        <v>53066</v>
      </c>
      <c r="N26" s="9">
        <f>+'Balance Sheet - Jan - Dec 2022'!K93</f>
        <v>35377</v>
      </c>
      <c r="O26" s="9">
        <f>+'Balance Sheet - Jan - Dec 2022'!L93</f>
        <v>204001</v>
      </c>
      <c r="P26" s="9">
        <f>+'Balance Sheet - Jan - Dec 2022'!M93</f>
        <v>186312</v>
      </c>
    </row>
    <row r="27" spans="1:16">
      <c r="C27" s="203" t="s">
        <v>337</v>
      </c>
      <c r="D27" s="9">
        <f>+'Balance Sheet - Jan - Dec 2021'!M94</f>
        <v>0</v>
      </c>
      <c r="E27" s="9">
        <v>0</v>
      </c>
      <c r="F27" s="103">
        <v>0</v>
      </c>
      <c r="G27" s="103">
        <v>0</v>
      </c>
      <c r="H27" s="103">
        <v>0</v>
      </c>
      <c r="I27" s="103">
        <v>0</v>
      </c>
      <c r="J27" s="103">
        <v>0</v>
      </c>
      <c r="K27" s="103">
        <v>0</v>
      </c>
      <c r="L27" s="103">
        <v>0</v>
      </c>
      <c r="M27" s="103">
        <v>0</v>
      </c>
      <c r="N27" s="103">
        <v>0</v>
      </c>
      <c r="O27" s="103">
        <v>0</v>
      </c>
      <c r="P27" s="103">
        <v>0</v>
      </c>
    </row>
    <row r="28" spans="1:16" ht="13.5" thickBot="1">
      <c r="C28" s="206" t="s">
        <v>338</v>
      </c>
      <c r="D28" s="207">
        <v>1130673</v>
      </c>
      <c r="E28" s="207">
        <v>1524675</v>
      </c>
      <c r="F28" s="207">
        <v>1299321</v>
      </c>
      <c r="G28" s="207">
        <v>1001352</v>
      </c>
      <c r="H28" s="207">
        <v>1150846</v>
      </c>
      <c r="I28" s="207">
        <v>1384484</v>
      </c>
      <c r="J28" s="207">
        <v>1168891</v>
      </c>
      <c r="K28" s="207">
        <v>900174</v>
      </c>
      <c r="L28" s="207">
        <v>579084</v>
      </c>
      <c r="M28" s="207">
        <v>747625</v>
      </c>
      <c r="N28" s="207">
        <v>1483975</v>
      </c>
      <c r="O28" s="207">
        <v>1363964</v>
      </c>
      <c r="P28" s="207">
        <v>1578989</v>
      </c>
    </row>
    <row r="29" spans="1:16">
      <c r="C29" s="291" t="s">
        <v>871</v>
      </c>
      <c r="D29" s="292">
        <v>1130672</v>
      </c>
      <c r="E29" s="293"/>
      <c r="F29" s="293"/>
      <c r="G29" s="293"/>
      <c r="H29" s="293"/>
      <c r="I29" s="293"/>
      <c r="J29" s="293"/>
      <c r="K29" s="293"/>
      <c r="L29" s="293"/>
      <c r="M29" s="293"/>
      <c r="N29" s="293"/>
      <c r="O29" s="291" t="s">
        <v>871</v>
      </c>
      <c r="P29" s="294">
        <v>1578987</v>
      </c>
    </row>
    <row r="30" spans="1:16" ht="13.5" thickBot="1">
      <c r="C30" s="296" t="s">
        <v>535</v>
      </c>
      <c r="D30" s="298">
        <f>+D28-D29</f>
        <v>1</v>
      </c>
      <c r="E30" s="295"/>
      <c r="F30" s="295"/>
      <c r="G30" s="295"/>
      <c r="H30" s="295"/>
      <c r="I30" s="295"/>
      <c r="J30" s="295"/>
      <c r="K30" s="295"/>
      <c r="L30" s="295"/>
      <c r="M30" s="295"/>
      <c r="N30" s="295"/>
      <c r="O30" s="297" t="s">
        <v>535</v>
      </c>
      <c r="P30" s="299">
        <f>+P28-P29</f>
        <v>2</v>
      </c>
    </row>
  </sheetData>
  <mergeCells count="1">
    <mergeCell ref="C1:I1"/>
  </mergeCells>
  <pageMargins left="0.5" right="0.25" top="1" bottom="1" header="0.25" footer="0.5"/>
  <pageSetup scale="60" orientation="portrait" verticalDpi="0" r:id="rId1"/>
  <headerFooter alignWithMargins="0">
    <oddHeader>&amp;L&amp;"Times New Roman,Regular"&amp;12ARPA 5-8_Attach A.xlsx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ate Review" ma:contentTypeID="0x0101006F446FD6AED4774CAB25A978CF67113A005D1E7029CF59EB4D83D4BFF5B2C8F701" ma:contentTypeVersion="120" ma:contentTypeDescription="" ma:contentTypeScope="" ma:versionID="b9b44eb80a4c032c799c49e4bb29dfee">
  <xsd:schema xmlns:xsd="http://www.w3.org/2001/XMLSchema" xmlns:xs="http://www.w3.org/2001/XMLSchema" xmlns:p="http://schemas.microsoft.com/office/2006/metadata/properties" xmlns:ns2="d8ccb16c-0d7a-4201-87ab-0ab255e843f9" xmlns:ns3="http://schemas.microsoft.com/sharepoint/v3/fields" xmlns:ns4="8c16f583-72de-4335-8a95-24ea4199e384" xmlns:ns5="0978e934-6254-406b-9834-83cdeade7362" xmlns:ns6="a9e4b8fe-e419-4f8a-8b33-48f1e8cac3f4" targetNamespace="http://schemas.microsoft.com/office/2006/metadata/properties" ma:root="true" ma:fieldsID="7b2631c26e6244501c42feb1eac84a29" ns2:_="" ns3:_="" ns4:_="" ns5:_="" ns6:_="">
    <xsd:import namespace="d8ccb16c-0d7a-4201-87ab-0ab255e843f9"/>
    <xsd:import namespace="http://schemas.microsoft.com/sharepoint/v3/fields"/>
    <xsd:import namespace="8c16f583-72de-4335-8a95-24ea4199e384"/>
    <xsd:import namespace="0978e934-6254-406b-9834-83cdeade7362"/>
    <xsd:import namespace="a9e4b8fe-e419-4f8a-8b33-48f1e8cac3f4"/>
    <xsd:element name="properties">
      <xsd:complexType>
        <xsd:sequence>
          <xsd:element name="documentManagement">
            <xsd:complexType>
              <xsd:all>
                <xsd:element ref="ns2:Data_x0020_Request_x0020_Topic" minOccurs="0"/>
                <xsd:element ref="ns2:Intervenor" minOccurs="0"/>
                <xsd:element ref="ns2:Party_x0020_Name" minOccurs="0"/>
                <xsd:element ref="ns2:Party_x0020_Set" minOccurs="0"/>
                <xsd:element ref="ns2:DR_x0020_Number" minOccurs="0"/>
                <xsd:element ref="ns2:Date_x0020_Received" minOccurs="0"/>
                <xsd:element ref="ns2:Date_x0020_Response_x0020_Due_x0020_for_x0020_Review" minOccurs="0"/>
                <xsd:element ref="ns2:Review_x0020_Date" minOccurs="0"/>
                <xsd:element ref="ns2:Served_x0020_Date" minOccurs="0"/>
                <xsd:element ref="ns2:Regulatory_x0020_Partner" minOccurs="0"/>
                <xsd:element ref="ns2:Response_x0020_Preparer" minOccurs="0"/>
                <xsd:element ref="ns2:SME_x0020_Approver" minOccurs="0"/>
                <xsd:element ref="ns2:Subparts" minOccurs="0"/>
                <xsd:element ref="ns2:Notes1" minOccurs="0"/>
                <xsd:element ref="ns2:Objection" minOccurs="0"/>
                <xsd:element ref="ns2:Internal_x0020_Confidential" minOccurs="0"/>
                <xsd:element ref="ns2:Externally_x0020_Confidential" minOccurs="0"/>
                <xsd:element ref="ns2:Highly_x0020_Confidential" minOccurs="0"/>
                <xsd:element ref="ns2:Type_x0020_of_x0020_Document" minOccurs="0"/>
                <xsd:element ref="ns2:Review_x0020_Task_x0020_Status" minOccurs="0"/>
                <xsd:element ref="ns2:ReviewTasksSent" minOccurs="0"/>
                <xsd:element ref="ns2:VersionProperty" minOccurs="0"/>
                <xsd:element ref="ns2:DR_x0020_Lookup" minOccurs="0"/>
                <xsd:element ref="ns3:TaskDueDate" minOccurs="0"/>
                <xsd:element ref="ns2:TaskUrl" minOccurs="0"/>
                <xsd:element ref="ns2:Questions_x0020_Served" minOccurs="0"/>
                <xsd:element ref="ns2:SMEReviewTaskSent" minOccurs="0"/>
                <xsd:element ref="ns4:Discussion_x0020_Needed_x003f_" minOccurs="0"/>
                <xsd:element ref="ns4:Witness" minOccurs="0"/>
                <xsd:element ref="ns5:Attorney" minOccurs="0"/>
                <xsd:element ref="ns4:Confidential_x003f_" minOccurs="0"/>
                <xsd:element ref="ns4:VP_x0020_Review" minOccurs="0"/>
                <xsd:element ref="ns4:Director_x0020_Review" minOccurs="0"/>
                <xsd:element ref="ns4:Reg_x0020_Lead_x0020_Review" minOccurs="0"/>
                <xsd:element ref="ns4:Legal_x0020_Review" minOccurs="0"/>
                <xsd:element ref="ns4:PC_x0020_Review" minOccurs="0"/>
                <xsd:element ref="ns6:Referenced_x0020_DRs" minOccurs="0"/>
                <xsd:element ref="ns5:External_x0020_Witness" minOccurs="0"/>
                <xsd:element ref="ns4:Reviewed_x0020_by_x0020_Director" minOccurs="0"/>
                <xsd:element ref="ns4:Data_x0020_Request_x0020_Question" minOccurs="0"/>
                <xsd:element ref="ns4:In_x0020_Evid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cb16c-0d7a-4201-87ab-0ab255e843f9" elementFormDefault="qualified">
    <xsd:import namespace="http://schemas.microsoft.com/office/2006/documentManagement/types"/>
    <xsd:import namespace="http://schemas.microsoft.com/office/infopath/2007/PartnerControls"/>
    <xsd:element name="Data_x0020_Request_x0020_Topic" ma:index="2" nillable="true" ma:displayName="Data Request Topic" ma:list="{9230c661-b953-4569-8a9a-b4b70460db10}" ma:internalName="Data_x0020_Request_x0020_Topic" ma:readOnly="false" ma:showField="Title" ma:web="d8ccb16c-0d7a-4201-87ab-0ab255e843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ntervenor" ma:index="3" nillable="true" ma:displayName="Intervenor" ma:internalName="Intervenor" ma:readOnly="false">
      <xsd:simpleType>
        <xsd:restriction base="dms:Text">
          <xsd:maxLength value="255"/>
        </xsd:restriction>
      </xsd:simpleType>
    </xsd:element>
    <xsd:element name="Party_x0020_Name" ma:index="4" nillable="true" ma:displayName="Party Name" ma:internalName="Party_x0020_Name" ma:readOnly="false">
      <xsd:simpleType>
        <xsd:restriction base="dms:Text">
          <xsd:maxLength value="255"/>
        </xsd:restriction>
      </xsd:simpleType>
    </xsd:element>
    <xsd:element name="Party_x0020_Set" ma:index="5" nillable="true" ma:displayName="Party Set" ma:internalName="Party_x0020_Set" ma:readOnly="false">
      <xsd:simpleType>
        <xsd:restriction base="dms:Text">
          <xsd:maxLength value="255"/>
        </xsd:restriction>
      </xsd:simpleType>
    </xsd:element>
    <xsd:element name="DR_x0020_Number" ma:index="6" nillable="true" ma:displayName="DR Number" ma:internalName="DR_x0020_Number" ma:readOnly="false">
      <xsd:simpleType>
        <xsd:restriction base="dms:Text">
          <xsd:maxLength value="255"/>
        </xsd:restriction>
      </xsd:simpleType>
    </xsd:element>
    <xsd:element name="Date_x0020_Received" ma:index="7" nillable="true" ma:displayName="Date Received" ma:format="DateOnly" ma:internalName="Date_x0020_Received" ma:readOnly="false">
      <xsd:simpleType>
        <xsd:restriction base="dms:DateTime"/>
      </xsd:simpleType>
    </xsd:element>
    <xsd:element name="Date_x0020_Response_x0020_Due_x0020_for_x0020_Review" ma:index="8" nillable="true" ma:displayName="Date Response Due for Review" ma:format="DateOnly" ma:internalName="Date_x0020_Response_x0020_Due_x0020_for_x0020_Review" ma:readOnly="false">
      <xsd:simpleType>
        <xsd:restriction base="dms:DateTime"/>
      </xsd:simpleType>
    </xsd:element>
    <xsd:element name="Review_x0020_Date" ma:index="9" nillable="true" ma:displayName="Review Date" ma:format="DateOnly" ma:internalName="Review_x0020_Date" ma:readOnly="false">
      <xsd:simpleType>
        <xsd:restriction base="dms:DateTime"/>
      </xsd:simpleType>
    </xsd:element>
    <xsd:element name="Served_x0020_Date" ma:index="10" nillable="true" ma:displayName="Served Date" ma:format="DateOnly" ma:internalName="Served_x0020_Date" ma:readOnly="false">
      <xsd:simpleType>
        <xsd:restriction base="dms:DateTime"/>
      </xsd:simpleType>
    </xsd:element>
    <xsd:element name="Regulatory_x0020_Partner" ma:index="11" nillable="true" ma:displayName="Regulatory Partner" ma:list="UserInfo" ma:SharePointGroup="0" ma:internalName="Regulatory_x0020_Partn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ponse_x0020_Preparer" ma:index="12" nillable="true" ma:displayName="Response Preparer" ma:list="UserInfo" ma:SharePointGroup="0" ma:internalName="Response_x0020_Prepar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ME_x0020_Approver" ma:index="13" nillable="true" ma:displayName="SME Approver" ma:list="UserInfo" ma:SharePointGroup="0" ma:internalName="SME_x0020_Approv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parts" ma:index="14" nillable="true" ma:displayName="Subparts" ma:internalName="Subparts">
      <xsd:simpleType>
        <xsd:restriction base="dms:Number"/>
      </xsd:simpleType>
    </xsd:element>
    <xsd:element name="Notes1" ma:index="15" nillable="true" ma:displayName="Notes" ma:internalName="Notes1">
      <xsd:simpleType>
        <xsd:restriction base="dms:Note">
          <xsd:maxLength value="255"/>
        </xsd:restriction>
      </xsd:simpleType>
    </xsd:element>
    <xsd:element name="Objection" ma:index="16" nillable="true" ma:displayName="Objection" ma:default="0" ma:internalName="Objection">
      <xsd:simpleType>
        <xsd:restriction base="dms:Boolean"/>
      </xsd:simpleType>
    </xsd:element>
    <xsd:element name="Internal_x0020_Confidential" ma:index="17" nillable="true" ma:displayName="Internal Confidential" ma:default="0" ma:internalName="Internal_x0020_Confidential">
      <xsd:simpleType>
        <xsd:restriction base="dms:Boolean"/>
      </xsd:simpleType>
    </xsd:element>
    <xsd:element name="Externally_x0020_Confidential" ma:index="18" nillable="true" ma:displayName="Externally Confidential" ma:default="0" ma:internalName="Externally_x0020_Confidential">
      <xsd:simpleType>
        <xsd:restriction base="dms:Boolean"/>
      </xsd:simpleType>
    </xsd:element>
    <xsd:element name="Highly_x0020_Confidential" ma:index="19" nillable="true" ma:displayName="Highly Confidential" ma:default="0" ma:internalName="Highly_x0020_Confidential">
      <xsd:simpleType>
        <xsd:restriction base="dms:Boolean"/>
      </xsd:simpleType>
    </xsd:element>
    <xsd:element name="Type_x0020_of_x0020_Document" ma:index="20" nillable="true" ma:displayName="Type of Document" ma:default="Data Request" ma:format="Dropdown" ma:internalName="Type_x0020_of_x0020_Document">
      <xsd:simpleType>
        <xsd:restriction base="dms:Choice">
          <xsd:enumeration value="Data Request"/>
          <xsd:enumeration value="Attachment"/>
        </xsd:restriction>
      </xsd:simpleType>
    </xsd:element>
    <xsd:element name="Review_x0020_Task_x0020_Status" ma:index="21" nillable="true" ma:displayName="Review Task Status" ma:format="Dropdown" ma:internalName="Review_x0020_Task_x0020_Status">
      <xsd:simpleType>
        <xsd:restriction base="dms:Choice">
          <xsd:enumeration value="Assigned"/>
          <xsd:enumeration value="Ready For SME Review"/>
          <xsd:enumeration value="Ready For Review"/>
          <xsd:enumeration value="In Progress"/>
          <xsd:enumeration value="Final"/>
          <xsd:enumeration value="Served"/>
        </xsd:restriction>
      </xsd:simpleType>
    </xsd:element>
    <xsd:element name="ReviewTasksSent" ma:index="22" nillable="true" ma:displayName="ReviewTasksSent" ma:default="0" ma:internalName="ReviewTasksSent">
      <xsd:simpleType>
        <xsd:restriction base="dms:Boolean"/>
      </xsd:simpleType>
    </xsd:element>
    <xsd:element name="VersionProperty" ma:index="23" nillable="true" ma:displayName="VersionProperty" ma:decimals="1" ma:internalName="VersionProperty">
      <xsd:simpleType>
        <xsd:restriction base="dms:Number"/>
      </xsd:simpleType>
    </xsd:element>
    <xsd:element name="DR_x0020_Lookup" ma:index="26" nillable="true" ma:displayName="DR Lookup" ma:list="{9230c661-b953-4569-8a9a-b4b70460db10}" ma:internalName="DR_x0020_Lookup" ma:showField="Title" ma:web="d8ccb16c-0d7a-4201-87ab-0ab255e843f9">
      <xsd:simpleType>
        <xsd:restriction base="dms:Lookup"/>
      </xsd:simpleType>
    </xsd:element>
    <xsd:element name="TaskUrl" ma:index="28" nillable="true" ma:displayName="TaskUrl" ma:internalName="TaskUrl">
      <xsd:simpleType>
        <xsd:restriction base="dms:Text">
          <xsd:maxLength value="255"/>
        </xsd:restriction>
      </xsd:simpleType>
    </xsd:element>
    <xsd:element name="Questions_x0020_Served" ma:index="36" nillable="true" ma:displayName="Questions Served" ma:decimals="0" ma:internalName="Questions_x0020_Served">
      <xsd:simpleType>
        <xsd:restriction base="dms:Number"/>
      </xsd:simpleType>
    </xsd:element>
    <xsd:element name="SMEReviewTaskSent" ma:index="38" nillable="true" ma:displayName="SMEReviewTaskSent" ma:default="0" ma:internalName="SMEReviewTaskSen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askDueDate" ma:index="27" nillable="true" ma:displayName="Due Date" ma:format="DateOnly" ma:internalName="TaskDu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6f583-72de-4335-8a95-24ea4199e384" elementFormDefault="qualified">
    <xsd:import namespace="http://schemas.microsoft.com/office/2006/documentManagement/types"/>
    <xsd:import namespace="http://schemas.microsoft.com/office/infopath/2007/PartnerControls"/>
    <xsd:element name="Discussion_x0020_Needed_x003f_" ma:index="39" nillable="true" ma:displayName="Discussion Needed?" ma:default="0" ma:description="If you feel this question requires group discussion, please check the box." ma:internalName="Discussion_x0020_Needed_x003f_" ma:readOnly="false">
      <xsd:simpleType>
        <xsd:restriction base="dms:Boolean"/>
      </xsd:simpleType>
    </xsd:element>
    <xsd:element name="Witness" ma:index="40" nillable="true" ma:displayName="Witness" ma:description="Select the appropriate witness from the drop-down list." ma:format="Dropdown" ma:internalName="Witness" ma:readOnly="false">
      <xsd:simpleType>
        <xsd:restriction base="dms:Choice">
          <xsd:enumeration value="Amdor"/>
          <xsd:enumeration value="Bassell-Herman"/>
          <xsd:enumeration value="Coleman"/>
          <xsd:enumeration value="Frost"/>
          <xsd:enumeration value="Hyatt"/>
          <xsd:enumeration value="Johnson"/>
          <xsd:enumeration value="Klapperich"/>
          <xsd:enumeration value="McKenzie"/>
          <xsd:enumeration value="Rosenbaum"/>
          <xsd:enumeration value="Welte"/>
        </xsd:restriction>
      </xsd:simpleType>
    </xsd:element>
    <xsd:element name="Confidential_x003f_" ma:index="42" nillable="true" ma:displayName="Confidential?" ma:default="0" ma:description="Check the box if the document is considered confidential?" ma:internalName="Confidential_x003f_" ma:readOnly="false">
      <xsd:simpleType>
        <xsd:restriction base="dms:Boolean"/>
      </xsd:simpleType>
    </xsd:element>
    <xsd:element name="VP_x0020_Review" ma:index="44" nillable="true" ma:displayName="VP Review" ma:default="0" ma:internalName="VP_x0020_Review">
      <xsd:simpleType>
        <xsd:restriction base="dms:Boolean"/>
      </xsd:simpleType>
    </xsd:element>
    <xsd:element name="Director_x0020_Review" ma:index="45" nillable="true" ma:displayName="Director Review" ma:default="0" ma:internalName="Director_x0020_Review">
      <xsd:simpleType>
        <xsd:restriction base="dms:Boolean"/>
      </xsd:simpleType>
    </xsd:element>
    <xsd:element name="Reg_x0020_Lead_x0020_Review" ma:index="46" nillable="true" ma:displayName="Reg Lead Review" ma:default="0" ma:internalName="Reg_x0020_Lead_x0020_Review">
      <xsd:simpleType>
        <xsd:restriction base="dms:Boolean"/>
      </xsd:simpleType>
    </xsd:element>
    <xsd:element name="Legal_x0020_Review" ma:index="47" nillable="true" ma:displayName="Legal Review" ma:default="0" ma:internalName="Legal_x0020_Review">
      <xsd:simpleType>
        <xsd:restriction base="dms:Boolean"/>
      </xsd:simpleType>
    </xsd:element>
    <xsd:element name="PC_x0020_Review" ma:index="48" nillable="true" ma:displayName="PC Review" ma:default="0" ma:internalName="PC_x0020_Review">
      <xsd:simpleType>
        <xsd:restriction base="dms:Boolean"/>
      </xsd:simpleType>
    </xsd:element>
    <xsd:element name="Reviewed_x0020_by_x0020_Director" ma:index="51" nillable="true" ma:displayName="Reviewed by Director" ma:default="No" ma:format="RadioButtons" ma:internalName="Reviewed_x0020_by_x0020_Director">
      <xsd:simpleType>
        <xsd:restriction base="dms:Choice">
          <xsd:enumeration value="No"/>
          <xsd:enumeration value="Yes"/>
        </xsd:restriction>
      </xsd:simpleType>
    </xsd:element>
    <xsd:element name="Data_x0020_Request_x0020_Question" ma:index="58" nillable="true" ma:displayName="Data Request Question Text" ma:internalName="Data_x0020_Request_x0020_Question">
      <xsd:simpleType>
        <xsd:restriction base="dms:Note"/>
      </xsd:simpleType>
    </xsd:element>
    <xsd:element name="In_x0020_Evidence" ma:index="59" nillable="true" ma:displayName="In Evidence" ma:default="0" ma:internalName="In_x0020_Evidenc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8e934-6254-406b-9834-83cdeade7362" elementFormDefault="qualified">
    <xsd:import namespace="http://schemas.microsoft.com/office/2006/documentManagement/types"/>
    <xsd:import namespace="http://schemas.microsoft.com/office/infopath/2007/PartnerControls"/>
    <xsd:element name="Attorney" ma:index="41" nillable="true" ma:displayName="Attorney" ma:default="Adam Buhrman" ma:description="Attorney Assigned to that Witness" ma:internalName="Attorne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am Buhrman"/>
                    <xsd:enumeration value="Douglas Law"/>
                  </xsd:restriction>
                </xsd:simpleType>
              </xsd:element>
            </xsd:sequence>
          </xsd:extension>
        </xsd:complexContent>
      </xsd:complexType>
    </xsd:element>
    <xsd:element name="External_x0020_Witness" ma:index="50" nillable="true" ma:displayName="External Witness" ma:description="The name of any external witnesses" ma:internalName="External_x0020_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4b8fe-e419-4f8a-8b33-48f1e8cac3f4" elementFormDefault="qualified">
    <xsd:import namespace="http://schemas.microsoft.com/office/2006/documentManagement/types"/>
    <xsd:import namespace="http://schemas.microsoft.com/office/infopath/2007/PartnerControls"/>
    <xsd:element name="Referenced_x0020_DRs" ma:index="49" nillable="true" ma:displayName="Referenced DRs" ma:internalName="Referenced_x0020_D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1" ma:displayName="Content Type"/>
        <xsd:element ref="dc:title" minOccurs="0" maxOccurs="1" ma:index="1" ma:displayName="Title"/>
        <xsd:element ref="dc:subject" minOccurs="0" maxOccurs="1" ma:index="43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ty_x0020_Set xmlns="d8ccb16c-0d7a-4201-87ab-0ab255e843f9">001</Party_x0020_Set>
    <Witness xmlns="8c16f583-72de-4335-8a95-24ea4199e384">Johnson</Witness>
    <Intervenor xmlns="d8ccb16c-0d7a-4201-87ab-0ab255e843f9" xsi:nil="true"/>
    <Regulatory_x0020_Partner xmlns="d8ccb16c-0d7a-4201-87ab-0ab255e843f9">
      <UserInfo>
        <DisplayName/>
        <AccountId xsi:nil="true"/>
        <AccountType/>
      </UserInfo>
    </Regulatory_x0020_Partner>
    <SME_x0020_Approver xmlns="d8ccb16c-0d7a-4201-87ab-0ab255e843f9">
      <UserInfo>
        <DisplayName/>
        <AccountId xsi:nil="true"/>
        <AccountType/>
      </UserInfo>
    </SME_x0020_Approver>
    <Internal_x0020_Confidential xmlns="d8ccb16c-0d7a-4201-87ab-0ab255e843f9">false</Internal_x0020_Confidential>
    <DR_x0020_Lookup xmlns="d8ccb16c-0d7a-4201-87ab-0ab255e843f9" xsi:nil="true"/>
    <Type_x0020_of_x0020_Document xmlns="d8ccb16c-0d7a-4201-87ab-0ab255e843f9">Data Request</Type_x0020_of_x0020_Document>
    <TaskDueDate xmlns="http://schemas.microsoft.com/sharepoint/v3/fields" xsi:nil="true"/>
    <TaskUrl xmlns="d8ccb16c-0d7a-4201-87ab-0ab255e843f9" xsi:nil="true"/>
    <SMEReviewTaskSent xmlns="d8ccb16c-0d7a-4201-87ab-0ab255e843f9">false</SMEReviewTaskSent>
    <Discussion_x0020_Needed_x003f_ xmlns="8c16f583-72de-4335-8a95-24ea4199e384">false</Discussion_x0020_Needed_x003f_>
    <Confidential_x003f_ xmlns="8c16f583-72de-4335-8a95-24ea4199e384">false</Confidential_x003f_>
    <VP_x0020_Review xmlns="8c16f583-72de-4335-8a95-24ea4199e384">false</VP_x0020_Review>
    <In_x0020_Evidence xmlns="8c16f583-72de-4335-8a95-24ea4199e384">false</In_x0020_Evidence>
    <Reviewed_x0020_by_x0020_Director xmlns="8c16f583-72de-4335-8a95-24ea4199e384">No</Reviewed_x0020_by_x0020_Director>
    <Data_x0020_Request_x0020_Topic xmlns="d8ccb16c-0d7a-4201-87ab-0ab255e843f9"/>
    <Response_x0020_Preparer xmlns="d8ccb16c-0d7a-4201-87ab-0ab255e843f9">
      <UserInfo>
        <DisplayName/>
        <AccountId xsi:nil="true"/>
        <AccountType/>
      </UserInfo>
    </Response_x0020_Preparer>
    <Notes1 xmlns="d8ccb16c-0d7a-4201-87ab-0ab255e843f9" xsi:nil="true"/>
    <Externally_x0020_Confidential xmlns="d8ccb16c-0d7a-4201-87ab-0ab255e843f9">false</Externally_x0020_Confidential>
    <VersionProperty xmlns="d8ccb16c-0d7a-4201-87ab-0ab255e843f9" xsi:nil="true"/>
    <DR_x0020_Number xmlns="d8ccb16c-0d7a-4201-87ab-0ab255e843f9">5-08a</DR_x0020_Number>
    <Attorney xmlns="0978e934-6254-406b-9834-83cdeade7362"/>
    <ReviewTasksSent xmlns="d8ccb16c-0d7a-4201-87ab-0ab255e843f9">false</ReviewTasksSent>
    <Reg_x0020_Lead_x0020_Review xmlns="8c16f583-72de-4335-8a95-24ea4199e384">false</Reg_x0020_Lead_x0020_Review>
    <Objection xmlns="d8ccb16c-0d7a-4201-87ab-0ab255e843f9">false</Objection>
    <Review_x0020_Task_x0020_Status xmlns="d8ccb16c-0d7a-4201-87ab-0ab255e843f9">Final</Review_x0020_Task_x0020_Status>
    <Review_x0020_Date xmlns="d8ccb16c-0d7a-4201-87ab-0ab255e843f9" xsi:nil="true"/>
    <Highly_x0020_Confidential xmlns="d8ccb16c-0d7a-4201-87ab-0ab255e843f9">false</Highly_x0020_Confidential>
    <Data_x0020_Request_x0020_Question xmlns="8c16f583-72de-4335-8a95-24ea4199e384" xsi:nil="true"/>
    <Party_x0020_Name xmlns="d8ccb16c-0d7a-4201-87ab-0ab255e843f9">ARPA</Party_x0020_Name>
    <Date_x0020_Received xmlns="d8ccb16c-0d7a-4201-87ab-0ab255e843f9" xsi:nil="true"/>
    <Date_x0020_Response_x0020_Due_x0020_for_x0020_Review xmlns="d8ccb16c-0d7a-4201-87ab-0ab255e843f9" xsi:nil="true"/>
    <Subparts xmlns="d8ccb16c-0d7a-4201-87ab-0ab255e843f9" xsi:nil="true"/>
    <Questions_x0020_Served xmlns="d8ccb16c-0d7a-4201-87ab-0ab255e843f9" xsi:nil="true"/>
    <PC_x0020_Review xmlns="8c16f583-72de-4335-8a95-24ea4199e384">false</PC_x0020_Review>
    <External_x0020_Witness xmlns="0978e934-6254-406b-9834-83cdeade7362" xsi:nil="true"/>
    <Served_x0020_Date xmlns="d8ccb16c-0d7a-4201-87ab-0ab255e843f9" xsi:nil="true"/>
    <Director_x0020_Review xmlns="8c16f583-72de-4335-8a95-24ea4199e384">false</Director_x0020_Review>
    <Referenced_x0020_DRs xmlns="a9e4b8fe-e419-4f8a-8b33-48f1e8cac3f4" xsi:nil="true"/>
    <Legal_x0020_Review xmlns="8c16f583-72de-4335-8a95-24ea4199e384">false</Legal_x0020_Review>
  </documentManagement>
</p:properties>
</file>

<file path=customXml/itemProps1.xml><?xml version="1.0" encoding="utf-8"?>
<ds:datastoreItem xmlns:ds="http://schemas.openxmlformats.org/officeDocument/2006/customXml" ds:itemID="{69564231-B93E-4FB1-8FA4-26B6B4684E08}"/>
</file>

<file path=customXml/itemProps2.xml><?xml version="1.0" encoding="utf-8"?>
<ds:datastoreItem xmlns:ds="http://schemas.openxmlformats.org/officeDocument/2006/customXml" ds:itemID="{5C08BECA-74DB-4896-A968-65544AEF6084}"/>
</file>

<file path=customXml/itemProps3.xml><?xml version="1.0" encoding="utf-8"?>
<ds:datastoreItem xmlns:ds="http://schemas.openxmlformats.org/officeDocument/2006/customXml" ds:itemID="{3998D472-A5D9-476D-9D40-EC5538A187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A4-Rate Base</vt:lpstr>
      <vt:lpstr>PIS</vt:lpstr>
      <vt:lpstr>PIS Pivot</vt:lpstr>
      <vt:lpstr>PIS Data</vt:lpstr>
      <vt:lpstr>Pending Retirements</vt:lpstr>
      <vt:lpstr>Balance Sheet - Jan - Dec 2021</vt:lpstr>
      <vt:lpstr>Balance Sheet - Jan - Dec 2022</vt:lpstr>
      <vt:lpstr>BS - Jan - Dec _ 99200</vt:lpstr>
      <vt:lpstr>Accum</vt:lpstr>
      <vt:lpstr>Accum Pivot</vt:lpstr>
      <vt:lpstr>Accum Data</vt:lpstr>
      <vt:lpstr>Materials and Supplies</vt:lpstr>
      <vt:lpstr>Adjustments to Rate 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FRT Source Documents</dc:subject>
  <dc:creator>McHugh, Ray</dc:creator>
  <cp:lastModifiedBy>Doran, Andrea</cp:lastModifiedBy>
  <cp:lastPrinted>2023-09-08T14:50:58Z</cp:lastPrinted>
  <dcterms:created xsi:type="dcterms:W3CDTF">2023-04-18T17:41:11Z</dcterms:created>
  <dcterms:modified xsi:type="dcterms:W3CDTF">2023-09-08T14:51:09Z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0x0101006F446FD6AED4774CAB25A978CF67113A005D1E7029CF59EB4D83D4BFF5B2C8F701</vt:lpwstr>
  </property>
</Properties>
</file>