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N:\BHSC\BHC\Rates\BHE COE\FERC\Transmission Formula Rate\REVISED 2022 and 2023 True-Ups\Revised 2023 COE True-Up\"/>
    </mc:Choice>
  </mc:AlternateContent>
  <xr:revisionPtr revIDLastSave="0" documentId="13_ncr:1_{35D7A647-5556-48AD-858B-A2D6A8CAA46A}" xr6:coauthVersionLast="47" xr6:coauthVersionMax="47" xr10:uidLastSave="{00000000-0000-0000-0000-000000000000}"/>
  <bookViews>
    <workbookView xWindow="-108" yWindow="-108" windowWidth="23256" windowHeight="13896" tabRatio="890" firstSheet="6" activeTab="13" xr2:uid="{2273794D-E812-4364-8986-EFD10A9A221F}"/>
  </bookViews>
  <sheets>
    <sheet name="Table of Contents" sheetId="22" r:id="rId1"/>
    <sheet name="Act Att-H" sheetId="9" r:id="rId2"/>
    <sheet name="A1-RevCred" sheetId="4" r:id="rId3"/>
    <sheet name="A2-A&amp;G" sheetId="16" r:id="rId4"/>
    <sheet name="A3-ADIT" sheetId="15" r:id="rId5"/>
    <sheet name="A3.1-EDIT-DDIT" sheetId="41" r:id="rId6"/>
    <sheet name="A3.2-EDIT-DDIT.dtl" sheetId="42" r:id="rId7"/>
    <sheet name="A4-Rate Base" sheetId="23" r:id="rId8"/>
    <sheet name="A5-Depr" sheetId="3" r:id="rId9"/>
    <sheet name="A6-Divisor" sheetId="20" r:id="rId10"/>
    <sheet name="A7-IncentPlant" sheetId="29" r:id="rId11"/>
    <sheet name="A8-Prepmts" sheetId="39" r:id="rId12"/>
    <sheet name="TU-TrueUp" sheetId="21" r:id="rId13"/>
    <sheet name="Proj Att-H" sheetId="25" r:id="rId14"/>
    <sheet name="P1-Trans Plant" sheetId="26" r:id="rId15"/>
    <sheet name="P2-Exp. &amp; Rev. Credits" sheetId="27" r:id="rId16"/>
    <sheet name="P3-Divisor" sheetId="28" r:id="rId17"/>
    <sheet name="P4-IncentPlant" sheetId="30" r:id="rId18"/>
    <sheet name="P5-ADIT" sheetId="37" r:id="rId19"/>
    <sheet name="Schedule 1" sheetId="31" r:id="rId20"/>
  </sheets>
  <definedNames>
    <definedName name="__123Graph_A" localSheetId="11" hidden="1">#REF!</definedName>
    <definedName name="__123Graph_A" localSheetId="18" hidden="1">#REF!</definedName>
    <definedName name="__123Graph_A" hidden="1">#REF!</definedName>
    <definedName name="__123Graph_A1991" localSheetId="11" hidden="1">#REF!</definedName>
    <definedName name="__123Graph_A1991" localSheetId="18" hidden="1">#REF!</definedName>
    <definedName name="__123Graph_A1991" hidden="1">#REF!</definedName>
    <definedName name="__123Graph_A1992" localSheetId="11" hidden="1">#REF!</definedName>
    <definedName name="__123Graph_A1992" localSheetId="18" hidden="1">#REF!</definedName>
    <definedName name="__123Graph_A1992" hidden="1">#REF!</definedName>
    <definedName name="__123Graph_A1993" localSheetId="11" hidden="1">#REF!</definedName>
    <definedName name="__123Graph_A1993" localSheetId="18" hidden="1">#REF!</definedName>
    <definedName name="__123Graph_A1993" hidden="1">#REF!</definedName>
    <definedName name="__123Graph_A1994" localSheetId="11" hidden="1">#REF!</definedName>
    <definedName name="__123Graph_A1994" localSheetId="18" hidden="1">#REF!</definedName>
    <definedName name="__123Graph_A1994" hidden="1">#REF!</definedName>
    <definedName name="__123Graph_A1995" localSheetId="11" hidden="1">#REF!</definedName>
    <definedName name="__123Graph_A1995" localSheetId="18" hidden="1">#REF!</definedName>
    <definedName name="__123Graph_A1995" hidden="1">#REF!</definedName>
    <definedName name="__123Graph_A1996" localSheetId="11" hidden="1">#REF!</definedName>
    <definedName name="__123Graph_A1996" localSheetId="18" hidden="1">#REF!</definedName>
    <definedName name="__123Graph_A1996" hidden="1">#REF!</definedName>
    <definedName name="__123Graph_ABAR" localSheetId="11" hidden="1">#REF!</definedName>
    <definedName name="__123Graph_ABAR" localSheetId="18" hidden="1">#REF!</definedName>
    <definedName name="__123Graph_ABAR" hidden="1">#REF!</definedName>
    <definedName name="__123Graph_B" localSheetId="11" hidden="1">#REF!</definedName>
    <definedName name="__123Graph_B" localSheetId="18" hidden="1">#REF!</definedName>
    <definedName name="__123Graph_B" hidden="1">#REF!</definedName>
    <definedName name="__123Graph_B1991" localSheetId="11" hidden="1">#REF!</definedName>
    <definedName name="__123Graph_B1991" localSheetId="18" hidden="1">#REF!</definedName>
    <definedName name="__123Graph_B1991" hidden="1">#REF!</definedName>
    <definedName name="__123Graph_B1992" localSheetId="11" hidden="1">#REF!</definedName>
    <definedName name="__123Graph_B1992" localSheetId="18" hidden="1">#REF!</definedName>
    <definedName name="__123Graph_B1992" hidden="1">#REF!</definedName>
    <definedName name="__123Graph_B1993" localSheetId="11" hidden="1">#REF!</definedName>
    <definedName name="__123Graph_B1993" localSheetId="18" hidden="1">#REF!</definedName>
    <definedName name="__123Graph_B1993" hidden="1">#REF!</definedName>
    <definedName name="__123Graph_B1994" localSheetId="11" hidden="1">#REF!</definedName>
    <definedName name="__123Graph_B1994" localSheetId="18" hidden="1">#REF!</definedName>
    <definedName name="__123Graph_B1994" hidden="1">#REF!</definedName>
    <definedName name="__123Graph_B1995" localSheetId="11" hidden="1">#REF!</definedName>
    <definedName name="__123Graph_B1995" localSheetId="18" hidden="1">#REF!</definedName>
    <definedName name="__123Graph_B1995" hidden="1">#REF!</definedName>
    <definedName name="__123Graph_B1996" localSheetId="11" hidden="1">#REF!</definedName>
    <definedName name="__123Graph_B1996" localSheetId="18" hidden="1">#REF!</definedName>
    <definedName name="__123Graph_B1996" hidden="1">#REF!</definedName>
    <definedName name="__123Graph_BBAR" localSheetId="11" hidden="1">#REF!</definedName>
    <definedName name="__123Graph_BBAR" localSheetId="18" hidden="1">#REF!</definedName>
    <definedName name="__123Graph_BBAR" hidden="1">#REF!</definedName>
    <definedName name="__123Graph_CBAR" localSheetId="11" hidden="1">#REF!</definedName>
    <definedName name="__123Graph_CBAR" localSheetId="18" hidden="1">#REF!</definedName>
    <definedName name="__123Graph_CBAR" hidden="1">#REF!</definedName>
    <definedName name="__123Graph_DBAR" localSheetId="11" hidden="1">#REF!</definedName>
    <definedName name="__123Graph_DBAR" localSheetId="18" hidden="1">#REF!</definedName>
    <definedName name="__123Graph_DBAR" hidden="1">#REF!</definedName>
    <definedName name="__123Graph_EBAR" localSheetId="11" hidden="1">#REF!</definedName>
    <definedName name="__123Graph_EBAR" localSheetId="18" hidden="1">#REF!</definedName>
    <definedName name="__123Graph_EBAR" hidden="1">#REF!</definedName>
    <definedName name="__123Graph_FBAR" localSheetId="11" hidden="1">#REF!</definedName>
    <definedName name="__123Graph_FBAR" localSheetId="18" hidden="1">#REF!</definedName>
    <definedName name="__123Graph_FBAR" hidden="1">#REF!</definedName>
    <definedName name="__123Graph_X" localSheetId="11" hidden="1">#REF!</definedName>
    <definedName name="__123Graph_X" localSheetId="18" hidden="1">#REF!</definedName>
    <definedName name="__123Graph_X" hidden="1">#REF!</definedName>
    <definedName name="__123Graph_X1991" localSheetId="11" hidden="1">#REF!</definedName>
    <definedName name="__123Graph_X1991" localSheetId="18" hidden="1">#REF!</definedName>
    <definedName name="__123Graph_X1991" hidden="1">#REF!</definedName>
    <definedName name="__123Graph_X1992" localSheetId="11" hidden="1">#REF!</definedName>
    <definedName name="__123Graph_X1992" localSheetId="18" hidden="1">#REF!</definedName>
    <definedName name="__123Graph_X1992" hidden="1">#REF!</definedName>
    <definedName name="__123Graph_X1993" localSheetId="11" hidden="1">#REF!</definedName>
    <definedName name="__123Graph_X1993" localSheetId="18" hidden="1">#REF!</definedName>
    <definedName name="__123Graph_X1993" hidden="1">#REF!</definedName>
    <definedName name="__123Graph_X1994" localSheetId="11" hidden="1">#REF!</definedName>
    <definedName name="__123Graph_X1994" localSheetId="18" hidden="1">#REF!</definedName>
    <definedName name="__123Graph_X1994" hidden="1">#REF!</definedName>
    <definedName name="__123Graph_X1995" localSheetId="11" hidden="1">#REF!</definedName>
    <definedName name="__123Graph_X1995" localSheetId="18" hidden="1">#REF!</definedName>
    <definedName name="__123Graph_X1995" hidden="1">#REF!</definedName>
    <definedName name="__123Graph_X1996" localSheetId="11" hidden="1">#REF!</definedName>
    <definedName name="__123Graph_X1996" localSheetId="18" hidden="1">#REF!</definedName>
    <definedName name="__123Graph_X1996" hidden="1">#REF!</definedName>
    <definedName name="__tet12" localSheetId="18" hidden="1">{"assumptions",#N/A,FALSE,"Scenario 1";"valuation",#N/A,FALSE,"Scenario 1"}</definedName>
    <definedName name="__tet12" hidden="1">{"assumptions",#N/A,FALSE,"Scenario 1";"valuation",#N/A,FALSE,"Scenario 1"}</definedName>
    <definedName name="__tet5" localSheetId="18" hidden="1">{"assumptions",#N/A,FALSE,"Scenario 1";"valuation",#N/A,FALSE,"Scenario 1"}</definedName>
    <definedName name="__tet5" hidden="1">{"assumptions",#N/A,FALSE,"Scenario 1";"valuation",#N/A,FALSE,"Scenario 1"}</definedName>
    <definedName name="_FEB01" localSheetId="18" hidden="1">{#N/A,#N/A,FALSE,"EMPPAY"}</definedName>
    <definedName name="_FEB01" hidden="1">{#N/A,#N/A,FALSE,"EMPPAY"}</definedName>
    <definedName name="_Fill" localSheetId="11" hidden="1">#REF!</definedName>
    <definedName name="_Fill" hidden="1">#REF!</definedName>
    <definedName name="_JAN01" localSheetId="18" hidden="1">{#N/A,#N/A,FALSE,"EMPPAY"}</definedName>
    <definedName name="_JAN01" hidden="1">{#N/A,#N/A,FALSE,"EMPPAY"}</definedName>
    <definedName name="_JAN2001" localSheetId="18" hidden="1">{#N/A,#N/A,FALSE,"EMPPAY"}</definedName>
    <definedName name="_JAN2001" hidden="1">{#N/A,#N/A,FALSE,"EMPPAY"}</definedName>
    <definedName name="_Key1" localSheetId="11" hidden="1">#REF!</definedName>
    <definedName name="_Key1" hidden="1">#REF!</definedName>
    <definedName name="_Order1" hidden="1">255</definedName>
    <definedName name="_Order2" hidden="1">255</definedName>
    <definedName name="_Sort" localSheetId="9" hidden="1">#REF!</definedName>
    <definedName name="_Sort" localSheetId="10" hidden="1">#REF!</definedName>
    <definedName name="_Sort" localSheetId="11" hidden="1">#REF!</definedName>
    <definedName name="_Sort" localSheetId="17" hidden="1">#REF!</definedName>
    <definedName name="_Sort" localSheetId="18" hidden="1">#REF!</definedName>
    <definedName name="_Sort" localSheetId="13" hidden="1">#REF!</definedName>
    <definedName name="_Sort" hidden="1">#REF!</definedName>
    <definedName name="_sort2" localSheetId="9" hidden="1">#REF!</definedName>
    <definedName name="_sort2" localSheetId="10" hidden="1">#REF!</definedName>
    <definedName name="_sort2" localSheetId="11" hidden="1">#REF!</definedName>
    <definedName name="_sort2" localSheetId="17" hidden="1">#REF!</definedName>
    <definedName name="_sort2" localSheetId="18" hidden="1">#REF!</definedName>
    <definedName name="_sort2" localSheetId="13" hidden="1">#REF!</definedName>
    <definedName name="_sort2" hidden="1">#REF!</definedName>
    <definedName name="_tet12" localSheetId="18" hidden="1">{"assumptions",#N/A,FALSE,"Scenario 1";"valuation",#N/A,FALSE,"Scenario 1"}</definedName>
    <definedName name="_tet12" hidden="1">{"assumptions",#N/A,FALSE,"Scenario 1";"valuation",#N/A,FALSE,"Scenario 1"}</definedName>
    <definedName name="_tet5" localSheetId="18" hidden="1">{"assumptions",#N/A,FALSE,"Scenario 1";"valuation",#N/A,FALSE,"Scenario 1"}</definedName>
    <definedName name="_tet5" hidden="1">{"assumptions",#N/A,FALSE,"Scenario 1";"valuation",#N/A,FALSE,"Scenario 1"}</definedName>
    <definedName name="a" localSheetId="18" hidden="1">{"LBO Summary",#N/A,FALSE,"Summary"}</definedName>
    <definedName name="a" hidden="1">{"LBO Summary",#N/A,FALSE,"Summary"}</definedName>
    <definedName name="Alignment" hidden="1">"a1"</definedName>
    <definedName name="AS2DocOpenMode" hidden="1">"AS2DocumentEdit"</definedName>
    <definedName name="CE">'Act Att-H'!$G$57</definedName>
    <definedName name="ClientMatter" hidden="1">"b1"</definedName>
    <definedName name="DA">1</definedName>
    <definedName name="Date" hidden="1">"b1"</definedName>
    <definedName name="DEC00" localSheetId="18" hidden="1">{#N/A,#N/A,FALSE,"ARREC"}</definedName>
    <definedName name="DEC00" hidden="1">{#N/A,#N/A,FALSE,"ARREC"}</definedName>
    <definedName name="DocumentName" hidden="1">"b1"</definedName>
    <definedName name="DocumentNum" hidden="1">"a1"</definedName>
    <definedName name="FEB00" localSheetId="18" hidden="1">{#N/A,#N/A,FALSE,"ARREC"}</definedName>
    <definedName name="FEB00" hidden="1">{#N/A,#N/A,FALSE,"ARREC"}</definedName>
    <definedName name="GP">'Act Att-H'!$G$50</definedName>
    <definedName name="Library" hidden="1">"a1"</definedName>
    <definedName name="MAY" localSheetId="18" hidden="1">{#N/A,#N/A,FALSE,"EMPPAY"}</definedName>
    <definedName name="MAY" hidden="1">{#N/A,#N/A,FALSE,"EMPPAY"}</definedName>
    <definedName name="NA">0</definedName>
    <definedName name="NP">'Act Att-H'!$G$66</definedName>
    <definedName name="_xlnm.Print_Area" localSheetId="2">'A1-RevCred'!$A$1:$K$64</definedName>
    <definedName name="_xlnm.Print_Area" localSheetId="3">'A2-A&amp;G'!$A$1:$D$38</definedName>
    <definedName name="_xlnm.Print_Area" localSheetId="6">'A3.2-EDIT-DDIT.dtl'!$A$1:$I$58</definedName>
    <definedName name="_xlnm.Print_Area" localSheetId="4">'A3-ADIT'!$A$1:$F$57</definedName>
    <definedName name="_xlnm.Print_Area" localSheetId="10">'A7-IncentPlant'!$A$1:$O$48</definedName>
    <definedName name="_xlnm.Print_Area" localSheetId="11">'A8-Prepmts'!$A$1:$H$23</definedName>
    <definedName name="_xlnm.Print_Area" localSheetId="1">'Act Att-H'!$A$1:$K$254</definedName>
    <definedName name="_xlnm.Print_Area" localSheetId="14">'P1-Trans Plant'!$A$1:$AA$49</definedName>
    <definedName name="_xlnm.Print_Area" localSheetId="18">'P5-ADIT'!$A$1:$J$175</definedName>
    <definedName name="_xlnm.Print_Area" localSheetId="13">'Proj Att-H'!$A$1:$K$245</definedName>
    <definedName name="_xlnm.Print_Area" localSheetId="12">'TU-TrueUp'!$A$1:$I$46</definedName>
    <definedName name="_xlnm.Print_Titles" localSheetId="14">'P1-Trans Plant'!$A:$F</definedName>
    <definedName name="TE">'Act Att-H'!$I$184</definedName>
    <definedName name="test" localSheetId="18" hidden="1">{"LBO Summary",#N/A,FALSE,"Summary"}</definedName>
    <definedName name="test" hidden="1">{"LBO Summary",#N/A,FALSE,"Summary"}</definedName>
    <definedName name="test1" localSheetId="18"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18"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18" hidden="1">{"LBO Summary",#N/A,FALSE,"Summary"}</definedName>
    <definedName name="test11" hidden="1">{"LBO Summary",#N/A,FALSE,"Summary"}</definedName>
    <definedName name="test12" localSheetId="18" hidden="1">{"assumptions",#N/A,FALSE,"Scenario 1";"valuation",#N/A,FALSE,"Scenario 1"}</definedName>
    <definedName name="test12" hidden="1">{"assumptions",#N/A,FALSE,"Scenario 1";"valuation",#N/A,FALSE,"Scenario 1"}</definedName>
    <definedName name="test13" localSheetId="18" hidden="1">{"LBO Summary",#N/A,FALSE,"Summary"}</definedName>
    <definedName name="test13" hidden="1">{"LBO Summary",#N/A,FALSE,"Summary"}</definedName>
    <definedName name="test14" localSheetId="18"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18"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18"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18" hidden="1">{"LBO Summary",#N/A,FALSE,"Summary"}</definedName>
    <definedName name="test2" hidden="1">{"LBO Summary",#N/A,FALSE,"Summary"}</definedName>
    <definedName name="test4" localSheetId="18" hidden="1">{"assumptions",#N/A,FALSE,"Scenario 1";"valuation",#N/A,FALSE,"Scenario 1"}</definedName>
    <definedName name="test4" hidden="1">{"assumptions",#N/A,FALSE,"Scenario 1";"valuation",#N/A,FALSE,"Scenario 1"}</definedName>
    <definedName name="test6" localSheetId="18" hidden="1">{"LBO Summary",#N/A,FALSE,"Summary"}</definedName>
    <definedName name="test6" hidden="1">{"LBO Summary",#N/A,FALSE,"Summary"}</definedName>
    <definedName name="TextRefCopyRangeCount" hidden="1">1</definedName>
    <definedName name="Time" hidden="1">"b1"</definedName>
    <definedName name="TP">'Act Att-H'!$I$175</definedName>
    <definedName name="Typist" hidden="1">"b1"</definedName>
    <definedName name="Value" localSheetId="18" hidden="1">{"assumptions",#N/A,FALSE,"Scenario 1";"valuation",#N/A,FALSE,"Scenario 1"}</definedName>
    <definedName name="Value" hidden="1">{"assumptions",#N/A,FALSE,"Scenario 1";"valuation",#N/A,FALSE,"Scenario 1"}</definedName>
    <definedName name="Version" hidden="1">"a1"</definedName>
    <definedName name="WCLTD">'Act Att-H'!$I$203</definedName>
    <definedName name="wrn.ARREC." localSheetId="18" hidden="1">{#N/A,#N/A,FALSE,"ARREC"}</definedName>
    <definedName name="wrn.ARREC." hidden="1">{#N/A,#N/A,FALSE,"ARREC"}</definedName>
    <definedName name="wrn.CP._.Demand." localSheetId="18" hidden="1">{"Retail CP pg1",#N/A,FALSE,"FACTOR3";"Retail CP pg2",#N/A,FALSE,"FACTOR3";"Retail CP pg3",#N/A,FALSE,"FACTOR3"}</definedName>
    <definedName name="wrn.CP._.Demand." hidden="1">{"Retail CP pg1",#N/A,FALSE,"FACTOR3";"Retail CP pg2",#N/A,FALSE,"FACTOR3";"Retail CP pg3",#N/A,FALSE,"FACTOR3"}</definedName>
    <definedName name="wrn.CP._.Demand2." localSheetId="18" hidden="1">{"Retail CP pg1",#N/A,FALSE,"FACTOR3";"Retail CP pg2",#N/A,FALSE,"FACTOR3";"Retail CP pg3",#N/A,FALSE,"FACTOR3"}</definedName>
    <definedName name="wrn.CP._.Demand2." hidden="1">{"Retail CP pg1",#N/A,FALSE,"FACTOR3";"Retail CP pg2",#N/A,FALSE,"FACTOR3";"Retail CP pg3",#N/A,FALSE,"FACTOR3"}</definedName>
    <definedName name="wrn.EMPPAY." localSheetId="18" hidden="1">{#N/A,#N/A,FALSE,"EMPPAY"}</definedName>
    <definedName name="wrn.EMPPAY." hidden="1">{#N/A,#N/A,FALSE,"EMPPAY"}</definedName>
    <definedName name="wrn.IPO._.Valuation." localSheetId="18" hidden="1">{"assumptions",#N/A,FALSE,"Scenario 1";"valuation",#N/A,FALSE,"Scenario 1"}</definedName>
    <definedName name="wrn.IPO._.Valuation." hidden="1">{"assumptions",#N/A,FALSE,"Scenario 1";"valuation",#N/A,FALSE,"Scenario 1"}</definedName>
    <definedName name="wrn.LBO._.Summary." localSheetId="18" hidden="1">{"LBO Summary",#N/A,FALSE,"Summary"}</definedName>
    <definedName name="wrn.LBO._.Summary." hidden="1">{"LBO Summary",#N/A,FALSE,"Summary"}</definedName>
    <definedName name="wrn.Print._.All._.Pages." localSheetId="18"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'Act Att-H'!$I$192</definedName>
    <definedName name="xx" localSheetId="18" hidden="1">{#N/A,#N/A,FALSE,"EMPPAY"}</definedName>
    <definedName name="xx" hidden="1">{#N/A,#N/A,FALSE,"EMPPAY"}</definedName>
    <definedName name="Z_5C332329_7D4E_4C16_8567_CAD656F9D2F1_.wvu.PrintArea" localSheetId="12" hidden="1">'TU-TrueUp'!$A$2:$N$45</definedName>
    <definedName name="Z_5C332329_7D4E_4C16_8567_CAD656F9D2F1_.wvu.PrintTitles" localSheetId="12" hidden="1">'TU-TrueUp'!$2:$4</definedName>
    <definedName name="Z_F04A2B9A_C6FE_4FEB_AD1E_2CF9AC309BE4_.wvu.PrintArea" localSheetId="7" hidden="1">'A4-Rate Base'!$A$1:$L$137</definedName>
    <definedName name="Z_F04A2B9A_C6FE_4FEB_AD1E_2CF9AC309BE4_.wvu.PrintArea" localSheetId="10" hidden="1">'A7-IncentPlant'!$A$1:$L$129</definedName>
    <definedName name="Z_F04A2B9A_C6FE_4FEB_AD1E_2CF9AC309BE4_.wvu.PrintArea" localSheetId="17" hidden="1">'P4-IncentPlant'!$A$1:$L$135</definedName>
    <definedName name="Z_FAA8FFD9_C96B_4A1B_8B9E_B863FD90DDBA_.wvu.PrintArea" localSheetId="14" hidden="1">'P1-Trans Plant'!$A$1:$AN$46</definedName>
    <definedName name="Z_FAA8FFD9_C96B_4A1B_8B9E_B863FD90DDBA_.wvu.PrintArea" localSheetId="16" hidden="1">'P3-Divisor'!$A$1:$O$30</definedName>
    <definedName name="Z_FAA8FFD9_C96B_4A1B_8B9E_B863FD90DDBA_.wvu.PrintTitles" localSheetId="14" hidden="1">'P1-Trans Plant'!$A:$F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9" i="20" l="1"/>
  <c r="E18" i="20"/>
  <c r="E17" i="20"/>
  <c r="E16" i="20"/>
  <c r="E15" i="20"/>
  <c r="E14" i="20"/>
  <c r="E13" i="20"/>
  <c r="E12" i="20"/>
  <c r="E11" i="20"/>
  <c r="E10" i="20"/>
  <c r="E9" i="20"/>
  <c r="E8" i="20"/>
  <c r="D9" i="31"/>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A36" i="15"/>
  <c r="A37" i="15" s="1"/>
  <c r="A38" i="15" s="1"/>
  <c r="D191" i="9" l="1"/>
  <c r="D128" i="9"/>
  <c r="D121" i="9"/>
  <c r="D107" i="9"/>
  <c r="F17" i="28" l="1"/>
  <c r="F14" i="28" l="1"/>
  <c r="F18" i="28"/>
  <c r="F16" i="28"/>
  <c r="F15" i="28"/>
  <c r="F13" i="28"/>
  <c r="F12" i="28"/>
  <c r="F11" i="28"/>
  <c r="A21" i="31" l="1"/>
  <c r="A22" i="31" s="1"/>
  <c r="A23" i="31" s="1"/>
  <c r="A24" i="31" s="1"/>
  <c r="A25" i="31" s="1"/>
  <c r="A26" i="31" s="1"/>
  <c r="A27" i="31" s="1"/>
  <c r="A28" i="31" s="1"/>
  <c r="A29" i="31" s="1"/>
  <c r="A30" i="31" s="1"/>
  <c r="A31" i="31" s="1"/>
  <c r="A32" i="31" s="1"/>
  <c r="G197" i="25" l="1"/>
  <c r="F47" i="15"/>
  <c r="F19" i="15" l="1"/>
  <c r="A19" i="15"/>
  <c r="A20" i="15" s="1"/>
  <c r="A21" i="15" s="1"/>
  <c r="A22" i="15" s="1"/>
  <c r="A23" i="15" s="1"/>
  <c r="A24" i="15" s="1"/>
  <c r="A25" i="15" s="1"/>
  <c r="A26" i="15" s="1"/>
  <c r="A27" i="15" s="1"/>
  <c r="A28" i="15" s="1"/>
  <c r="A29" i="15" s="1"/>
  <c r="A30" i="15" s="1"/>
  <c r="A31" i="15" s="1"/>
  <c r="A32" i="15" s="1"/>
  <c r="A33" i="15" s="1"/>
  <c r="A34" i="15" s="1"/>
  <c r="A35" i="15" s="1"/>
  <c r="A39" i="15" s="1"/>
  <c r="A40" i="15" s="1"/>
  <c r="A41" i="15" s="1"/>
  <c r="A42" i="15" s="1"/>
  <c r="A43" i="15" s="1"/>
  <c r="A44" i="15" s="1"/>
  <c r="A45" i="15" s="1"/>
  <c r="A46" i="15" s="1"/>
  <c r="A47" i="15" s="1"/>
  <c r="F48" i="15" l="1"/>
  <c r="D80" i="9" s="1"/>
  <c r="D73" i="25"/>
  <c r="D71" i="25"/>
  <c r="D72" i="25"/>
  <c r="I72" i="25" s="1"/>
  <c r="D104" i="23"/>
  <c r="A94" i="23"/>
  <c r="I66" i="23"/>
  <c r="D77" i="9" s="1"/>
  <c r="I77" i="9"/>
  <c r="E14" i="4"/>
  <c r="G12" i="4"/>
  <c r="G13" i="4"/>
  <c r="F25" i="42" l="1"/>
  <c r="G25" i="42" s="1"/>
  <c r="H25" i="42" s="1"/>
  <c r="F26" i="42"/>
  <c r="G26" i="42" s="1"/>
  <c r="H26" i="42" s="1"/>
  <c r="F27" i="42"/>
  <c r="G27" i="42" s="1"/>
  <c r="H27" i="42" s="1"/>
  <c r="I26" i="42" l="1"/>
  <c r="I27" i="42"/>
  <c r="I25" i="42"/>
  <c r="F22" i="27" l="1"/>
  <c r="A53" i="23"/>
  <c r="A54" i="23" s="1"/>
  <c r="A55" i="23" s="1"/>
  <c r="A56" i="23" s="1"/>
  <c r="A57" i="23" s="1"/>
  <c r="A58" i="23" s="1"/>
  <c r="A59" i="23" s="1"/>
  <c r="A60" i="23" s="1"/>
  <c r="A61" i="23" s="1"/>
  <c r="A62" i="23" s="1"/>
  <c r="A63" i="23" s="1"/>
  <c r="A64" i="23" s="1"/>
  <c r="A65" i="23" s="1"/>
  <c r="A66" i="23" s="1"/>
  <c r="A4" i="42"/>
  <c r="A4" i="41"/>
  <c r="J132" i="37"/>
  <c r="M14" i="41" l="1"/>
  <c r="F49" i="42" l="1"/>
  <c r="G49" i="42" s="1"/>
  <c r="H49" i="42" s="1"/>
  <c r="I49" i="42" s="1"/>
  <c r="D53" i="25"/>
  <c r="D47" i="25"/>
  <c r="D12" i="37"/>
  <c r="D13" i="37" s="1"/>
  <c r="D14" i="37" s="1"/>
  <c r="D15" i="37" s="1"/>
  <c r="D16" i="37" s="1"/>
  <c r="D17" i="37" s="1"/>
  <c r="D18" i="37" s="1"/>
  <c r="D19" i="37" s="1"/>
  <c r="D20" i="37" s="1"/>
  <c r="D21" i="37" s="1"/>
  <c r="D22" i="37" s="1"/>
  <c r="D59" i="25" l="1"/>
  <c r="E163" i="37"/>
  <c r="E162" i="37"/>
  <c r="E161" i="37"/>
  <c r="E160" i="37"/>
  <c r="E159" i="37"/>
  <c r="E158" i="37"/>
  <c r="E157" i="37"/>
  <c r="E156" i="37"/>
  <c r="E155" i="37"/>
  <c r="E154" i="37"/>
  <c r="E153" i="37"/>
  <c r="E152" i="37"/>
  <c r="D152" i="37" s="1"/>
  <c r="E129" i="37"/>
  <c r="E128" i="37"/>
  <c r="E127" i="37"/>
  <c r="E126" i="37"/>
  <c r="E125" i="37"/>
  <c r="E124" i="37"/>
  <c r="E123" i="37"/>
  <c r="E122" i="37"/>
  <c r="E121" i="37"/>
  <c r="E120" i="37"/>
  <c r="E119" i="37"/>
  <c r="E118" i="37"/>
  <c r="D118" i="37" s="1"/>
  <c r="E95" i="37"/>
  <c r="E94" i="37"/>
  <c r="E93" i="37"/>
  <c r="E92" i="37"/>
  <c r="E91" i="37"/>
  <c r="E90" i="37"/>
  <c r="E89" i="37"/>
  <c r="E88" i="37"/>
  <c r="E87" i="37"/>
  <c r="E86" i="37"/>
  <c r="E85" i="37"/>
  <c r="E84" i="37"/>
  <c r="D84" i="37" s="1"/>
  <c r="E61" i="37"/>
  <c r="E60" i="37"/>
  <c r="E59" i="37"/>
  <c r="E58" i="37"/>
  <c r="E57" i="37"/>
  <c r="E56" i="37"/>
  <c r="E55" i="37"/>
  <c r="E54" i="37"/>
  <c r="E53" i="37"/>
  <c r="E52" i="37"/>
  <c r="E51" i="37"/>
  <c r="E50" i="37"/>
  <c r="D50" i="37" s="1"/>
  <c r="E14" i="37"/>
  <c r="E15" i="37"/>
  <c r="E16" i="37"/>
  <c r="E17" i="37"/>
  <c r="E18" i="37"/>
  <c r="E19" i="37"/>
  <c r="E20" i="37"/>
  <c r="E21" i="37"/>
  <c r="E22" i="37"/>
  <c r="E23" i="37"/>
  <c r="E13" i="37"/>
  <c r="C153" i="37"/>
  <c r="C119" i="37"/>
  <c r="C85" i="37"/>
  <c r="C51" i="37"/>
  <c r="D153" i="37" l="1"/>
  <c r="D154" i="37" s="1"/>
  <c r="D155" i="37" s="1"/>
  <c r="D156" i="37" s="1"/>
  <c r="D157" i="37" s="1"/>
  <c r="D158" i="37" s="1"/>
  <c r="D159" i="37" s="1"/>
  <c r="D160" i="37" s="1"/>
  <c r="D161" i="37" s="1"/>
  <c r="D162" i="37" s="1"/>
  <c r="D85" i="37"/>
  <c r="D86" i="37" s="1"/>
  <c r="D87" i="37" s="1"/>
  <c r="D88" i="37" s="1"/>
  <c r="D89" i="37" s="1"/>
  <c r="D90" i="37" s="1"/>
  <c r="D91" i="37" s="1"/>
  <c r="D92" i="37" s="1"/>
  <c r="D93" i="37" s="1"/>
  <c r="D94" i="37" s="1"/>
  <c r="D119" i="37"/>
  <c r="D120" i="37" s="1"/>
  <c r="D121" i="37" s="1"/>
  <c r="D122" i="37" s="1"/>
  <c r="D123" i="37" s="1"/>
  <c r="D124" i="37" s="1"/>
  <c r="D125" i="37" s="1"/>
  <c r="D126" i="37" s="1"/>
  <c r="D127" i="37" s="1"/>
  <c r="D128" i="37" s="1"/>
  <c r="D51" i="37"/>
  <c r="D52" i="37" s="1"/>
  <c r="D53" i="37" s="1"/>
  <c r="D54" i="37" s="1"/>
  <c r="D55" i="37" s="1"/>
  <c r="D56" i="37" s="1"/>
  <c r="D57" i="37" s="1"/>
  <c r="D58" i="37" s="1"/>
  <c r="D59" i="37" s="1"/>
  <c r="D60" i="37" s="1"/>
  <c r="E66" i="23" l="1"/>
  <c r="H66" i="23"/>
  <c r="G66" i="23"/>
  <c r="F66" i="23"/>
  <c r="D66" i="23"/>
  <c r="C66" i="23"/>
  <c r="J27" i="4" l="1"/>
  <c r="J28" i="4"/>
  <c r="J29" i="4"/>
  <c r="J30" i="4"/>
  <c r="J31" i="4"/>
  <c r="J32" i="4"/>
  <c r="J33" i="4"/>
  <c r="J26" i="4"/>
  <c r="G8" i="39" l="1"/>
  <c r="F11" i="4" l="1"/>
  <c r="F14" i="4" s="1"/>
  <c r="E88" i="23" l="1"/>
  <c r="B20" i="30"/>
  <c r="B21" i="30"/>
  <c r="B22" i="30"/>
  <c r="B23" i="30"/>
  <c r="B24" i="30"/>
  <c r="B25" i="30"/>
  <c r="B26" i="30"/>
  <c r="B27" i="30"/>
  <c r="B28" i="30"/>
  <c r="B29" i="30"/>
  <c r="B30" i="30"/>
  <c r="B31" i="30"/>
  <c r="B32" i="30"/>
  <c r="B33" i="30"/>
  <c r="B34" i="30"/>
  <c r="B35" i="30"/>
  <c r="B36" i="30"/>
  <c r="B37" i="30"/>
  <c r="B38" i="30"/>
  <c r="B39" i="30"/>
  <c r="B40" i="30"/>
  <c r="B41" i="30"/>
  <c r="B42" i="30"/>
  <c r="B19" i="30"/>
  <c r="B10" i="3" l="1"/>
  <c r="B11" i="3"/>
  <c r="B12" i="3"/>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9" i="3"/>
  <c r="A3" i="41" l="1"/>
  <c r="A174" i="37" l="1"/>
  <c r="A175" i="37" s="1"/>
  <c r="F15" i="42" l="1"/>
  <c r="F16" i="42"/>
  <c r="G16" i="42" s="1"/>
  <c r="H16" i="42" s="1"/>
  <c r="F17" i="42"/>
  <c r="G17" i="42" s="1"/>
  <c r="F18" i="42"/>
  <c r="G18" i="42" s="1"/>
  <c r="D19" i="42"/>
  <c r="E19" i="42"/>
  <c r="F22" i="42"/>
  <c r="G22" i="42" s="1"/>
  <c r="H22" i="42" s="1"/>
  <c r="F23" i="42"/>
  <c r="G23" i="42" s="1"/>
  <c r="H23" i="42" s="1"/>
  <c r="F24" i="42"/>
  <c r="G24" i="42" s="1"/>
  <c r="H24" i="42" s="1"/>
  <c r="A28" i="42"/>
  <c r="A29" i="42" s="1"/>
  <c r="A30" i="42" s="1"/>
  <c r="F28" i="42"/>
  <c r="G28" i="42" s="1"/>
  <c r="F29" i="42"/>
  <c r="G29" i="42" s="1"/>
  <c r="H29" i="42" s="1"/>
  <c r="F30" i="42"/>
  <c r="G30" i="42" s="1"/>
  <c r="H30" i="42" s="1"/>
  <c r="D31" i="42"/>
  <c r="E31" i="42"/>
  <c r="F36" i="42"/>
  <c r="G36" i="42" s="1"/>
  <c r="F37" i="42"/>
  <c r="G37" i="42" s="1"/>
  <c r="F38" i="42"/>
  <c r="G38" i="42" s="1"/>
  <c r="H38" i="42" s="1"/>
  <c r="F39" i="42"/>
  <c r="G39" i="42" s="1"/>
  <c r="F40" i="42"/>
  <c r="G40" i="42" s="1"/>
  <c r="F41" i="42"/>
  <c r="G41" i="42" s="1"/>
  <c r="F42" i="42"/>
  <c r="G42" i="42" s="1"/>
  <c r="H42" i="42" s="1"/>
  <c r="F43" i="42"/>
  <c r="G43" i="42" s="1"/>
  <c r="F44" i="42"/>
  <c r="G44" i="42" s="1"/>
  <c r="F45" i="42"/>
  <c r="G45" i="42" s="1"/>
  <c r="F46" i="42"/>
  <c r="G46" i="42" s="1"/>
  <c r="H46" i="42" s="1"/>
  <c r="F47" i="42"/>
  <c r="G47" i="42" s="1"/>
  <c r="F48" i="42"/>
  <c r="G48" i="42" s="1"/>
  <c r="F50" i="42"/>
  <c r="G50" i="42" s="1"/>
  <c r="F51" i="42"/>
  <c r="G51" i="42" s="1"/>
  <c r="H51" i="42" s="1"/>
  <c r="D52" i="42"/>
  <c r="E52" i="42"/>
  <c r="E53" i="42"/>
  <c r="L7" i="41"/>
  <c r="M7" i="41"/>
  <c r="N7" i="41"/>
  <c r="O7" i="41"/>
  <c r="A13" i="41"/>
  <c r="A14" i="41" s="1"/>
  <c r="L13" i="41"/>
  <c r="M13" i="41"/>
  <c r="M15" i="41" s="1"/>
  <c r="N13" i="41"/>
  <c r="O13" i="41"/>
  <c r="L14" i="41"/>
  <c r="N14" i="41"/>
  <c r="O14" i="41"/>
  <c r="F15" i="41"/>
  <c r="G15" i="41"/>
  <c r="H15" i="41"/>
  <c r="I15" i="41"/>
  <c r="L17" i="41"/>
  <c r="M17" i="41"/>
  <c r="N17" i="41"/>
  <c r="O17" i="41"/>
  <c r="L18" i="41"/>
  <c r="M18" i="41"/>
  <c r="N18" i="41"/>
  <c r="O18" i="41"/>
  <c r="F19" i="41"/>
  <c r="G19" i="41"/>
  <c r="G21" i="41" s="1"/>
  <c r="H19" i="41"/>
  <c r="I19" i="41"/>
  <c r="A24" i="41"/>
  <c r="A25" i="41" s="1"/>
  <c r="A26" i="41" s="1"/>
  <c r="A27" i="41" s="1"/>
  <c r="O24" i="41"/>
  <c r="L24" i="41"/>
  <c r="M24" i="41"/>
  <c r="N24" i="41"/>
  <c r="L25" i="41"/>
  <c r="M25" i="41"/>
  <c r="N25" i="41"/>
  <c r="O25" i="41"/>
  <c r="L26" i="41"/>
  <c r="M26" i="41"/>
  <c r="N26" i="41"/>
  <c r="O26" i="41"/>
  <c r="I28" i="41"/>
  <c r="L27" i="41"/>
  <c r="M27" i="41"/>
  <c r="N27" i="41"/>
  <c r="O27" i="41"/>
  <c r="F28" i="41"/>
  <c r="G28" i="41"/>
  <c r="H28" i="41"/>
  <c r="G33" i="41"/>
  <c r="N30" i="41"/>
  <c r="L30" i="41"/>
  <c r="A31" i="41"/>
  <c r="A32" i="41" s="1"/>
  <c r="O31" i="41"/>
  <c r="L31" i="41"/>
  <c r="M31" i="41"/>
  <c r="L32" i="41"/>
  <c r="M32" i="41"/>
  <c r="N32" i="41"/>
  <c r="O32" i="41"/>
  <c r="F33" i="41"/>
  <c r="A34" i="41"/>
  <c r="A35" i="41" s="1"/>
  <c r="A38" i="41"/>
  <c r="A39" i="41" s="1"/>
  <c r="A40" i="41" s="1"/>
  <c r="A41" i="41" s="1"/>
  <c r="A42" i="41" s="1"/>
  <c r="A43" i="41" s="1"/>
  <c r="F111" i="9"/>
  <c r="H28" i="42" l="1"/>
  <c r="I28" i="42" s="1"/>
  <c r="F35" i="41"/>
  <c r="G39" i="41"/>
  <c r="H161" i="37" s="1"/>
  <c r="H21" i="37" s="1"/>
  <c r="I21" i="41"/>
  <c r="H21" i="41"/>
  <c r="F39" i="41"/>
  <c r="F21" i="41"/>
  <c r="H152" i="37"/>
  <c r="H12" i="37" s="1"/>
  <c r="H39" i="41"/>
  <c r="O19" i="41"/>
  <c r="O15" i="41"/>
  <c r="O21" i="41" s="1"/>
  <c r="N19" i="41"/>
  <c r="N15" i="41"/>
  <c r="N21" i="41" s="1"/>
  <c r="M19" i="41"/>
  <c r="M21" i="41" s="1"/>
  <c r="L19" i="41"/>
  <c r="E33" i="42"/>
  <c r="E54" i="42" s="1"/>
  <c r="N28" i="41"/>
  <c r="H33" i="41"/>
  <c r="H40" i="41" s="1"/>
  <c r="L28" i="41"/>
  <c r="N31" i="41"/>
  <c r="N33" i="41" s="1"/>
  <c r="M30" i="41"/>
  <c r="M33" i="41" s="1"/>
  <c r="L33" i="41"/>
  <c r="M28" i="41"/>
  <c r="L15" i="41"/>
  <c r="H18" i="42"/>
  <c r="I18" i="42" s="1"/>
  <c r="F52" i="42"/>
  <c r="F19" i="42"/>
  <c r="I16" i="42"/>
  <c r="D33" i="42"/>
  <c r="D54" i="42" s="1"/>
  <c r="H17" i="42"/>
  <c r="I17" i="42" s="1"/>
  <c r="G15" i="42"/>
  <c r="H15" i="42" s="1"/>
  <c r="I46" i="42"/>
  <c r="I38" i="42"/>
  <c r="F31" i="42"/>
  <c r="I42" i="42"/>
  <c r="I51" i="42"/>
  <c r="I30" i="42"/>
  <c r="H48" i="42"/>
  <c r="I48" i="42" s="1"/>
  <c r="H44" i="42"/>
  <c r="I44" i="42" s="1"/>
  <c r="H40" i="42"/>
  <c r="I40" i="42" s="1"/>
  <c r="H36" i="42"/>
  <c r="I36" i="42" s="1"/>
  <c r="I24" i="42"/>
  <c r="H45" i="42"/>
  <c r="I45" i="42" s="1"/>
  <c r="H50" i="42"/>
  <c r="I50" i="42" s="1"/>
  <c r="H37" i="42"/>
  <c r="I37" i="42" s="1"/>
  <c r="I39" i="41"/>
  <c r="J166" i="37" s="1"/>
  <c r="H41" i="42"/>
  <c r="I41" i="42" s="1"/>
  <c r="G35" i="41"/>
  <c r="G40" i="41"/>
  <c r="H47" i="42"/>
  <c r="I47" i="42" s="1"/>
  <c r="H43" i="42"/>
  <c r="I43" i="42" s="1"/>
  <c r="H39" i="42"/>
  <c r="I39" i="42" s="1"/>
  <c r="I29" i="42"/>
  <c r="O28" i="41"/>
  <c r="G52" i="42"/>
  <c r="G31" i="42"/>
  <c r="F40" i="41"/>
  <c r="I22" i="42"/>
  <c r="G41" i="41" l="1"/>
  <c r="H159" i="37"/>
  <c r="H19" i="37" s="1"/>
  <c r="H162" i="37"/>
  <c r="H22" i="37" s="1"/>
  <c r="J167" i="37"/>
  <c r="J168" i="37" s="1"/>
  <c r="H155" i="37"/>
  <c r="H15" i="37" s="1"/>
  <c r="H156" i="37"/>
  <c r="H16" i="37" s="1"/>
  <c r="H160" i="37"/>
  <c r="H20" i="37" s="1"/>
  <c r="H157" i="37"/>
  <c r="H17" i="37" s="1"/>
  <c r="H163" i="37"/>
  <c r="H23" i="37" s="1"/>
  <c r="H158" i="37"/>
  <c r="H18" i="37" s="1"/>
  <c r="F41" i="41"/>
  <c r="H153" i="37"/>
  <c r="H13" i="37" s="1"/>
  <c r="H154" i="37"/>
  <c r="H14" i="37" s="1"/>
  <c r="M35" i="41"/>
  <c r="N39" i="41"/>
  <c r="L40" i="41"/>
  <c r="M40" i="41"/>
  <c r="H41" i="41"/>
  <c r="H35" i="41"/>
  <c r="J27" i="37"/>
  <c r="L21" i="41"/>
  <c r="N40" i="41"/>
  <c r="N41" i="41" s="1"/>
  <c r="I15" i="42"/>
  <c r="I19" i="42" s="1"/>
  <c r="F33" i="42"/>
  <c r="F54" i="42" s="1"/>
  <c r="G19" i="42"/>
  <c r="G33" i="42" s="1"/>
  <c r="G54" i="42" s="1"/>
  <c r="L35" i="41"/>
  <c r="N35" i="41"/>
  <c r="M39" i="41"/>
  <c r="L39" i="41"/>
  <c r="H19" i="42"/>
  <c r="H52" i="42"/>
  <c r="H31" i="42"/>
  <c r="I52" i="42"/>
  <c r="O30" i="41"/>
  <c r="O33" i="41" s="1"/>
  <c r="O40" i="41" s="1"/>
  <c r="I33" i="41"/>
  <c r="I23" i="42"/>
  <c r="I31" i="42" s="1"/>
  <c r="I42" i="41"/>
  <c r="D81" i="9" s="1"/>
  <c r="O39" i="41"/>
  <c r="M41" i="41" l="1"/>
  <c r="D144" i="9" s="1"/>
  <c r="L41" i="41"/>
  <c r="I33" i="42"/>
  <c r="I54" i="42" s="1"/>
  <c r="O35" i="41"/>
  <c r="H33" i="42"/>
  <c r="H54" i="42" s="1"/>
  <c r="I40" i="41"/>
  <c r="I41" i="41" s="1"/>
  <c r="I35" i="41"/>
  <c r="O42" i="41"/>
  <c r="I81" i="9" s="1"/>
  <c r="O41" i="41"/>
  <c r="E16" i="39"/>
  <c r="O43" i="41" l="1"/>
  <c r="J174" i="37" s="1"/>
  <c r="J34" i="37" l="1"/>
  <c r="D14" i="16"/>
  <c r="D23" i="16"/>
  <c r="J19" i="29" l="1"/>
  <c r="N19" i="29" l="1"/>
  <c r="I89" i="23" l="1"/>
  <c r="E17" i="39" s="1"/>
  <c r="E18" i="39" s="1"/>
  <c r="D191" i="25"/>
  <c r="D190" i="25"/>
  <c r="A3" i="39" l="1"/>
  <c r="A44" i="37" l="1"/>
  <c r="J135" i="37" l="1"/>
  <c r="J26" i="37"/>
  <c r="J98" i="37"/>
  <c r="J28" i="37" l="1"/>
  <c r="D139" i="25"/>
  <c r="J29" i="37"/>
  <c r="J31" i="37" s="1"/>
  <c r="D68" i="25" l="1"/>
  <c r="J169" i="37" l="1"/>
  <c r="F163" i="37"/>
  <c r="F152" i="37"/>
  <c r="B136" i="37"/>
  <c r="J134" i="37"/>
  <c r="H130" i="37"/>
  <c r="F129" i="37"/>
  <c r="I129" i="37" s="1"/>
  <c r="A108" i="37"/>
  <c r="A107" i="37"/>
  <c r="F95" i="37"/>
  <c r="A74" i="37"/>
  <c r="A73" i="37"/>
  <c r="B68" i="37"/>
  <c r="J66" i="37"/>
  <c r="H62" i="37"/>
  <c r="F61" i="37"/>
  <c r="I61" i="37" s="1"/>
  <c r="A40" i="37"/>
  <c r="A142" i="37" s="1"/>
  <c r="A39" i="37"/>
  <c r="A141" i="37" s="1"/>
  <c r="F23" i="37"/>
  <c r="A7" i="37"/>
  <c r="A9" i="37" s="1"/>
  <c r="A10" i="37" s="1"/>
  <c r="A11" i="37" s="1"/>
  <c r="J65" i="37" l="1"/>
  <c r="J133" i="37"/>
  <c r="A12" i="37"/>
  <c r="A13" i="37" s="1"/>
  <c r="A14" i="37" s="1"/>
  <c r="A15" i="37" s="1"/>
  <c r="A16" i="37" s="1"/>
  <c r="A17" i="37" s="1"/>
  <c r="A18" i="37" s="1"/>
  <c r="A19" i="37" s="1"/>
  <c r="A20" i="37" s="1"/>
  <c r="A21" i="37" s="1"/>
  <c r="A22" i="37" s="1"/>
  <c r="A23" i="37" s="1"/>
  <c r="F13" i="37"/>
  <c r="F51" i="37"/>
  <c r="I51" i="37" s="1"/>
  <c r="F119" i="37"/>
  <c r="I119" i="37" s="1"/>
  <c r="F12" i="37"/>
  <c r="F85" i="37"/>
  <c r="A109" i="37"/>
  <c r="A75" i="37"/>
  <c r="A41" i="37"/>
  <c r="A143" i="37" s="1"/>
  <c r="F50" i="37"/>
  <c r="I50" i="37" s="1"/>
  <c r="F84" i="37"/>
  <c r="F118" i="37"/>
  <c r="I118" i="37" s="1"/>
  <c r="J118" i="37" l="1"/>
  <c r="J119" i="37" s="1"/>
  <c r="F120" i="37"/>
  <c r="I120" i="37" s="1"/>
  <c r="F14" i="37"/>
  <c r="F153" i="37"/>
  <c r="J50" i="37"/>
  <c r="J51" i="37" s="1"/>
  <c r="A24" i="37"/>
  <c r="A26" i="37" s="1"/>
  <c r="F86" i="37"/>
  <c r="F52" i="37"/>
  <c r="I52" i="37" s="1"/>
  <c r="F15" i="37" l="1"/>
  <c r="F53" i="37"/>
  <c r="I53" i="37" s="1"/>
  <c r="F87" i="37"/>
  <c r="A27" i="37"/>
  <c r="A28" i="37" s="1"/>
  <c r="F154" i="37"/>
  <c r="J120" i="37"/>
  <c r="F121" i="37"/>
  <c r="I121" i="37" s="1"/>
  <c r="J52" i="37"/>
  <c r="J53" i="37" l="1"/>
  <c r="A29" i="37"/>
  <c r="F54" i="37"/>
  <c r="I54" i="37" s="1"/>
  <c r="F16" i="37"/>
  <c r="F122" i="37"/>
  <c r="I122" i="37" s="1"/>
  <c r="F155" i="37"/>
  <c r="F88" i="37"/>
  <c r="J121" i="37"/>
  <c r="J54" i="37" l="1"/>
  <c r="F156" i="37"/>
  <c r="J122" i="37"/>
  <c r="F55" i="37"/>
  <c r="I55" i="37" s="1"/>
  <c r="F123" i="37"/>
  <c r="I123" i="37" s="1"/>
  <c r="A30" i="37"/>
  <c r="A31" i="37" s="1"/>
  <c r="F89" i="37"/>
  <c r="F17" i="37"/>
  <c r="J55" i="37" l="1"/>
  <c r="F18" i="37"/>
  <c r="F124" i="37"/>
  <c r="I124" i="37" s="1"/>
  <c r="F56" i="37"/>
  <c r="I56" i="37" s="1"/>
  <c r="F157" i="37"/>
  <c r="F90" i="37"/>
  <c r="J123" i="37"/>
  <c r="J56" i="37" l="1"/>
  <c r="J124" i="37"/>
  <c r="F91" i="37"/>
  <c r="F57" i="37"/>
  <c r="I57" i="37" s="1"/>
  <c r="J57" i="37" s="1"/>
  <c r="A45" i="37"/>
  <c r="A47" i="37" s="1"/>
  <c r="A48" i="37" s="1"/>
  <c r="A49" i="37" s="1"/>
  <c r="F158" i="37"/>
  <c r="F125" i="37"/>
  <c r="I125" i="37" s="1"/>
  <c r="J125" i="37" s="1"/>
  <c r="F19" i="37"/>
  <c r="F58" i="37" l="1"/>
  <c r="I58" i="37" s="1"/>
  <c r="J58" i="37" s="1"/>
  <c r="F20" i="37"/>
  <c r="F126" i="37"/>
  <c r="I126" i="37" s="1"/>
  <c r="J126" i="37" s="1"/>
  <c r="F66" i="37"/>
  <c r="A50" i="37"/>
  <c r="A51" i="37" s="1"/>
  <c r="A52" i="37" s="1"/>
  <c r="A53" i="37" s="1"/>
  <c r="A54" i="37" s="1"/>
  <c r="A55" i="37" s="1"/>
  <c r="A56" i="37" s="1"/>
  <c r="A57" i="37" s="1"/>
  <c r="A58" i="37" s="1"/>
  <c r="A59" i="37" s="1"/>
  <c r="A60" i="37" s="1"/>
  <c r="A61" i="37" s="1"/>
  <c r="F92" i="37"/>
  <c r="F159" i="37"/>
  <c r="F60" i="37" l="1"/>
  <c r="I60" i="37" s="1"/>
  <c r="F59" i="37"/>
  <c r="I59" i="37" s="1"/>
  <c r="J59" i="37" s="1"/>
  <c r="F93" i="37"/>
  <c r="F94" i="37"/>
  <c r="F128" i="37"/>
  <c r="I128" i="37" s="1"/>
  <c r="F127" i="37"/>
  <c r="I127" i="37" s="1"/>
  <c r="J127" i="37" s="1"/>
  <c r="F22" i="37"/>
  <c r="F21" i="37"/>
  <c r="F160" i="37"/>
  <c r="F69" i="37"/>
  <c r="A62" i="37"/>
  <c r="A64" i="37" s="1"/>
  <c r="J128" i="37" l="1"/>
  <c r="J129" i="37" s="1"/>
  <c r="J137" i="37" s="1"/>
  <c r="I130" i="37"/>
  <c r="A65" i="37"/>
  <c r="A66" i="37" s="1"/>
  <c r="F65" i="37" s="1"/>
  <c r="F162" i="37"/>
  <c r="F161" i="37"/>
  <c r="J60" i="37"/>
  <c r="J61" i="37" s="1"/>
  <c r="J69" i="37" s="1"/>
  <c r="I62" i="37"/>
  <c r="J68" i="37" l="1"/>
  <c r="J70" i="37" s="1"/>
  <c r="A67" i="37"/>
  <c r="J136" i="37"/>
  <c r="J138" i="37" s="1"/>
  <c r="J72" i="37" l="1"/>
  <c r="D65" i="25" s="1"/>
  <c r="J140" i="37"/>
  <c r="D67" i="25" s="1"/>
  <c r="A68" i="37"/>
  <c r="A69" i="37" s="1"/>
  <c r="A70" i="37" l="1"/>
  <c r="F70" i="37"/>
  <c r="F68" i="37"/>
  <c r="A71" i="37" l="1"/>
  <c r="A72" i="37" s="1"/>
  <c r="A78" i="37" s="1"/>
  <c r="A79" i="37" s="1"/>
  <c r="A81" i="37" s="1"/>
  <c r="A82" i="37" s="1"/>
  <c r="A83" i="37" s="1"/>
  <c r="A84" i="37" s="1"/>
  <c r="A85" i="37" s="1"/>
  <c r="A86" i="37" s="1"/>
  <c r="A87" i="37" s="1"/>
  <c r="A88" i="37" s="1"/>
  <c r="A89" i="37" s="1"/>
  <c r="A90" i="37" s="1"/>
  <c r="A91" i="37" s="1"/>
  <c r="A92" i="37" s="1"/>
  <c r="A93" i="37" s="1"/>
  <c r="A94" i="37" s="1"/>
  <c r="A95" i="37" s="1"/>
  <c r="A96" i="37" l="1"/>
  <c r="A98" i="37" s="1"/>
  <c r="A99" i="37" s="1"/>
  <c r="A100" i="37" s="1"/>
  <c r="A101" i="37" s="1"/>
  <c r="A102" i="37" s="1"/>
  <c r="F103" i="37"/>
  <c r="A103" i="37" l="1"/>
  <c r="A104" i="37" s="1"/>
  <c r="A105" i="37" s="1"/>
  <c r="A106" i="37" s="1"/>
  <c r="A112" i="37" s="1"/>
  <c r="A113" i="37" s="1"/>
  <c r="A115" i="37" s="1"/>
  <c r="A116" i="37" s="1"/>
  <c r="A117" i="37" s="1"/>
  <c r="F134" i="37" l="1"/>
  <c r="A118" i="37"/>
  <c r="A119" i="37" s="1"/>
  <c r="A120" i="37" s="1"/>
  <c r="A121" i="37" s="1"/>
  <c r="A122" i="37" s="1"/>
  <c r="A123" i="37" s="1"/>
  <c r="A124" i="37" s="1"/>
  <c r="A125" i="37" s="1"/>
  <c r="A126" i="37" s="1"/>
  <c r="A127" i="37" s="1"/>
  <c r="A128" i="37" s="1"/>
  <c r="A129" i="37" s="1"/>
  <c r="A130" i="37" l="1"/>
  <c r="A132" i="37" s="1"/>
  <c r="F137" i="37"/>
  <c r="A133" i="37" l="1"/>
  <c r="A134" i="37" s="1"/>
  <c r="F133" i="37" s="1"/>
  <c r="A135" i="37" l="1"/>
  <c r="A136" i="37" l="1"/>
  <c r="A137" i="37" l="1"/>
  <c r="A138" i="37" l="1"/>
  <c r="F138" i="37"/>
  <c r="F136" i="37"/>
  <c r="A139" i="37" l="1"/>
  <c r="A140" i="37" s="1"/>
  <c r="A146" i="37" s="1"/>
  <c r="A147" i="37" s="1"/>
  <c r="A149" i="37" s="1"/>
  <c r="A150" i="37" s="1"/>
  <c r="A151" i="37" s="1"/>
  <c r="A152" i="37" s="1"/>
  <c r="A153" i="37" s="1"/>
  <c r="A154" i="37" s="1"/>
  <c r="A155" i="37" s="1"/>
  <c r="A156" i="37" s="1"/>
  <c r="A157" i="37" s="1"/>
  <c r="A158" i="37" s="1"/>
  <c r="A159" i="37" s="1"/>
  <c r="A160" i="37" s="1"/>
  <c r="A161" i="37" s="1"/>
  <c r="A162" i="37" s="1"/>
  <c r="A163" i="37" s="1"/>
  <c r="A164" i="37" s="1"/>
  <c r="A166" i="37" s="1"/>
  <c r="A167" i="37" s="1"/>
  <c r="A168" i="37" s="1"/>
  <c r="A169" i="37" s="1"/>
  <c r="A170" i="37" s="1"/>
  <c r="A171" i="37" s="1"/>
  <c r="A172" i="37" s="1"/>
  <c r="A173" i="37" s="1"/>
  <c r="F114" i="23" l="1"/>
  <c r="F115" i="23"/>
  <c r="F116" i="23"/>
  <c r="F117" i="23"/>
  <c r="F118" i="23"/>
  <c r="F119" i="23"/>
  <c r="F120" i="23"/>
  <c r="F121" i="23"/>
  <c r="F122" i="23"/>
  <c r="F123" i="23"/>
  <c r="F124" i="23"/>
  <c r="F125" i="23"/>
  <c r="F113" i="23"/>
  <c r="F126" i="23" l="1"/>
  <c r="D126" i="23"/>
  <c r="E126" i="23"/>
  <c r="E106" i="23"/>
  <c r="E105" i="23"/>
  <c r="C126" i="23"/>
  <c r="G10" i="4" l="1"/>
  <c r="J14" i="26" l="1"/>
  <c r="H14" i="26"/>
  <c r="K18" i="26" l="1"/>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H29" i="21" l="1"/>
  <c r="H31" i="21" l="1"/>
  <c r="H32" i="21" s="1"/>
  <c r="F53" i="4" l="1"/>
  <c r="F52" i="4"/>
  <c r="F51" i="4"/>
  <c r="F50" i="4"/>
  <c r="D14" i="9" s="1"/>
  <c r="F54" i="4" l="1"/>
  <c r="A9" i="31"/>
  <c r="A10" i="31" s="1"/>
  <c r="A11" i="31" s="1"/>
  <c r="A12" i="31" s="1"/>
  <c r="A13" i="31" s="1"/>
  <c r="A14" i="31" s="1"/>
  <c r="A15" i="31" s="1"/>
  <c r="A16" i="31" s="1"/>
  <c r="A17" i="31" s="1"/>
  <c r="A18" i="31" s="1"/>
  <c r="A19" i="31" s="1"/>
  <c r="A20" i="31" s="1"/>
  <c r="D15" i="31"/>
  <c r="H23" i="21" l="1"/>
  <c r="H37" i="21" l="1"/>
  <c r="D79" i="25"/>
  <c r="D52" i="25"/>
  <c r="D46" i="25"/>
  <c r="H88" i="23" l="1"/>
  <c r="G88" i="23"/>
  <c r="F88" i="23"/>
  <c r="H76" i="23"/>
  <c r="G76" i="23"/>
  <c r="F76" i="23"/>
  <c r="E76" i="23"/>
  <c r="F15" i="15"/>
  <c r="H89" i="23" s="1"/>
  <c r="F14" i="15"/>
  <c r="G89" i="23" s="1"/>
  <c r="F13" i="15"/>
  <c r="F89" i="23" s="1"/>
  <c r="F12" i="15"/>
  <c r="E89" i="23" s="1"/>
  <c r="D9" i="20" l="1"/>
  <c r="D10" i="20" s="1"/>
  <c r="D11" i="20" s="1"/>
  <c r="D12" i="20" s="1"/>
  <c r="D13" i="20" s="1"/>
  <c r="D14" i="20" s="1"/>
  <c r="D15" i="20" s="1"/>
  <c r="D16" i="20" s="1"/>
  <c r="D17" i="20" s="1"/>
  <c r="D18" i="20" s="1"/>
  <c r="D19" i="20" s="1"/>
  <c r="A12" i="15" l="1"/>
  <c r="A13" i="15" s="1"/>
  <c r="A14" i="15" s="1"/>
  <c r="A15" i="15" s="1"/>
  <c r="K26" i="26" l="1"/>
  <c r="D192" i="25"/>
  <c r="O26" i="26" l="1"/>
  <c r="N26" i="26"/>
  <c r="K27" i="26"/>
  <c r="O27" i="26" l="1"/>
  <c r="N27" i="26"/>
  <c r="K28" i="26"/>
  <c r="A3" i="31"/>
  <c r="O28" i="26" l="1"/>
  <c r="N28" i="26"/>
  <c r="K29" i="26"/>
  <c r="O29" i="26" l="1"/>
  <c r="N29" i="26"/>
  <c r="N42" i="2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H18" i="30"/>
  <c r="H19"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I44" i="30" l="1"/>
  <c r="I19" i="30"/>
  <c r="J19" i="30" s="1"/>
  <c r="M19" i="30"/>
  <c r="M44" i="30"/>
  <c r="K31" i="26"/>
  <c r="O31" i="26" s="1"/>
  <c r="C19" i="30"/>
  <c r="D20"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20" i="29"/>
  <c r="C21" i="29"/>
  <c r="C22" i="29"/>
  <c r="C23" i="29"/>
  <c r="C24" i="29"/>
  <c r="C25" i="29"/>
  <c r="C26" i="29"/>
  <c r="C27" i="29"/>
  <c r="C28" i="29"/>
  <c r="C29" i="29"/>
  <c r="C30" i="29"/>
  <c r="C31" i="29"/>
  <c r="C32" i="29"/>
  <c r="C33" i="29"/>
  <c r="C34" i="29"/>
  <c r="C35" i="29"/>
  <c r="C36" i="29"/>
  <c r="C37" i="29"/>
  <c r="C38" i="29"/>
  <c r="C39" i="29"/>
  <c r="C40" i="29"/>
  <c r="C41" i="29"/>
  <c r="C42" i="29"/>
  <c r="D19" i="29"/>
  <c r="C19" i="29"/>
  <c r="M20" i="29"/>
  <c r="M21" i="29" s="1"/>
  <c r="M22" i="29" s="1"/>
  <c r="M23" i="29" s="1"/>
  <c r="M24" i="29" s="1"/>
  <c r="M25" i="29" s="1"/>
  <c r="M26" i="29" s="1"/>
  <c r="M27" i="29" s="1"/>
  <c r="M28" i="29" s="1"/>
  <c r="M29" i="29" s="1"/>
  <c r="I20" i="29"/>
  <c r="A8" i="29"/>
  <c r="A9" i="29" s="1"/>
  <c r="A10" i="29" s="1"/>
  <c r="A11" i="29" s="1"/>
  <c r="A12" i="29" s="1"/>
  <c r="A13" i="29" s="1"/>
  <c r="A14"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3" i="29"/>
  <c r="J20" i="29" l="1"/>
  <c r="D19" i="30"/>
  <c r="N19" i="30"/>
  <c r="E19" i="30" s="1"/>
  <c r="K19" i="30"/>
  <c r="N20" i="29"/>
  <c r="E20" i="29" s="1"/>
  <c r="E19" i="29"/>
  <c r="K32" i="26"/>
  <c r="O32" i="26" s="1"/>
  <c r="C45" i="30"/>
  <c r="D21" i="30"/>
  <c r="N29" i="29"/>
  <c r="M30" i="29"/>
  <c r="D20" i="29"/>
  <c r="N21" i="29"/>
  <c r="N22" i="29"/>
  <c r="I21" i="29"/>
  <c r="J20" i="30" l="1"/>
  <c r="N20" i="30"/>
  <c r="O19" i="30"/>
  <c r="K33" i="26"/>
  <c r="O33" i="26" s="1"/>
  <c r="D22" i="30"/>
  <c r="M31" i="29"/>
  <c r="N30" i="29"/>
  <c r="I22" i="29"/>
  <c r="J22" i="29" s="1"/>
  <c r="D21" i="29"/>
  <c r="N23" i="29"/>
  <c r="J21" i="29"/>
  <c r="K20" i="30" l="1"/>
  <c r="J21" i="30"/>
  <c r="O20" i="30"/>
  <c r="E20" i="30"/>
  <c r="N21" i="30"/>
  <c r="K34" i="26"/>
  <c r="O34" i="26" s="1"/>
  <c r="D23" i="30"/>
  <c r="I23" i="29"/>
  <c r="D22" i="29"/>
  <c r="E21" i="29"/>
  <c r="M32" i="29"/>
  <c r="N31" i="29"/>
  <c r="N24" i="29"/>
  <c r="K21" i="30" l="1"/>
  <c r="J22" i="30"/>
  <c r="O21" i="30"/>
  <c r="N22" i="30"/>
  <c r="E21" i="30"/>
  <c r="K35" i="26"/>
  <c r="O35" i="26" s="1"/>
  <c r="D24" i="30"/>
  <c r="M33" i="29"/>
  <c r="N32" i="29"/>
  <c r="E22" i="29"/>
  <c r="I24" i="29"/>
  <c r="D23" i="29"/>
  <c r="N25" i="29"/>
  <c r="J23" i="29"/>
  <c r="K22" i="30" l="1"/>
  <c r="J23" i="30"/>
  <c r="O22" i="30"/>
  <c r="E22" i="30"/>
  <c r="N23" i="30"/>
  <c r="K36" i="26"/>
  <c r="O36" i="26" s="1"/>
  <c r="D25" i="30"/>
  <c r="I25" i="29"/>
  <c r="D24" i="29"/>
  <c r="N33" i="29"/>
  <c r="M34" i="29"/>
  <c r="E23" i="29"/>
  <c r="N26" i="29"/>
  <c r="J24" i="29"/>
  <c r="J24" i="30" l="1"/>
  <c r="K23" i="30"/>
  <c r="O23" i="30"/>
  <c r="E23" i="30"/>
  <c r="N24" i="30"/>
  <c r="K37" i="26"/>
  <c r="O37" i="26" s="1"/>
  <c r="D26" i="30"/>
  <c r="E24" i="29"/>
  <c r="M35" i="29"/>
  <c r="N34" i="29"/>
  <c r="I26" i="29"/>
  <c r="D25" i="29"/>
  <c r="N28" i="29"/>
  <c r="N27" i="29"/>
  <c r="J25" i="29"/>
  <c r="J25" i="30" l="1"/>
  <c r="K24" i="30"/>
  <c r="O24" i="30"/>
  <c r="E24" i="30"/>
  <c r="N25" i="30"/>
  <c r="K38" i="26"/>
  <c r="O38" i="26" s="1"/>
  <c r="D27" i="30"/>
  <c r="M36" i="29"/>
  <c r="N35" i="29"/>
  <c r="E25" i="29"/>
  <c r="I27" i="29"/>
  <c r="D26" i="29"/>
  <c r="J26" i="29"/>
  <c r="K25" i="30" l="1"/>
  <c r="J26" i="30"/>
  <c r="O25" i="30"/>
  <c r="E25" i="30"/>
  <c r="N26" i="30"/>
  <c r="K39" i="26"/>
  <c r="O39" i="26" s="1"/>
  <c r="D28" i="30"/>
  <c r="M37" i="29"/>
  <c r="N36" i="29"/>
  <c r="E26" i="29"/>
  <c r="I28" i="29"/>
  <c r="D27" i="29"/>
  <c r="J27" i="29"/>
  <c r="J27" i="30" l="1"/>
  <c r="K26" i="30"/>
  <c r="O26" i="30"/>
  <c r="E26" i="30"/>
  <c r="N27" i="30"/>
  <c r="K41" i="26"/>
  <c r="O41" i="26" s="1"/>
  <c r="K40" i="26"/>
  <c r="O40" i="26" s="1"/>
  <c r="D29" i="30"/>
  <c r="E27" i="29"/>
  <c r="I29" i="29"/>
  <c r="D28" i="29"/>
  <c r="N37" i="29"/>
  <c r="M38" i="29"/>
  <c r="J28" i="29"/>
  <c r="O42" i="26" l="1"/>
  <c r="K27" i="30"/>
  <c r="J28" i="30"/>
  <c r="O27" i="30"/>
  <c r="E27" i="30"/>
  <c r="N28" i="30"/>
  <c r="D30" i="30"/>
  <c r="E28" i="29"/>
  <c r="D29" i="29"/>
  <c r="J29" i="29"/>
  <c r="I30" i="29"/>
  <c r="M39" i="29"/>
  <c r="N38" i="29"/>
  <c r="J29" i="30" l="1"/>
  <c r="K28" i="30"/>
  <c r="O28" i="30"/>
  <c r="E28" i="30"/>
  <c r="N29" i="30"/>
  <c r="E29" i="29"/>
  <c r="N39" i="29"/>
  <c r="M40" i="29"/>
  <c r="J30" i="29"/>
  <c r="I31" i="29"/>
  <c r="D30" i="29"/>
  <c r="J30" i="30" l="1"/>
  <c r="K29" i="30"/>
  <c r="O29" i="30"/>
  <c r="N30" i="30"/>
  <c r="E29" i="30"/>
  <c r="D31" i="30"/>
  <c r="D32" i="30"/>
  <c r="N40" i="29"/>
  <c r="M41" i="29"/>
  <c r="D31" i="29"/>
  <c r="I32" i="29"/>
  <c r="J31" i="29"/>
  <c r="E30" i="29"/>
  <c r="K30" i="30" l="1"/>
  <c r="J31" i="30"/>
  <c r="O30" i="30"/>
  <c r="E30" i="30"/>
  <c r="N31" i="30"/>
  <c r="D33" i="30"/>
  <c r="I33" i="29"/>
  <c r="D32" i="29"/>
  <c r="J32" i="29"/>
  <c r="M42" i="29"/>
  <c r="N42" i="29" s="1"/>
  <c r="N41" i="29"/>
  <c r="E31" i="29"/>
  <c r="K31" i="30" l="1"/>
  <c r="J32" i="30"/>
  <c r="O31" i="30"/>
  <c r="E31" i="30"/>
  <c r="N32" i="30"/>
  <c r="D34" i="30"/>
  <c r="E32" i="29"/>
  <c r="D33" i="29"/>
  <c r="I34" i="29"/>
  <c r="J33" i="29"/>
  <c r="J33" i="30" l="1"/>
  <c r="K32" i="30"/>
  <c r="O32" i="30"/>
  <c r="N33" i="30"/>
  <c r="E32" i="30"/>
  <c r="I35" i="29"/>
  <c r="D34" i="29"/>
  <c r="J34" i="29"/>
  <c r="E33" i="29"/>
  <c r="J34" i="30" l="1"/>
  <c r="K33" i="30"/>
  <c r="O33" i="30"/>
  <c r="N34" i="30"/>
  <c r="E33" i="30"/>
  <c r="D35" i="30"/>
  <c r="D36" i="30"/>
  <c r="E34" i="29"/>
  <c r="I36" i="29"/>
  <c r="D35" i="29"/>
  <c r="J35" i="29"/>
  <c r="K34" i="30" l="1"/>
  <c r="J35" i="30"/>
  <c r="O34" i="30"/>
  <c r="N35" i="30"/>
  <c r="E34" i="30"/>
  <c r="D37" i="30"/>
  <c r="D36" i="29"/>
  <c r="J36" i="29"/>
  <c r="I37" i="29"/>
  <c r="E35" i="29"/>
  <c r="K35" i="30" l="1"/>
  <c r="J36" i="30"/>
  <c r="O35" i="30"/>
  <c r="N36" i="30"/>
  <c r="E35" i="30"/>
  <c r="D38" i="30"/>
  <c r="D37" i="29"/>
  <c r="J37" i="29"/>
  <c r="I38" i="29"/>
  <c r="E36" i="29"/>
  <c r="J37" i="30" l="1"/>
  <c r="K36" i="30"/>
  <c r="O36" i="30"/>
  <c r="N37" i="30"/>
  <c r="E36" i="30"/>
  <c r="D39" i="30"/>
  <c r="E37" i="29"/>
  <c r="J38" i="29"/>
  <c r="D38" i="29"/>
  <c r="I39" i="29"/>
  <c r="K37" i="30" l="1"/>
  <c r="J38" i="30"/>
  <c r="O37" i="30"/>
  <c r="N38" i="30"/>
  <c r="E37" i="30"/>
  <c r="D40" i="30"/>
  <c r="E38" i="29"/>
  <c r="I40" i="29"/>
  <c r="D39" i="29"/>
  <c r="J39" i="29"/>
  <c r="K38" i="30" l="1"/>
  <c r="J39" i="30"/>
  <c r="O38" i="30"/>
  <c r="N39" i="30"/>
  <c r="E38" i="30"/>
  <c r="D41" i="30"/>
  <c r="I41" i="29"/>
  <c r="D40" i="29"/>
  <c r="J40" i="29"/>
  <c r="E39" i="29"/>
  <c r="J40" i="30" l="1"/>
  <c r="K39" i="30"/>
  <c r="O39" i="30"/>
  <c r="E39" i="30"/>
  <c r="N40" i="30"/>
  <c r="E40" i="29"/>
  <c r="I42" i="29"/>
  <c r="J41" i="29"/>
  <c r="D41" i="29"/>
  <c r="K40" i="30" l="1"/>
  <c r="J41" i="30"/>
  <c r="O40" i="30"/>
  <c r="N41" i="30"/>
  <c r="E40" i="30"/>
  <c r="D42" i="30"/>
  <c r="D44" i="30" s="1"/>
  <c r="J42" i="29"/>
  <c r="D42" i="29"/>
  <c r="E41" i="29"/>
  <c r="K41" i="30" l="1"/>
  <c r="J42" i="30"/>
  <c r="O41" i="30"/>
  <c r="E41" i="30"/>
  <c r="N42" i="30"/>
  <c r="E42" i="29"/>
  <c r="K42" i="30" l="1"/>
  <c r="K45" i="30" s="1"/>
  <c r="J45" i="30"/>
  <c r="O42" i="30"/>
  <c r="O45" i="30" s="1"/>
  <c r="N45" i="30"/>
  <c r="E42" i="30"/>
  <c r="E45" i="30" s="1"/>
  <c r="E69" i="23"/>
  <c r="E68" i="23"/>
  <c r="A3" i="27"/>
  <c r="G198" i="25" l="1"/>
  <c r="D75" i="25"/>
  <c r="I174" i="25"/>
  <c r="I167" i="25"/>
  <c r="I166" i="25"/>
  <c r="D184" i="25"/>
  <c r="D185" i="25"/>
  <c r="D186" i="25"/>
  <c r="D183" i="25"/>
  <c r="D138" i="25"/>
  <c r="D33" i="27"/>
  <c r="D35" i="27"/>
  <c r="D36" i="27"/>
  <c r="D37" i="27"/>
  <c r="D32" i="27"/>
  <c r="D17" i="27"/>
  <c r="D18" i="27"/>
  <c r="D19" i="27"/>
  <c r="D23" i="27"/>
  <c r="F23" i="27" s="1"/>
  <c r="D25" i="27"/>
  <c r="D26" i="27"/>
  <c r="D16" i="27"/>
  <c r="D118" i="25"/>
  <c r="D117" i="25"/>
  <c r="D116" i="25"/>
  <c r="F15" i="20"/>
  <c r="F14" i="20"/>
  <c r="F13" i="20"/>
  <c r="F12" i="20"/>
  <c r="F11" i="20"/>
  <c r="F10" i="20"/>
  <c r="F9" i="20"/>
  <c r="F8" i="20"/>
  <c r="F22" i="20" l="1"/>
  <c r="G16" i="20" s="1"/>
  <c r="C19" i="28" s="1"/>
  <c r="D39" i="27"/>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D124" i="9"/>
  <c r="E70" i="23" l="1"/>
  <c r="E107" i="23"/>
  <c r="G23" i="28"/>
  <c r="G24" i="28" s="1"/>
  <c r="A3" i="28"/>
  <c r="I22" i="25" l="1"/>
  <c r="D23" i="31"/>
  <c r="C210" i="25"/>
  <c r="K207" i="25"/>
  <c r="I204" i="25"/>
  <c r="D193" i="25"/>
  <c r="G191" i="25" s="1"/>
  <c r="I189" i="25"/>
  <c r="D187" i="25"/>
  <c r="G186" i="25"/>
  <c r="G185" i="25"/>
  <c r="G183" i="25"/>
  <c r="C160" i="25"/>
  <c r="G157" i="25"/>
  <c r="I154" i="25"/>
  <c r="D133" i="25"/>
  <c r="F124" i="25"/>
  <c r="I118" i="25"/>
  <c r="B117" i="25"/>
  <c r="B115" i="25"/>
  <c r="F109" i="25"/>
  <c r="F107" i="25"/>
  <c r="C95" i="25"/>
  <c r="K92" i="25"/>
  <c r="I89" i="25"/>
  <c r="F52" i="25"/>
  <c r="B52" i="25"/>
  <c r="B58" i="25" s="1"/>
  <c r="F51" i="25"/>
  <c r="F79" i="25" s="1"/>
  <c r="B51" i="25"/>
  <c r="B57" i="25" s="1"/>
  <c r="C38" i="25"/>
  <c r="K35" i="25"/>
  <c r="I32" i="25"/>
  <c r="U26" i="26" l="1"/>
  <c r="U22" i="26"/>
  <c r="U18" i="26"/>
  <c r="U27" i="26"/>
  <c r="U29" i="26"/>
  <c r="U25" i="26"/>
  <c r="U21" i="26"/>
  <c r="U23" i="26"/>
  <c r="U28" i="26"/>
  <c r="U24" i="26"/>
  <c r="U20" i="26"/>
  <c r="U19" i="26"/>
  <c r="D137" i="25"/>
  <c r="D143" i="25" s="1"/>
  <c r="Z32" i="26"/>
  <c r="Z36" i="26"/>
  <c r="Z40" i="26"/>
  <c r="Z33" i="26"/>
  <c r="Z37" i="26"/>
  <c r="Z41" i="26"/>
  <c r="Z30" i="26"/>
  <c r="Z35" i="26"/>
  <c r="Z34" i="26"/>
  <c r="Z38" i="26"/>
  <c r="Z31" i="26"/>
  <c r="Z39" i="26"/>
  <c r="I123" i="9" l="1"/>
  <c r="D74" i="9"/>
  <c r="D73" i="9"/>
  <c r="D72" i="9"/>
  <c r="A71" i="9"/>
  <c r="A72" i="9" s="1"/>
  <c r="A73" i="9" s="1"/>
  <c r="A74" i="9" s="1"/>
  <c r="A75" i="9" s="1"/>
  <c r="C65" i="9"/>
  <c r="C64" i="9"/>
  <c r="C63" i="9"/>
  <c r="C62" i="9"/>
  <c r="C61" i="9"/>
  <c r="C38" i="9"/>
  <c r="K35" i="9"/>
  <c r="I32" i="9"/>
  <c r="D71" i="9" l="1"/>
  <c r="D89" i="23"/>
  <c r="D78" i="9" s="1"/>
  <c r="C89" i="23"/>
  <c r="D76" i="9" s="1"/>
  <c r="I46" i="23"/>
  <c r="D57" i="9" s="1"/>
  <c r="H46" i="23"/>
  <c r="D56" i="9" s="1"/>
  <c r="G46" i="23"/>
  <c r="D55" i="9" s="1"/>
  <c r="F46" i="23"/>
  <c r="D54" i="9" s="1"/>
  <c r="E46" i="23"/>
  <c r="D53" i="9" s="1"/>
  <c r="I23" i="23"/>
  <c r="D84" i="9" s="1"/>
  <c r="H23" i="23"/>
  <c r="G23" i="23"/>
  <c r="D49" i="9" s="1"/>
  <c r="D221" i="25" s="1"/>
  <c r="F23" i="23"/>
  <c r="D48" i="9" s="1"/>
  <c r="E23" i="23"/>
  <c r="D47" i="9" s="1"/>
  <c r="D219" i="25" s="1"/>
  <c r="D23" i="23"/>
  <c r="D46" i="9" s="1"/>
  <c r="C23" i="23"/>
  <c r="D45" i="9" s="1"/>
  <c r="D217" i="25" s="1"/>
  <c r="H20" i="26" l="1"/>
  <c r="H24" i="26"/>
  <c r="H28" i="26"/>
  <c r="H32" i="26"/>
  <c r="H36" i="26"/>
  <c r="H40" i="26"/>
  <c r="H21" i="26"/>
  <c r="H25" i="26"/>
  <c r="H33" i="26"/>
  <c r="H41" i="26"/>
  <c r="H34" i="26"/>
  <c r="H19" i="26"/>
  <c r="D19" i="26" s="1"/>
  <c r="H23" i="26"/>
  <c r="H27" i="26"/>
  <c r="H31" i="26"/>
  <c r="H35" i="26"/>
  <c r="H39" i="26"/>
  <c r="H29" i="26"/>
  <c r="H37" i="26"/>
  <c r="H22" i="26"/>
  <c r="H26" i="26"/>
  <c r="H30" i="26"/>
  <c r="H38" i="26"/>
  <c r="H18" i="26"/>
  <c r="D18" i="26" s="1"/>
  <c r="D58" i="25"/>
  <c r="D220" i="25"/>
  <c r="I12" i="26"/>
  <c r="D62" i="25"/>
  <c r="D68" i="9"/>
  <c r="I68" i="9" s="1"/>
  <c r="H44" i="26" l="1"/>
  <c r="I18" i="26"/>
  <c r="E18" i="26" s="1"/>
  <c r="S18" i="26" s="1"/>
  <c r="I29" i="26"/>
  <c r="I19" i="26"/>
  <c r="E19" i="26" s="1"/>
  <c r="S19" i="26" s="1"/>
  <c r="I20" i="26"/>
  <c r="E20" i="26" s="1"/>
  <c r="S20" i="26" s="1"/>
  <c r="D20" i="26"/>
  <c r="C11" i="21"/>
  <c r="B10" i="21"/>
  <c r="A8" i="21"/>
  <c r="J18" i="26" l="1"/>
  <c r="D21" i="26"/>
  <c r="I21" i="26"/>
  <c r="E21" i="26" s="1"/>
  <c r="S21" i="26" s="1"/>
  <c r="A9" i="21"/>
  <c r="F18" i="26" l="1"/>
  <c r="J19" i="26"/>
  <c r="F19" i="26" s="1"/>
  <c r="D22" i="26"/>
  <c r="I22" i="26"/>
  <c r="E22" i="26" s="1"/>
  <c r="S22" i="26" s="1"/>
  <c r="A10" i="21"/>
  <c r="J20" i="26" l="1"/>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0" i="21" s="1"/>
  <c r="A21" i="21" s="1"/>
  <c r="A22" i="21" s="1"/>
  <c r="A23" i="21" s="1"/>
  <c r="A26" i="21" s="1"/>
  <c r="A27" i="21" s="1"/>
  <c r="A28" i="21" s="1"/>
  <c r="A29" i="21" s="1"/>
  <c r="A30" i="21" s="1"/>
  <c r="A31" i="21" s="1"/>
  <c r="A32" i="21" s="1"/>
  <c r="A33" i="21" s="1"/>
  <c r="A37" i="21" s="1"/>
  <c r="S42" i="26" l="1"/>
  <c r="J27" i="26"/>
  <c r="F27" i="26" s="1"/>
  <c r="D30" i="26"/>
  <c r="I30" i="26"/>
  <c r="E30" i="26" s="1"/>
  <c r="X30" i="26" s="1"/>
  <c r="E20" i="20"/>
  <c r="E21" i="20" s="1"/>
  <c r="A3" i="20"/>
  <c r="A3" i="3"/>
  <c r="A3" i="15"/>
  <c r="A3" i="16"/>
  <c r="A3" i="4"/>
  <c r="H51" i="4"/>
  <c r="I51" i="4"/>
  <c r="J51" i="4"/>
  <c r="H52" i="4"/>
  <c r="I52" i="4"/>
  <c r="J52" i="4"/>
  <c r="H53" i="4"/>
  <c r="I53" i="4"/>
  <c r="J53" i="4"/>
  <c r="I50" i="4"/>
  <c r="J50" i="4"/>
  <c r="H50" i="4"/>
  <c r="G51" i="4"/>
  <c r="G52" i="4"/>
  <c r="G53" i="4"/>
  <c r="G50" i="4"/>
  <c r="A8" i="4"/>
  <c r="A9" i="4" s="1"/>
  <c r="A10" i="4" s="1"/>
  <c r="A11"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J47" i="4"/>
  <c r="I47" i="4"/>
  <c r="H47" i="4"/>
  <c r="G47" i="4"/>
  <c r="F47" i="4"/>
  <c r="G11" i="4"/>
  <c r="G14" i="4" s="1"/>
  <c r="D31" i="16"/>
  <c r="D114" i="9" s="1"/>
  <c r="D24" i="27" s="1"/>
  <c r="D111" i="9"/>
  <c r="D25" i="16" l="1"/>
  <c r="D112" i="9"/>
  <c r="D117" i="9" s="1"/>
  <c r="D19" i="31"/>
  <c r="D26" i="31" s="1"/>
  <c r="J28" i="26"/>
  <c r="F28" i="26" s="1"/>
  <c r="D31" i="26"/>
  <c r="I31" i="26"/>
  <c r="E31" i="26" s="1"/>
  <c r="X31" i="26" s="1"/>
  <c r="D21" i="27"/>
  <c r="I22" i="9"/>
  <c r="D14" i="25"/>
  <c r="I14" i="25" s="1"/>
  <c r="J54" i="4"/>
  <c r="G54" i="4"/>
  <c r="H54" i="4"/>
  <c r="I54" i="4"/>
  <c r="D27" i="27" l="1"/>
  <c r="D28" i="31"/>
  <c r="D27" i="31"/>
  <c r="J29" i="26"/>
  <c r="F29" i="26" s="1"/>
  <c r="D32" i="26"/>
  <c r="I32" i="26"/>
  <c r="E32" i="26" s="1"/>
  <c r="X32" i="26" s="1"/>
  <c r="D29" i="31" l="1"/>
  <c r="D31" i="31" s="1"/>
  <c r="D30" i="31"/>
  <c r="D32" i="31" s="1"/>
  <c r="J30" i="26"/>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5" i="25" s="1"/>
  <c r="D119" i="25" s="1"/>
  <c r="I43" i="26"/>
  <c r="D45" i="25"/>
  <c r="F114" i="9"/>
  <c r="I210" i="9"/>
  <c r="I159" i="9"/>
  <c r="I94" i="9"/>
  <c r="K213" i="9"/>
  <c r="D216" i="9"/>
  <c r="G162" i="9"/>
  <c r="C165" i="9"/>
  <c r="C100" i="9"/>
  <c r="K97" i="9"/>
  <c r="D218" i="25" l="1"/>
  <c r="D222" i="25" s="1"/>
  <c r="D48" i="25"/>
  <c r="J40" i="26"/>
  <c r="F40" i="26" s="1"/>
  <c r="D198" i="9"/>
  <c r="G196" i="9" s="1"/>
  <c r="I194" i="9"/>
  <c r="D192" i="9"/>
  <c r="G191" i="9"/>
  <c r="G190" i="9"/>
  <c r="G188" i="9"/>
  <c r="I178" i="9"/>
  <c r="I170" i="9"/>
  <c r="D138" i="9"/>
  <c r="D135" i="9"/>
  <c r="F129" i="9"/>
  <c r="B122" i="9"/>
  <c r="B120" i="9"/>
  <c r="D87" i="9"/>
  <c r="I116" i="9"/>
  <c r="F112" i="9"/>
  <c r="D65" i="9"/>
  <c r="D229" i="25" s="1"/>
  <c r="D64" i="9"/>
  <c r="D228" i="25" s="1"/>
  <c r="D63" i="9"/>
  <c r="D227" i="25" s="1"/>
  <c r="D62" i="9"/>
  <c r="D61" i="9"/>
  <c r="D225" i="25" s="1"/>
  <c r="D58" i="9"/>
  <c r="F57" i="9"/>
  <c r="B57" i="9"/>
  <c r="B65" i="9" s="1"/>
  <c r="F56" i="9"/>
  <c r="B56" i="9"/>
  <c r="B64" i="9" s="1"/>
  <c r="F55" i="9"/>
  <c r="B55" i="9"/>
  <c r="B63" i="9" s="1"/>
  <c r="F54" i="9"/>
  <c r="F84" i="9" s="1"/>
  <c r="B54" i="9"/>
  <c r="B62" i="9" s="1"/>
  <c r="F53" i="9"/>
  <c r="B53" i="9"/>
  <c r="B61" i="9" s="1"/>
  <c r="D50" i="9"/>
  <c r="J41" i="26" l="1"/>
  <c r="F41" i="26" s="1"/>
  <c r="F44" i="26" s="1"/>
  <c r="D142" i="9"/>
  <c r="D149" i="9" s="1"/>
  <c r="I149" i="9" s="1"/>
  <c r="I165" i="25"/>
  <c r="I180" i="9"/>
  <c r="I182" i="9" s="1"/>
  <c r="D66" i="9"/>
  <c r="I173" i="9"/>
  <c r="I175" i="9" s="1"/>
  <c r="I78" i="9" l="1"/>
  <c r="I76" i="9"/>
  <c r="G9" i="39"/>
  <c r="H9" i="39" s="1"/>
  <c r="H8" i="39"/>
  <c r="I10" i="4"/>
  <c r="J10" i="4" s="1"/>
  <c r="C128" i="23"/>
  <c r="C129" i="23" s="1"/>
  <c r="D148" i="9"/>
  <c r="I183" i="9"/>
  <c r="I184" i="9" s="1"/>
  <c r="G10" i="39" s="1"/>
  <c r="E189" i="9"/>
  <c r="G189" i="9" s="1"/>
  <c r="G192" i="9" s="1"/>
  <c r="I192" i="9" s="1"/>
  <c r="J44" i="26"/>
  <c r="D51" i="25" s="1"/>
  <c r="D54" i="25" s="1"/>
  <c r="G46" i="9"/>
  <c r="G120" i="9"/>
  <c r="G84" i="9"/>
  <c r="G54" i="9"/>
  <c r="M11" i="30"/>
  <c r="O47" i="30" s="1"/>
  <c r="I203" i="9"/>
  <c r="I197" i="25" l="1"/>
  <c r="G109" i="9"/>
  <c r="G12" i="39"/>
  <c r="H12" i="39" s="1"/>
  <c r="H15" i="39"/>
  <c r="H10" i="39"/>
  <c r="E129" i="23"/>
  <c r="D128" i="23"/>
  <c r="D129" i="23" s="1"/>
  <c r="D57" i="25"/>
  <c r="D60" i="25" s="1"/>
  <c r="G48" i="9"/>
  <c r="G114" i="9"/>
  <c r="G129" i="9"/>
  <c r="G113" i="9"/>
  <c r="G56" i="9"/>
  <c r="G128" i="9"/>
  <c r="G111" i="9"/>
  <c r="G121" i="9"/>
  <c r="I198" i="25"/>
  <c r="G108" i="9"/>
  <c r="G107" i="9"/>
  <c r="G106" i="9"/>
  <c r="G112" i="9"/>
  <c r="G88" i="9"/>
  <c r="M11" i="29"/>
  <c r="O20" i="29" s="1"/>
  <c r="I11" i="30"/>
  <c r="K47" i="30" s="1"/>
  <c r="F47" i="30" s="1"/>
  <c r="I202" i="25" s="1"/>
  <c r="I204" i="9"/>
  <c r="I205" i="9" s="1"/>
  <c r="I11" i="29"/>
  <c r="I14" i="9"/>
  <c r="I196" i="9"/>
  <c r="K196" i="9" s="1"/>
  <c r="I46" i="9"/>
  <c r="I12" i="4" l="1"/>
  <c r="J12" i="4" s="1"/>
  <c r="E95" i="23"/>
  <c r="J11" i="4"/>
  <c r="G11" i="39"/>
  <c r="H11" i="39" s="1"/>
  <c r="K20" i="29"/>
  <c r="F20" i="29" s="1"/>
  <c r="K19" i="29"/>
  <c r="O37" i="29"/>
  <c r="F129" i="23"/>
  <c r="O38" i="29"/>
  <c r="O24" i="29"/>
  <c r="I199" i="25"/>
  <c r="D134" i="25" s="1"/>
  <c r="O31" i="29"/>
  <c r="O34" i="29"/>
  <c r="O29" i="29"/>
  <c r="O42" i="29"/>
  <c r="O33" i="29"/>
  <c r="O21" i="29"/>
  <c r="K34" i="29"/>
  <c r="D226" i="25"/>
  <c r="D230" i="25" s="1"/>
  <c r="K42" i="29"/>
  <c r="K26" i="29"/>
  <c r="O41" i="29"/>
  <c r="O35" i="29"/>
  <c r="O26" i="29"/>
  <c r="O30" i="29"/>
  <c r="O19" i="29"/>
  <c r="O39" i="29"/>
  <c r="O27" i="29"/>
  <c r="O25" i="29"/>
  <c r="O22" i="29"/>
  <c r="D139" i="9"/>
  <c r="K39" i="29"/>
  <c r="K31" i="29"/>
  <c r="K23" i="29"/>
  <c r="O40" i="29"/>
  <c r="O36" i="29"/>
  <c r="O28" i="29"/>
  <c r="O32" i="29"/>
  <c r="O23" i="29"/>
  <c r="K38" i="29"/>
  <c r="K30" i="29"/>
  <c r="K22" i="29"/>
  <c r="K35" i="29"/>
  <c r="K27" i="29"/>
  <c r="F27" i="29" s="1"/>
  <c r="G49" i="9"/>
  <c r="G115" i="9"/>
  <c r="G57" i="9"/>
  <c r="G122" i="9"/>
  <c r="K41" i="29"/>
  <c r="K37" i="29"/>
  <c r="K33" i="29"/>
  <c r="K29" i="29"/>
  <c r="K25" i="29"/>
  <c r="K21" i="29"/>
  <c r="K40" i="29"/>
  <c r="K36" i="29"/>
  <c r="K32" i="29"/>
  <c r="K28" i="29"/>
  <c r="K24" i="29"/>
  <c r="I48" i="9"/>
  <c r="I54" i="9"/>
  <c r="I62" i="9" s="1"/>
  <c r="I106" i="9"/>
  <c r="E96" i="23" l="1"/>
  <c r="F95" i="23"/>
  <c r="I49" i="9"/>
  <c r="I50" i="9" s="1"/>
  <c r="G50" i="9" s="1"/>
  <c r="I13" i="4"/>
  <c r="J13" i="4" s="1"/>
  <c r="J14" i="4" s="1"/>
  <c r="D13" i="9" s="1"/>
  <c r="F22" i="29"/>
  <c r="F32" i="29"/>
  <c r="F41" i="29"/>
  <c r="F37" i="29"/>
  <c r="D83" i="25"/>
  <c r="I83" i="25" s="1"/>
  <c r="F35" i="29"/>
  <c r="F30" i="29"/>
  <c r="F38" i="29"/>
  <c r="F26" i="29"/>
  <c r="F28" i="29"/>
  <c r="F21" i="29"/>
  <c r="F19" i="29"/>
  <c r="F34" i="29"/>
  <c r="F29" i="29"/>
  <c r="D88" i="9"/>
  <c r="F23" i="29"/>
  <c r="F24" i="29"/>
  <c r="F33" i="29"/>
  <c r="F31" i="29"/>
  <c r="F25" i="29"/>
  <c r="F42" i="29"/>
  <c r="F36" i="29"/>
  <c r="F39" i="29"/>
  <c r="F40" i="29"/>
  <c r="I112" i="9"/>
  <c r="I107" i="9"/>
  <c r="I108" i="9"/>
  <c r="I57" i="9"/>
  <c r="I56" i="9"/>
  <c r="I64" i="9" s="1"/>
  <c r="I120" i="9"/>
  <c r="I84" i="9"/>
  <c r="I65" i="9" l="1"/>
  <c r="E97" i="23"/>
  <c r="F96" i="23"/>
  <c r="D13" i="25"/>
  <c r="I13" i="25" s="1"/>
  <c r="I17" i="25" s="1"/>
  <c r="I13" i="9"/>
  <c r="I17" i="9" s="1"/>
  <c r="G13" i="39"/>
  <c r="H13" i="39" s="1"/>
  <c r="P13" i="26"/>
  <c r="P14" i="26" s="1"/>
  <c r="G71" i="9"/>
  <c r="G148" i="9"/>
  <c r="G80" i="9"/>
  <c r="G74" i="9"/>
  <c r="G73" i="9"/>
  <c r="G72" i="9"/>
  <c r="I88" i="9"/>
  <c r="G131" i="9"/>
  <c r="I131" i="9" s="1"/>
  <c r="I113" i="9"/>
  <c r="I114" i="9"/>
  <c r="I66" i="9"/>
  <c r="G66" i="9" s="1"/>
  <c r="G14" i="39" s="1"/>
  <c r="H14" i="39" s="1"/>
  <c r="I58" i="9"/>
  <c r="I122" i="9"/>
  <c r="I115" i="9"/>
  <c r="I133" i="9"/>
  <c r="I109" i="9"/>
  <c r="E98" i="23" l="1"/>
  <c r="F97" i="23"/>
  <c r="H16" i="39"/>
  <c r="D89" i="9" s="1"/>
  <c r="I71" i="9"/>
  <c r="D12" i="27"/>
  <c r="I121" i="9"/>
  <c r="I124" i="9" s="1"/>
  <c r="I111" i="9"/>
  <c r="I117" i="9" s="1"/>
  <c r="D84" i="25" l="1"/>
  <c r="I84" i="25" s="1"/>
  <c r="E99" i="23"/>
  <c r="F98" i="23"/>
  <c r="I89" i="9"/>
  <c r="D90" i="9"/>
  <c r="I87" i="9"/>
  <c r="I80" i="9"/>
  <c r="I148" i="9"/>
  <c r="E24" i="27"/>
  <c r="E19" i="27"/>
  <c r="E25" i="27"/>
  <c r="E26" i="27"/>
  <c r="E21" i="27"/>
  <c r="E17" i="27"/>
  <c r="E18" i="27"/>
  <c r="E33" i="27"/>
  <c r="E16" i="27"/>
  <c r="E37" i="27"/>
  <c r="E35" i="27"/>
  <c r="E32" i="27"/>
  <c r="E36" i="27"/>
  <c r="I129" i="9"/>
  <c r="I128" i="9"/>
  <c r="F99" i="23" l="1"/>
  <c r="E100" i="23"/>
  <c r="I90" i="9"/>
  <c r="D140" i="25"/>
  <c r="D146" i="9"/>
  <c r="I72" i="9"/>
  <c r="I75" i="9"/>
  <c r="I74" i="9"/>
  <c r="I73" i="9"/>
  <c r="I135" i="9"/>
  <c r="F100" i="23" l="1"/>
  <c r="E101" i="23"/>
  <c r="D141" i="25"/>
  <c r="D145" i="25" s="1"/>
  <c r="I145" i="25" s="1"/>
  <c r="D150" i="9"/>
  <c r="E102" i="23" l="1"/>
  <c r="F101" i="23"/>
  <c r="I150" i="9"/>
  <c r="F102" i="23" l="1"/>
  <c r="E103" i="23"/>
  <c r="I168" i="25"/>
  <c r="I170" i="25" s="1"/>
  <c r="F103" i="23" l="1"/>
  <c r="F104" i="23" s="1"/>
  <c r="D79" i="9" s="1"/>
  <c r="E104" i="23"/>
  <c r="I73" i="25"/>
  <c r="I62" i="25"/>
  <c r="I71" i="25"/>
  <c r="G66" i="25"/>
  <c r="G218" i="25"/>
  <c r="I218" i="25" s="1"/>
  <c r="G115" i="25"/>
  <c r="G51" i="25"/>
  <c r="G45" i="25"/>
  <c r="G79" i="25"/>
  <c r="I178" i="25"/>
  <c r="E184" i="25"/>
  <c r="G184" i="25" s="1"/>
  <c r="G187" i="25" s="1"/>
  <c r="I187" i="25" s="1"/>
  <c r="D82" i="9" l="1"/>
  <c r="D92" i="9" s="1"/>
  <c r="D154" i="9" s="1"/>
  <c r="D147" i="9" s="1"/>
  <c r="D151" i="9" s="1"/>
  <c r="D156" i="9" s="1"/>
  <c r="D74" i="25"/>
  <c r="I74" i="25" s="1"/>
  <c r="I79" i="9"/>
  <c r="I82" i="9" s="1"/>
  <c r="I92" i="9" s="1"/>
  <c r="I154" i="9" s="1"/>
  <c r="I147" i="9" s="1"/>
  <c r="I151" i="9" s="1"/>
  <c r="I156" i="9" s="1"/>
  <c r="G226" i="25"/>
  <c r="I226" i="25" s="1"/>
  <c r="G220" i="25"/>
  <c r="I220" i="25" s="1"/>
  <c r="G109" i="25"/>
  <c r="G104" i="25"/>
  <c r="G108" i="25"/>
  <c r="G52" i="25"/>
  <c r="G106" i="25"/>
  <c r="G46" i="25"/>
  <c r="I51" i="25"/>
  <c r="I45" i="25"/>
  <c r="I191" i="25"/>
  <c r="K191" i="25" s="1"/>
  <c r="I115" i="25"/>
  <c r="I79" i="25"/>
  <c r="I10" i="9" l="1"/>
  <c r="I19" i="9" s="1"/>
  <c r="D25" i="9" s="1"/>
  <c r="G47" i="25"/>
  <c r="I47" i="25" s="1"/>
  <c r="G53" i="25"/>
  <c r="I53" i="25" s="1"/>
  <c r="G228" i="25"/>
  <c r="I228" i="25" s="1"/>
  <c r="G110" i="25"/>
  <c r="G221" i="25"/>
  <c r="I57" i="25"/>
  <c r="I46" i="25"/>
  <c r="D27" i="9" l="1"/>
  <c r="D26" i="9"/>
  <c r="D29" i="9"/>
  <c r="I48" i="25"/>
  <c r="I59" i="25"/>
  <c r="G229" i="25"/>
  <c r="I221" i="25"/>
  <c r="I222" i="25" s="1"/>
  <c r="G222" i="25" s="1"/>
  <c r="Q13" i="26" s="1"/>
  <c r="Q14" i="26" s="1"/>
  <c r="Q30" i="26" s="1"/>
  <c r="W30" i="26" s="1"/>
  <c r="I52" i="25"/>
  <c r="D31" i="9" l="1"/>
  <c r="D28" i="9"/>
  <c r="I58" i="25"/>
  <c r="I60" i="25" s="1"/>
  <c r="I54" i="25"/>
  <c r="G143" i="25"/>
  <c r="G75" i="25"/>
  <c r="G68" i="25"/>
  <c r="G67" i="25"/>
  <c r="G65" i="25"/>
  <c r="I65" i="25" s="1"/>
  <c r="J99" i="37"/>
  <c r="J100" i="37" s="1"/>
  <c r="I229" i="25"/>
  <c r="I230" i="25" s="1"/>
  <c r="G230" i="25" s="1"/>
  <c r="G60" i="25" s="1"/>
  <c r="G126" i="25"/>
  <c r="G48" i="25"/>
  <c r="G116" i="25"/>
  <c r="G117" i="25"/>
  <c r="I117" i="25" s="1"/>
  <c r="D30" i="9" l="1"/>
  <c r="I75" i="25"/>
  <c r="F13" i="27"/>
  <c r="F24" i="27" s="1"/>
  <c r="D109" i="25" s="1"/>
  <c r="D108" i="25"/>
  <c r="I116" i="25"/>
  <c r="I119" i="25" s="1"/>
  <c r="G123" i="25"/>
  <c r="P27" i="26" l="1"/>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H93" i="37" s="1"/>
  <c r="I93" i="37" s="1"/>
  <c r="Q35" i="26"/>
  <c r="W35" i="26" s="1"/>
  <c r="Y35" i="26" s="1"/>
  <c r="AA35" i="26" s="1"/>
  <c r="H89" i="37" s="1"/>
  <c r="I89" i="37" s="1"/>
  <c r="Q31" i="26"/>
  <c r="W31" i="26" s="1"/>
  <c r="Y31" i="26" s="1"/>
  <c r="AA31" i="26" s="1"/>
  <c r="H85" i="37" s="1"/>
  <c r="I85" i="37" s="1"/>
  <c r="Q38" i="26"/>
  <c r="W38" i="26" s="1"/>
  <c r="Y38" i="26" s="1"/>
  <c r="AA38" i="26" s="1"/>
  <c r="H92" i="37" s="1"/>
  <c r="I92" i="37" s="1"/>
  <c r="Q34" i="26"/>
  <c r="W34" i="26" s="1"/>
  <c r="Y34" i="26" s="1"/>
  <c r="AA34" i="26" s="1"/>
  <c r="H88" i="37" s="1"/>
  <c r="I88" i="37" s="1"/>
  <c r="Q41" i="26"/>
  <c r="W41" i="26" s="1"/>
  <c r="Y41" i="26" s="1"/>
  <c r="AA41" i="26" s="1"/>
  <c r="H95" i="37" s="1"/>
  <c r="I95" i="37" s="1"/>
  <c r="Q37" i="26"/>
  <c r="W37" i="26" s="1"/>
  <c r="Y37" i="26" s="1"/>
  <c r="AA37" i="26" s="1"/>
  <c r="H91" i="37" s="1"/>
  <c r="I91" i="37" s="1"/>
  <c r="Q33" i="26"/>
  <c r="W33" i="26" s="1"/>
  <c r="Y33" i="26" s="1"/>
  <c r="AA33" i="26" s="1"/>
  <c r="H87" i="37" s="1"/>
  <c r="I87" i="37" s="1"/>
  <c r="Q40" i="26"/>
  <c r="W40" i="26" s="1"/>
  <c r="Y40" i="26" s="1"/>
  <c r="AA40" i="26" s="1"/>
  <c r="H94" i="37" s="1"/>
  <c r="I94" i="37" s="1"/>
  <c r="Q36" i="26"/>
  <c r="W36" i="26" s="1"/>
  <c r="Y36" i="26" s="1"/>
  <c r="AA36" i="26" s="1"/>
  <c r="H90" i="37" s="1"/>
  <c r="I90" i="37" s="1"/>
  <c r="Q32" i="26"/>
  <c r="W32" i="26" s="1"/>
  <c r="Y32" i="26" s="1"/>
  <c r="AA32" i="26" s="1"/>
  <c r="H86" i="37" s="1"/>
  <c r="I86" i="37" s="1"/>
  <c r="F33" i="27"/>
  <c r="D124" i="25" s="1"/>
  <c r="F37" i="27"/>
  <c r="D128" i="25" s="1"/>
  <c r="I128" i="25" s="1"/>
  <c r="F19" i="27"/>
  <c r="D104" i="25" s="1"/>
  <c r="I104" i="25" s="1"/>
  <c r="F32" i="27"/>
  <c r="D123" i="25" s="1"/>
  <c r="F18" i="27"/>
  <c r="D103" i="25" s="1"/>
  <c r="F17" i="27"/>
  <c r="D102" i="25" s="1"/>
  <c r="F35" i="27"/>
  <c r="D126" i="25" s="1"/>
  <c r="I126" i="25" s="1"/>
  <c r="F16" i="27"/>
  <c r="F26" i="27"/>
  <c r="D111" i="25" s="1"/>
  <c r="I111" i="25" s="1"/>
  <c r="F36" i="27"/>
  <c r="D127" i="25" s="1"/>
  <c r="F25" i="27"/>
  <c r="D110" i="25" s="1"/>
  <c r="I110" i="25" s="1"/>
  <c r="F21" i="27"/>
  <c r="D106" i="25" s="1"/>
  <c r="I106" i="25" s="1"/>
  <c r="D107" i="25"/>
  <c r="I143" i="25"/>
  <c r="G124" i="25"/>
  <c r="F27" i="27" l="1"/>
  <c r="V18" i="26"/>
  <c r="T42" i="26"/>
  <c r="V42" i="26" s="1"/>
  <c r="W42" i="26"/>
  <c r="Y30" i="26"/>
  <c r="R42" i="26"/>
  <c r="P42" i="26"/>
  <c r="Q42" i="26"/>
  <c r="I124" i="25"/>
  <c r="D101" i="25"/>
  <c r="F39" i="27"/>
  <c r="D130" i="25"/>
  <c r="I123" i="25"/>
  <c r="I70" i="25"/>
  <c r="I67" i="25"/>
  <c r="I173" i="25" l="1"/>
  <c r="I175" i="25" s="1"/>
  <c r="I177" i="25" s="1"/>
  <c r="I179" i="25" s="1"/>
  <c r="G102" i="25" s="1"/>
  <c r="D112" i="25"/>
  <c r="D82" i="25" s="1"/>
  <c r="D85" i="25" s="1"/>
  <c r="J101" i="37"/>
  <c r="J102" i="37" s="1"/>
  <c r="AA30" i="26"/>
  <c r="H84" i="37" s="1"/>
  <c r="Y42" i="26"/>
  <c r="I130" i="25"/>
  <c r="G103" i="25" l="1"/>
  <c r="G107" i="25"/>
  <c r="G101" i="25"/>
  <c r="I101" i="25" s="1"/>
  <c r="H96" i="37"/>
  <c r="I84" i="37"/>
  <c r="AA42" i="26"/>
  <c r="J84" i="37" l="1"/>
  <c r="J85" i="37" s="1"/>
  <c r="J86" i="37" s="1"/>
  <c r="J87" i="37" s="1"/>
  <c r="J88" i="37" s="1"/>
  <c r="J89" i="37" s="1"/>
  <c r="J90" i="37" s="1"/>
  <c r="J91" i="37" s="1"/>
  <c r="J92" i="37" s="1"/>
  <c r="J93" i="37" s="1"/>
  <c r="J94" i="37" s="1"/>
  <c r="J95" i="37" s="1"/>
  <c r="J103" i="37" s="1"/>
  <c r="J104" i="37" s="1"/>
  <c r="I96" i="37"/>
  <c r="I102" i="25"/>
  <c r="I103" i="25"/>
  <c r="I107" i="25"/>
  <c r="J106" i="37" l="1"/>
  <c r="D66" i="25" s="1"/>
  <c r="I109" i="25"/>
  <c r="I108" i="25"/>
  <c r="I112" i="25" l="1"/>
  <c r="I82" i="25" s="1"/>
  <c r="I85" i="25" s="1"/>
  <c r="I66" i="25" l="1"/>
  <c r="D144" i="25" l="1"/>
  <c r="I144" i="25" s="1"/>
  <c r="I152" i="37" l="1"/>
  <c r="J152" i="37" s="1"/>
  <c r="I13" i="37"/>
  <c r="I153" i="37" l="1"/>
  <c r="J153" i="37" s="1"/>
  <c r="I14" i="37"/>
  <c r="I12" i="37"/>
  <c r="I15" i="37" l="1"/>
  <c r="I154" i="37"/>
  <c r="J154" i="37" s="1"/>
  <c r="J12" i="37"/>
  <c r="J13" i="37" s="1"/>
  <c r="J14" i="37" s="1"/>
  <c r="J15" i="37" l="1"/>
  <c r="I155" i="37"/>
  <c r="J155" i="37" s="1"/>
  <c r="I16" i="37"/>
  <c r="J16" i="37" l="1"/>
  <c r="I156" i="37"/>
  <c r="J156" i="37" s="1"/>
  <c r="I17" i="37"/>
  <c r="J17" i="37" l="1"/>
  <c r="I18" i="37"/>
  <c r="I157" i="37"/>
  <c r="J157" i="37" s="1"/>
  <c r="I19" i="37"/>
  <c r="I158" i="37" l="1"/>
  <c r="J158" i="37" s="1"/>
  <c r="J18" i="37"/>
  <c r="J19" i="37" s="1"/>
  <c r="I159" i="37"/>
  <c r="I20" i="37"/>
  <c r="J20" i="37" l="1"/>
  <c r="J159" i="37"/>
  <c r="I160" i="37"/>
  <c r="I21" i="37"/>
  <c r="J21" i="37" l="1"/>
  <c r="J160" i="37"/>
  <c r="I22" i="37"/>
  <c r="I161" i="37"/>
  <c r="J161" i="37" l="1"/>
  <c r="J22" i="37"/>
  <c r="I162" i="37"/>
  <c r="J162" i="37" l="1"/>
  <c r="I23" i="37"/>
  <c r="H24" i="37"/>
  <c r="I163" i="37"/>
  <c r="J163" i="37" s="1"/>
  <c r="H164" i="37"/>
  <c r="I24" i="37" l="1"/>
  <c r="J23" i="37"/>
  <c r="J32" i="37" s="1"/>
  <c r="J33" i="37" s="1"/>
  <c r="I164" i="37"/>
  <c r="J170" i="37"/>
  <c r="J171" i="37" s="1"/>
  <c r="J173" i="37" s="1"/>
  <c r="I68" i="25" l="1"/>
  <c r="J35" i="37"/>
  <c r="D69" i="25" s="1"/>
  <c r="J175" i="37"/>
  <c r="I69" i="25" l="1"/>
  <c r="D76" i="25"/>
  <c r="D77" i="25" s="1"/>
  <c r="I76" i="25" l="1"/>
  <c r="I77" i="25" s="1"/>
  <c r="I87" i="25" s="1"/>
  <c r="D87" i="25"/>
  <c r="D149" i="25" s="1"/>
  <c r="D142" i="25" s="1"/>
  <c r="D146" i="25" s="1"/>
  <c r="D151" i="25" s="1"/>
  <c r="I149" i="25" l="1"/>
  <c r="I142" i="25" s="1"/>
  <c r="I146" i="25" l="1"/>
  <c r="I151" i="25" s="1"/>
  <c r="I10" i="25" s="1"/>
  <c r="I19" i="25" s="1"/>
  <c r="D25" i="25" s="1"/>
  <c r="D26" i="25" s="1"/>
  <c r="D27" i="25" l="1"/>
  <c r="D29" i="25" s="1"/>
  <c r="D31" i="25" s="1"/>
  <c r="D28" i="25" l="1"/>
  <c r="D30" i="25" s="1"/>
</calcChain>
</file>

<file path=xl/sharedStrings.xml><?xml version="1.0" encoding="utf-8"?>
<sst xmlns="http://schemas.openxmlformats.org/spreadsheetml/2006/main" count="2584" uniqueCount="1268">
  <si>
    <t xml:space="preserve">Formula Rate - Non-Levelized </t>
  </si>
  <si>
    <t xml:space="preserve">     Rate Formula Template</t>
  </si>
  <si>
    <t xml:space="preserve"> </t>
  </si>
  <si>
    <t xml:space="preserve"> Utilizing FERC Form 1 Data</t>
  </si>
  <si>
    <t>Line</t>
  </si>
  <si>
    <t>Allocated</t>
  </si>
  <si>
    <t>No.</t>
  </si>
  <si>
    <t>Amount</t>
  </si>
  <si>
    <t xml:space="preserve">REVENUE CREDITS </t>
  </si>
  <si>
    <t>Total</t>
  </si>
  <si>
    <t>Allocator</t>
  </si>
  <si>
    <t>TP</t>
  </si>
  <si>
    <t xml:space="preserve">  Account No. 454</t>
  </si>
  <si>
    <t>NET REVENUE REQUIREMENT</t>
  </si>
  <si>
    <t xml:space="preserve">DIVISOR </t>
  </si>
  <si>
    <t>(1)</t>
  </si>
  <si>
    <t>(2)</t>
  </si>
  <si>
    <t>(3)</t>
  </si>
  <si>
    <t>(4)</t>
  </si>
  <si>
    <t>(5)</t>
  </si>
  <si>
    <t>Form No. 1</t>
  </si>
  <si>
    <t>Transmission</t>
  </si>
  <si>
    <t>Page, Line, Col.</t>
  </si>
  <si>
    <t>Company Total</t>
  </si>
  <si>
    <t xml:space="preserve">                  Allocator</t>
  </si>
  <si>
    <t>(Col 3 times Col 4)</t>
  </si>
  <si>
    <t xml:space="preserve">  Production</t>
  </si>
  <si>
    <t>NA</t>
  </si>
  <si>
    <t xml:space="preserve">  Transmission</t>
  </si>
  <si>
    <t xml:space="preserve">  Distribution</t>
  </si>
  <si>
    <t xml:space="preserve">  General &amp; Intangible</t>
  </si>
  <si>
    <t>W/S</t>
  </si>
  <si>
    <t>GP=</t>
  </si>
  <si>
    <t>NP=</t>
  </si>
  <si>
    <t xml:space="preserve">LAND HELD FOR FUTURE USE </t>
  </si>
  <si>
    <t>TE</t>
  </si>
  <si>
    <t>GP</t>
  </si>
  <si>
    <t xml:space="preserve">  Transmission </t>
  </si>
  <si>
    <t xml:space="preserve">     Less Account 565</t>
  </si>
  <si>
    <t xml:space="preserve">  A&amp;G</t>
  </si>
  <si>
    <t xml:space="preserve">  Transmission Lease Payments</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</si>
  <si>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</si>
  <si>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</si>
  <si>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</si>
  <si>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</si>
  <si>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</si>
  <si>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</si>
  <si>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</si>
  <si>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INCOME TAXES          </t>
  </si>
  <si>
    <t xml:space="preserve">RETURN </t>
  </si>
  <si>
    <t xml:space="preserve">TRANSMISSION EXPENSES </t>
  </si>
  <si>
    <t>TE=</t>
  </si>
  <si>
    <t>TP=</t>
  </si>
  <si>
    <t>WAGES &amp; SALARY ALLOCATOR   (W&amp;S)</t>
  </si>
  <si>
    <t>Form 1 Reference</t>
  </si>
  <si>
    <t>$</t>
  </si>
  <si>
    <t>Allocation</t>
  </si>
  <si>
    <t>W&amp;S Allocator</t>
  </si>
  <si>
    <t xml:space="preserve">  Other</t>
  </si>
  <si>
    <t>($ / Allocation)</t>
  </si>
  <si>
    <t>=</t>
  </si>
  <si>
    <t>% Electric</t>
  </si>
  <si>
    <t xml:space="preserve">  Electric</t>
  </si>
  <si>
    <t>200.3.c</t>
  </si>
  <si>
    <t>(line 17 / line 20)</t>
  </si>
  <si>
    <t>(line 16)</t>
  </si>
  <si>
    <t xml:space="preserve">  Gas</t>
  </si>
  <si>
    <t>*</t>
  </si>
  <si>
    <t>RETURN (R)</t>
  </si>
  <si>
    <t>Cost</t>
  </si>
  <si>
    <t>%</t>
  </si>
  <si>
    <t>Weighted</t>
  </si>
  <si>
    <t>=WCLTD</t>
  </si>
  <si>
    <t>=R</t>
  </si>
  <si>
    <t>Note</t>
  </si>
  <si>
    <t>Letter</t>
  </si>
  <si>
    <t>A</t>
  </si>
  <si>
    <t>B</t>
  </si>
  <si>
    <t>C</t>
  </si>
  <si>
    <t>D</t>
  </si>
  <si>
    <t>E</t>
  </si>
  <si>
    <t>F</t>
  </si>
  <si>
    <t>G</t>
  </si>
  <si>
    <t>I</t>
  </si>
  <si>
    <t>J</t>
  </si>
  <si>
    <t>K</t>
  </si>
  <si>
    <t>R</t>
  </si>
  <si>
    <t>Includes income related only to transmission facilities, such as pole attachments, rentals and special use.</t>
  </si>
  <si>
    <t>TOTAL REVENUE CREDITS  (sum lines 2-5)</t>
  </si>
  <si>
    <t>Total Income Taxes</t>
  </si>
  <si>
    <t>FIT =</t>
  </si>
  <si>
    <t>SIT=</t>
  </si>
  <si>
    <t xml:space="preserve">  (State Income Tax Rate or Composite SIT)</t>
  </si>
  <si>
    <t>p =</t>
  </si>
  <si>
    <t xml:space="preserve">  (percent of federal income tax deductible for state purposes)</t>
  </si>
  <si>
    <t xml:space="preserve">     T=1 - {[(1 - SIT) * (1 - FIT)] / (1 - SIT * FIT * p)} =</t>
  </si>
  <si>
    <t xml:space="preserve">      1 / (1 - T)  = (from line 21)</t>
  </si>
  <si>
    <t>WS</t>
  </si>
  <si>
    <t xml:space="preserve">  CWC  </t>
  </si>
  <si>
    <t>5a</t>
  </si>
  <si>
    <t>263.i</t>
  </si>
  <si>
    <t>201.3.d</t>
  </si>
  <si>
    <t xml:space="preserve">  Account No. 456.1</t>
  </si>
  <si>
    <t>321.112.b</t>
  </si>
  <si>
    <t>321.96.b</t>
  </si>
  <si>
    <t>323.197.b</t>
  </si>
  <si>
    <t>354.20.b</t>
  </si>
  <si>
    <t>354.21.b</t>
  </si>
  <si>
    <t>354.23.b</t>
  </si>
  <si>
    <t>References to data from FERC Form 1 are indicated as:   #.y.x  (page, line, column)</t>
  </si>
  <si>
    <t>General Note:   References to pages in this formulary rate are indicated as:  (page#, line#, col.#)</t>
  </si>
  <si>
    <t>354.24, 25, 26.b</t>
  </si>
  <si>
    <t>Rate Formula Template</t>
  </si>
  <si>
    <t>Utilizing FERC Form 1 Data</t>
  </si>
  <si>
    <t xml:space="preserve">  General &amp; Intangible </t>
  </si>
  <si>
    <t>Plant in Service, Accumulated Depreciation, and Depreciation Expense amounts exclude Asset Retirement Obligation amounts unless authorized by FERC.</t>
  </si>
  <si>
    <t>TRANSMISSION PLANT INCLUDED IN RATES</t>
  </si>
  <si>
    <t>(Note H)</t>
  </si>
  <si>
    <t xml:space="preserve">  Account No. 281 (enter negative)</t>
  </si>
  <si>
    <t xml:space="preserve">  Account No. 282 (enter negative)</t>
  </si>
  <si>
    <t xml:space="preserve">  Account No. 283 (enter negative)</t>
  </si>
  <si>
    <t xml:space="preserve">  Account No. 190 </t>
  </si>
  <si>
    <t xml:space="preserve">  FAS 109 Adjustment</t>
  </si>
  <si>
    <t xml:space="preserve">  Prepayments (Account 165)</t>
  </si>
  <si>
    <t>SUPPORTING CALCULATIONS AND NOTES</t>
  </si>
  <si>
    <t>Plant Type</t>
  </si>
  <si>
    <t xml:space="preserve">NET PLANT IN SERVICE  </t>
  </si>
  <si>
    <t xml:space="preserve">WORKING CAPITAL </t>
  </si>
  <si>
    <t xml:space="preserve">  Materials &amp; Supplies </t>
  </si>
  <si>
    <t xml:space="preserve">     Less Account 561</t>
  </si>
  <si>
    <t>2a</t>
  </si>
  <si>
    <t xml:space="preserve">O&amp;M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</si>
  <si>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</si>
  <si>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5b</t>
  </si>
  <si>
    <t>5c</t>
  </si>
  <si>
    <t>Depreciation Rates</t>
  </si>
  <si>
    <t>Rates</t>
  </si>
  <si>
    <t>Line #</t>
  </si>
  <si>
    <t>(a)</t>
  </si>
  <si>
    <t>(b)</t>
  </si>
  <si>
    <t>(c)</t>
  </si>
  <si>
    <t>(d)</t>
  </si>
  <si>
    <t>(e)</t>
  </si>
  <si>
    <t>(f)</t>
  </si>
  <si>
    <t>(g)</t>
  </si>
  <si>
    <t>(h)</t>
  </si>
  <si>
    <t>January</t>
  </si>
  <si>
    <t>February</t>
  </si>
  <si>
    <t>April</t>
  </si>
  <si>
    <t>May</t>
  </si>
  <si>
    <t>June</t>
  </si>
  <si>
    <t>July</t>
  </si>
  <si>
    <t>September</t>
  </si>
  <si>
    <t>October</t>
  </si>
  <si>
    <t>November</t>
  </si>
  <si>
    <t>Notes</t>
  </si>
  <si>
    <t>Network</t>
  </si>
  <si>
    <t xml:space="preserve">Service </t>
  </si>
  <si>
    <t xml:space="preserve">Type </t>
  </si>
  <si>
    <t>Description</t>
  </si>
  <si>
    <t>Type</t>
  </si>
  <si>
    <t>(i)</t>
  </si>
  <si>
    <t>(j)</t>
  </si>
  <si>
    <t>Credit</t>
  </si>
  <si>
    <t>Divisor</t>
  </si>
  <si>
    <t>Ancillary</t>
  </si>
  <si>
    <t>Summarized by Type:</t>
  </si>
  <si>
    <t>Other</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</si>
  <si>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</si>
  <si>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</si>
  <si>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</si>
  <si>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Accumulated Deferred Income Taxes</t>
  </si>
  <si>
    <t>Notes:</t>
  </si>
  <si>
    <t>Administrative and General Expenses</t>
  </si>
  <si>
    <t>EPRI Annual Membership Dues</t>
  </si>
  <si>
    <t>335.1.b</t>
  </si>
  <si>
    <t>Regulatory Commission Expenses</t>
  </si>
  <si>
    <t>323.189.b</t>
  </si>
  <si>
    <t>Account No. 930.1</t>
  </si>
  <si>
    <t>323.191.b</t>
  </si>
  <si>
    <t>Transmission Related Regulatory Expense</t>
  </si>
  <si>
    <t>Account No. 920</t>
  </si>
  <si>
    <t>Account No. 926</t>
  </si>
  <si>
    <t>Adjustments</t>
  </si>
  <si>
    <t>454- Rent From Electric Property</t>
  </si>
  <si>
    <t>Rental Income on Transmission Facilities</t>
  </si>
  <si>
    <t>Rental Income on Other Facilities</t>
  </si>
  <si>
    <t>FERC Acct</t>
  </si>
  <si>
    <t>Revenue Credits</t>
  </si>
  <si>
    <t>Transm</t>
  </si>
  <si>
    <t>PTP</t>
  </si>
  <si>
    <t>Trans</t>
  </si>
  <si>
    <t>Adjd Total</t>
  </si>
  <si>
    <t>Page 1</t>
  </si>
  <si>
    <t>Page 2</t>
  </si>
  <si>
    <t>Page 3</t>
  </si>
  <si>
    <t>Page 4</t>
  </si>
  <si>
    <t>/kW-year</t>
  </si>
  <si>
    <t>/kW-month</t>
  </si>
  <si>
    <t>/kW-week</t>
  </si>
  <si>
    <t>6 days/week</t>
  </si>
  <si>
    <t>/kW-day</t>
  </si>
  <si>
    <t>7 days/week</t>
  </si>
  <si>
    <t>16 hours/day</t>
  </si>
  <si>
    <t>24 hours/day</t>
  </si>
  <si>
    <t>RATES</t>
  </si>
  <si>
    <t xml:space="preserve">   Divisor (kW)</t>
  </si>
  <si>
    <t xml:space="preserve">   Annual</t>
  </si>
  <si>
    <t xml:space="preserve">   Monthly</t>
  </si>
  <si>
    <t xml:space="preserve">   Weekly</t>
  </si>
  <si>
    <t xml:space="preserve">   Daily On-Peak</t>
  </si>
  <si>
    <t xml:space="preserve">   Daily Off-Peak</t>
  </si>
  <si>
    <t xml:space="preserve">   Hourly On-Peak</t>
  </si>
  <si>
    <t xml:space="preserve">   Hourly Off-Peak</t>
  </si>
  <si>
    <t>EPRI &amp; Reg. Comm. Exp. &amp; Non-safety Ad.</t>
  </si>
  <si>
    <t xml:space="preserve">Transmission Related Regulatory Expense   </t>
  </si>
  <si>
    <t>(Note J)</t>
  </si>
  <si>
    <t>Timeline</t>
  </si>
  <si>
    <t>Step</t>
  </si>
  <si>
    <t>Month</t>
  </si>
  <si>
    <t>Year</t>
  </si>
  <si>
    <t>Action</t>
  </si>
  <si>
    <t>Oct</t>
  </si>
  <si>
    <t>Year 0</t>
  </si>
  <si>
    <t>Post results of Step 1</t>
  </si>
  <si>
    <t>Jan</t>
  </si>
  <si>
    <t>Year 1</t>
  </si>
  <si>
    <t>Results of Step 2 go into effect.</t>
  </si>
  <si>
    <t>Post results of Step 4</t>
  </si>
  <si>
    <t>Year 2</t>
  </si>
  <si>
    <t>Results of Step 5 go into effect.</t>
  </si>
  <si>
    <t>Jun</t>
  </si>
  <si>
    <t>Calculate  the difference between the formula rate calculated in Step 7 and Step 1</t>
  </si>
  <si>
    <t>Post results from Step 7 and Step 8</t>
  </si>
  <si>
    <t>Post results of Step 10</t>
  </si>
  <si>
    <t>Total Rev. Req.</t>
  </si>
  <si>
    <t>Actual Revenue Requirements from Step 7</t>
  </si>
  <si>
    <t>Table of Contents</t>
  </si>
  <si>
    <t>Overview</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</si>
  <si>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</si>
  <si>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 xml:space="preserve">                                                                                      </t>
  </si>
  <si>
    <t>Tab</t>
  </si>
  <si>
    <t>Schedule/Worksheet Designation</t>
  </si>
  <si>
    <t>Date to be Posted</t>
  </si>
  <si>
    <t>Actual revenue credits</t>
  </si>
  <si>
    <t>TU (True-up)</t>
  </si>
  <si>
    <t>Worksheet TU</t>
  </si>
  <si>
    <t>Projected transmission plant for next calendar year</t>
  </si>
  <si>
    <t>Projected expenses and revenue credits for next calendar year</t>
  </si>
  <si>
    <t>Projected transmission load for next calendar year</t>
  </si>
  <si>
    <t>CWIP</t>
  </si>
  <si>
    <t>LHFFU</t>
  </si>
  <si>
    <t>Line No</t>
  </si>
  <si>
    <t>Production</t>
  </si>
  <si>
    <t>Distribution</t>
  </si>
  <si>
    <t>General &amp; Intangible</t>
  </si>
  <si>
    <t>CWIP (Note C)</t>
  </si>
  <si>
    <t>Land Held for Future Use</t>
  </si>
  <si>
    <t xml:space="preserve">  Materials &amp; Supplies</t>
  </si>
  <si>
    <t>FN1 Reference for Dec</t>
  </si>
  <si>
    <t>December Prior Year</t>
  </si>
  <si>
    <t xml:space="preserve">March </t>
  </si>
  <si>
    <t xml:space="preserve">August </t>
  </si>
  <si>
    <t xml:space="preserve">December </t>
  </si>
  <si>
    <t xml:space="preserve">Average of the 13 Monthly Balances </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</si>
  <si>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</si>
  <si>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</si>
  <si>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</si>
  <si>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</si>
  <si>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</si>
  <si>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</si>
  <si>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Notes A &amp; E</t>
  </si>
  <si>
    <t>Average of the 13 Monthly Balances -</t>
  </si>
  <si>
    <t>Unfunded Reserves    (Note G)</t>
  </si>
  <si>
    <t>List of all reserves:</t>
  </si>
  <si>
    <t>…</t>
  </si>
  <si>
    <t>Page 5</t>
  </si>
  <si>
    <t>M</t>
  </si>
  <si>
    <t>(Note M)</t>
  </si>
  <si>
    <t>Rate Base Worksheet</t>
  </si>
  <si>
    <t>(Sum of Lines 1 through 5)</t>
  </si>
  <si>
    <t>TOTAL GROSS PLANT</t>
  </si>
  <si>
    <t>(Sum of Lines 7 through 11)</t>
  </si>
  <si>
    <t>TOTAL ACCUM. DEPRECIATION</t>
  </si>
  <si>
    <t>(Sum of Lines 13 through 17)</t>
  </si>
  <si>
    <t xml:space="preserve">TOTAL NET PLANT </t>
  </si>
  <si>
    <t>18a</t>
  </si>
  <si>
    <t xml:space="preserve">  CWIP Approved by FERC Order</t>
  </si>
  <si>
    <t xml:space="preserve">  Unamortized Regulatory Asset </t>
  </si>
  <si>
    <t xml:space="preserve">  Unamortized Abandoned Plant  </t>
  </si>
  <si>
    <t>DA</t>
  </si>
  <si>
    <t xml:space="preserve">  Unfunded Reserves (enter negative)</t>
  </si>
  <si>
    <t>23a</t>
  </si>
  <si>
    <t>23b</t>
  </si>
  <si>
    <t>23c</t>
  </si>
  <si>
    <t>TOTAL WORKING CAPITAL</t>
  </si>
  <si>
    <t>(Sum of Lines 28 through 30)</t>
  </si>
  <si>
    <t xml:space="preserve">TOTAL ADJUSTMENTS </t>
  </si>
  <si>
    <t>Tax Effect of Permanent Differences</t>
  </si>
  <si>
    <t>11a</t>
  </si>
  <si>
    <t>24a</t>
  </si>
  <si>
    <t>24b</t>
  </si>
  <si>
    <t>266.8.f</t>
  </si>
  <si>
    <t xml:space="preserve">  Amortization of Abandoned Plant</t>
  </si>
  <si>
    <t xml:space="preserve">TOTAL DEPRECIATION </t>
  </si>
  <si>
    <t>(Sum of Lines 9 through 11a)</t>
  </si>
  <si>
    <t>(Sum of Lines 13 through 19)</t>
  </si>
  <si>
    <t xml:space="preserve">TOTAL OTHER TAXES </t>
  </si>
  <si>
    <t>(Line 22 times Line 28)</t>
  </si>
  <si>
    <t>(Line 23 times Line 24)</t>
  </si>
  <si>
    <t xml:space="preserve">Income Tax Calculation </t>
  </si>
  <si>
    <t>ITC Adjustment</t>
  </si>
  <si>
    <t>26a</t>
  </si>
  <si>
    <t>26b</t>
  </si>
  <si>
    <t>Permanent Differences Tax Adjustment</t>
  </si>
  <si>
    <t>(Line 23 times Line 24a)</t>
  </si>
  <si>
    <t>(Line 23 times Line 24b)</t>
  </si>
  <si>
    <t>(Sum of Lines 8, 12, 20, 27, 28)</t>
  </si>
  <si>
    <t>REV. REQUIREMENT</t>
  </si>
  <si>
    <t>(Page 2, Line 2, Column 3)</t>
  </si>
  <si>
    <t>Total transmission plant</t>
  </si>
  <si>
    <t xml:space="preserve">Less transmission plant excluded from Wholesale Rates </t>
  </si>
  <si>
    <t xml:space="preserve">Less transmission plant included in OATT Ancillary Services </t>
  </si>
  <si>
    <t xml:space="preserve">Transmission plant included in Wholesale Rates  </t>
  </si>
  <si>
    <t>(Line 1 less Lines 2 &amp; 3)</t>
  </si>
  <si>
    <t xml:space="preserve">Percentage of transmission plant included in Wholesale Rates </t>
  </si>
  <si>
    <t xml:space="preserve"> (Line 4 divided by Line 1)</t>
  </si>
  <si>
    <t xml:space="preserve">Total transmission expenses  </t>
  </si>
  <si>
    <t>(Line 6 less Line 7)</t>
  </si>
  <si>
    <t>Included transmission expenses</t>
  </si>
  <si>
    <t xml:space="preserve">Percentage of transmission expenses after adjustment  </t>
  </si>
  <si>
    <t xml:space="preserve">Percentage of transmission plant included in wholesale Rates  </t>
  </si>
  <si>
    <t>(Line 5)</t>
  </si>
  <si>
    <t>(Line 9 times Line 10)</t>
  </si>
  <si>
    <t>Percentage of transmission expenses included in wholesale Rates</t>
  </si>
  <si>
    <t>(Note E)</t>
  </si>
  <si>
    <t xml:space="preserve">Less transmission expenses included in OATT Ancillary Services </t>
  </si>
  <si>
    <t>(Page 3, Line 1, column 3)</t>
  </si>
  <si>
    <t>(Line 8 divided by Line 6)</t>
  </si>
  <si>
    <t xml:space="preserve">  Total  </t>
  </si>
  <si>
    <t>(Sum of Lines 17-19)</t>
  </si>
  <si>
    <t xml:space="preserve">  Long Term Debt</t>
  </si>
  <si>
    <t xml:space="preserve">  Common Stock </t>
  </si>
  <si>
    <t>H</t>
  </si>
  <si>
    <t xml:space="preserve">         Inputs Required:</t>
  </si>
  <si>
    <t xml:space="preserve">  (Federal Income Tax Rate)</t>
  </si>
  <si>
    <t>L</t>
  </si>
  <si>
    <t>N</t>
  </si>
  <si>
    <t>O</t>
  </si>
  <si>
    <t>P</t>
  </si>
  <si>
    <t>Q</t>
  </si>
  <si>
    <t>S</t>
  </si>
  <si>
    <t>T</t>
  </si>
  <si>
    <t>U</t>
  </si>
  <si>
    <t>V</t>
  </si>
  <si>
    <t>(Note S)</t>
  </si>
  <si>
    <t xml:space="preserve">ADJUSTMENTS TO RATE BASE </t>
  </si>
  <si>
    <t xml:space="preserve">     Less EPRI &amp; Reg. Comm. Exp. &amp; Non-safety  Ad.  (Note I)</t>
  </si>
  <si>
    <t>(Note K)</t>
  </si>
  <si>
    <t>(Note L)</t>
  </si>
  <si>
    <t>TAXES OTHER THAN INCOME TAXES  (Note D)</t>
  </si>
  <si>
    <t>GROSS PLANT IN SERVICE     (Note A)</t>
  </si>
  <si>
    <t>ACCUMULATED DEPRECIATION   (Note A)</t>
  </si>
  <si>
    <t>RATE BASE: (Note A, V)</t>
  </si>
  <si>
    <t>DEPRECIATION AND AMORTIZATION EXPENSE (Note A)</t>
  </si>
  <si>
    <t>ACCOUNT 454 (RENT FROM ELECTRIC PROPERTY)  (Note A)</t>
  </si>
  <si>
    <t>Company Records (Note A)</t>
  </si>
  <si>
    <t>Company Records (Note B)</t>
  </si>
  <si>
    <t>Item</t>
  </si>
  <si>
    <t>Actual Attachment H</t>
  </si>
  <si>
    <t>Projected Attachment H</t>
  </si>
  <si>
    <t>Page 60 of 68</t>
  </si>
  <si>
    <t>Page 2 of 4</t>
  </si>
  <si>
    <t>Page 3 of 4</t>
  </si>
  <si>
    <t>Gross Plant</t>
  </si>
  <si>
    <t>Depreciation</t>
  </si>
  <si>
    <t>Accum. Dep.</t>
  </si>
  <si>
    <t>12 Mon Tot</t>
  </si>
  <si>
    <t>13 Mon Avg</t>
  </si>
  <si>
    <t>Projected Plant</t>
  </si>
  <si>
    <t>Plant</t>
  </si>
  <si>
    <t>Projected</t>
  </si>
  <si>
    <t>Accumulated</t>
  </si>
  <si>
    <t>Plant in Service</t>
  </si>
  <si>
    <t>Ratio of</t>
  </si>
  <si>
    <t>Expense</t>
  </si>
  <si>
    <t>Actual</t>
  </si>
  <si>
    <t>To Net</t>
  </si>
  <si>
    <t>Costs</t>
  </si>
  <si>
    <t>(Ratio of Cost to total)</t>
  </si>
  <si>
    <t>(Ratio * Proj. Net Plant)</t>
  </si>
  <si>
    <t xml:space="preserve">Net Plant in Service </t>
  </si>
  <si>
    <t xml:space="preserve">Projected Net Plant in Service </t>
  </si>
  <si>
    <t>Operation and Maintenance Expenses</t>
  </si>
  <si>
    <t>Other Taxes</t>
  </si>
  <si>
    <t>Projected Other Taxes</t>
  </si>
  <si>
    <t>Line No.</t>
  </si>
  <si>
    <t>March</t>
  </si>
  <si>
    <t>August</t>
  </si>
  <si>
    <t>December</t>
  </si>
  <si>
    <t xml:space="preserve">Note: </t>
  </si>
  <si>
    <t>Act Att-H</t>
  </si>
  <si>
    <t>A1-RevCred</t>
  </si>
  <si>
    <t>A2-A&amp;G</t>
  </si>
  <si>
    <t>A3-ADIT</t>
  </si>
  <si>
    <t>A4-Rate Base</t>
  </si>
  <si>
    <t>A5-Depr</t>
  </si>
  <si>
    <t>A6-Divisor</t>
  </si>
  <si>
    <t>Proj Att-H</t>
  </si>
  <si>
    <t>P1-Trans Plant</t>
  </si>
  <si>
    <t>P2-Exp. &amp; Rev. Credits</t>
  </si>
  <si>
    <t>Worksheet A1</t>
  </si>
  <si>
    <t>Worksheet A2</t>
  </si>
  <si>
    <t>Worksheet A3</t>
  </si>
  <si>
    <t>Worksheet A4</t>
  </si>
  <si>
    <t>Worksheet A5</t>
  </si>
  <si>
    <t>Worksheet A6</t>
  </si>
  <si>
    <t>Worksheet P1</t>
  </si>
  <si>
    <t>Worksheet P2</t>
  </si>
  <si>
    <t>Worksheet P3</t>
  </si>
  <si>
    <t>Actual Annual Transmission Revenue Requirements for most recent calendar year</t>
  </si>
  <si>
    <t>Actual A&amp;G Expense supporting data</t>
  </si>
  <si>
    <t>Actual Depreciation Rates</t>
  </si>
  <si>
    <t>Actual Transmission Load Data for Calculating Rate Divisors</t>
  </si>
  <si>
    <t>Projected Annual Transmission Revenue Requirements for next calendar year</t>
  </si>
  <si>
    <t>Actual Accumulated Deferred Income Tax data</t>
  </si>
  <si>
    <t>Actual Rate Base data</t>
  </si>
  <si>
    <t>Transmission Formula Rate Template</t>
  </si>
  <si>
    <t>321.85-92.b</t>
  </si>
  <si>
    <t xml:space="preserve">% of transmission expenses after adjustment  </t>
  </si>
  <si>
    <t xml:space="preserve">% of transmission plant included in wholesale Rates  </t>
  </si>
  <si>
    <t>% of transmission expenses included in wholesale Rates</t>
  </si>
  <si>
    <t>True-Up Adjustment</t>
  </si>
  <si>
    <t>Revenue Types:</t>
  </si>
  <si>
    <t>KW</t>
  </si>
  <si>
    <t>Projected Transmission Plant</t>
  </si>
  <si>
    <t>Projected Expenses and Revenue Credits</t>
  </si>
  <si>
    <t xml:space="preserve">Worksheet P3 </t>
  </si>
  <si>
    <t>Average</t>
  </si>
  <si>
    <t>Actual Load  for Jan-Aug</t>
  </si>
  <si>
    <t>(Worksheet P3, Line 15)</t>
  </si>
  <si>
    <t>Held for Future Use</t>
  </si>
  <si>
    <t xml:space="preserve">RATE BASE </t>
  </si>
  <si>
    <t>RATE BASE</t>
  </si>
  <si>
    <t>(Sum lines 18, 26, 27, &amp; 31)</t>
  </si>
  <si>
    <t xml:space="preserve">RATE BASE: </t>
  </si>
  <si>
    <t xml:space="preserve">     Less EPRI &amp; Reg. Comm. Exp. &amp; Non-safety  Ad. </t>
  </si>
  <si>
    <t xml:space="preserve">     Plus Transmission Related Reg. Comm. Exp. </t>
  </si>
  <si>
    <t xml:space="preserve">TOTAL O&amp;M </t>
  </si>
  <si>
    <t>Reference</t>
  </si>
  <si>
    <t>Actual Attachment H, Page 3, Line 10</t>
  </si>
  <si>
    <t>(Sum Lines 15-21)</t>
  </si>
  <si>
    <t>Actual Attachment H, Page 3, Line 11</t>
  </si>
  <si>
    <t>Actual Attachment H, Page 3, Line 24</t>
  </si>
  <si>
    <t>Actual Attachment H, Page 3, Line 24b</t>
  </si>
  <si>
    <t>Actual Attachment H, Page 4, Line 12</t>
  </si>
  <si>
    <t>Actual Attachment H, Page 4, Line 13</t>
  </si>
  <si>
    <t>Actual Attachment H, Page 4, Line 14</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</si>
  <si>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</si>
  <si>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</si>
  <si>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</si>
  <si>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</si>
  <si>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</si>
  <si>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</si>
  <si>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1</t>
  </si>
  <si>
    <t>Actual Attachment H, Page 4, Line 2</t>
  </si>
  <si>
    <t>Actual Attachment H, Page 4, Line 3</t>
  </si>
  <si>
    <t>Actual Attachment H, Page 4, Line 7</t>
  </si>
  <si>
    <t>Actual Attachment H, Page 2, Line 24</t>
  </si>
  <si>
    <t>Actual Attachment H, Page 2, Line 23c</t>
  </si>
  <si>
    <t>(Line 2 - Line 5)</t>
  </si>
  <si>
    <t>(Line 1 - Line 4)</t>
  </si>
  <si>
    <t>1/8*(Page 3, Line 8)</t>
  </si>
  <si>
    <t xml:space="preserve">Worksheet P2, Column 5, Line 3 </t>
  </si>
  <si>
    <t>Worksheet P2, Column 5, Line 4</t>
  </si>
  <si>
    <t>Worksheet P2, Column 5, Line 5</t>
  </si>
  <si>
    <t>Worksheet P2, Column 5, Line 6</t>
  </si>
  <si>
    <t>Worksheet P2, Column 5, Line 8</t>
  </si>
  <si>
    <t>Worksheet P2, Column 5, Line 9</t>
  </si>
  <si>
    <t>Worksheet P2, Column 5, Line 10</t>
  </si>
  <si>
    <t>Worksheet P2, Column 5, Line 11</t>
  </si>
  <si>
    <t>Worksheet P2, Column 5, Line 12</t>
  </si>
  <si>
    <t>Worksheet P2, Column 5, Line 13</t>
  </si>
  <si>
    <t>(Note A)</t>
  </si>
  <si>
    <t xml:space="preserve">       and FIT, SIT &amp; p are as given in Note A.</t>
  </si>
  <si>
    <t xml:space="preserve">       and FIT, SIT &amp; p are as given in Note K.</t>
  </si>
  <si>
    <t xml:space="preserve">GROSS PLANT IN SERVICE     </t>
  </si>
  <si>
    <t xml:space="preserve">ACCUMULATED DEPRECIATION </t>
  </si>
  <si>
    <t xml:space="preserve">     Less EPRI &amp; Reg. Comm. Exp. &amp; Non-safety  Ad</t>
  </si>
  <si>
    <t xml:space="preserve">     Plus Transmission Related Reg. Comm. Exp.</t>
  </si>
  <si>
    <t xml:space="preserve">DEPRECIATION AND AMORTIZATION EXPENSE </t>
  </si>
  <si>
    <t xml:space="preserve">TAXES OTHER THAN INCOME TAXES </t>
  </si>
  <si>
    <t>Plant Additions</t>
  </si>
  <si>
    <t>Accrual (Note A)</t>
  </si>
  <si>
    <t>Actual transmission depreciation expense (Actual Attachment H, page 3, line 9) divided by actual transmission plant in service (Actual Attachment H, page 2, line 2) divided by 12 months.</t>
  </si>
  <si>
    <t>Worksheet A2 Line 5</t>
  </si>
  <si>
    <t>(Worksheet A1, line 6)</t>
  </si>
  <si>
    <t>(Worksheet A6, Line 14)</t>
  </si>
  <si>
    <t>(Note W)</t>
  </si>
  <si>
    <t>W</t>
  </si>
  <si>
    <t>If applicable, a separate workpaper will be provided and posted with other supporting documentation.</t>
  </si>
  <si>
    <t>Worksheet A4, Page 1, Line 14, Col. (b)</t>
  </si>
  <si>
    <t>Worksheet A4, Page 1, Line 14, Col. (c)</t>
  </si>
  <si>
    <t>Worksheet A4, Page 1, Line 14, Col. (d)</t>
  </si>
  <si>
    <t>Worksheet A4, Page 1, Line 14, Col. (f)</t>
  </si>
  <si>
    <t>Worksheet A4, Page 1, Line 28, Col. (d)</t>
  </si>
  <si>
    <t>Worksheet A4, Page 1, Line 28, Col. (e)</t>
  </si>
  <si>
    <t>Worksheet A4, Page 1, Line 28, Col. (f)</t>
  </si>
  <si>
    <t>Worksheet A4, Page 1, Line 28, Col. (g)</t>
  </si>
  <si>
    <t>Worksheet A4, Page 1, Line 28, Col. (h)</t>
  </si>
  <si>
    <t>Worksheet A4, Page 2, Line 14, Col. (d) (Note F)</t>
  </si>
  <si>
    <t>Worksheet A4, Page 2, Line 14, Col. (e) (Note F)</t>
  </si>
  <si>
    <t>Worksheet A4, Page 2, Line 14, Col. (f) (Note F)</t>
  </si>
  <si>
    <t>Worksheet A4, Page 2, Line 14, Col. (g) (Note F)</t>
  </si>
  <si>
    <t>Worksheet A4, Page 1, Line 14, Col. (h) (Note G)</t>
  </si>
  <si>
    <t>Page 1 of 1</t>
  </si>
  <si>
    <t>Cells highlighted in green signify that the data is sourced from other worksheets in the formula and that the reference is static.</t>
  </si>
  <si>
    <t>For FERC account no. 930.1, the Company reviews all entries and identifies those that are safety related advertising.</t>
  </si>
  <si>
    <t>Worksheet A2 Line 22</t>
  </si>
  <si>
    <t xml:space="preserve">STRUCTURES AND IMPROVEMENTS         </t>
  </si>
  <si>
    <t xml:space="preserve">STATION EQUIPMENT                   </t>
  </si>
  <si>
    <t xml:space="preserve">POLES AND FIXTURES                  </t>
  </si>
  <si>
    <t xml:space="preserve">OVERHEAD CONDUCTORS AND DEVICES     </t>
  </si>
  <si>
    <t>TOTAL TRANSMISSION PLANT</t>
  </si>
  <si>
    <t>Worksheet A7</t>
  </si>
  <si>
    <t>Incentive Plant Worksheet</t>
  </si>
  <si>
    <t>Project:</t>
  </si>
  <si>
    <t>n/a</t>
  </si>
  <si>
    <t>Deprec. Rate:</t>
  </si>
  <si>
    <t>ROE Adder</t>
  </si>
  <si>
    <t>Beginning Year:</t>
  </si>
  <si>
    <t>Beginning Amt</t>
  </si>
  <si>
    <t>Net Plant</t>
  </si>
  <si>
    <t>Incentive Projects</t>
  </si>
  <si>
    <t>Project 1</t>
  </si>
  <si>
    <t>Proj. ID</t>
  </si>
  <si>
    <t>Project 2</t>
  </si>
  <si>
    <t>Special depreciation rates may be utilized for specific incentive transmission projects if approved by the FERC.</t>
  </si>
  <si>
    <t>Incentive ROE requires authorization by the Commission</t>
  </si>
  <si>
    <t>(Note B)</t>
  </si>
  <si>
    <t xml:space="preserve">  Rate Base * Rate of Return plus Incentive Return</t>
  </si>
  <si>
    <t>Incentive Return</t>
  </si>
  <si>
    <t>(e )</t>
  </si>
  <si>
    <t>Worksheet A7, Column (e )</t>
  </si>
  <si>
    <t>Incentive Ret</t>
  </si>
  <si>
    <t xml:space="preserve">  Rate Base * Rate of Return + Incentive Return</t>
  </si>
  <si>
    <t>Projected Incentive Plant</t>
  </si>
  <si>
    <t>Projected Incentive Plant Worksheet</t>
  </si>
  <si>
    <t>Mon/Yr</t>
  </si>
  <si>
    <t>Weighted ROE Adder:</t>
  </si>
  <si>
    <t>Deprec. Rate/Month:</t>
  </si>
  <si>
    <t>Total Incentive Return</t>
  </si>
  <si>
    <t>Worksheet P4, Line 35, Column (e )</t>
  </si>
  <si>
    <t>A7-IncentPlant</t>
  </si>
  <si>
    <t>Actual Incentive Plant</t>
  </si>
  <si>
    <t>P4-IncentPlant</t>
  </si>
  <si>
    <t>Worksheet P4</t>
  </si>
  <si>
    <t>Total Projected Plant</t>
  </si>
  <si>
    <t>Less: Reliability, Planning &amp; Standards Development Services (Account 561.8)</t>
  </si>
  <si>
    <t>Less: Generation Interconnection Studies (Account 561.7)</t>
  </si>
  <si>
    <t>Less: Transmission Service Studies (Account 561.6)</t>
  </si>
  <si>
    <t>Less: Reliability, Planning and Standards Development (Account 561.5)</t>
  </si>
  <si>
    <t>Less:  Scheduling, System Control &amp; Dispatch Services (Account 561.4)</t>
  </si>
  <si>
    <t>Total Load Dispatch and Scheduling (Account 561)</t>
  </si>
  <si>
    <t>Schedule 1</t>
  </si>
  <si>
    <t>Ancillary Services, Schedule No. 1 - Scheduling System Control and Dispatch Service</t>
  </si>
  <si>
    <t>321.88.b</t>
  </si>
  <si>
    <t>321.89.b</t>
  </si>
  <si>
    <t>321.90.b</t>
  </si>
  <si>
    <t>321.91.b</t>
  </si>
  <si>
    <t>321.92.b</t>
  </si>
  <si>
    <t>201.3.x</t>
  </si>
  <si>
    <t>ADJUSTMENTS TO RATE BASE (Note V)</t>
  </si>
  <si>
    <t>X</t>
  </si>
  <si>
    <t>Y</t>
  </si>
  <si>
    <t xml:space="preserve">GROSS PLANT ALLOCATOR  (GP) </t>
  </si>
  <si>
    <t xml:space="preserve">NET PLANT ALLOCATOR  (NP) </t>
  </si>
  <si>
    <t>Actual Attachment H, Page 2, Column 3 Line 1</t>
  </si>
  <si>
    <t>Actual Attachment H, Page 2, Column 3 Line 13</t>
  </si>
  <si>
    <t>Actual Attachment H, Page 2, Column 3 Line 15</t>
  </si>
  <si>
    <t>Actual Attachment H, Page 2, Column 3 Line 16</t>
  </si>
  <si>
    <t>Actual Attachment H, Page 2, Column 3 Line 17</t>
  </si>
  <si>
    <t>Actual Attachment H, Page 2, Column 3 Line 3</t>
  </si>
  <si>
    <t>Actual Attachment H, Page 2, Column 3 Line 4</t>
  </si>
  <si>
    <t>Actual Attachment H, Page 2, Column 3 Line 5</t>
  </si>
  <si>
    <t>Page 2, Column 3, Line 7</t>
  </si>
  <si>
    <t>June, Sep</t>
  </si>
  <si>
    <t>Sep</t>
  </si>
  <si>
    <t>Average Balance</t>
  </si>
  <si>
    <t>Ref</t>
  </si>
  <si>
    <t>BOY Balance</t>
  </si>
  <si>
    <t>EOY Balance</t>
  </si>
  <si>
    <t>Beginning of Year ("BOY") balance is end of previous year balance per FERC Form No. 1.</t>
  </si>
  <si>
    <t>274.2.b &amp; 275.2.k</t>
  </si>
  <si>
    <t>276.9.b &amp; 277.9.k</t>
  </si>
  <si>
    <t>234.8.b&amp;c</t>
  </si>
  <si>
    <t>272.2.b &amp; 273.2.k</t>
  </si>
  <si>
    <t xml:space="preserve">Worksheet A4, Page 1, Line 13, Col. (h) </t>
  </si>
  <si>
    <t>(line 13 - line 14)</t>
  </si>
  <si>
    <t>Total 561 Costs for Schedule 1 Annual Rev Req</t>
  </si>
  <si>
    <t xml:space="preserve">     Less Account 561.1-561.3</t>
  </si>
  <si>
    <t>321.85-87.b</t>
  </si>
  <si>
    <t>Revenue Requirement</t>
  </si>
  <si>
    <t>12 months/year</t>
  </si>
  <si>
    <t>52 weeks/year</t>
  </si>
  <si>
    <t>Less:  Schedule 1 Point to Point Revenues</t>
  </si>
  <si>
    <t>Actual Schedule 1 Annual Rev Req (before True Up)</t>
  </si>
  <si>
    <r>
      <t xml:space="preserve">Column f </t>
    </r>
    <r>
      <rPr>
        <sz val="10"/>
        <rFont val="Times New Roman"/>
        <family val="1"/>
      </rPr>
      <t>contains actual load values for January-August and projected load values for September - December.</t>
    </r>
  </si>
  <si>
    <t>ACCOUNT 456.1 (OTHER ELECTRIC REVENUES) (Note B)</t>
  </si>
  <si>
    <t>(Worksheet A1, line 42, col (b) )</t>
  </si>
  <si>
    <t>Rev Req Comparison</t>
  </si>
  <si>
    <t>Volume Comparison</t>
  </si>
  <si>
    <t>Volume Revenue Adjustment</t>
  </si>
  <si>
    <t>kW</t>
  </si>
  <si>
    <t>Divisor for Actual Rate Year from Step 7</t>
  </si>
  <si>
    <t>(line 14 / line 18)</t>
  </si>
  <si>
    <t>$/kW</t>
  </si>
  <si>
    <t>(line 1 minus line 6)</t>
  </si>
  <si>
    <t>(line 18 - line 17)</t>
  </si>
  <si>
    <t>Originally Projected Revenue Requirements from Step 1 (Note E)</t>
  </si>
  <si>
    <t>Divisor for Originally Projected Rate Year from Step 1</t>
  </si>
  <si>
    <t>Originally Projected Rev Req Rate</t>
  </si>
  <si>
    <t>Limited to Transmission-related regulatory expenses itemized from total amounts on FERC Form No. 1 page 351.</t>
  </si>
  <si>
    <t>Reserved for use in the event of transmission rate filings</t>
  </si>
  <si>
    <t>Company Records (Note C)</t>
  </si>
  <si>
    <t>24aa</t>
  </si>
  <si>
    <t>(line 19 x line 21)</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</si>
  <si>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</si>
  <si>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</si>
  <si>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</si>
  <si>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</si>
  <si>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</si>
  <si>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</si>
  <si>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</si>
  <si>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</si>
  <si>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</si>
  <si>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</si>
  <si>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</si>
  <si>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</si>
  <si>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Beginning Balance</t>
  </si>
  <si>
    <t>Less non Prorated Items</t>
  </si>
  <si>
    <t>Beginning Balance of Prorated items</t>
  </si>
  <si>
    <t>Ending Balance</t>
  </si>
  <si>
    <t>Ending Balance of Prorated items</t>
  </si>
  <si>
    <t>Account 282</t>
  </si>
  <si>
    <t>Account 283</t>
  </si>
  <si>
    <t>Account 281</t>
  </si>
  <si>
    <t>272.b</t>
  </si>
  <si>
    <t>273.k</t>
  </si>
  <si>
    <t>Worksheet P5</t>
  </si>
  <si>
    <t>Page 1 of 4</t>
  </si>
  <si>
    <t>Page 4 of 4</t>
  </si>
  <si>
    <t>Amount for Attachment H</t>
  </si>
  <si>
    <t>Difference</t>
  </si>
  <si>
    <t>Tax Rate</t>
  </si>
  <si>
    <t>ADIT</t>
  </si>
  <si>
    <t>Rate</t>
  </si>
  <si>
    <t>Tax  Depreciation</t>
  </si>
  <si>
    <t>.</t>
  </si>
  <si>
    <t>Book</t>
  </si>
  <si>
    <t>Timing</t>
  </si>
  <si>
    <t>P5-ADIT</t>
  </si>
  <si>
    <t>Projected Accumulated Deferred Income Tax data</t>
  </si>
  <si>
    <t>Additions</t>
  </si>
  <si>
    <t>Incremental</t>
  </si>
  <si>
    <t>Tax Deprec</t>
  </si>
  <si>
    <t>#</t>
  </si>
  <si>
    <t>27a</t>
  </si>
  <si>
    <t>/MW-hour</t>
  </si>
  <si>
    <t>Depreciation on Additions</t>
  </si>
  <si>
    <t xml:space="preserve"> Tax Depreciation on Plant</t>
  </si>
  <si>
    <t>December 31st balance Prorated Items From Latest FF1</t>
  </si>
  <si>
    <t>Allocated December 31st Balance Transmission Items</t>
  </si>
  <si>
    <t>Activity for Year prior to Rate Year</t>
  </si>
  <si>
    <t>Prorated Balance of Rate Year</t>
  </si>
  <si>
    <t>Worksheet A3, Column d, Line 3</t>
  </si>
  <si>
    <t>Act Att-H, page 1 line 2</t>
  </si>
  <si>
    <t>Act Att-H, page 1 line 3</t>
  </si>
  <si>
    <t>Worksheet P3, Line 15</t>
  </si>
  <si>
    <t>Rate Year -1</t>
  </si>
  <si>
    <t>Rate Year</t>
  </si>
  <si>
    <t>Balances as of Ending Rate Year -2</t>
  </si>
  <si>
    <t>Worksheet A2 Line 14</t>
  </si>
  <si>
    <t>356</t>
  </si>
  <si>
    <t>FERC annual charges - transmission only</t>
  </si>
  <si>
    <t>Company Records</t>
  </si>
  <si>
    <t xml:space="preserve">  Unfunded Reserves</t>
  </si>
  <si>
    <t>Amounts included here are those recorded in Account 105, and limited to transmission-related land.</t>
  </si>
  <si>
    <t>Cash Working Capital assigned to transmission is one-eighth of O&amp;M allocated to transmission at Page 3, Line 8, Column 5.    Prepayments are the electric related prepayments booked to Account No. 165; the total is reported on Page 111 Line 57 in the Form 1.</t>
  </si>
  <si>
    <t xml:space="preserve">EPRI Annual Membership Dues listed in Form 1 at 335.1.b, all Regulatory Commission Expenses itemized at 351.h, and non-safety-related advertising included in Account 930.1.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</si>
  <si>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</si>
  <si>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The revenues credited do not include gross receipts taxes, ancillary service revenues, or revenues associated with facilities the costs of which are not recovered under this Rate Formula Template (e.g., direct assignment facilities and GSUs).</t>
  </si>
  <si>
    <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t>
  </si>
  <si>
    <t xml:space="preserve">  Cash Working Capital</t>
  </si>
  <si>
    <t xml:space="preserve">     Plus: PBOP Actual Cash Outlay</t>
  </si>
  <si>
    <t xml:space="preserve">     Less: PBOP Net Periodic Expense</t>
  </si>
  <si>
    <t>For FERC account nos. 920 and 926, the Company reviews all entries and identifies the PBOP Net Periodic expenses to be removed from A&amp;G.</t>
  </si>
  <si>
    <t xml:space="preserve">Gross Plant In Service </t>
  </si>
  <si>
    <t xml:space="preserve">Accumulated Depreciation </t>
  </si>
  <si>
    <t>Adjustments to Rate Base</t>
  </si>
  <si>
    <t xml:space="preserve">Carried forward for use in Worksheet P3, Column b. </t>
  </si>
  <si>
    <t>Amortized Investment Tax Credit (266.8f)</t>
  </si>
  <si>
    <t>(Sum of Lines 25 and 26b less lines 26, 26a )</t>
  </si>
  <si>
    <t xml:space="preserve">     CIT=(T/(1-T)) * (1-(WCLTD/R)) =</t>
  </si>
  <si>
    <t>Note C</t>
  </si>
  <si>
    <t>(Line 21 times Line 24aa) (Notes T, Y)</t>
  </si>
  <si>
    <t>(Line 5) Weighted ROE Adder times (Line 34) 13 Month Average Net Plant</t>
  </si>
  <si>
    <t>Difference in Volume</t>
  </si>
  <si>
    <t>True-up Amount including Volume Revenue Adjustment (before interest)</t>
  </si>
  <si>
    <t>GROSS REVENUE REQUIREMENT  (page 3, line 29)</t>
  </si>
  <si>
    <t>Page 3 of 3</t>
  </si>
  <si>
    <t>Materials &amp; Supplies</t>
  </si>
  <si>
    <t>Avg of 13 Month Balances - Allocated</t>
  </si>
  <si>
    <t xml:space="preserve">  Materials &amp; Supplies: Transmission Plant</t>
  </si>
  <si>
    <t xml:space="preserve">  Materials &amp; Supplies: Stores Expense Undistributed</t>
  </si>
  <si>
    <t xml:space="preserve">  Materials &amp; Supplies: Construction</t>
  </si>
  <si>
    <t>227.8.c</t>
  </si>
  <si>
    <t>227.16.c</t>
  </si>
  <si>
    <t>227.5.c</t>
  </si>
  <si>
    <t>Total (Note E)</t>
  </si>
  <si>
    <t>Page 1 of 3</t>
  </si>
  <si>
    <t>Page 2 of 3</t>
  </si>
  <si>
    <t>Prepayments</t>
  </si>
  <si>
    <t>reserved</t>
  </si>
  <si>
    <t>Page 1 of 5</t>
  </si>
  <si>
    <t>Page 2 of 5</t>
  </si>
  <si>
    <t>Page 3 of 5</t>
  </si>
  <si>
    <t>Page 4 of 5</t>
  </si>
  <si>
    <t>Page 5 of 5</t>
  </si>
  <si>
    <t>Beginning Balance of Rate Year -1</t>
  </si>
  <si>
    <t>Ending Balance of Rate Year -1</t>
  </si>
  <si>
    <t xml:space="preserve">Beginning Balance of Rate Year </t>
  </si>
  <si>
    <t xml:space="preserve">  Account No. 255 (enter Zero)</t>
  </si>
  <si>
    <t>FAS 109 Adjustment to ADIT</t>
  </si>
  <si>
    <t xml:space="preserve">  Account No. 255 (enter zero)</t>
  </si>
  <si>
    <t>Amount for Attachment H before Allocation</t>
  </si>
  <si>
    <t>Actual Attachment H, Page 3, Line 24a</t>
  </si>
  <si>
    <t>Total Account 190 Beginning Balance</t>
  </si>
  <si>
    <t>(Line 19 - Line 20)</t>
  </si>
  <si>
    <t>(Line 20)</t>
  </si>
  <si>
    <t>Worksheet P5, Page 1, Line 21, Column H</t>
  </si>
  <si>
    <t>Worksheet P5, Page 1, Line 28, Column H</t>
  </si>
  <si>
    <t>14a</t>
  </si>
  <si>
    <t xml:space="preserve"> Account No. 190 for Tax Gross Up Offset on Excess Deferred Income Taxes</t>
  </si>
  <si>
    <t>FAS 109 Adjustment to ADIT for Attachment H</t>
  </si>
  <si>
    <t>Actual Attachment H, Page 3, Line 24aa</t>
  </si>
  <si>
    <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t>
  </si>
  <si>
    <t>Note B</t>
  </si>
  <si>
    <t>Z</t>
  </si>
  <si>
    <t>The allocator used will be in accordance with the FERC order authorizing the inclusion of these items in the formula rate.</t>
  </si>
  <si>
    <t>(Note D)</t>
  </si>
  <si>
    <t>Worksheet P5, Page 2, Line 55, Column H</t>
  </si>
  <si>
    <t>Worksheet P5, Page 3, Line 82, Column H</t>
  </si>
  <si>
    <t>Worksheet P5, Page 4, Line 109, Column H</t>
  </si>
  <si>
    <t>Prior Period Adjustment</t>
  </si>
  <si>
    <t>(line 15+22+23a)</t>
  </si>
  <si>
    <t>Prior Period Adjustment (Note F)</t>
  </si>
  <si>
    <t>Worksheet A8</t>
  </si>
  <si>
    <t>A8-Prepmts</t>
  </si>
  <si>
    <t>Allocation Factor</t>
  </si>
  <si>
    <t>Allocated Amount</t>
  </si>
  <si>
    <t>To Actual Attachment H, page 2, line 30</t>
  </si>
  <si>
    <t>(Sum of Lines 19 - 25)</t>
  </si>
  <si>
    <t>(Sum of Lines 11 - 21)</t>
  </si>
  <si>
    <t>True-up Amount (before Volume Revenue Adjustment &amp; interest)</t>
  </si>
  <si>
    <t>Transmission Plant (Note A)</t>
  </si>
  <si>
    <t>4a</t>
  </si>
  <si>
    <t>4b</t>
  </si>
  <si>
    <t>Accumulated Depreciation</t>
  </si>
  <si>
    <t>(Page 2, Line 32 x Page 4, Line 31, Col. (5)) + Page 4, Line 32</t>
  </si>
  <si>
    <t>FAS 109 (Note E)</t>
  </si>
  <si>
    <t>Allocation Factor "GP"</t>
  </si>
  <si>
    <t xml:space="preserve">  Account No. 281 </t>
  </si>
  <si>
    <t xml:space="preserve">  Account No. 283 </t>
  </si>
  <si>
    <t xml:space="preserve">  Account No. 282</t>
  </si>
  <si>
    <t>Lobbying Expense</t>
  </si>
  <si>
    <t>Penalties</t>
  </si>
  <si>
    <t xml:space="preserve">  Account No. 282 (Transmission only)</t>
  </si>
  <si>
    <t xml:space="preserve">  Account No. 283</t>
  </si>
  <si>
    <t>Beginning Balance (Enter Negative)</t>
  </si>
  <si>
    <t>(Except ADIT which is average of Beg. &amp; End Balances)</t>
  </si>
  <si>
    <t>Total from A4-Rate Base</t>
  </si>
  <si>
    <t>Variance</t>
  </si>
  <si>
    <t>The total of the 13 month average of the individual items will match the 13 month average calculated on A4-Rate Base, page 2 line 14 column (h).  The variance between A8 and A4 will be $0.</t>
  </si>
  <si>
    <t>Note A</t>
  </si>
  <si>
    <t>(Sum of Lines 1-3, 4a, 4b) less Line 4)</t>
  </si>
  <si>
    <t xml:space="preserve">Less Safety Related Advertising </t>
  </si>
  <si>
    <t>PBOP Net Periodic expense</t>
  </si>
  <si>
    <t>AA</t>
  </si>
  <si>
    <t xml:space="preserve">  Other (Note AA)</t>
  </si>
  <si>
    <t>(Page 2, Line 27 x Page 4, Line 31, Col. (5)) + Page 4, Line 32</t>
  </si>
  <si>
    <t xml:space="preserve">Includes only FICA, unemployment, highway, property, and other assessments charged in the current year.  Taxes related to income are excluded.  Gross receipts taxes are not included in transmission revenue requirement in the Rate Formula Template. </t>
  </si>
  <si>
    <t>Actual Attachment H, Page 3, Line 11a (Note B)</t>
  </si>
  <si>
    <t>Account No. 165
Prepayments</t>
  </si>
  <si>
    <t>Intentionally left blank</t>
  </si>
  <si>
    <t>Balances are from Worksheet A3-ADIT.</t>
  </si>
  <si>
    <t>Note D</t>
  </si>
  <si>
    <t>The Accumulated Depreciation for Year 1 will reflect the prorated amount of depreciation for the months that the project is in service.</t>
  </si>
  <si>
    <t>Incentive Ret
(Net Plant * Weighted ROE Adder)</t>
  </si>
  <si>
    <t xml:space="preserve">STRUCTURES AND IMPROVEMENTS             </t>
  </si>
  <si>
    <t xml:space="preserve">OFFICE FURNITURE AND EQUIPMENT          </t>
  </si>
  <si>
    <t xml:space="preserve">COMPUTER HARDWARE                       </t>
  </si>
  <si>
    <t>TRANSPORTATION EQUIPMENT</t>
  </si>
  <si>
    <t xml:space="preserve">STORES EQUIPMENT               </t>
  </si>
  <si>
    <t>TOOLS, SHOP AND GARAGE EQUIPMENT</t>
  </si>
  <si>
    <t xml:space="preserve">LABORATORY EQUIPMENT           </t>
  </si>
  <si>
    <t xml:space="preserve">    TOTAL GENERAL PLANT </t>
  </si>
  <si>
    <t>Intangible Plant</t>
  </si>
  <si>
    <t>ORGANIZATION</t>
  </si>
  <si>
    <t>TOTAL INTANGIBLE PLANT</t>
  </si>
  <si>
    <t xml:space="preserve">  TOTAL COMMUNICATION EQUIPMENT</t>
  </si>
  <si>
    <t xml:space="preserve">  TOTAL COMMUNICATION EQUIPMENT -TOWERS</t>
  </si>
  <si>
    <t>General Plant - Electric</t>
  </si>
  <si>
    <t>MISCELLANEOUS EQUIPMENT</t>
  </si>
  <si>
    <t>TOTAL COMMUNICATION EQUIPMENT</t>
  </si>
  <si>
    <t>Black Hills Service Company Plant</t>
  </si>
  <si>
    <t>Total Protected Property - EDIT</t>
  </si>
  <si>
    <t>Ending Balance of Account 190 for EDIT Tax Gross Up Offset</t>
  </si>
  <si>
    <t>Amount of Tax Gross Up Offset on EDIT</t>
  </si>
  <si>
    <t>Account 190 Not Including EDIT Tax Gross Up</t>
  </si>
  <si>
    <t>Beginning Balance of Account 190 for EDIT Tax Gross Up Offset</t>
  </si>
  <si>
    <t>SYSTEM DEVELOPMENT</t>
  </si>
  <si>
    <t xml:space="preserve">TRANSPORTATION EQUIPMENT </t>
  </si>
  <si>
    <t>STRUCTURES AND IMPROVEMENTS</t>
  </si>
  <si>
    <t>Worksheet P1, Line 29, Column (f)</t>
  </si>
  <si>
    <t>Worksheet P1, Line 29, Column (h)</t>
  </si>
  <si>
    <t>Worksheet P1, Line 28, Column (c)</t>
  </si>
  <si>
    <t>Worksheet P1, Page 3, Column t, Line 27a</t>
  </si>
  <si>
    <t>Projected Attachment H, Page 5, Line 6</t>
  </si>
  <si>
    <t>Line 2 less Lines 3 through 7</t>
  </si>
  <si>
    <t>Line 8 less Line 10</t>
  </si>
  <si>
    <t xml:space="preserve">     Adjustments to A&amp;G</t>
  </si>
  <si>
    <t>TOTAL O&amp;M  (sum lines 1, 3, 5a, 5b, 6, 7 less lines 2, 2a, 5, 5c)</t>
  </si>
  <si>
    <t>(Sum lines 3,6,9,10,12,13 less lines 4,5,8,11)</t>
  </si>
  <si>
    <t>Excess / Deficient Deferred Income Tax Adjustment (Net)</t>
  </si>
  <si>
    <t>Net of Account 254 &amp; 182.3</t>
  </si>
  <si>
    <t xml:space="preserve">In the event the Company populates the data enterable fields for future income tax changes, the Company will support the data entered as just and reasonable in its annual update following a change in tax rates.  </t>
  </si>
  <si>
    <t>End of Year ("EOY") balance is the end of Current Year balance reflected on FERC Form No. 1. p.232/278</t>
  </si>
  <si>
    <t>Includes the impact of tax rate changes enacted during the period.</t>
  </si>
  <si>
    <t>Beginning of Year ("BOY") balance is end of Prior Year balance reflected on FERC Form No. 1 p.232/278</t>
  </si>
  <si>
    <t>A1</t>
  </si>
  <si>
    <t>Total Excess/Deficient Deferred Income Taxes Annual Average</t>
  </si>
  <si>
    <t>Total Deferred Tax Offset</t>
  </si>
  <si>
    <t>TOTALS</t>
  </si>
  <si>
    <t>Total Plant DDIT/(EDIT) (Net of Tax Gross Up)</t>
  </si>
  <si>
    <t>Total Deferred Tax Offset Plant</t>
  </si>
  <si>
    <t>2017 NP</t>
  </si>
  <si>
    <t>2017 TCJA</t>
  </si>
  <si>
    <t>Deferred Tax Liability Plant</t>
  </si>
  <si>
    <t>Deferred Tax Asset Plant</t>
  </si>
  <si>
    <t>Total Plant DDIT/(EDIT)</t>
  </si>
  <si>
    <t>Yes</t>
  </si>
  <si>
    <t>ARAM</t>
  </si>
  <si>
    <t>Total Protected Property - DDIT-NOL</t>
  </si>
  <si>
    <t>PLANT DDIT/(EDIT)</t>
  </si>
  <si>
    <t>Total Deferred Tax Offset Non Plant</t>
  </si>
  <si>
    <t>NON PLANT DDIT/(EDIT)</t>
  </si>
  <si>
    <t>Amort Period or Method</t>
  </si>
  <si>
    <t>Prorated (Yes/No) (Note G)</t>
  </si>
  <si>
    <t>EOY Allocated Amount</t>
  </si>
  <si>
    <t>Current Period Other Activity Allocated</t>
  </si>
  <si>
    <t>Current Amortization Allocated</t>
  </si>
  <si>
    <t>BOY Allocated Amount</t>
  </si>
  <si>
    <t>Allocator (Note F)</t>
  </si>
  <si>
    <t>EOY Balance (Note E)</t>
  </si>
  <si>
    <t>Current Period Other Activity (Note D)</t>
  </si>
  <si>
    <t>Current Period Amortization (Note C)</t>
  </si>
  <si>
    <t>BOY Balance (Note B)</t>
  </si>
  <si>
    <t>Vintage</t>
  </si>
  <si>
    <t>Item (Note A1)</t>
  </si>
  <si>
    <t>(l)</t>
  </si>
  <si>
    <t>(k)</t>
  </si>
  <si>
    <t>(a3)</t>
  </si>
  <si>
    <t>(a2)</t>
  </si>
  <si>
    <t>(a1)</t>
  </si>
  <si>
    <t xml:space="preserve">The deferred tax offset may be an asset or liability depending on the character of the regulatory item.  A regulatory liability is a temporary difference for which a deferred tax asset is recognized in Account 190. A regulatory asset is a temporary difference for which a deferred tax liability is recognized in account 283. </t>
  </si>
  <si>
    <t>Deferred Rate Case</t>
  </si>
  <si>
    <t>Prepaid Expenses</t>
  </si>
  <si>
    <t>Line Extension Deposits</t>
  </si>
  <si>
    <t>Retiree Healthcare</t>
  </si>
  <si>
    <t>Workman's Compensation</t>
  </si>
  <si>
    <t>PUC Fees</t>
  </si>
  <si>
    <t>Bad Debt Reserve</t>
  </si>
  <si>
    <t>Non-Protected - Property</t>
  </si>
  <si>
    <t>Cost of Removal</t>
  </si>
  <si>
    <t>Protected - Property</t>
  </si>
  <si>
    <t>Deferred Tax Offset (Note B)</t>
  </si>
  <si>
    <t>(Excess) Deficient Def. Taxes with Tax Gross Up 182.3 / 254 Acct (Note A)</t>
  </si>
  <si>
    <t>(Excess) Deficient Def. Taxes at New Tax Rate</t>
  </si>
  <si>
    <t>Accumulated DIT Balances at Prior Tax Rate</t>
  </si>
  <si>
    <t>Accumulated (Taxable) / Deductible Book-to-Tax Differences</t>
  </si>
  <si>
    <t>= (C6) - (C7)</t>
  </si>
  <si>
    <t>= (C6) * Tax Gross Up Factor</t>
  </si>
  <si>
    <t>New Tax Rate Adjustment Calculation</t>
  </si>
  <si>
    <t>(Col 8)</t>
  </si>
  <si>
    <t>(Col 7)</t>
  </si>
  <si>
    <t>(Col 2)</t>
  </si>
  <si>
    <t>Vintage Name:</t>
  </si>
  <si>
    <t>Tax Gross Up Factor:</t>
  </si>
  <si>
    <t>New Rate:</t>
  </si>
  <si>
    <t>New Tax Rate?</t>
  </si>
  <si>
    <t xml:space="preserve">Prior Year:
</t>
  </si>
  <si>
    <t>Worksheet A3.1, Ln 358 Col (e) &amp; (j)</t>
  </si>
  <si>
    <t>Total Excess/Deficient Deferred Income Taxes (Net of Tax Gross Up) (Note J)</t>
  </si>
  <si>
    <t>Total Property Related  (= L99 + L199)</t>
  </si>
  <si>
    <t xml:space="preserve">The net amortization of the regulatory liability for excess deferred income taxes in Account 254 and the associated deferred tax asset in Account 190 is a positive number.  The net amortization of the regulatory asset for deficient deferred income taxes in account 182.3 and the associated deferred tax liability in Account 283 is a negative number.  The net amortization of excess deferred income taxes reduces income tax expense by the net amortization amount multiplied by (1/(1-T)) on Attachment H.  The Excess or Deficient ADIT are amortized to Accounts 410.1 / 411.1.  </t>
  </si>
  <si>
    <t>(Line 128 * - Actual Composite tax rate)</t>
  </si>
  <si>
    <t>Worksheet A3.1, Ln 359 Col (j)</t>
  </si>
  <si>
    <t>Allocator Value (Note H)</t>
  </si>
  <si>
    <t>Weighted Average EDIT/DDIT Net Plant Allocation Factor</t>
  </si>
  <si>
    <t>Worksheet P5, Page 5, Line 137, Column H</t>
  </si>
  <si>
    <t>Black Hills Colorado Electric, LLC</t>
  </si>
  <si>
    <t>The projected O&amp;M and plant balances are calculated on the P Tabs.  These sheets feed into the Projected Attachment H tab for determining the Projected Annual Transmission Revenue Requirement.  The tariff rates are calculated based on the revenue requirements and the specific point-to-point charges are shown on the same tab. The projected rates are posted to the customers for review in September of each year.</t>
  </si>
  <si>
    <t>Company populates the formula rate using projected costs for Year 1</t>
  </si>
  <si>
    <t>Company populates the formula rate using projected costs for Year 2</t>
  </si>
  <si>
    <t>Company populates the formula rate using actual costs for Year 1</t>
  </si>
  <si>
    <t>General Plant</t>
  </si>
  <si>
    <t>The depreciation/amortization rates included in this worksheet cannot be changed by Black Hills Colorado Electric, LLC without an FPA 205 filing.</t>
  </si>
  <si>
    <t xml:space="preserve">STRUCTURES AND IMPROVEMENTS - AMORTIZED         </t>
  </si>
  <si>
    <t xml:space="preserve">STATION EQUIPMENT - AMORTIZED             </t>
  </si>
  <si>
    <t>UNDERGROUND CONDUIT</t>
  </si>
  <si>
    <t>UNDERGROUND CONDUCTORS AND DEVICES</t>
  </si>
  <si>
    <t xml:space="preserve">STRUCTURES AND IMPROVEMENTS - OWNED  </t>
  </si>
  <si>
    <t>SOFTWARE</t>
  </si>
  <si>
    <t>POWER OPERATED EQUIPMENT</t>
  </si>
  <si>
    <t xml:space="preserve">COMMUNICATION EQUIPMENT        </t>
  </si>
  <si>
    <t xml:space="preserve">MISCELLANEOUS EQUIPMENT        </t>
  </si>
  <si>
    <t>MISCELLANEOUS INTANGIBLE PLANT</t>
  </si>
  <si>
    <t>(m)</t>
  </si>
  <si>
    <t>yyyy</t>
  </si>
  <si>
    <t>Less transmission plant included in OATT Ancillary Services and/or GSUs</t>
  </si>
  <si>
    <t>Total 454 - FERC Form No. 1 300.19.b</t>
  </si>
  <si>
    <t>398.1.g</t>
  </si>
  <si>
    <t>Prepaid Item</t>
  </si>
  <si>
    <t>Direct Assigned Prepaids</t>
  </si>
  <si>
    <t>Prepaid Items (directly assigned to Transmission)</t>
  </si>
  <si>
    <t>Transmission Plant-Related Prepaid Items</t>
  </si>
  <si>
    <t>Prepaid Items (allocated by Transmission Plant)</t>
  </si>
  <si>
    <t>Transmission Expense-Related Prepaid Items</t>
  </si>
  <si>
    <t>Prepaid Items (allocated by Transmission Expense)</t>
  </si>
  <si>
    <t>Wage &amp; Salary-Related Prepaid Items</t>
  </si>
  <si>
    <t>Prepaid Items (allocated by Wages &amp; Salaries)</t>
  </si>
  <si>
    <t>General Plant-Related Prepaid Items</t>
  </si>
  <si>
    <t>Leases and Prepaid Items (allocated by Gross Plant Allocator)</t>
  </si>
  <si>
    <t>Net Plant-Related Prepaid Items</t>
  </si>
  <si>
    <t>Prepaid Items (allocated by Net Plant Allocator)</t>
  </si>
  <si>
    <t>Prepaid Items Not Allocated</t>
  </si>
  <si>
    <t>Prepaid Items Not Allocated (including but not limited to Insurance for Generation assets, Prepaid Generation maintenance, Land Easements and Leases for Generation and Distribution, and Income Taxes)</t>
  </si>
  <si>
    <t>13 Month Average Balance
(Note B)</t>
  </si>
  <si>
    <t>NP</t>
  </si>
  <si>
    <t xml:space="preserve">Worksheet A8, Page 1, Line 9 , Col. (f) </t>
  </si>
  <si>
    <t>Source: Form 1 page 400, lines 1-15, columns e, f, g and h</t>
  </si>
  <si>
    <t>Services</t>
  </si>
  <si>
    <t>Long-Term Firm Point to Point Transmission Service</t>
  </si>
  <si>
    <t>LFP</t>
  </si>
  <si>
    <t>Firm Network Service for Others</t>
  </si>
  <si>
    <t>FNO</t>
  </si>
  <si>
    <t>Short-Term Firm Point to Point Transmission Reservation</t>
  </si>
  <si>
    <t>SFP</t>
  </si>
  <si>
    <t>Non-Firm Transmission Service</t>
  </si>
  <si>
    <t>NF</t>
  </si>
  <si>
    <t>Plant in Service ARO</t>
  </si>
  <si>
    <t>Accumulated Depreciation - ARO</t>
  </si>
  <si>
    <t>Right of Use Asset Operating Lease</t>
  </si>
  <si>
    <t>Accum Amortization - Right of Use Asset</t>
  </si>
  <si>
    <t>Line 22 + Line 23</t>
  </si>
  <si>
    <t>(Sum of Lines 12-15)</t>
  </si>
  <si>
    <t>Worksheet A4, Page 1, Line 13, Column (f)</t>
  </si>
  <si>
    <t>Worksheet A4, Page 1, Line 13, Column (e)</t>
  </si>
  <si>
    <t>Worksheet A4, Page 1, Line 27, Column (g)</t>
  </si>
  <si>
    <t>8a</t>
  </si>
  <si>
    <t>(Line 2a - Line 5a)</t>
  </si>
  <si>
    <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t>
  </si>
  <si>
    <t>The amount is the net periodic expense and not the actual cash outlay.</t>
  </si>
  <si>
    <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 base. </t>
  </si>
  <si>
    <t>(n)</t>
  </si>
  <si>
    <t>(o)</t>
  </si>
  <si>
    <t>(p)</t>
  </si>
  <si>
    <t>(q)</t>
  </si>
  <si>
    <t>(r)</t>
  </si>
  <si>
    <t>(s)</t>
  </si>
  <si>
    <t>(t)</t>
  </si>
  <si>
    <t>(u)</t>
  </si>
  <si>
    <t>(v)</t>
  </si>
  <si>
    <t>(w)</t>
  </si>
  <si>
    <t>(x)</t>
  </si>
  <si>
    <t>(y)</t>
  </si>
  <si>
    <t>&amp; Year</t>
  </si>
  <si>
    <r>
      <t xml:space="preserve">Column e </t>
    </r>
    <r>
      <rPr>
        <sz val="10"/>
        <rFont val="Times New Roman"/>
        <family val="1"/>
      </rPr>
      <t>contains actual load values from current year FERC Form 3Q page 400, lines 1-10, columns e, f, g and h.</t>
    </r>
  </si>
  <si>
    <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t>
  </si>
  <si>
    <t>Construction Period Interest</t>
  </si>
  <si>
    <t>Contribution in Aid of Construction</t>
  </si>
  <si>
    <t>Tax Repairs Deduction</t>
  </si>
  <si>
    <t>Capitalization of Overhead</t>
  </si>
  <si>
    <t>Accrued Vacation</t>
  </si>
  <si>
    <t>Employee Compensation</t>
  </si>
  <si>
    <t>Employee Group Insurance</t>
  </si>
  <si>
    <t>Insurance Reserve</t>
  </si>
  <si>
    <t>Pension</t>
  </si>
  <si>
    <t>Performance Plan</t>
  </si>
  <si>
    <t>Power Plant Maintenance</t>
  </si>
  <si>
    <t>One-Time Refund</t>
  </si>
  <si>
    <t xml:space="preserve">Positive figures represent deficient deferred income tax regulatory assets, whereas negative figures represent excess deferred income tax regulatory liabilities.  The Company presents the accounts grossed up for taxes with an offsetting deferred tax item to reflect the gross up.  </t>
  </si>
  <si>
    <t>Finance Lease and Right of Use Operating Lease from Company Records are not included in the calculation of rate base and are provided for transparency.</t>
  </si>
  <si>
    <t>(Line 17, Col H)</t>
  </si>
  <si>
    <t>Worksheet A3.1, Ln 355 Col (e)</t>
  </si>
  <si>
    <t>Worksheet A3.1, Ln 355 Col (c)</t>
  </si>
  <si>
    <t>(Excess)/Deficient Deferred Income Taxes - FERC Order 864 Worksheet -- Tax Rate Change</t>
  </si>
  <si>
    <t>Worksheet A3.1</t>
  </si>
  <si>
    <t>(Col 1)</t>
  </si>
  <si>
    <t>(Col 3)</t>
  </si>
  <si>
    <t>(Col 4)</t>
  </si>
  <si>
    <t>(Col 5)</t>
  </si>
  <si>
    <t>(Col 6)</t>
  </si>
  <si>
    <t>= (C4) - (C5)</t>
  </si>
  <si>
    <t>Accumulated DIT Balance at New Tax Rate</t>
  </si>
  <si>
    <t>Method/Life</t>
  </si>
  <si>
    <t>Federal NOL</t>
  </si>
  <si>
    <t>Total Non-Property Related</t>
  </si>
  <si>
    <r>
      <rPr>
        <b/>
        <u/>
        <sz val="10"/>
        <rFont val="Times New Roman"/>
        <family val="1"/>
      </rPr>
      <t>Line</t>
    </r>
  </si>
  <si>
    <t>205.46.g (Note K) Excluding ARO</t>
  </si>
  <si>
    <t>207.58.g (Note K) Excluding ARO</t>
  </si>
  <si>
    <t>207.75.g (Note K) Excluding ARO</t>
  </si>
  <si>
    <t>Worksheet A3.2</t>
  </si>
  <si>
    <t>Projected transmission-related regulatory commission expenses including projected FERC rate filing costs (i.e. projection of amounts on Worksheet A2, Lines 10-11).</t>
  </si>
  <si>
    <t>A-3.1 EDIT-DDIT</t>
  </si>
  <si>
    <t>Annual Excess and Deficient Accumulated Deferred Income Tax</t>
  </si>
  <si>
    <t>A-3.2 EDIT-DDIT.dtl</t>
  </si>
  <si>
    <t xml:space="preserve">Excess and Deficient Accumulated Deferred Income Tax Remeasurement </t>
  </si>
  <si>
    <t xml:space="preserve">  Net Excess/Deficient Deferred Income Taxes Transmission</t>
  </si>
  <si>
    <t>Amortization of Excess/Deficient Deferred Income Taxes Transmission only (Net)</t>
  </si>
  <si>
    <t>Worksheet A3.1, Line 357 Col (h) (Note X)</t>
  </si>
  <si>
    <t>Form No. 1 Page  (Note I)</t>
  </si>
  <si>
    <t>Account</t>
  </si>
  <si>
    <t>Total Non Plant Non-Protected DDIT/(EDIT)</t>
  </si>
  <si>
    <t>Total Non Plant Non-Protected DDIT/(EDIT) (Net of Tax Gross Up)</t>
  </si>
  <si>
    <t xml:space="preserve">With respect to Projected Transmission Rate filings, each EDIT/DDIT Item must be categorized into balances that require proration and those that do not.  EDIT/DDIT items with a "Plant" Explanation code are generally subject to proration treatment consistent with the proration treatment of plant related ADIT in Account 282.  </t>
  </si>
  <si>
    <t>Figures are the FERC Form No. 1 totals less the ARO balances shown on A4 page 1 lines 29-42.</t>
  </si>
  <si>
    <t>Net Amortization of Excess/Deficient Deferred Income Taxes Transmission only</t>
  </si>
  <si>
    <t>Net Excess/Deficient Deferred Income Tax Adjustment</t>
  </si>
  <si>
    <t>Line 24 + Line 25</t>
  </si>
  <si>
    <t>Line 26 * Line 27</t>
  </si>
  <si>
    <t>Reserved</t>
  </si>
  <si>
    <t>(Line 53)</t>
  </si>
  <si>
    <t>(Line 80)</t>
  </si>
  <si>
    <t xml:space="preserve">  Net Excess/Deficient Deferred Income Taxes (Note C) Transmission only</t>
  </si>
  <si>
    <t>Worksheet A3, Pg 1, Col D, Line 4</t>
  </si>
  <si>
    <t>(Line 107)</t>
  </si>
  <si>
    <t>Line 135 * Line 136</t>
  </si>
  <si>
    <t>The revenue requirement includes the PBOP actual cash outlay (defined as actual benefit payments for the year net of participant contributions plus administrative expenses) and excludes the accrued amount.</t>
  </si>
  <si>
    <t>Removes plant that is not serving a transmission function, including but not limited to any 69kV plant recorded in transmission accounts and/or plant serving a distribution function and/or plant directly-assigned to a transmission customer.</t>
  </si>
  <si>
    <t xml:space="preserve">Removes dollar amount of transmission plant included in the development of OATT ancillary service rates and/or plant more appropriately characterized as production including but not limited to generation step-up facilities.    </t>
  </si>
  <si>
    <t xml:space="preserve">Removes identifiable expenses related to plant excluded from wholesale rates.  </t>
  </si>
  <si>
    <t>(Note C)</t>
  </si>
  <si>
    <t>Calculate using 13 month average balance, reconciling to FERC Form No. 1 by Page, Line, and Column as shown in Worksheet A4 for inputs on page 2 of 5 above, except ADIT.</t>
  </si>
  <si>
    <t>RESA Rider</t>
  </si>
  <si>
    <t>Worksheet A3, Ln 5 Col (d)</t>
  </si>
  <si>
    <t>The Balance reflecting any amortization for the year is calculated using the proration method shown on Worksheet P5-ADIT.</t>
  </si>
  <si>
    <t>Prior to 2021, Black Hills Colorado net its regulatory assets and regulatory liabilities related to deficient deferred income taxes and excess deferred taxes in account 254 or associated subaccounts.  Beginning in 2021, regulatory assets for deficient deferred income taxes are in account 182.3 and regulatory liabilities for excess deferred income taxes are in account 254.</t>
  </si>
  <si>
    <t xml:space="preserve">The "2017 NP" allocation code represents the "NP" allocator applied in formula rate filings for year-ended 2017.  This allocation factor is applied to EDIT because it was the allocator in effect in the year in which the Tax Cuts and Jobs Act ("TCJA") was enacted.  The 2017 Net Plant allocator must remain fixed and will not be updated each year.  In the event the Company populates the data enterable fields for future income tax changes, the Company will support its chosen allocation factor for EDIT or DDIT as just and reasonable in its annual update following a change in tax rates.  </t>
  </si>
  <si>
    <t>Due to a one time refund in 2021 and for purposes of implementing initial rates, the balances on lines 2 and 202 reflect a one-time refund in 2021 rather than 2020 actuals.  This one time adjustment occurred to avoid impacts in future rate years.</t>
  </si>
  <si>
    <t>The true up for the 2022 partial rate year will be prorated for a partial year and supported in a workpaper published according to the Protocols.</t>
  </si>
  <si>
    <t>336.7.f less 336.7.c</t>
  </si>
  <si>
    <t>336.10.f &amp; 336.1.f less 336.10.c &amp; 336.1.c</t>
  </si>
  <si>
    <t>336.11.f less 336.11.c</t>
  </si>
  <si>
    <t>Accumulated Excess / Deficient Deferred Income Taxes ("EDIT"/"DDIT") (Note A, H)</t>
  </si>
  <si>
    <t>Total Non-Protected Property - EDIT (Note K)</t>
  </si>
  <si>
    <t>Total Excess/Deficient Deferred Income Taxes (Note I)</t>
  </si>
  <si>
    <t>Weighted Average EDIT/DDIT Net Plant Allocator</t>
  </si>
  <si>
    <t>Percentage of Avg. Jan -Aug Load 
(Note B)</t>
  </si>
  <si>
    <t>Total Non-Protected Non-Property - DDIT (Note K)</t>
  </si>
  <si>
    <t>Deferred Tax Liability Non Plant (Note K)</t>
  </si>
  <si>
    <t>174 Development &amp; Engineering Costs</t>
  </si>
  <si>
    <t>162 Ordinary &amp; Necessary Business Deductions</t>
  </si>
  <si>
    <t>Construction Work in Progress</t>
  </si>
  <si>
    <t>1603 Grant</t>
  </si>
  <si>
    <t>Non-Protected - Non-Property </t>
  </si>
  <si>
    <t>Grand Total   (= L200 + L400)</t>
  </si>
  <si>
    <t>Worksheet A4, Page 1, Line 14, Col. (e )</t>
  </si>
  <si>
    <t xml:space="preserve">Worksheet A4, Page 3, Line 17, Col. (e) </t>
  </si>
  <si>
    <t>The formula is calculated in two steps.  The first step is to fill out the A tabs, and the Actual Attachment H tab with data from the previous year's Form No. 1 information or other data sources as noted.  This information is used to update the formulas in the Actual Attachment H tab to calculate the Actual Revenue Requirement (Actual ATRR) for the previous year.  The results of this calculation are presented to the customers for review in June of each year.</t>
  </si>
  <si>
    <t>If Black Hills Colorado Electric, LLC includes a new item in the category designated “Other” in line 18 of Page 3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Page 3 of Attachment H or in response to the allocator Black Hills Colorado Electric, LLC utilizes or if FERC institutes a FPA 206 in response to Black Hills Colorado Electric, LLC’s inclusion of a new item in the category designated “Other" in line 18 of Page 3 of Attachment H or in response to the allocator Black Hills Colorado Electric, LLC utilizes, Black Hills Colorado Electric, LLC while not required to make a FPA section 205 filing for such change(s), shall bear a FPA Section 205 burden to show that its inclusion of a new item in the category designated "Other" in line 18 of Page 3 of Attachment H and the associated allocator results in a just and reasonable allocation of costs to OATT Transmission Service.  The foregoing disclosure obligations and retention of burden applies only in the instances described in this note.</t>
  </si>
  <si>
    <t xml:space="preserve">       where WCLTD=(page 4, line 28) and R= (page 4, line 31)</t>
  </si>
  <si>
    <t>End of Year ("EOY") balance is end of current year balance per FERC Form No. 1.</t>
  </si>
  <si>
    <t>Upon a tax rate change, the Company remeasures its deferred tax assets and liabilities to the new applicable corporate tax rate. The result of this remeasurement is a change in the deferred taxes recorded in accounts 190, 282, and 283 with a corresponding change in regulatory assets or liabilities to reflect the impact to customers.  The remeasurement is effectuated mathematically by taking the ADIT balance before the tax rate change and dividing by the prior tax rate to arrive at gross timing differences.  Next, the new tax rate is applied against the balance of gross timing differences.  The difference in the two results is reclassified from ADIT to regulatory assets/liabilities for deficient/excess ADIT.  Accounts 182.3 Regulatory Asset for deficient ADIT and 254 Regulatory Liability for excess ADIT are presented grossed-up for tax purposes as is the amortization.  Black Hills Colorado Electric, LLC would follow the process described above to remeasure ADIT balance (increase or decrease) due to any future income tax rate change.  See Wkpr A3.2-EDIT-DDIT.dtl for detailed derivation.   The FERC Form No. 1 reference in column (a3) will be populated beginning for the twelve months ended December 31, 2021 (2021 FERC Form 1).</t>
  </si>
  <si>
    <t>The determination of an item as "Protected" versus "Non-Protected" has been and will be made in accordance with applicable tax code and regulations.</t>
  </si>
  <si>
    <t>DDIT or EDIT is reduced in the current period under the prescribed amortization method to account 410.1, Provision for Deferred Income Taxes, Utility Operating Income and 411.1, Provision for Deferred Income Taxes—Credit, Utility Operating Income, respectively.</t>
  </si>
  <si>
    <t>(C3) x New Rate</t>
  </si>
  <si>
    <t>Finance Lease Asset</t>
  </si>
  <si>
    <t>Accum. Depreciation - Finance Lease</t>
  </si>
  <si>
    <t>219.20-24.c  Excluding ARO</t>
  </si>
  <si>
    <t>219.25.c Excluding ARO</t>
  </si>
  <si>
    <t>219.26.c Excluding ARO</t>
  </si>
  <si>
    <t>(Line 74 * Line 75)</t>
  </si>
  <si>
    <t>(Line 76 + Line 77)</t>
  </si>
  <si>
    <t>(Line 78 + Line 79)</t>
  </si>
  <si>
    <t>Line 128 + Line 129</t>
  </si>
  <si>
    <t>Line 130</t>
  </si>
  <si>
    <t>(Line 126, Col H)</t>
  </si>
  <si>
    <t>Line 131 + Line 132</t>
  </si>
  <si>
    <t>Line 133</t>
  </si>
  <si>
    <t>(Sum Lines 1 and 2 and 2a)</t>
  </si>
  <si>
    <t>Worksheet A4, Page 1, Line 27, Column (h)</t>
  </si>
  <si>
    <t>(Sum Lines 4 and 5 and 5a)</t>
  </si>
  <si>
    <t>(Sum Lines 7 and 8 and 8a)</t>
  </si>
  <si>
    <t>Worksheet A4, Page 2, Line 14, Column (b) (Note B)</t>
  </si>
  <si>
    <t>Worksheet A4, Page 2, Line 14, Column (c) (Note B)</t>
  </si>
  <si>
    <t xml:space="preserve">Worksheet A8, Page 1, Line 9, Col. (f) </t>
  </si>
  <si>
    <t>Worksheet P2, Column 5, Line 15</t>
  </si>
  <si>
    <t>Worksheet P2, Column 5, Line 16</t>
  </si>
  <si>
    <t>Worksheet P2, Column 5, Line 18</t>
  </si>
  <si>
    <t>Worksheet P2, Column 5, Line 19</t>
  </si>
  <si>
    <t>Worksheet P2, Column 5, Line 20</t>
  </si>
  <si>
    <t>Page 2, Column 3, Line 1</t>
  </si>
  <si>
    <t>(Sum of Lines 1-5)</t>
  </si>
  <si>
    <t>(Sum of Lines 7-11)</t>
  </si>
  <si>
    <t>Intentionally Left Blank</t>
  </si>
  <si>
    <t>Unamortized Abandoned Incentive Plant and Amortization of Abandoned Incentive Plant will be zero absent a FPA Section 205 filing and Commission approval.  The details of the amounts are shown in the workpapers required pursuant to the Projected Net Revenue Requirement and Annual True-up Procedures.</t>
  </si>
  <si>
    <t>Worksheet A4, Page 1, Line 14, Col. (g)   (Note Q)</t>
  </si>
  <si>
    <t>Worksheet A4, Page 2, Line 14, Col. (b) (Note P)</t>
  </si>
  <si>
    <t>Worksheet A4, Page 2, Line 14, Col. (c) (Note N)</t>
  </si>
  <si>
    <t xml:space="preserve">(Note N) </t>
  </si>
  <si>
    <t xml:space="preserve">Recovery of project-specific regulatory assets requires authorization from the Commission.  </t>
  </si>
  <si>
    <t>Rental Income - General</t>
  </si>
  <si>
    <t xml:space="preserve">  Unamortized Regulatory Liability</t>
  </si>
  <si>
    <t>23aa</t>
  </si>
  <si>
    <t>Unamortized Regulatory Liability</t>
  </si>
  <si>
    <t>(Note F)</t>
  </si>
  <si>
    <t>Worksheet A4, Page 1, Line 42, Col. (h) (Note O)</t>
  </si>
  <si>
    <t>228202 RESERVE WORKERS' COMPENSATION</t>
  </si>
  <si>
    <t>228204 RESERVE MEDICAL</t>
  </si>
  <si>
    <t>228300 BENEFITS ACCURAL RETIREE HEALTHCARE</t>
  </si>
  <si>
    <t>228302 BENEFITS ACCRUED PENSION</t>
  </si>
  <si>
    <t>242003 ACCRUED BENEFITS COMP ABSENSCES</t>
  </si>
  <si>
    <t>242009 ACCRUED BENEFITS RETIREE HC CURRENT</t>
  </si>
  <si>
    <t>242014 ACCRUED BONUS OTHER</t>
  </si>
  <si>
    <t>242041 ACCRUED INCENTIVE</t>
  </si>
  <si>
    <t>242052 ACCRUED LT PERFORMANCE PLAN</t>
  </si>
  <si>
    <t>Amount (13 Month Average Balance)</t>
  </si>
  <si>
    <t xml:space="preserve">Allocation (Labor Allocator W/S) </t>
  </si>
  <si>
    <t>Amount Allocated, col. (c) x col. (d)</t>
  </si>
  <si>
    <t>Worksheet A4, Page 2, Line 25, Col. (e)  (Note R)</t>
  </si>
  <si>
    <t>Includes the annual income tax cost due to the Equity AFUDC permanent difference for the amount of book depreciation expense recognized in one period for ratemaking purposes and the amounts recognized for income tax purposes which do not reverse in one or more other periods. T multiplied by the amount of the Equity AFUDC permanent differences and book depreciation expense associated with Allowance for Other Funds Used During Construction will increase or decrease tax expense by the amount of the expense or benefit included on line 24b multiplied by (1/(1-T)).  Source of input data is Company Records.  The permanent difference input is restricted to the Equity AFUDC permanent difference for book depreciation expense and no other income tax adjustments for permanent differences may be included in the formula rate inputs without prior approval by FERC pursuant to FPA section 205 or FPA section 206.</t>
  </si>
  <si>
    <t>16a</t>
  </si>
  <si>
    <t>Worksheet A4, Page 1, Line 42, Column (e) (Note B)</t>
  </si>
  <si>
    <t>The listed Black Hills Colorado plant depreciation rates were approved in Docket ER22-2185 and the BHSC depreciation rates were approved in Docket ER19-697.</t>
  </si>
  <si>
    <t>Reserved. Will not be populated absent approval by FERC.</t>
  </si>
  <si>
    <t>Company Records (Note J)</t>
  </si>
  <si>
    <t>Worksheet A4, Page 1, Line 14, Column (g) (Note B)</t>
  </si>
  <si>
    <t>(Sum lines 1, 3, 5a, 5b, 6, 7 less lines 2, 2a,  5, 5c)</t>
  </si>
  <si>
    <t>TOTAL O&amp;M</t>
  </si>
  <si>
    <t>(Sum of Lines 9, 21, 22, 26.)</t>
  </si>
  <si>
    <t>(i) x (j)</t>
  </si>
  <si>
    <t>(i) x (k)</t>
  </si>
  <si>
    <t>Pg 2 Line 27a Col (l) / 12 + (n)</t>
  </si>
  <si>
    <t>(c )</t>
  </si>
  <si>
    <t>(q) - (p)</t>
  </si>
  <si>
    <t>Proj Att H pg 3, line 21, Col 3</t>
  </si>
  <si>
    <t>(r ) x (s)</t>
  </si>
  <si>
    <t>Pg 2 Line 27a Col M / 12 + (o)</t>
  </si>
  <si>
    <t>(u) - (v)</t>
  </si>
  <si>
    <t>(w) x (x)</t>
  </si>
  <si>
    <t>Actual Attachment H, Page 2 Line 18 Col 5</t>
  </si>
  <si>
    <t>Projected Attachment H, Page 2, Line 9 Col 5</t>
  </si>
  <si>
    <t>Actual Attachment H, Page 3, Line 1, Col 3</t>
  </si>
  <si>
    <t>Actual Attachment H, Page 3, Line 2, Col 3</t>
  </si>
  <si>
    <t>Actual Attachment H, Page 3, Line 2a, Col 3</t>
  </si>
  <si>
    <t>Actual Attachment H, Page 3, Line 3, Col 3</t>
  </si>
  <si>
    <t>Actual Attachment H, Page 3, Line 5, Col 3</t>
  </si>
  <si>
    <t>Actual Attachment H, Page 3, Line 5b, Col 3</t>
  </si>
  <si>
    <t>Actual Attachment H, Page 3, Line 5c, Col 3</t>
  </si>
  <si>
    <t>Actual Attachment H, Page 3, Line 6, Col 3</t>
  </si>
  <si>
    <t>Actual Attachment H, Page 3, Line 7, Col 3</t>
  </si>
  <si>
    <t>Actual Attachment H, Page 3, Line 13, Col 3</t>
  </si>
  <si>
    <t>Actual Attachment H, Page 3, Line 14, Col 3</t>
  </si>
  <si>
    <t>Actual Attachment H, Page 3, Line 16, Col 3</t>
  </si>
  <si>
    <t>Actual Attachment H, Page 3, Line 17, Col 3</t>
  </si>
  <si>
    <t>Actual Attachment H, Page 3, Line 18, Col 3</t>
  </si>
  <si>
    <t>(f) x Line 3 Col (g)</t>
  </si>
  <si>
    <t>(g) + Prev Line, Col (g)</t>
  </si>
  <si>
    <t>(f) - (h)</t>
  </si>
  <si>
    <t>(j) x Line 3, Col (k)</t>
  </si>
  <si>
    <t>(k) + Prev Line, Col (k)</t>
  </si>
  <si>
    <t>(j) - (l)</t>
  </si>
  <si>
    <t>A3.1-EDIT-DDIT, Line 355 Col (c )</t>
  </si>
  <si>
    <t>A3-ADIT, Line 4, Col L</t>
  </si>
  <si>
    <t>P1-Trans Plant, Pg 4 Col (y)</t>
  </si>
  <si>
    <t>Line 115-126 x Proj Att-H, Note A, FIT</t>
  </si>
  <si>
    <t>An FPA Section 205 filing is required to populate this line and identify an appropriate allocator. To the extent applicable, initial input values and workpapers related to Company Records information will be included in the filing.  The details of the amounts are shown in the workpapers required pursuant to the Projected Net Revenue Requirement and Annual True-up Procedures.</t>
  </si>
  <si>
    <t>Recovery of project-specific regulatory assets requires authorization from the Commission.   An FPA Section 205 filing is required to populate this line and identify an appropriate allocator. To the extent applicable, initial input values and workpapers related to Company Records information will be included in the filing.</t>
  </si>
  <si>
    <t>AFUDC ceases when CWIP is recovered in rate base.  No CWIP will be included in rate base on line 18a absent FERC authorization.  An FPA Section 205 filing is required to populate this line and identify an appropriate allocator. To the extent applicable, initial input values and workpapers related to Company Records information will be included in the filing.</t>
  </si>
  <si>
    <t>Permanent Differences - AFUDC Equity</t>
  </si>
  <si>
    <t>Company Records  (Notes T, Y)</t>
  </si>
  <si>
    <t>The effect of the FAS 109 Adjustment to ADIT is to remove deferred taxes included in accounts 190, 282 and 283 that are non-ratemaking in nature.</t>
  </si>
  <si>
    <t>Alternative Fuel Vehicle Tax Credit</t>
  </si>
  <si>
    <t>Asset Retirement Obligation</t>
  </si>
  <si>
    <t>Deferred Regulatory</t>
  </si>
  <si>
    <t>Deferred Tax Asset - Other</t>
  </si>
  <si>
    <t>Deferred Tax Liability Other</t>
  </si>
  <si>
    <t>EDIT Exclude</t>
  </si>
  <si>
    <t>Energy Cost Adjusment</t>
  </si>
  <si>
    <t>Equity AFUDC</t>
  </si>
  <si>
    <t>Federal Research and Development Tax Credits</t>
  </si>
  <si>
    <t>Goodwill</t>
  </si>
  <si>
    <t>Like Kind Exchange</t>
  </si>
  <si>
    <t>Line Extension Deposit</t>
  </si>
  <si>
    <t>Operating Leases</t>
  </si>
  <si>
    <t xml:space="preserve">Production Tax Credits </t>
  </si>
  <si>
    <t>Rate Case Expenses</t>
  </si>
  <si>
    <t>Rate Refund</t>
  </si>
  <si>
    <t>Regulatory Asset</t>
  </si>
  <si>
    <t>Renewable Energy Standard Rider</t>
  </si>
  <si>
    <t>State ADIT Exclude</t>
  </si>
  <si>
    <t>State Investment Tax Credits</t>
  </si>
  <si>
    <t>State Research and Development Tax Credits</t>
  </si>
  <si>
    <t>Winter Storm Uri</t>
  </si>
  <si>
    <t>Worksheet A3, Page 1, Line 200</t>
  </si>
  <si>
    <t>350.1b</t>
  </si>
  <si>
    <t>263.5l, 263.6l, &amp; 263.7l</t>
  </si>
  <si>
    <t>263.3l</t>
  </si>
  <si>
    <t>263.4l</t>
  </si>
  <si>
    <t>Transmission System Monthly Loads (kW) (Note A)</t>
  </si>
  <si>
    <t>Transmission System Load for Jan-Aug (kW)</t>
  </si>
  <si>
    <t>Monthly Transmission Loads as Percentage of the Average Total Loads of Jan-Aug (Worksheet A6)</t>
  </si>
  <si>
    <t>Avg Monthly Transmission Load for Jan-Aug (Col e, line 2-9)</t>
  </si>
  <si>
    <t>Estimated Monthly Transmission Load for Sep-Dec ( Col. b  * c)</t>
  </si>
  <si>
    <t>Projected Transmission Load</t>
  </si>
  <si>
    <r>
      <t>Column b</t>
    </r>
    <r>
      <rPr>
        <sz val="10"/>
        <rFont val="Times New Roman"/>
        <family val="1"/>
      </rPr>
      <t xml:space="preserve"> is the monthly transmission load for September, October, November and December as a percentage of the average of the monthly transmission load values for January through August, based on monthly load values in Worksheet A6.</t>
    </r>
  </si>
  <si>
    <r>
      <t>Column c</t>
    </r>
    <r>
      <rPr>
        <sz val="10"/>
        <rFont val="Times New Roman"/>
        <family val="1"/>
      </rPr>
      <t xml:space="preserve"> is average (January through August) of monthly transmission load in column e.</t>
    </r>
  </si>
  <si>
    <t xml:space="preserve">Projected Divisor </t>
  </si>
  <si>
    <t>P3-Divisor</t>
  </si>
  <si>
    <t xml:space="preserve">Actual Divisor </t>
  </si>
  <si>
    <t xml:space="preserve">This placeholder can only be populated upon an order by the Commission pursuant to a FPA Section 205 or 206 filing. If a transmission customer makes a FPA Section 206 filing seeking a Commission order requiring Black Hills Colorado to populate this line, Black Hills Colorado will bear the burden of proof to demonstrate why inclusion is not appropriate.  The applicable burden will be commensurate with that otherwise applicable in a FPA Section 205 filing. </t>
  </si>
  <si>
    <t>Lines 20 and 21 of column (b) identify revenues from Short-Term Firm Point to Point Transmission Service (“SFP”) and Non-Firm Transmission Service (“NF”) as those services are defined within, and required to be reported in, the FERC Form 1 at pages 328-330 (or as those page identifiers may be revised by the Commission from time to time). The revenues identified in this Worksheet A1, Lines 20 and 21 column (b) and aggregated at line 42 of column (b) of this Worksheet A1 are credited against the gross ATRR on Actual Attachment H, page 1, line 3.  To the extent, SFP or NF on the Black Hills Colorado transmission system was required in association with  Sales for Resale (as defined on the FERC Form 1 at pages 310-311 or as those page identifiers may be revised by the Commission from time to time), the SFP or NF revenue would be reported on the operative pages of the FERC Form 1, included in Lines 20 and 21 of this Worksheet A1 at column (b) and would be included in the revenue credit on Actual Attachment H, page 1, line 3.</t>
  </si>
  <si>
    <t>This placeholder can only be populated upon an order by the Commission pursuant to a FPA Section 205 or 206 filing. If a transmission customer makes a FPA Section 206 filing seeking a Commission order requiring Black Hills Colorado to populate this placeholder, Black Hills Colorado will bear the burden of proof to demonstrate why inclusion is not appropriate.  The applicable burden will be commensurate with that otherwise applicable in a FPA Section 205 filing</t>
  </si>
  <si>
    <t>Company populates the formula rate using projected costs for Year 3</t>
  </si>
  <si>
    <t xml:space="preserve">The TU (True-up) tab uses the revenue requirement from the Actual Attachment H tab and compares it to the revenue requirement from the Projected Attachment H tab that customers were billed for the same period. </t>
  </si>
  <si>
    <t xml:space="preserve">True-up Adjustment </t>
  </si>
  <si>
    <t>208.8.e, 205.5.g &amp; 207.99.g (Note K) Excluding ARO</t>
  </si>
  <si>
    <t>The list of accounts to be included as unfunded reserves is fixed and cannot be changed absent an FPA Section 205 or FPA 206 application and an accompanying FERC Order.  Input 100% of the 13 Month Average Balance in the Column entitled "Amount (12 Month Average Balance)" and use the wages and salaries allocator to determine the allocated amount to be used as an Unfunded Reserve Credit.</t>
  </si>
  <si>
    <t>Line 3 Col (f) + Col (e )</t>
  </si>
  <si>
    <t>Line 3 Col (h) + Col (g)</t>
  </si>
  <si>
    <t>(r )</t>
  </si>
  <si>
    <t>Following the termination of the 3-year Moratorium set out in the Commission approved Settlement Agreement in Docket No. ER22-2185-000, the ROE input and the capital structure cannot be changed without an order by FERC pursuant to a FPA Section 205 or 206 filing.  The oost rate for the long-term debt will be derived with reference to the weighted average cost of Black Hills Colorado's long-term bond portfolio excluding two components: first mortgage bonds (indentures) held in the name of affiliate Black Hills Power, Inc. and first mortgage bonds (indentures) hedl in the name of affiliate Cheyenne Light, Fuel and Power Company.  Black Hills Colorado will not exclude any other component of Black Hills Corporation's long-term bond portfolio from its cost rate of long-term debt calculation without making a FPA Section 205 filing. The cost rate for long-term debt will be sourced from a workpaper.</t>
  </si>
  <si>
    <t>216.x.b</t>
  </si>
  <si>
    <t>216.x.d</t>
  </si>
  <si>
    <t>Reserved for future use; will not be populated absent approval by FERC.</t>
  </si>
  <si>
    <t>Enter the Projected Revenue Requirement for the Actual period.</t>
  </si>
  <si>
    <t xml:space="preserve">Prior Period Adjustment, if any, is calculated to the same timing basis as balance of true up.  Work-papers for the Prior Period Adjustment calculation will be included in supporting documentation.  Black Hills Colorado Electric, LLC will only use the Prior Period Adjustment in the following circumstances and only if the error discovered would have impacted Black Hills Colorado’s calculation of the True-Up Amount in a prior Rate Year: (1) Black Hills Colorado Electric, LLC discovers a error in a previously filed FERC Form 1 (filed outside the current Rate Year), (2) Black Hills Colorado Electric, LLC discovers an error in books and records actually used to populate an input in the formula rate and the discovery is outside the current Rate Year, or (3) Black Hills Colorado Electric, LLC is required by applicable law, a court, or regulatory body to correct an error outside the current Rate Year.  If an error falls within one of these three categories and negatively impacted customers in Black Hills Colorado Electric, LLC’s calculation of a prior Rate Year’s True-Up Amount, Black Hills Colorado Electric, LLC will re-calculate the True-Up Amount for affected years.  </t>
  </si>
  <si>
    <t>254</t>
  </si>
  <si>
    <t xml:space="preserve">2017
</t>
  </si>
  <si>
    <t>Plant Balances as of Dec 31, 2021 &gt;</t>
  </si>
  <si>
    <t>OE</t>
  </si>
  <si>
    <t xml:space="preserve">OTHER PLANT ALLOCATOR  (OE) </t>
  </si>
  <si>
    <t>Rental Income - Other</t>
  </si>
  <si>
    <t>201.8.e,f,g,h (Note K) Excluding ARO</t>
  </si>
  <si>
    <t>201.14.e,f,g,h (Note K) Excluding ARO</t>
  </si>
  <si>
    <t>The Tax Effect of a Permanent Difference captures the differences in the income taxes due under the Federal and State calculations and the income taxes calculated in Attachment H that are not the result of timing differences. Only equity AFUDC is includable as a permanent difference.</t>
  </si>
  <si>
    <t>Other Plant-Related Prepaid Items</t>
  </si>
  <si>
    <t>A credit will be provided only if the rent revenue received is associated with other or general plant otherwise included in the formula rate.</t>
  </si>
  <si>
    <t>Prepaid Items (allocated by Other Plant Allocator)</t>
  </si>
  <si>
    <t>General Plant - Other</t>
  </si>
  <si>
    <t>Applies only to projects authorized by the Commission.  The source of the information is the Company Records. To the extent applicable, Black Hills Colorado will include initial input values and workpapers tied to Company Records in any Commission filing.</t>
  </si>
  <si>
    <t>Actuals - For the 12 months ended 12/31/2023</t>
  </si>
  <si>
    <t>Estimated - For the 12 months ended 12/31/2023</t>
  </si>
  <si>
    <t>2023</t>
  </si>
  <si>
    <t>Severance</t>
  </si>
  <si>
    <t>201.14.e, 219.28.c &amp; 200.21.c Excluding ARO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</si>
</sst>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7">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0_);_(* \(#,##0.0\);_(* &quot;-&quot;?_);_(@_)"/>
    <numFmt numFmtId="308" formatCode="_(* #,##0_);_(* \(#,##0\);_(* &quot;-&quot;?_);_(@_)"/>
    <numFmt numFmtId="309" formatCode="&quot;$&quot;#,##0.0000_);\(&quot;$&quot;#,##0.0000\)"/>
    <numFmt numFmtId="310" formatCode="_(* #,##0.0000_);_(* \(#,##0.0000\);_(* &quot;-&quot;_);_(@_)"/>
    <numFmt numFmtId="311" formatCode="\(0\)"/>
    <numFmt numFmtId="312" formatCode="_(&quot;$&quot;* #,##0.000_);_(&quot;$&quot;* \(#,##0.000\);_(&quot;$&quot;* &quot;-&quot;??_);_(@_)"/>
    <numFmt numFmtId="313" formatCode="_(&quot;$&quot;* #,##0.0000_);_(&quot;$&quot;* \(#,##0.0000\);_(&quot;$&quot;* &quot;-&quot;_);_(@_)"/>
  </numFmts>
  <fonts count="206">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rgb="FFC00000"/>
      <name val="Times New Roman"/>
      <family val="1"/>
    </font>
    <font>
      <sz val="10"/>
      <color theme="1"/>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
      <sz val="9.5"/>
      <name val="Times New Roman"/>
      <family val="1"/>
    </font>
    <font>
      <sz val="11"/>
      <color theme="1"/>
      <name val="Times New Roman"/>
      <family val="1"/>
    </font>
    <font>
      <sz val="10"/>
      <color rgb="FF000000"/>
      <name val="Times New Roman"/>
      <family val="1"/>
    </font>
    <font>
      <sz val="10"/>
      <color rgb="FF0000CC"/>
      <name val="Times New Roman"/>
      <family val="1"/>
    </font>
    <font>
      <sz val="10"/>
      <color rgb="FF0000FF"/>
      <name val="Times New Roman"/>
      <family val="1"/>
    </font>
    <font>
      <b/>
      <sz val="8"/>
      <color rgb="FFFF0000"/>
      <name val="Times New Roman"/>
      <family val="1"/>
    </font>
    <font>
      <b/>
      <sz val="10"/>
      <color rgb="FF000000"/>
      <name val="Times New Roman"/>
      <family val="1"/>
    </font>
    <font>
      <sz val="9"/>
      <color theme="1"/>
      <name val="Times New Roman"/>
      <family val="1"/>
    </font>
    <font>
      <sz val="12"/>
      <color theme="1"/>
      <name val="Times New Roman"/>
      <family val="1"/>
    </font>
    <font>
      <sz val="8"/>
      <color theme="1"/>
      <name val="Times New Roman"/>
      <family val="1"/>
    </font>
  </fonts>
  <fills count="82">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theme="0"/>
        <bgColor indexed="64"/>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indexed="64"/>
      </patternFill>
    </fill>
  </fills>
  <borders count="66">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s>
  <cellStyleXfs count="5182">
    <xf numFmtId="172" fontId="0" fillId="0" borderId="0" applyProtection="0"/>
    <xf numFmtId="44"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37"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38" fontId="31" fillId="0" borderId="0" applyFont="0" applyFill="0" applyBorder="0" applyAlignment="0" applyProtection="0"/>
    <xf numFmtId="37" fontId="31" fillId="0" borderId="0" applyFont="0" applyFill="0" applyBorder="0" applyAlignment="0" applyProtection="0"/>
    <xf numFmtId="0" fontId="10" fillId="0" borderId="0"/>
    <xf numFmtId="0" fontId="32" fillId="35"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32" fillId="39"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38" borderId="0" applyNumberFormat="0" applyBorder="0" applyAlignment="0" applyProtection="0"/>
    <xf numFmtId="0" fontId="32" fillId="41" borderId="0" applyNumberFormat="0" applyBorder="0" applyAlignment="0" applyProtection="0"/>
    <xf numFmtId="0" fontId="32" fillId="44" borderId="0" applyNumberFormat="0" applyBorder="0" applyAlignment="0" applyProtection="0"/>
    <xf numFmtId="0" fontId="33" fillId="4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48" borderId="0" applyNumberFormat="0" applyBorder="0" applyAlignment="0" applyProtection="0"/>
    <xf numFmtId="0" fontId="33" fillId="49"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52" borderId="0" applyNumberFormat="0" applyBorder="0" applyAlignment="0" applyProtection="0"/>
    <xf numFmtId="38" fontId="34" fillId="0" borderId="0" applyBorder="0" applyAlignment="0"/>
    <xf numFmtId="175" fontId="30" fillId="53" borderId="16">
      <alignment horizontal="center" vertical="center"/>
    </xf>
    <xf numFmtId="176" fontId="10" fillId="0" borderId="17">
      <alignment horizontal="left"/>
    </xf>
    <xf numFmtId="0" fontId="35" fillId="0" borderId="0"/>
    <xf numFmtId="0" fontId="36" fillId="36" borderId="0" applyNumberFormat="0" applyBorder="0" applyAlignment="0" applyProtection="0"/>
    <xf numFmtId="0" fontId="37" fillId="0" borderId="0" applyNumberFormat="0" applyFill="0" applyBorder="0" applyAlignment="0" applyProtection="0"/>
    <xf numFmtId="177" fontId="38" fillId="0" borderId="1" applyNumberFormat="0" applyFill="0" applyAlignment="0" applyProtection="0">
      <alignment horizontal="center"/>
    </xf>
    <xf numFmtId="178" fontId="38" fillId="0" borderId="3" applyFill="0" applyAlignment="0" applyProtection="0">
      <alignment horizontal="center"/>
    </xf>
    <xf numFmtId="38" fontId="10" fillId="0" borderId="0">
      <alignment horizontal="right"/>
    </xf>
    <xf numFmtId="37" fontId="39" fillId="0" borderId="0" applyFill="0">
      <alignment horizontal="right"/>
    </xf>
    <xf numFmtId="37" fontId="39" fillId="0" borderId="0">
      <alignment horizontal="right"/>
    </xf>
    <xf numFmtId="0" fontId="39" fillId="0" borderId="0" applyFill="0">
      <alignment horizontal="center"/>
    </xf>
    <xf numFmtId="37" fontId="39" fillId="0" borderId="18" applyFill="0">
      <alignment horizontal="right"/>
    </xf>
    <xf numFmtId="37" fontId="39" fillId="0" borderId="0">
      <alignment horizontal="right"/>
    </xf>
    <xf numFmtId="0" fontId="40" fillId="0" borderId="0" applyFill="0">
      <alignment vertical="top"/>
    </xf>
    <xf numFmtId="0" fontId="41" fillId="0" borderId="0" applyFill="0">
      <alignment horizontal="left" vertical="top"/>
    </xf>
    <xf numFmtId="37" fontId="39" fillId="0" borderId="4" applyFill="0">
      <alignment horizontal="right"/>
    </xf>
    <xf numFmtId="0" fontId="10" fillId="0" borderId="0" applyNumberFormat="0" applyFont="0" applyAlignment="0"/>
    <xf numFmtId="0" fontId="40" fillId="0" borderId="0" applyFill="0">
      <alignment wrapText="1"/>
    </xf>
    <xf numFmtId="0" fontId="41" fillId="0" borderId="0" applyFill="0">
      <alignment horizontal="left" vertical="top" wrapText="1"/>
    </xf>
    <xf numFmtId="37" fontId="39" fillId="0" borderId="0" applyFill="0">
      <alignment horizontal="right"/>
    </xf>
    <xf numFmtId="0" fontId="42" fillId="0" borderId="0" applyNumberFormat="0" applyFont="0" applyAlignment="0">
      <alignment horizontal="center"/>
    </xf>
    <xf numFmtId="0" fontId="43" fillId="0" borderId="0" applyFill="0">
      <alignment vertical="top" wrapText="1"/>
    </xf>
    <xf numFmtId="0" fontId="29" fillId="0" borderId="0" applyFill="0">
      <alignment horizontal="left" vertical="top" wrapText="1"/>
    </xf>
    <xf numFmtId="37" fontId="39" fillId="0" borderId="0" applyFill="0">
      <alignment horizontal="right"/>
    </xf>
    <xf numFmtId="0" fontId="42" fillId="0" borderId="0" applyNumberFormat="0" applyFont="0" applyAlignment="0">
      <alignment horizontal="center"/>
    </xf>
    <xf numFmtId="0" fontId="44" fillId="0" borderId="0" applyFill="0">
      <alignment vertical="center" wrapText="1"/>
    </xf>
    <xf numFmtId="0" fontId="28" fillId="0" borderId="0">
      <alignment horizontal="left" vertical="center" wrapText="1"/>
    </xf>
    <xf numFmtId="37" fontId="39" fillId="0" borderId="0" applyFill="0">
      <alignment horizontal="right"/>
    </xf>
    <xf numFmtId="0" fontId="42" fillId="0" borderId="0" applyNumberFormat="0" applyFont="0" applyAlignment="0">
      <alignment horizontal="center"/>
    </xf>
    <xf numFmtId="0" fontId="45" fillId="0" borderId="0" applyFill="0">
      <alignment horizontal="center" vertical="center" wrapText="1"/>
    </xf>
    <xf numFmtId="0" fontId="10" fillId="0" borderId="0" applyFill="0">
      <alignment horizontal="center" vertical="center" wrapText="1"/>
    </xf>
    <xf numFmtId="37" fontId="46" fillId="0" borderId="0" applyFill="0">
      <alignment horizontal="right"/>
    </xf>
    <xf numFmtId="0" fontId="42" fillId="0" borderId="0" applyNumberFormat="0" applyFont="0" applyAlignment="0">
      <alignment horizontal="center"/>
    </xf>
    <xf numFmtId="0" fontId="47" fillId="0" borderId="0" applyFill="0">
      <alignment horizontal="center" vertical="center" wrapText="1"/>
    </xf>
    <xf numFmtId="0" fontId="48" fillId="0" borderId="0" applyFill="0">
      <alignment horizontal="center" vertical="center" wrapText="1"/>
    </xf>
    <xf numFmtId="37" fontId="46" fillId="0" borderId="0" applyFill="0">
      <alignment horizontal="right"/>
    </xf>
    <xf numFmtId="0" fontId="42" fillId="0" borderId="0" applyNumberFormat="0" applyFont="0" applyAlignment="0">
      <alignment horizontal="center"/>
    </xf>
    <xf numFmtId="0" fontId="49" fillId="0" borderId="0">
      <alignment horizontal="center" wrapText="1"/>
    </xf>
    <xf numFmtId="0" fontId="50" fillId="0" borderId="0" applyFill="0">
      <alignment horizontal="center" wrapText="1"/>
    </xf>
    <xf numFmtId="0" fontId="51" fillId="54" borderId="19" applyNumberFormat="0" applyAlignment="0" applyProtection="0"/>
    <xf numFmtId="0" fontId="52" fillId="55" borderId="20" applyNumberFormat="0" applyAlignment="0" applyProtection="0"/>
    <xf numFmtId="179" fontId="31" fillId="0" borderId="0" applyFont="0" applyFill="0" applyBorder="0" applyAlignment="0" applyProtection="0"/>
    <xf numFmtId="43" fontId="8" fillId="0" borderId="0" applyFont="0" applyFill="0" applyBorder="0" applyAlignment="0" applyProtection="0"/>
    <xf numFmtId="43" fontId="53" fillId="0" borderId="0" applyFont="0" applyFill="0" applyBorder="0" applyAlignment="0" applyProtection="0"/>
    <xf numFmtId="0" fontId="54" fillId="0" borderId="0"/>
    <xf numFmtId="44" fontId="10" fillId="0" borderId="0" applyFont="0" applyFill="0" applyBorder="0" applyAlignment="0" applyProtection="0"/>
    <xf numFmtId="180" fontId="10" fillId="0" borderId="17">
      <alignment horizontal="center"/>
    </xf>
    <xf numFmtId="181" fontId="55" fillId="0" borderId="0" applyFont="0" applyFill="0" applyBorder="0" applyAlignment="0" applyProtection="0"/>
    <xf numFmtId="0" fontId="56" fillId="0" borderId="0" applyNumberFormat="0" applyFill="0" applyBorder="0" applyAlignment="0" applyProtection="0"/>
    <xf numFmtId="182" fontId="10" fillId="0" borderId="0">
      <protection locked="0"/>
    </xf>
    <xf numFmtId="0" fontId="57" fillId="0" borderId="0"/>
    <xf numFmtId="0" fontId="58" fillId="0" borderId="0"/>
    <xf numFmtId="0" fontId="59" fillId="0" borderId="0"/>
    <xf numFmtId="0" fontId="60" fillId="37" borderId="0" applyNumberFormat="0" applyBorder="0" applyAlignment="0" applyProtection="0"/>
    <xf numFmtId="38" fontId="39" fillId="56" borderId="0" applyNumberFormat="0" applyBorder="0" applyAlignment="0" applyProtection="0"/>
    <xf numFmtId="0" fontId="61" fillId="0" borderId="0" applyNumberFormat="0" applyFill="0" applyBorder="0" applyAlignment="0" applyProtection="0"/>
    <xf numFmtId="0" fontId="29" fillId="0" borderId="21" applyNumberFormat="0" applyAlignment="0" applyProtection="0">
      <alignment horizontal="left" vertical="center"/>
    </xf>
    <xf numFmtId="0" fontId="29" fillId="0" borderId="15">
      <alignment horizontal="left" vertical="center"/>
    </xf>
    <xf numFmtId="0" fontId="62" fillId="0" borderId="0">
      <alignment horizontal="center"/>
    </xf>
    <xf numFmtId="0" fontId="63" fillId="0" borderId="22" applyNumberFormat="0" applyFill="0" applyAlignment="0" applyProtection="0"/>
    <xf numFmtId="0" fontId="64" fillId="0" borderId="23" applyNumberFormat="0" applyFill="0" applyAlignment="0" applyProtection="0"/>
    <xf numFmtId="0" fontId="65" fillId="0" borderId="24" applyNumberFormat="0" applyFill="0" applyAlignment="0" applyProtection="0"/>
    <xf numFmtId="0" fontId="65" fillId="0" borderId="0" applyNumberFormat="0" applyFill="0" applyBorder="0" applyAlignment="0" applyProtection="0"/>
    <xf numFmtId="183" fontId="10" fillId="0" borderId="0">
      <protection locked="0"/>
    </xf>
    <xf numFmtId="183" fontId="10" fillId="0" borderId="0">
      <protection locked="0"/>
    </xf>
    <xf numFmtId="0" fontId="66" fillId="0" borderId="25" applyNumberFormat="0" applyFill="0" applyAlignment="0" applyProtection="0"/>
    <xf numFmtId="10" fontId="39" fillId="57" borderId="17" applyNumberFormat="0" applyBorder="0" applyAlignment="0" applyProtection="0"/>
    <xf numFmtId="0" fontId="67" fillId="40" borderId="19" applyNumberFormat="0" applyAlignment="0" applyProtection="0"/>
    <xf numFmtId="0" fontId="39" fillId="56" borderId="0"/>
    <xf numFmtId="0" fontId="68" fillId="0" borderId="26" applyNumberFormat="0" applyFill="0" applyAlignment="0" applyProtection="0"/>
    <xf numFmtId="184" fontId="10" fillId="0" borderId="17">
      <alignment horizontal="center"/>
    </xf>
    <xf numFmtId="185" fontId="69" fillId="0" borderId="0"/>
    <xf numFmtId="17" fontId="70" fillId="0" borderId="0">
      <alignment horizontal="center"/>
    </xf>
    <xf numFmtId="186" fontId="10" fillId="0" borderId="0" applyFont="0" applyFill="0" applyBorder="0" applyAlignment="0" applyProtection="0"/>
    <xf numFmtId="187" fontId="10" fillId="0" borderId="0" applyFont="0" applyFill="0" applyBorder="0" applyAlignment="0" applyProtection="0"/>
    <xf numFmtId="0" fontId="71" fillId="58" borderId="0" applyNumberFormat="0" applyBorder="0" applyAlignment="0" applyProtection="0"/>
    <xf numFmtId="43" fontId="72" fillId="0" borderId="0" applyNumberFormat="0" applyFill="0" applyBorder="0" applyAlignment="0" applyProtection="0"/>
    <xf numFmtId="0" fontId="38" fillId="0" borderId="0" applyNumberFormat="0" applyFill="0" applyAlignment="0" applyProtection="0"/>
    <xf numFmtId="37" fontId="73" fillId="0" borderId="0"/>
    <xf numFmtId="188" fontId="74" fillId="0" borderId="0"/>
    <xf numFmtId="172" fontId="11" fillId="0" borderId="0" applyProtection="0"/>
    <xf numFmtId="0" fontId="10" fillId="0" borderId="0"/>
    <xf numFmtId="0" fontId="8" fillId="0" borderId="0"/>
    <xf numFmtId="0" fontId="53" fillId="0" borderId="0"/>
    <xf numFmtId="0" fontId="10" fillId="0" borderId="17">
      <alignment horizontal="center" wrapText="1"/>
    </xf>
    <xf numFmtId="2" fontId="10" fillId="0" borderId="17">
      <alignment horizontal="center"/>
    </xf>
    <xf numFmtId="189" fontId="75" fillId="0" borderId="17" applyFont="0">
      <alignment horizontal="center"/>
    </xf>
    <xf numFmtId="0" fontId="10" fillId="59" borderId="27" applyNumberFormat="0" applyFont="0" applyAlignment="0" applyProtection="0"/>
    <xf numFmtId="1" fontId="10" fillId="0" borderId="17">
      <alignment horizontal="center"/>
    </xf>
    <xf numFmtId="0" fontId="76" fillId="54" borderId="28" applyNumberFormat="0" applyAlignment="0" applyProtection="0"/>
    <xf numFmtId="10" fontId="10" fillId="0" borderId="0" applyFont="0" applyFill="0" applyBorder="0" applyAlignment="0" applyProtection="0"/>
    <xf numFmtId="0" fontId="31" fillId="0" borderId="0" applyNumberFormat="0" applyFont="0" applyFill="0" applyBorder="0" applyAlignment="0" applyProtection="0">
      <alignment horizontal="left"/>
    </xf>
    <xf numFmtId="15" fontId="31" fillId="0" borderId="0" applyFont="0" applyFill="0" applyBorder="0" applyAlignment="0" applyProtection="0"/>
    <xf numFmtId="4" fontId="31" fillId="0" borderId="0" applyFont="0" applyFill="0" applyBorder="0" applyAlignment="0" applyProtection="0"/>
    <xf numFmtId="0" fontId="77" fillId="0" borderId="1">
      <alignment horizontal="center"/>
    </xf>
    <xf numFmtId="3" fontId="31" fillId="0" borderId="0" applyFont="0" applyFill="0" applyBorder="0" applyAlignment="0" applyProtection="0"/>
    <xf numFmtId="0" fontId="31" fillId="60" borderId="0" applyNumberFormat="0" applyFont="0" applyBorder="0" applyAlignment="0" applyProtection="0"/>
    <xf numFmtId="37" fontId="39" fillId="56" borderId="0" applyFill="0">
      <alignment horizontal="right"/>
    </xf>
    <xf numFmtId="0" fontId="46" fillId="0" borderId="0">
      <alignment horizontal="left"/>
    </xf>
    <xf numFmtId="0" fontId="39" fillId="0" borderId="0" applyFill="0">
      <alignment horizontal="left"/>
    </xf>
    <xf numFmtId="37" fontId="39" fillId="0" borderId="3" applyFill="0">
      <alignment horizontal="right"/>
    </xf>
    <xf numFmtId="0" fontId="75" fillId="0" borderId="17" applyNumberFormat="0" applyFont="0" applyBorder="0">
      <alignment horizontal="right"/>
    </xf>
    <xf numFmtId="0" fontId="78" fillId="0" borderId="0" applyFill="0"/>
    <xf numFmtId="0" fontId="39" fillId="0" borderId="0" applyFill="0">
      <alignment horizontal="left"/>
    </xf>
    <xf numFmtId="190" fontId="39" fillId="0" borderId="3" applyFill="0">
      <alignment horizontal="right"/>
    </xf>
    <xf numFmtId="0" fontId="10" fillId="0" borderId="0" applyNumberFormat="0" applyFont="0" applyBorder="0" applyAlignment="0"/>
    <xf numFmtId="0" fontId="43" fillId="0" borderId="0" applyFill="0">
      <alignment horizontal="left" indent="1"/>
    </xf>
    <xf numFmtId="0" fontId="46" fillId="0" borderId="0" applyFill="0">
      <alignment horizontal="left"/>
    </xf>
    <xf numFmtId="37" fontId="39" fillId="0" borderId="0" applyFill="0">
      <alignment horizontal="right"/>
    </xf>
    <xf numFmtId="0" fontId="10" fillId="0" borderId="0" applyNumberFormat="0" applyFont="0" applyFill="0" applyBorder="0" applyAlignment="0"/>
    <xf numFmtId="0" fontId="43" fillId="0" borderId="0" applyFill="0">
      <alignment horizontal="left" indent="2"/>
    </xf>
    <xf numFmtId="0" fontId="39" fillId="0" borderId="0" applyFill="0">
      <alignment horizontal="left"/>
    </xf>
    <xf numFmtId="37" fontId="39" fillId="0" borderId="0" applyFill="0">
      <alignment horizontal="right"/>
    </xf>
    <xf numFmtId="0" fontId="10" fillId="0" borderId="0" applyNumberFormat="0" applyFont="0" applyBorder="0" applyAlignment="0"/>
    <xf numFmtId="0" fontId="79" fillId="0" borderId="0">
      <alignment horizontal="left" indent="3"/>
    </xf>
    <xf numFmtId="0" fontId="39" fillId="0" borderId="0" applyFill="0">
      <alignment horizontal="left"/>
    </xf>
    <xf numFmtId="37" fontId="39" fillId="0" borderId="0" applyFill="0">
      <alignment horizontal="right"/>
    </xf>
    <xf numFmtId="0" fontId="10" fillId="0" borderId="0" applyNumberFormat="0" applyFont="0" applyBorder="0" applyAlignment="0"/>
    <xf numFmtId="0" fontId="45" fillId="0" borderId="0">
      <alignment horizontal="left" indent="4"/>
    </xf>
    <xf numFmtId="0" fontId="39" fillId="0" borderId="0" applyFill="0">
      <alignment horizontal="left"/>
    </xf>
    <xf numFmtId="37" fontId="46" fillId="0" borderId="0" applyFill="0">
      <alignment horizontal="right"/>
    </xf>
    <xf numFmtId="0" fontId="10" fillId="0" borderId="0" applyNumberFormat="0" applyFont="0" applyBorder="0" applyAlignment="0"/>
    <xf numFmtId="0" fontId="47" fillId="0" borderId="0">
      <alignment horizontal="left" indent="5"/>
    </xf>
    <xf numFmtId="0" fontId="46" fillId="0" borderId="0" applyFill="0">
      <alignment horizontal="left"/>
    </xf>
    <xf numFmtId="37" fontId="46" fillId="0" borderId="0" applyFill="0">
      <alignment horizontal="right"/>
    </xf>
    <xf numFmtId="0" fontId="10" fillId="0" borderId="0" applyNumberFormat="0" applyFont="0" applyFill="0" applyBorder="0" applyAlignment="0"/>
    <xf numFmtId="0" fontId="49" fillId="0" borderId="0" applyFill="0">
      <alignment horizontal="left" indent="6"/>
    </xf>
    <xf numFmtId="0" fontId="46" fillId="0" borderId="0" applyFill="0">
      <alignment horizontal="left"/>
    </xf>
    <xf numFmtId="38" fontId="80" fillId="2" borderId="3">
      <alignment horizontal="right"/>
    </xf>
    <xf numFmtId="38" fontId="10" fillId="61" borderId="0" applyNumberFormat="0" applyFont="0" applyBorder="0" applyAlignment="0" applyProtection="0"/>
    <xf numFmtId="0" fontId="81" fillId="0" borderId="0" applyNumberFormat="0" applyAlignment="0">
      <alignment horizontal="centerContinuous"/>
    </xf>
    <xf numFmtId="0" fontId="38" fillId="0" borderId="3" applyNumberFormat="0" applyFill="0" applyAlignment="0" applyProtection="0"/>
    <xf numFmtId="37" fontId="82" fillId="0" borderId="0" applyNumberFormat="0">
      <alignment horizontal="left"/>
    </xf>
    <xf numFmtId="191" fontId="10" fillId="0" borderId="17">
      <alignment horizontal="center" wrapText="1"/>
    </xf>
    <xf numFmtId="38" fontId="31" fillId="0" borderId="0" applyFont="0" applyFill="0" applyBorder="0" applyAlignment="0" applyProtection="0"/>
    <xf numFmtId="38" fontId="31" fillId="0" borderId="0" applyFont="0" applyFill="0" applyBorder="0" applyAlignment="0" applyProtection="0"/>
    <xf numFmtId="0" fontId="10" fillId="0" borderId="0" applyNumberFormat="0" applyFill="0" applyBorder="0" applyProtection="0">
      <alignment horizontal="right" wrapText="1"/>
    </xf>
    <xf numFmtId="192" fontId="10" fillId="0" borderId="0" applyFill="0" applyBorder="0" applyAlignment="0" applyProtection="0">
      <alignment wrapText="1"/>
    </xf>
    <xf numFmtId="37" fontId="83" fillId="0" borderId="0" applyNumberFormat="0">
      <alignment horizontal="left"/>
    </xf>
    <xf numFmtId="37" fontId="84" fillId="0" borderId="0" applyNumberFormat="0">
      <alignment horizontal="left"/>
    </xf>
    <xf numFmtId="37" fontId="85" fillId="0" borderId="0" applyNumberFormat="0">
      <alignment horizontal="left"/>
    </xf>
    <xf numFmtId="185" fontId="86" fillId="0" borderId="0"/>
    <xf numFmtId="40" fontId="87" fillId="0" borderId="0"/>
    <xf numFmtId="0" fontId="88" fillId="0" borderId="0" applyNumberFormat="0" applyFill="0" applyBorder="0" applyAlignment="0" applyProtection="0"/>
    <xf numFmtId="0" fontId="89" fillId="0" borderId="29" applyNumberFormat="0" applyFill="0" applyAlignment="0" applyProtection="0"/>
    <xf numFmtId="37" fontId="39" fillId="2" borderId="0" applyNumberFormat="0" applyBorder="0" applyAlignment="0" applyProtection="0"/>
    <xf numFmtId="37" fontId="39" fillId="0" borderId="0"/>
    <xf numFmtId="3" fontId="90" fillId="0" borderId="25" applyProtection="0"/>
    <xf numFmtId="0" fontId="91" fillId="0" borderId="0" applyNumberForma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92"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59"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92" fillId="20"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92"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8" fillId="24"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92"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92" fillId="32"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9"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13"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8" fillId="42"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8" fillId="25"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92" fillId="29"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8" fillId="4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8" fillId="33"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14"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27" fillId="42"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93"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8"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93"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3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27" fillId="40"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93"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27" fillId="34"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93"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93"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93"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63"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93"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93"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94"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17" fillId="5"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36" fillId="36" borderId="0" applyNumberFormat="0" applyBorder="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95" fillId="8" borderId="8" applyNumberFormat="0" applyAlignment="0" applyProtection="0"/>
    <xf numFmtId="0" fontId="21" fillId="64" borderId="8" applyNumberFormat="0" applyAlignment="0" applyProtection="0"/>
    <xf numFmtId="0" fontId="21" fillId="64" borderId="8" applyNumberFormat="0" applyAlignment="0" applyProtection="0"/>
    <xf numFmtId="0" fontId="21" fillId="64" borderId="8" applyNumberFormat="0" applyAlignment="0" applyProtection="0"/>
    <xf numFmtId="0" fontId="21" fillId="64" borderId="8"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1" fillId="64" borderId="19"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96"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23" fillId="9" borderId="11"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0" fontId="52" fillId="55" borderId="20" applyNumberFormat="0" applyAlignment="0" applyProtection="0"/>
    <xf numFmtId="41"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92" fillId="0" borderId="0" applyFont="0" applyFill="0" applyBorder="0" applyAlignment="0" applyProtection="0"/>
    <xf numFmtId="43" fontId="9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9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98"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99"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60" fillId="37" borderId="0" applyNumberFormat="0" applyBorder="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1"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0" fillId="0" borderId="30"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3" fillId="0" borderId="6"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4" fillId="0" borderId="31"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2" fillId="0" borderId="23"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5" fillId="0" borderId="7"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5" fillId="0" borderId="33"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32" applyNumberFormat="0" applyFill="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6" fillId="0" borderId="0" applyNumberFormat="0" applyFill="0" applyBorder="0" applyAlignment="0" applyProtection="0">
      <alignment vertical="top"/>
      <protection locked="0"/>
    </xf>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107" fillId="7" borderId="8" applyNumberFormat="0" applyAlignment="0" applyProtection="0"/>
    <xf numFmtId="0" fontId="19" fillId="58" borderId="8" applyNumberFormat="0" applyAlignment="0" applyProtection="0"/>
    <xf numFmtId="0" fontId="19" fillId="58" borderId="8" applyNumberFormat="0" applyAlignment="0" applyProtection="0"/>
    <xf numFmtId="0" fontId="19" fillId="58" borderId="8" applyNumberFormat="0" applyAlignment="0" applyProtection="0"/>
    <xf numFmtId="0" fontId="19" fillId="58" borderId="8"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7" fillId="58" borderId="19" applyNumberFormat="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108"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68" fillId="0" borderId="26" applyNumberFormat="0" applyFill="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109"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18" fillId="6"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71" fillId="58" borderId="0" applyNumberFormat="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7"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8" fillId="0" borderId="0"/>
    <xf numFmtId="0" fontId="8" fillId="0" borderId="0"/>
    <xf numFmtId="0" fontId="8" fillId="0" borderId="0"/>
    <xf numFmtId="0" fontId="8"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7"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2"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92" fillId="10" borderId="12"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10" fillId="59" borderId="27" applyNumberFormat="0" applyFon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111" fillId="8" borderId="9" applyNumberFormat="0" applyAlignment="0" applyProtection="0"/>
    <xf numFmtId="0" fontId="20" fillId="64" borderId="9" applyNumberFormat="0" applyAlignment="0" applyProtection="0"/>
    <xf numFmtId="0" fontId="20" fillId="64" borderId="9" applyNumberFormat="0" applyAlignment="0" applyProtection="0"/>
    <xf numFmtId="0" fontId="20" fillId="64" borderId="9" applyNumberFormat="0" applyAlignment="0" applyProtection="0"/>
    <xf numFmtId="0" fontId="20" fillId="64" borderId="9"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0" fontId="76" fillId="64" borderId="28" applyNumberFormat="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7"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113"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26" fillId="0" borderId="13"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89" fillId="0" borderId="34" applyNumberFormat="0" applyFill="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11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172" fontId="11" fillId="0" borderId="0" applyProtection="0"/>
    <xf numFmtId="0" fontId="30" fillId="0" borderId="0"/>
    <xf numFmtId="0" fontId="10" fillId="0" borderId="0"/>
    <xf numFmtId="194" fontId="10" fillId="65" borderId="0" applyNumberFormat="0" applyFill="0" applyBorder="0" applyAlignment="0" applyProtection="0">
      <alignment horizontal="right" vertical="center"/>
    </xf>
    <xf numFmtId="194" fontId="66" fillId="0" borderId="0" applyNumberFormat="0" applyFill="0" applyBorder="0" applyAlignment="0" applyProtection="0"/>
    <xf numFmtId="0" fontId="10" fillId="0" borderId="3" applyNumberFormat="0" applyFont="0" applyFill="0" applyAlignment="0" applyProtection="0"/>
    <xf numFmtId="195" fontId="9" fillId="0" borderId="0" applyFont="0" applyFill="0" applyBorder="0" applyAlignment="0" applyProtection="0"/>
    <xf numFmtId="37" fontId="115" fillId="0" borderId="0" applyFont="0" applyFill="0" applyBorder="0" applyAlignment="0" applyProtection="0">
      <alignment vertical="center"/>
      <protection locked="0"/>
    </xf>
    <xf numFmtId="196" fontId="30" fillId="0" borderId="0" applyFont="0" applyFill="0" applyBorder="0" applyAlignment="0" applyProtection="0"/>
    <xf numFmtId="0" fontId="116" fillId="0" borderId="0"/>
    <xf numFmtId="0" fontId="10" fillId="0" borderId="0" applyFill="0">
      <alignment horizontal="center" vertical="center" wrapText="1"/>
    </xf>
    <xf numFmtId="185" fontId="117" fillId="0" borderId="0" applyFont="0" applyFill="0" applyBorder="0" applyAlignment="0" applyProtection="0">
      <protection locked="0"/>
    </xf>
    <xf numFmtId="197" fontId="117" fillId="0" borderId="0" applyFont="0" applyFill="0" applyBorder="0" applyAlignment="0" applyProtection="0">
      <protection locked="0"/>
    </xf>
    <xf numFmtId="39" fontId="10" fillId="0" borderId="0" applyFont="0" applyFill="0" applyBorder="0" applyAlignment="0" applyProtection="0"/>
    <xf numFmtId="198" fontId="118" fillId="0" borderId="0" applyFont="0" applyFill="0" applyBorder="0" applyAlignment="0" applyProtection="0"/>
    <xf numFmtId="199" fontId="30" fillId="0" borderId="0" applyFont="0" applyFill="0" applyBorder="0" applyAlignment="0" applyProtection="0"/>
    <xf numFmtId="0" fontId="10" fillId="0" borderId="3" applyNumberFormat="0" applyFont="0" applyFill="0" applyBorder="0" applyProtection="0">
      <alignment horizontal="centerContinuous" vertical="center"/>
    </xf>
    <xf numFmtId="0" fontId="119" fillId="0" borderId="0" applyFill="0" applyBorder="0" applyProtection="0">
      <alignment horizontal="center"/>
      <protection locked="0"/>
    </xf>
    <xf numFmtId="41" fontId="92" fillId="0" borderId="0" applyFont="0" applyFill="0" applyBorder="0" applyAlignment="0" applyProtection="0"/>
    <xf numFmtId="41" fontId="8" fillId="0" borderId="0" applyFont="0" applyFill="0" applyBorder="0" applyAlignment="0" applyProtection="0"/>
    <xf numFmtId="200" fontId="38" fillId="0" borderId="0" applyFont="0" applyFill="0" applyBorder="0" applyAlignment="0" applyProtection="0"/>
    <xf numFmtId="201" fontId="120" fillId="0" borderId="0" applyFont="0" applyFill="0" applyBorder="0" applyAlignment="0" applyProtection="0"/>
    <xf numFmtId="202" fontId="120" fillId="0" borderId="0" applyFont="0" applyFill="0" applyBorder="0" applyAlignment="0" applyProtection="0"/>
    <xf numFmtId="203" fontId="121" fillId="0" borderId="0" applyFont="0" applyFill="0" applyBorder="0" applyAlignment="0" applyProtection="0">
      <protection locked="0"/>
    </xf>
    <xf numFmtId="3" fontId="10" fillId="0" borderId="0" applyFont="0" applyFill="0" applyBorder="0" applyAlignment="0" applyProtection="0"/>
    <xf numFmtId="0" fontId="41" fillId="0" borderId="0" applyFill="0" applyBorder="0" applyAlignment="0" applyProtection="0">
      <protection locked="0"/>
    </xf>
    <xf numFmtId="0" fontId="10" fillId="0" borderId="35"/>
    <xf numFmtId="204" fontId="120" fillId="0" borderId="0" applyFont="0" applyFill="0" applyBorder="0" applyAlignment="0" applyProtection="0"/>
    <xf numFmtId="205" fontId="120" fillId="0" borderId="0" applyFont="0" applyFill="0" applyBorder="0" applyAlignment="0" applyProtection="0"/>
    <xf numFmtId="206" fontId="120" fillId="0" borderId="0" applyFont="0" applyFill="0" applyBorder="0" applyAlignment="0" applyProtection="0"/>
    <xf numFmtId="207" fontId="121" fillId="0" borderId="0" applyFont="0" applyFill="0" applyBorder="0" applyAlignment="0" applyProtection="0">
      <protection locked="0"/>
    </xf>
    <xf numFmtId="5" fontId="10" fillId="0" borderId="0" applyFont="0" applyFill="0" applyBorder="0" applyAlignment="0" applyProtection="0"/>
    <xf numFmtId="5" fontId="10" fillId="0" borderId="0" applyFont="0" applyFill="0" applyBorder="0" applyAlignment="0" applyProtection="0"/>
    <xf numFmtId="208" fontId="30" fillId="0" borderId="0" applyFont="0" applyFill="0" applyBorder="0" applyAlignment="0" applyProtection="0"/>
    <xf numFmtId="209" fontId="10" fillId="0" borderId="0" applyFont="0" applyFill="0" applyBorder="0" applyAlignment="0" applyProtection="0"/>
    <xf numFmtId="210" fontId="117" fillId="0" borderId="0" applyFont="0" applyFill="0" applyBorder="0" applyAlignment="0" applyProtection="0">
      <protection locked="0"/>
    </xf>
    <xf numFmtId="7" fontId="39" fillId="0" borderId="0" applyFont="0" applyFill="0" applyBorder="0" applyAlignment="0" applyProtection="0"/>
    <xf numFmtId="211" fontId="118" fillId="0" borderId="0" applyFont="0" applyFill="0" applyBorder="0" applyAlignment="0" applyProtection="0"/>
    <xf numFmtId="212" fontId="122" fillId="0" borderId="0" applyFont="0" applyFill="0" applyBorder="0" applyAlignment="0" applyProtection="0"/>
    <xf numFmtId="0" fontId="123" fillId="66" borderId="36" applyNumberFormat="0" applyFont="0" applyFill="0" applyAlignment="0" applyProtection="0">
      <alignment horizontal="left" indent="1"/>
    </xf>
    <xf numFmtId="5" fontId="124" fillId="0" borderId="0" applyBorder="0"/>
    <xf numFmtId="209" fontId="124" fillId="0" borderId="0" applyBorder="0"/>
    <xf numFmtId="7" fontId="124" fillId="0" borderId="0" applyBorder="0"/>
    <xf numFmtId="37" fontId="124" fillId="0" borderId="0" applyBorder="0"/>
    <xf numFmtId="185" fontId="124" fillId="0" borderId="0" applyBorder="0"/>
    <xf numFmtId="213" fontId="124" fillId="0" borderId="0" applyBorder="0"/>
    <xf numFmtId="39" fontId="124" fillId="0" borderId="0" applyBorder="0"/>
    <xf numFmtId="214" fontId="124" fillId="0" borderId="0" applyBorder="0"/>
    <xf numFmtId="7" fontId="10" fillId="0" borderId="0" applyFont="0" applyFill="0" applyBorder="0" applyAlignment="0" applyProtection="0"/>
    <xf numFmtId="215" fontId="30" fillId="0" borderId="0" applyFont="0" applyFill="0" applyBorder="0" applyAlignment="0" applyProtection="0"/>
    <xf numFmtId="216" fontId="30" fillId="0" borderId="0" applyFont="0" applyFill="0" applyAlignment="0" applyProtection="0"/>
    <xf numFmtId="215" fontId="30" fillId="0" borderId="0" applyFont="0" applyFill="0" applyBorder="0" applyAlignment="0" applyProtection="0"/>
    <xf numFmtId="185" fontId="125" fillId="0" borderId="0" applyNumberFormat="0" applyFill="0" applyBorder="0" applyAlignment="0" applyProtection="0"/>
    <xf numFmtId="0" fontId="39" fillId="0" borderId="0" applyFont="0" applyFill="0" applyBorder="0" applyAlignment="0" applyProtection="0"/>
    <xf numFmtId="0" fontId="125" fillId="0" borderId="0" applyNumberFormat="0" applyFill="0" applyBorder="0" applyAlignment="0" applyProtection="0"/>
    <xf numFmtId="0" fontId="119" fillId="0" borderId="0" applyFill="0" applyAlignment="0" applyProtection="0">
      <protection locked="0"/>
    </xf>
    <xf numFmtId="0" fontId="119" fillId="0" borderId="3" applyFill="0" applyAlignment="0" applyProtection="0">
      <protection locked="0"/>
    </xf>
    <xf numFmtId="0" fontId="126" fillId="0" borderId="3" applyNumberFormat="0" applyFill="0" applyAlignment="0" applyProtection="0"/>
    <xf numFmtId="0" fontId="127" fillId="62" borderId="17" applyNumberFormat="0" applyAlignment="0" applyProtection="0"/>
    <xf numFmtId="5" fontId="128" fillId="0" borderId="0" applyBorder="0"/>
    <xf numFmtId="209" fontId="128" fillId="0" borderId="0" applyBorder="0"/>
    <xf numFmtId="7" fontId="128" fillId="0" borderId="0" applyBorder="0"/>
    <xf numFmtId="37" fontId="128" fillId="0" borderId="0" applyBorder="0"/>
    <xf numFmtId="185" fontId="128" fillId="0" borderId="0" applyBorder="0"/>
    <xf numFmtId="213" fontId="128" fillId="0" borderId="0" applyBorder="0"/>
    <xf numFmtId="39" fontId="128" fillId="0" borderId="0" applyBorder="0"/>
    <xf numFmtId="214" fontId="128" fillId="0" borderId="0" applyBorder="0"/>
    <xf numFmtId="0" fontId="129" fillId="0" borderId="37" applyNumberFormat="0" applyFont="0" applyFill="0" applyAlignment="0" applyProtection="0"/>
    <xf numFmtId="217" fontId="10" fillId="0" borderId="0" applyFont="0" applyFill="0" applyBorder="0" applyAlignment="0" applyProtection="0"/>
    <xf numFmtId="218" fontId="10" fillId="0" borderId="0" applyFont="0" applyFill="0" applyBorder="0" applyAlignment="0" applyProtection="0"/>
    <xf numFmtId="219" fontId="10" fillId="0" borderId="0" applyFont="0" applyFill="0" applyBorder="0" applyAlignment="0" applyProtection="0"/>
    <xf numFmtId="220" fontId="10" fillId="0" borderId="0" applyFont="0" applyFill="0" applyBorder="0" applyAlignment="0" applyProtection="0"/>
    <xf numFmtId="221" fontId="10" fillId="0" borderId="0" applyFont="0" applyFill="0" applyBorder="0" applyAlignment="0" applyProtection="0"/>
    <xf numFmtId="0" fontId="10" fillId="0" borderId="0"/>
    <xf numFmtId="222" fontId="10" fillId="0" borderId="0" applyFont="0" applyFill="0" applyBorder="0" applyAlignment="0" applyProtection="0"/>
    <xf numFmtId="223" fontId="97" fillId="67" borderId="0" applyFont="0" applyFill="0" applyBorder="0" applyAlignment="0" applyProtection="0"/>
    <xf numFmtId="224" fontId="97" fillId="67" borderId="0" applyFont="0" applyFill="0" applyBorder="0" applyAlignment="0" applyProtection="0"/>
    <xf numFmtId="225" fontId="10" fillId="0" borderId="0" applyFont="0" applyFill="0" applyBorder="0" applyAlignment="0" applyProtection="0"/>
    <xf numFmtId="226" fontId="120" fillId="0" borderId="0" applyFont="0" applyFill="0" applyBorder="0" applyAlignment="0" applyProtection="0"/>
    <xf numFmtId="227" fontId="38" fillId="0" borderId="0" applyFont="0" applyFill="0" applyBorder="0" applyAlignment="0" applyProtection="0"/>
    <xf numFmtId="228" fontId="10" fillId="0" borderId="0" applyFont="0" applyFill="0" applyBorder="0" applyAlignment="0" applyProtection="0"/>
    <xf numFmtId="229" fontId="120" fillId="0" borderId="0" applyFont="0" applyFill="0" applyBorder="0" applyAlignment="0" applyProtection="0"/>
    <xf numFmtId="230" fontId="38" fillId="0" borderId="0" applyFont="0" applyFill="0" applyBorder="0" applyAlignment="0" applyProtection="0"/>
    <xf numFmtId="231" fontId="120" fillId="0" borderId="0" applyFont="0" applyFill="0" applyBorder="0" applyAlignment="0" applyProtection="0"/>
    <xf numFmtId="232" fontId="38" fillId="0" borderId="0" applyFont="0" applyFill="0" applyBorder="0" applyAlignment="0" applyProtection="0"/>
    <xf numFmtId="233" fontId="120" fillId="0" borderId="0" applyFont="0" applyFill="0" applyBorder="0" applyAlignment="0" applyProtection="0"/>
    <xf numFmtId="234" fontId="38" fillId="0" borderId="0" applyFont="0" applyFill="0" applyBorder="0" applyAlignment="0" applyProtection="0"/>
    <xf numFmtId="235" fontId="121" fillId="0" borderId="0" applyFont="0" applyFill="0" applyBorder="0" applyAlignment="0" applyProtection="0">
      <protection locked="0"/>
    </xf>
    <xf numFmtId="236" fontId="38" fillId="0" borderId="0" applyFont="0" applyFill="0" applyBorder="0" applyAlignment="0" applyProtection="0"/>
    <xf numFmtId="9" fontId="10" fillId="0" borderId="0" applyFont="0" applyFill="0" applyBorder="0" applyAlignment="0" applyProtection="0"/>
    <xf numFmtId="9" fontId="30" fillId="0" borderId="0" applyFont="0" applyFill="0" applyBorder="0" applyAlignment="0" applyProtection="0"/>
    <xf numFmtId="9" fontId="92" fillId="0" borderId="0" applyFont="0" applyFill="0" applyBorder="0" applyAlignment="0" applyProtection="0"/>
    <xf numFmtId="9" fontId="8" fillId="0" borderId="0" applyFont="0" applyFill="0" applyBorder="0" applyAlignment="0" applyProtection="0"/>
    <xf numFmtId="9" fontId="124" fillId="0" borderId="0" applyBorder="0"/>
    <xf numFmtId="237" fontId="124" fillId="0" borderId="0" applyBorder="0"/>
    <xf numFmtId="10" fontId="124" fillId="0" borderId="0" applyBorder="0"/>
    <xf numFmtId="3" fontId="10" fillId="0" borderId="0">
      <alignment horizontal="left" vertical="top"/>
    </xf>
    <xf numFmtId="3" fontId="10" fillId="0" borderId="0">
      <alignment horizontal="right" vertical="top"/>
    </xf>
    <xf numFmtId="0" fontId="10" fillId="0" borderId="0" applyFill="0">
      <alignment horizontal="left" indent="4"/>
    </xf>
    <xf numFmtId="0" fontId="129" fillId="0" borderId="38" applyNumberFormat="0" applyFont="0" applyFill="0" applyAlignment="0" applyProtection="0"/>
    <xf numFmtId="0" fontId="130" fillId="0" borderId="0" applyNumberFormat="0" applyFill="0" applyBorder="0" applyAlignment="0" applyProtection="0"/>
    <xf numFmtId="0" fontId="131" fillId="0" borderId="0"/>
    <xf numFmtId="0" fontId="41" fillId="68" borderId="0"/>
    <xf numFmtId="0" fontId="10" fillId="56" borderId="35" applyNumberFormat="0" applyFont="0" applyAlignment="0"/>
    <xf numFmtId="0" fontId="129" fillId="66" borderId="0" applyNumberFormat="0" applyFont="0" applyBorder="0" applyAlignment="0" applyProtection="0"/>
    <xf numFmtId="223" fontId="132" fillId="0" borderId="15" applyNumberFormat="0" applyFont="0" applyFill="0" applyAlignment="0" applyProtection="0"/>
    <xf numFmtId="0" fontId="133" fillId="0" borderId="0" applyFill="0" applyBorder="0" applyProtection="0">
      <alignment horizontal="left" vertical="top"/>
    </xf>
    <xf numFmtId="0" fontId="10" fillId="0" borderId="4" applyNumberFormat="0" applyFont="0" applyFill="0" applyAlignment="0" applyProtection="0"/>
    <xf numFmtId="0" fontId="134" fillId="0" borderId="0" applyNumberFormat="0" applyFill="0" applyBorder="0" applyAlignment="0" applyProtection="0"/>
    <xf numFmtId="238" fontId="38" fillId="0" borderId="0" applyFont="0" applyFill="0" applyBorder="0" applyAlignment="0" applyProtection="0"/>
    <xf numFmtId="239" fontId="38" fillId="0" borderId="0" applyFont="0" applyFill="0" applyBorder="0" applyAlignment="0" applyProtection="0"/>
    <xf numFmtId="240" fontId="38" fillId="0" borderId="0" applyFont="0" applyFill="0" applyBorder="0" applyAlignment="0" applyProtection="0"/>
    <xf numFmtId="241" fontId="38" fillId="0" borderId="0" applyFont="0" applyFill="0" applyBorder="0" applyAlignment="0" applyProtection="0"/>
    <xf numFmtId="242" fontId="38" fillId="0" borderId="0" applyFont="0" applyFill="0" applyBorder="0" applyAlignment="0" applyProtection="0"/>
    <xf numFmtId="243" fontId="38" fillId="0" borderId="0" applyFont="0" applyFill="0" applyBorder="0" applyAlignment="0" applyProtection="0"/>
    <xf numFmtId="244" fontId="38" fillId="0" borderId="0" applyFont="0" applyFill="0" applyBorder="0" applyAlignment="0" applyProtection="0"/>
    <xf numFmtId="245" fontId="38" fillId="0" borderId="0" applyFont="0" applyFill="0" applyBorder="0" applyAlignment="0" applyProtection="0"/>
    <xf numFmtId="246" fontId="135" fillId="66" borderId="39" applyFont="0" applyFill="0" applyBorder="0" applyAlignment="0" applyProtection="0"/>
    <xf numFmtId="246" fontId="30" fillId="0" borderId="0" applyFont="0" applyFill="0" applyBorder="0" applyAlignment="0" applyProtection="0"/>
    <xf numFmtId="247" fontId="118" fillId="0" borderId="0" applyFont="0" applyFill="0" applyBorder="0" applyAlignment="0" applyProtection="0"/>
    <xf numFmtId="248" fontId="122" fillId="0" borderId="15" applyFont="0" applyFill="0" applyBorder="0" applyAlignment="0" applyProtection="0">
      <alignment horizontal="right"/>
      <protection locked="0"/>
    </xf>
    <xf numFmtId="0" fontId="55" fillId="0" borderId="0">
      <alignment vertical="top"/>
    </xf>
    <xf numFmtId="0" fontId="136" fillId="0" borderId="0"/>
    <xf numFmtId="0" fontId="10" fillId="0" borderId="0" applyNumberFormat="0" applyFill="0" applyBorder="0" applyAlignment="0" applyProtection="0"/>
    <xf numFmtId="0" fontId="10" fillId="0" borderId="0" applyNumberFormat="0" applyFill="0" applyBorder="0" applyAlignment="0" applyProtection="0"/>
    <xf numFmtId="175" fontId="30" fillId="53" borderId="16">
      <alignment horizontal="center" vertical="center"/>
    </xf>
    <xf numFmtId="0" fontId="137" fillId="0" borderId="0" applyNumberFormat="0" applyFont="0" applyFill="0" applyBorder="0" applyProtection="0">
      <alignment vertical="top" wrapText="1"/>
    </xf>
    <xf numFmtId="0" fontId="75" fillId="2" borderId="0" applyNumberFormat="0" applyFont="0" applyAlignment="0">
      <alignment vertical="top"/>
    </xf>
    <xf numFmtId="0" fontId="10" fillId="2" borderId="0" applyNumberFormat="0" applyFont="0" applyAlignment="0">
      <alignment vertical="top" wrapText="1"/>
    </xf>
    <xf numFmtId="249" fontId="133" fillId="0" borderId="37" applyNumberFormat="0" applyFill="0" applyBorder="0" applyAlignment="0" applyProtection="0">
      <alignment horizontal="center"/>
    </xf>
    <xf numFmtId="0" fontId="138" fillId="0" borderId="0"/>
    <xf numFmtId="250" fontId="139" fillId="0" borderId="0">
      <alignment horizontal="center" wrapText="1"/>
    </xf>
    <xf numFmtId="251" fontId="140" fillId="0" borderId="0" applyFont="0" applyFill="0" applyBorder="0" applyAlignment="0" applyProtection="0">
      <alignment vertical="center"/>
    </xf>
    <xf numFmtId="4" fontId="141" fillId="0" borderId="4" applyFont="0" applyFill="0" applyBorder="0" applyAlignment="0">
      <alignment horizontal="center" vertical="center"/>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38" fontId="39" fillId="0" borderId="0">
      <alignment horizontal="right"/>
    </xf>
    <xf numFmtId="252" fontId="137" fillId="0" borderId="0" applyFont="0" applyFill="0" applyBorder="0" applyAlignment="0" applyProtection="0"/>
    <xf numFmtId="0" fontId="142" fillId="0" borderId="0"/>
    <xf numFmtId="253" fontId="143" fillId="0" borderId="0">
      <protection locked="0"/>
    </xf>
    <xf numFmtId="171" fontId="30" fillId="0" borderId="0" applyFont="0" applyFill="0" applyBorder="0" applyAlignment="0" applyProtection="0"/>
    <xf numFmtId="171" fontId="30" fillId="0" borderId="0" applyFont="0" applyFill="0" applyBorder="0" applyAlignment="0" applyProtection="0"/>
    <xf numFmtId="4" fontId="30" fillId="0" borderId="0" applyFont="0" applyFill="0" applyBorder="0" applyAlignment="0" applyProtection="0"/>
    <xf numFmtId="4" fontId="30" fillId="0" borderId="0" applyFont="0" applyFill="0" applyBorder="0" applyAlignment="0" applyProtection="0"/>
    <xf numFmtId="4" fontId="135" fillId="0" borderId="0"/>
    <xf numFmtId="254" fontId="28" fillId="0" borderId="0">
      <protection locked="0"/>
    </xf>
    <xf numFmtId="44" fontId="140" fillId="0" borderId="0" applyFont="0" applyFill="0" applyBorder="0" applyAlignment="0" applyProtection="0"/>
    <xf numFmtId="255" fontId="140"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256" fontId="10" fillId="0" borderId="0" applyFont="0" applyFill="0" applyBorder="0" applyAlignment="0" applyProtection="0">
      <alignment wrapText="1"/>
    </xf>
    <xf numFmtId="256" fontId="10" fillId="0" borderId="0" applyFont="0" applyFill="0" applyBorder="0" applyAlignment="0" applyProtection="0">
      <alignment wrapText="1"/>
    </xf>
    <xf numFmtId="16" fontId="39" fillId="0" borderId="0">
      <alignment horizontal="right"/>
    </xf>
    <xf numFmtId="15" fontId="39" fillId="0" borderId="0">
      <alignment horizontal="right"/>
    </xf>
    <xf numFmtId="257" fontId="9" fillId="0" borderId="0"/>
    <xf numFmtId="182" fontId="10" fillId="0" borderId="0">
      <protection locked="0"/>
    </xf>
    <xf numFmtId="182" fontId="10" fillId="0" borderId="0">
      <protection locked="0"/>
    </xf>
    <xf numFmtId="0" fontId="144" fillId="0" borderId="0" applyNumberFormat="0" applyFill="0" applyBorder="0" applyAlignment="0" applyProtection="0"/>
    <xf numFmtId="38" fontId="39" fillId="56" borderId="0" applyNumberFormat="0" applyBorder="0" applyAlignment="0" applyProtection="0"/>
    <xf numFmtId="183" fontId="10" fillId="0" borderId="0">
      <protection locked="0"/>
    </xf>
    <xf numFmtId="183" fontId="10" fillId="0" borderId="0">
      <protection locked="0"/>
    </xf>
    <xf numFmtId="183" fontId="10" fillId="0" borderId="0">
      <protection locked="0"/>
    </xf>
    <xf numFmtId="183" fontId="10" fillId="0" borderId="0">
      <protection locked="0"/>
    </xf>
    <xf numFmtId="10" fontId="39" fillId="57" borderId="17" applyNumberFormat="0" applyBorder="0" applyAlignment="0" applyProtection="0"/>
    <xf numFmtId="258" fontId="28" fillId="0" borderId="0">
      <alignment horizontal="center"/>
      <protection locked="0"/>
    </xf>
    <xf numFmtId="259" fontId="10" fillId="0" borderId="0" applyFont="0" applyFill="0" applyBorder="0" applyAlignment="0" applyProtection="0"/>
    <xf numFmtId="260" fontId="10" fillId="0" borderId="0" applyFont="0" applyFill="0" applyBorder="0" applyAlignment="0" applyProtection="0"/>
    <xf numFmtId="261" fontId="30" fillId="0" borderId="0"/>
    <xf numFmtId="37" fontId="145" fillId="0" borderId="0"/>
    <xf numFmtId="0" fontId="10" fillId="0" borderId="0"/>
    <xf numFmtId="0" fontId="8" fillId="0" borderId="0"/>
    <xf numFmtId="0" fontId="8"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55" fillId="0" borderId="0">
      <alignment vertical="top"/>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262" fontId="10" fillId="0" borderId="0"/>
    <xf numFmtId="262" fontId="10" fillId="0" borderId="0"/>
    <xf numFmtId="263" fontId="140" fillId="0" borderId="0" applyFont="0" applyFill="0" applyBorder="0" applyAlignment="0" applyProtection="0"/>
    <xf numFmtId="10" fontId="10" fillId="0" borderId="0" applyFont="0" applyFill="0" applyBorder="0" applyAlignment="0" applyProtection="0"/>
    <xf numFmtId="10"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47" fillId="0" borderId="40"/>
    <xf numFmtId="174" fontId="135" fillId="0" borderId="0"/>
    <xf numFmtId="3" fontId="46" fillId="0" borderId="41" applyBorder="0">
      <alignment horizontal="right" wrapText="1"/>
    </xf>
    <xf numFmtId="4" fontId="46" fillId="0" borderId="42" applyBorder="0">
      <alignment horizontal="right" wrapText="1"/>
    </xf>
    <xf numFmtId="0" fontId="10" fillId="69" borderId="28" applyNumberFormat="0" applyProtection="0">
      <alignment horizontal="left" vertical="center" indent="1"/>
    </xf>
    <xf numFmtId="4" fontId="55" fillId="70" borderId="28" applyNumberFormat="0" applyProtection="0">
      <alignment horizontal="right" vertical="center"/>
    </xf>
    <xf numFmtId="0" fontId="10" fillId="69" borderId="28" applyNumberFormat="0" applyProtection="0">
      <alignment horizontal="left" vertical="center" indent="1"/>
    </xf>
    <xf numFmtId="0" fontId="10" fillId="69" borderId="28" applyNumberFormat="0" applyProtection="0">
      <alignment horizontal="left" vertical="center" indent="1"/>
    </xf>
    <xf numFmtId="0" fontId="137" fillId="71" borderId="0" applyNumberFormat="0" applyFont="0" applyBorder="0" applyAlignment="0" applyProtection="0"/>
    <xf numFmtId="0" fontId="137" fillId="61" borderId="0" applyNumberFormat="0" applyFont="0" applyBorder="0" applyAlignment="0" applyProtection="0"/>
    <xf numFmtId="0" fontId="137" fillId="1" borderId="0" applyNumberFormat="0" applyFont="0" applyBorder="0" applyAlignment="0" applyProtection="0"/>
    <xf numFmtId="264" fontId="137" fillId="0" borderId="0" applyFont="0" applyFill="0" applyBorder="0" applyAlignment="0" applyProtection="0"/>
    <xf numFmtId="265" fontId="137" fillId="0" borderId="0" applyFont="0" applyFill="0" applyBorder="0" applyAlignment="0" applyProtection="0"/>
    <xf numFmtId="266" fontId="137" fillId="0" borderId="0" applyFont="0" applyFill="0" applyBorder="0" applyAlignment="0" applyProtection="0"/>
    <xf numFmtId="0" fontId="75" fillId="72" borderId="43" applyNumberFormat="0" applyProtection="0">
      <alignment horizontal="center" wrapText="1"/>
    </xf>
    <xf numFmtId="0" fontId="75" fillId="72" borderId="43" applyNumberFormat="0" applyProtection="0">
      <alignment horizontal="center" wrapText="1"/>
    </xf>
    <xf numFmtId="0" fontId="75" fillId="72" borderId="44" applyNumberFormat="0" applyAlignment="0" applyProtection="0">
      <alignment wrapText="1"/>
    </xf>
    <xf numFmtId="0" fontId="75" fillId="72" borderId="44" applyNumberFormat="0" applyAlignment="0" applyProtection="0">
      <alignment wrapText="1"/>
    </xf>
    <xf numFmtId="0" fontId="10" fillId="73" borderId="0" applyNumberFormat="0" applyBorder="0">
      <alignment horizontal="center" wrapText="1"/>
    </xf>
    <xf numFmtId="0" fontId="10" fillId="73" borderId="0" applyNumberFormat="0" applyBorder="0">
      <alignment horizontal="center" wrapText="1"/>
    </xf>
    <xf numFmtId="0" fontId="10" fillId="73" borderId="0" applyNumberFormat="0" applyBorder="0">
      <alignment wrapText="1"/>
    </xf>
    <xf numFmtId="0" fontId="10" fillId="73" borderId="0" applyNumberFormat="0" applyBorder="0">
      <alignment wrapText="1"/>
    </xf>
    <xf numFmtId="0" fontId="10" fillId="0" borderId="0" applyNumberFormat="0" applyFill="0" applyBorder="0" applyProtection="0">
      <alignment horizontal="right" wrapText="1"/>
    </xf>
    <xf numFmtId="0" fontId="10" fillId="0" borderId="0" applyNumberFormat="0" applyFill="0" applyBorder="0" applyProtection="0">
      <alignment horizontal="right" wrapText="1"/>
    </xf>
    <xf numFmtId="267" fontId="10" fillId="0" borderId="0" applyFill="0" applyBorder="0" applyAlignment="0" applyProtection="0">
      <alignment wrapText="1"/>
    </xf>
    <xf numFmtId="267" fontId="10" fillId="0" borderId="0" applyFill="0" applyBorder="0" applyAlignment="0" applyProtection="0">
      <alignment wrapText="1"/>
    </xf>
    <xf numFmtId="192" fontId="10" fillId="0" borderId="0" applyFill="0" applyBorder="0" applyAlignment="0" applyProtection="0">
      <alignment wrapText="1"/>
    </xf>
    <xf numFmtId="268" fontId="10" fillId="0" borderId="0" applyFill="0" applyBorder="0" applyAlignment="0" applyProtection="0">
      <alignment wrapText="1"/>
    </xf>
    <xf numFmtId="0" fontId="10" fillId="0" borderId="0" applyNumberFormat="0" applyFill="0" applyBorder="0" applyProtection="0">
      <alignment horizontal="right" wrapText="1"/>
    </xf>
    <xf numFmtId="0" fontId="10" fillId="0" borderId="0" applyNumberFormat="0" applyFill="0" applyBorder="0" applyProtection="0">
      <alignment horizontal="right" wrapText="1"/>
    </xf>
    <xf numFmtId="0" fontId="10" fillId="0" borderId="0" applyNumberFormat="0" applyFill="0" applyBorder="0">
      <alignment horizontal="right" wrapText="1"/>
    </xf>
    <xf numFmtId="0" fontId="10" fillId="0" borderId="0" applyNumberFormat="0" applyFill="0" applyBorder="0">
      <alignment horizontal="right" wrapText="1"/>
    </xf>
    <xf numFmtId="17" fontId="10" fillId="0" borderId="0" applyFill="0" applyBorder="0">
      <alignment horizontal="right" wrapText="1"/>
    </xf>
    <xf numFmtId="17" fontId="10" fillId="0" borderId="0" applyFill="0" applyBorder="0">
      <alignment horizontal="right" wrapText="1"/>
    </xf>
    <xf numFmtId="8" fontId="10" fillId="0" borderId="0" applyFill="0" applyBorder="0" applyAlignment="0" applyProtection="0">
      <alignment wrapText="1"/>
    </xf>
    <xf numFmtId="8" fontId="10" fillId="0" borderId="0" applyFill="0" applyBorder="0" applyAlignment="0" applyProtection="0">
      <alignment wrapText="1"/>
    </xf>
    <xf numFmtId="0" fontId="29" fillId="0" borderId="0" applyNumberFormat="0" applyFill="0" applyBorder="0">
      <alignment horizontal="left" wrapText="1"/>
    </xf>
    <xf numFmtId="0" fontId="29" fillId="0" borderId="0" applyNumberFormat="0" applyFill="0" applyBorder="0">
      <alignment horizontal="left" wrapText="1"/>
    </xf>
    <xf numFmtId="0" fontId="75" fillId="0" borderId="0" applyNumberFormat="0" applyFill="0" applyBorder="0">
      <alignment horizontal="center" wrapText="1"/>
    </xf>
    <xf numFmtId="0" fontId="75" fillId="0" borderId="0" applyNumberFormat="0" applyFill="0" applyBorder="0">
      <alignment horizontal="center" wrapText="1"/>
    </xf>
    <xf numFmtId="0" fontId="75" fillId="0" borderId="0" applyNumberFormat="0" applyFill="0" applyBorder="0">
      <alignment horizontal="center" wrapText="1"/>
    </xf>
    <xf numFmtId="0" fontId="75" fillId="0" borderId="0" applyNumberFormat="0" applyFill="0" applyBorder="0">
      <alignment horizontal="center" wrapText="1"/>
    </xf>
    <xf numFmtId="0" fontId="148" fillId="0" borderId="45"/>
    <xf numFmtId="0" fontId="149" fillId="0" borderId="0">
      <alignment horizontal="centerContinuous" vertical="center" wrapText="1"/>
    </xf>
    <xf numFmtId="0" fontId="137" fillId="0" borderId="0" applyNumberFormat="0" applyFont="0" applyFill="0" applyBorder="0" applyProtection="0">
      <alignment horizontal="center" wrapText="1"/>
    </xf>
    <xf numFmtId="0" fontId="137" fillId="0" borderId="0" applyNumberFormat="0" applyFont="0" applyFill="0" applyBorder="0" applyProtection="0">
      <alignment horizontal="centerContinuous" vertical="center" wrapText="1"/>
    </xf>
    <xf numFmtId="0" fontId="10" fillId="0" borderId="0"/>
    <xf numFmtId="0" fontId="10" fillId="0" borderId="0"/>
    <xf numFmtId="269" fontId="10" fillId="0" borderId="0">
      <alignment wrapText="1"/>
    </xf>
    <xf numFmtId="269" fontId="10" fillId="0" borderId="0">
      <alignment wrapText="1"/>
    </xf>
    <xf numFmtId="270" fontId="10" fillId="0" borderId="0">
      <alignment wrapText="1"/>
    </xf>
    <xf numFmtId="270" fontId="10" fillId="0" borderId="0">
      <alignment wrapText="1"/>
    </xf>
    <xf numFmtId="37" fontId="39" fillId="2" borderId="0" applyNumberFormat="0" applyBorder="0" applyAlignment="0" applyProtection="0"/>
    <xf numFmtId="37" fontId="39" fillId="0" borderId="0"/>
    <xf numFmtId="0" fontId="150" fillId="0" borderId="0"/>
    <xf numFmtId="0" fontId="137" fillId="0" borderId="0" applyNumberFormat="0" applyFont="0" applyFill="0" applyBorder="0" applyProtection="0"/>
    <xf numFmtId="0" fontId="137" fillId="0" borderId="0" applyNumberFormat="0" applyFont="0" applyFill="0" applyBorder="0" applyProtection="0">
      <alignment vertical="center"/>
    </xf>
    <xf numFmtId="0" fontId="137" fillId="0" borderId="0" applyNumberFormat="0" applyFont="0" applyFill="0" applyBorder="0" applyProtection="0">
      <alignment vertical="top"/>
    </xf>
    <xf numFmtId="0" fontId="137" fillId="0" borderId="0" applyNumberFormat="0" applyFont="0" applyFill="0" applyBorder="0" applyProtection="0">
      <alignment wrapText="1"/>
    </xf>
    <xf numFmtId="0" fontId="151" fillId="0" borderId="0"/>
    <xf numFmtId="0" fontId="151" fillId="0" borderId="0"/>
    <xf numFmtId="43" fontId="151" fillId="0" borderId="0" applyFont="0" applyFill="0" applyBorder="0" applyAlignment="0" applyProtection="0"/>
    <xf numFmtId="0" fontId="146" fillId="0" borderId="0"/>
    <xf numFmtId="172" fontId="152" fillId="0" borderId="0" applyNumberFormat="0" applyFill="0" applyBorder="0" applyAlignment="0" applyProtection="0"/>
    <xf numFmtId="9" fontId="7" fillId="0" borderId="0" applyFont="0" applyFill="0" applyBorder="0" applyAlignment="0" applyProtection="0"/>
    <xf numFmtId="0" fontId="10" fillId="0" borderId="0"/>
    <xf numFmtId="43" fontId="10" fillId="0" borderId="0" applyFont="0" applyFill="0" applyBorder="0" applyAlignment="0" applyProtection="0"/>
    <xf numFmtId="272" fontId="153" fillId="0" borderId="0" applyFont="0" applyFill="0" applyBorder="0" applyAlignment="0" applyProtection="0"/>
    <xf numFmtId="273" fontId="153" fillId="0" borderId="0" applyFont="0" applyFill="0" applyBorder="0" applyAlignment="0" applyProtection="0"/>
    <xf numFmtId="274" fontId="153" fillId="0" borderId="0" applyFont="0" applyFill="0" applyBorder="0" applyAlignment="0" applyProtection="0"/>
    <xf numFmtId="275" fontId="153" fillId="0" borderId="0" applyFont="0" applyFill="0" applyBorder="0" applyAlignment="0" applyProtection="0"/>
    <xf numFmtId="276" fontId="153" fillId="0" borderId="0" applyFont="0" applyFill="0" applyBorder="0" applyAlignment="0" applyProtection="0"/>
    <xf numFmtId="277" fontId="153" fillId="0" borderId="0" applyFont="0" applyFill="0" applyBorder="0" applyAlignment="0" applyProtection="0"/>
    <xf numFmtId="0" fontId="97" fillId="0" borderId="0"/>
    <xf numFmtId="278" fontId="153" fillId="0" borderId="0" applyFont="0" applyFill="0" applyBorder="0" applyProtection="0">
      <alignment horizontal="left"/>
    </xf>
    <xf numFmtId="279" fontId="153" fillId="0" borderId="0" applyFont="0" applyFill="0" applyBorder="0" applyProtection="0">
      <alignment horizontal="left"/>
    </xf>
    <xf numFmtId="280" fontId="153" fillId="0" borderId="0" applyFont="0" applyFill="0" applyBorder="0" applyProtection="0">
      <alignment horizontal="left"/>
    </xf>
    <xf numFmtId="0" fontId="116" fillId="0" borderId="0"/>
    <xf numFmtId="0" fontId="10"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281" fontId="1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5" fillId="0" borderId="0" applyFont="0" applyFill="0" applyBorder="0" applyAlignment="0" applyProtection="0"/>
    <xf numFmtId="37" fontId="72" fillId="0" borderId="0" applyFill="0" applyBorder="0" applyAlignment="0" applyProtection="0"/>
    <xf numFmtId="282" fontId="153" fillId="0" borderId="0" applyFont="0" applyFill="0" applyBorder="0" applyAlignment="0" applyProtection="0"/>
    <xf numFmtId="283" fontId="153" fillId="0" borderId="0" applyFont="0" applyFill="0" applyBorder="0" applyAlignment="0" applyProtection="0"/>
    <xf numFmtId="5" fontId="72" fillId="0" borderId="0" applyFill="0" applyBorder="0" applyAlignment="0" applyProtection="0"/>
    <xf numFmtId="284" fontId="153" fillId="0" borderId="0" applyFont="0" applyFill="0" applyBorder="0" applyProtection="0"/>
    <xf numFmtId="285" fontId="153" fillId="0" borderId="0" applyFont="0" applyFill="0" applyBorder="0" applyProtection="0"/>
    <xf numFmtId="286" fontId="153" fillId="0" borderId="0" applyFont="0" applyFill="0" applyBorder="0" applyAlignment="0" applyProtection="0"/>
    <xf numFmtId="287" fontId="153" fillId="0" borderId="0" applyFont="0" applyFill="0" applyBorder="0" applyAlignment="0" applyProtection="0"/>
    <xf numFmtId="288" fontId="153" fillId="0" borderId="0" applyFont="0" applyFill="0" applyBorder="0" applyAlignment="0" applyProtection="0"/>
    <xf numFmtId="289" fontId="129" fillId="0" borderId="0" applyFont="0" applyFill="0" applyBorder="0" applyAlignment="0" applyProtection="0"/>
    <xf numFmtId="0" fontId="154" fillId="0" borderId="0"/>
    <xf numFmtId="0" fontId="153" fillId="0" borderId="0" applyFont="0" applyFill="0" applyBorder="0" applyProtection="0">
      <alignment horizontal="center" wrapText="1"/>
    </xf>
    <xf numFmtId="290" fontId="153" fillId="0" borderId="0" applyFont="0" applyFill="0" applyBorder="0" applyProtection="0">
      <alignment horizontal="right"/>
    </xf>
    <xf numFmtId="291" fontId="153" fillId="0" borderId="0" applyFont="0" applyFill="0" applyBorder="0" applyProtection="0">
      <alignment horizontal="left"/>
    </xf>
    <xf numFmtId="292" fontId="153" fillId="0" borderId="0" applyFont="0" applyFill="0" applyBorder="0" applyProtection="0">
      <alignment horizontal="left"/>
    </xf>
    <xf numFmtId="293" fontId="153" fillId="0" borderId="0" applyFont="0" applyFill="0" applyBorder="0" applyProtection="0">
      <alignment horizontal="left"/>
    </xf>
    <xf numFmtId="294" fontId="153" fillId="0" borderId="0" applyFont="0" applyFill="0" applyBorder="0" applyProtection="0">
      <alignment horizontal="left"/>
    </xf>
    <xf numFmtId="0" fontId="155" fillId="0" borderId="0"/>
    <xf numFmtId="0" fontId="10" fillId="0" borderId="0" applyFont="0" applyFill="0" applyBorder="0" applyAlignment="0" applyProtection="0">
      <alignment horizontal="right"/>
    </xf>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applyProtection="0"/>
    <xf numFmtId="172" fontId="11" fillId="0" borderId="0" applyProtection="0"/>
    <xf numFmtId="172" fontId="11" fillId="0" borderId="0" applyProtection="0"/>
    <xf numFmtId="0" fontId="10" fillId="0" borderId="0"/>
    <xf numFmtId="0" fontId="9" fillId="76" borderId="0" applyNumberFormat="0" applyFont="0" applyBorder="0" applyAlignment="0"/>
    <xf numFmtId="295" fontId="156" fillId="0" borderId="0"/>
    <xf numFmtId="222" fontId="10" fillId="0" borderId="0" applyFont="0" applyFill="0" applyBorder="0" applyAlignment="0" applyProtection="0"/>
    <xf numFmtId="222" fontId="10" fillId="0" borderId="0" applyFont="0" applyFill="0" applyBorder="0" applyAlignment="0" applyProtection="0"/>
    <xf numFmtId="222" fontId="10" fillId="0" borderId="0" applyFont="0" applyFill="0" applyBorder="0" applyAlignment="0" applyProtection="0"/>
    <xf numFmtId="296" fontId="10" fillId="0" borderId="0"/>
    <xf numFmtId="297" fontId="30" fillId="0" borderId="0"/>
    <xf numFmtId="297" fontId="30" fillId="0" borderId="0"/>
    <xf numFmtId="295" fontId="156" fillId="0" borderId="0"/>
    <xf numFmtId="0" fontId="30" fillId="0" borderId="0"/>
    <xf numFmtId="295" fontId="72" fillId="0" borderId="0"/>
    <xf numFmtId="296" fontId="10" fillId="0" borderId="0"/>
    <xf numFmtId="297" fontId="30" fillId="0" borderId="0"/>
    <xf numFmtId="297" fontId="30" fillId="0" borderId="0"/>
    <xf numFmtId="0" fontId="30" fillId="0" borderId="0"/>
    <xf numFmtId="0" fontId="30" fillId="0" borderId="0"/>
    <xf numFmtId="298" fontId="30" fillId="0" borderId="0"/>
    <xf numFmtId="170" fontId="30" fillId="0" borderId="0"/>
    <xf numFmtId="299" fontId="30" fillId="0" borderId="0"/>
    <xf numFmtId="298" fontId="30" fillId="0" borderId="0"/>
    <xf numFmtId="170" fontId="30" fillId="0" borderId="0"/>
    <xf numFmtId="268" fontId="30" fillId="0" borderId="0"/>
    <xf numFmtId="268" fontId="30" fillId="0" borderId="0"/>
    <xf numFmtId="300" fontId="30" fillId="0" borderId="0"/>
    <xf numFmtId="299" fontId="30" fillId="0" borderId="0"/>
    <xf numFmtId="169" fontId="30" fillId="0" borderId="0"/>
    <xf numFmtId="300" fontId="30" fillId="0" borderId="0"/>
    <xf numFmtId="300" fontId="30" fillId="0" borderId="0"/>
    <xf numFmtId="0" fontId="30" fillId="0" borderId="0"/>
    <xf numFmtId="222" fontId="10" fillId="0" borderId="0" applyFont="0" applyFill="0" applyBorder="0" applyAlignment="0" applyProtection="0"/>
    <xf numFmtId="222" fontId="10" fillId="0" borderId="0" applyFont="0" applyFill="0" applyBorder="0" applyAlignment="0" applyProtection="0"/>
    <xf numFmtId="222" fontId="10" fillId="0" borderId="0" applyFont="0" applyFill="0" applyBorder="0" applyAlignment="0" applyProtection="0"/>
    <xf numFmtId="295" fontId="156" fillId="0" borderId="0"/>
    <xf numFmtId="295" fontId="156" fillId="0" borderId="0"/>
    <xf numFmtId="222" fontId="10" fillId="0" borderId="0" applyFont="0" applyFill="0" applyBorder="0" applyAlignment="0" applyProtection="0"/>
    <xf numFmtId="295" fontId="156" fillId="0" borderId="0"/>
    <xf numFmtId="295" fontId="156" fillId="0" borderId="0"/>
    <xf numFmtId="298" fontId="30" fillId="0" borderId="0"/>
    <xf numFmtId="170" fontId="30" fillId="0" borderId="0"/>
    <xf numFmtId="299" fontId="30" fillId="0" borderId="0"/>
    <xf numFmtId="298" fontId="30" fillId="0" borderId="0"/>
    <xf numFmtId="170" fontId="30" fillId="0" borderId="0"/>
    <xf numFmtId="268" fontId="30" fillId="0" borderId="0"/>
    <xf numFmtId="268" fontId="30" fillId="0" borderId="0"/>
    <xf numFmtId="300" fontId="30" fillId="0" borderId="0"/>
    <xf numFmtId="299" fontId="30" fillId="0" borderId="0"/>
    <xf numFmtId="169" fontId="30" fillId="0" borderId="0"/>
    <xf numFmtId="300" fontId="30" fillId="0" borderId="0"/>
    <xf numFmtId="300" fontId="30" fillId="0" borderId="0"/>
    <xf numFmtId="301" fontId="153" fillId="0" borderId="0" applyFont="0" applyFill="0" applyBorder="0" applyAlignment="0" applyProtection="0"/>
    <xf numFmtId="302" fontId="153" fillId="0" borderId="0" applyFont="0" applyFill="0" applyBorder="0" applyAlignment="0" applyProtection="0"/>
    <xf numFmtId="9" fontId="3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194" fontId="72" fillId="0" borderId="0" applyFill="0" applyBorder="0" applyAlignment="0" applyProtection="0"/>
    <xf numFmtId="0" fontId="131" fillId="0" borderId="0"/>
    <xf numFmtId="0" fontId="157" fillId="0" borderId="1">
      <alignment horizontal="right"/>
    </xf>
    <xf numFmtId="303" fontId="122" fillId="0" borderId="0">
      <alignment horizontal="center"/>
    </xf>
    <xf numFmtId="304" fontId="158" fillId="0" borderId="0">
      <alignment horizontal="center"/>
    </xf>
    <xf numFmtId="0" fontId="55" fillId="0" borderId="0" applyNumberFormat="0" applyBorder="0" applyAlignment="0"/>
    <xf numFmtId="0" fontId="159" fillId="0" borderId="0" applyNumberFormat="0" applyBorder="0" applyAlignment="0"/>
    <xf numFmtId="0" fontId="160" fillId="0" borderId="0" applyAlignment="0">
      <alignment horizontal="centerContinuous"/>
    </xf>
    <xf numFmtId="0" fontId="161" fillId="0" borderId="0" applyNumberFormat="0" applyFill="0" applyBorder="0" applyAlignment="0" applyProtection="0">
      <alignment vertical="top"/>
      <protection locked="0"/>
    </xf>
    <xf numFmtId="172" fontId="11" fillId="0" borderId="0" applyProtection="0"/>
    <xf numFmtId="43" fontId="11" fillId="0" borderId="0" applyFont="0" applyFill="0" applyBorder="0" applyAlignment="0" applyProtection="0"/>
    <xf numFmtId="9" fontId="11" fillId="0" borderId="0" applyFont="0" applyFill="0" applyBorder="0" applyAlignment="0" applyProtection="0"/>
    <xf numFmtId="37" fontId="11" fillId="0" borderId="0" applyFont="0" applyFill="0" applyBorder="0" applyAlignment="0" applyProtection="0"/>
    <xf numFmtId="172" fontId="11" fillId="0" borderId="0" applyProtection="0"/>
    <xf numFmtId="172" fontId="11" fillId="0" borderId="0" applyProtection="0"/>
    <xf numFmtId="0" fontId="10" fillId="0" borderId="0"/>
    <xf numFmtId="0" fontId="183" fillId="0" borderId="0"/>
    <xf numFmtId="44" fontId="10" fillId="0" borderId="0" applyFont="0" applyFill="0" applyBorder="0" applyAlignment="0" applyProtection="0"/>
    <xf numFmtId="0" fontId="5" fillId="0" borderId="0"/>
    <xf numFmtId="0" fontId="28" fillId="0" borderId="0">
      <alignment vertical="top"/>
    </xf>
    <xf numFmtId="0" fontId="4" fillId="0" borderId="0"/>
    <xf numFmtId="172" fontId="11" fillId="0" borderId="0" applyProtection="0"/>
    <xf numFmtId="9" fontId="4" fillId="0" borderId="0" applyFont="0" applyFill="0" applyBorder="0" applyAlignment="0" applyProtection="0"/>
    <xf numFmtId="43" fontId="4" fillId="0" borderId="0" applyFont="0" applyFill="0" applyBorder="0" applyAlignment="0" applyProtection="0"/>
    <xf numFmtId="0" fontId="10" fillId="0" borderId="0"/>
    <xf numFmtId="0" fontId="4" fillId="0" borderId="0"/>
    <xf numFmtId="43" fontId="4" fillId="0" borderId="0" applyFont="0" applyFill="0" applyBorder="0" applyAlignment="0" applyProtection="0"/>
    <xf numFmtId="0" fontId="4" fillId="0" borderId="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2"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98" fillId="0" borderId="0"/>
    <xf numFmtId="43" fontId="1" fillId="0" borderId="0" applyFont="0" applyFill="0" applyBorder="0" applyAlignment="0" applyProtection="0"/>
    <xf numFmtId="0" fontId="1" fillId="0" borderId="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59"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42"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1"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0" fillId="0" borderId="0"/>
    <xf numFmtId="43" fontId="10"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0"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cellStyleXfs>
  <cellXfs count="1000">
    <xf numFmtId="172" fontId="0" fillId="0" borderId="0" xfId="0"/>
    <xf numFmtId="0" fontId="162" fillId="0" borderId="0" xfId="0" applyNumberFormat="1" applyFont="1" applyAlignment="1">
      <alignment horizontal="center"/>
    </xf>
    <xf numFmtId="172" fontId="30" fillId="0" borderId="0" xfId="0" applyFont="1"/>
    <xf numFmtId="0" fontId="30" fillId="0" borderId="0" xfId="4598" applyFont="1"/>
    <xf numFmtId="172" fontId="38" fillId="0" borderId="0" xfId="0" applyFont="1"/>
    <xf numFmtId="0" fontId="30" fillId="0" borderId="0" xfId="0" applyNumberFormat="1" applyFont="1" applyAlignment="1">
      <alignment horizontal="center"/>
    </xf>
    <xf numFmtId="172" fontId="30" fillId="0" borderId="0" xfId="0" applyFont="1" applyAlignment="1">
      <alignment horizontal="right"/>
    </xf>
    <xf numFmtId="0" fontId="122" fillId="0" borderId="0" xfId="4598" applyFont="1" applyAlignment="1">
      <alignment horizontal="centerContinuous"/>
    </xf>
    <xf numFmtId="0" fontId="122" fillId="0" borderId="17" xfId="4598" applyFont="1" applyBorder="1" applyAlignment="1">
      <alignment horizontal="center"/>
    </xf>
    <xf numFmtId="0" fontId="30" fillId="0" borderId="0" xfId="0" applyNumberFormat="1" applyFont="1" applyAlignment="1">
      <alignment horizontal="center" wrapText="1"/>
    </xf>
    <xf numFmtId="0" fontId="122" fillId="0" borderId="0" xfId="4598" applyFont="1" applyAlignment="1">
      <alignment horizontal="center" wrapText="1"/>
    </xf>
    <xf numFmtId="172" fontId="122" fillId="0" borderId="0" xfId="0" applyFont="1" applyAlignment="1">
      <alignment horizontal="center" wrapText="1"/>
    </xf>
    <xf numFmtId="172" fontId="30" fillId="0" borderId="0" xfId="0" applyFont="1" applyAlignment="1">
      <alignment wrapText="1"/>
    </xf>
    <xf numFmtId="0" fontId="122" fillId="0" borderId="0" xfId="4598" applyFont="1" applyAlignment="1">
      <alignment horizontal="center"/>
    </xf>
    <xf numFmtId="0" fontId="122" fillId="0" borderId="0" xfId="4595" applyFont="1" applyAlignment="1">
      <alignment horizontal="center" wrapText="1"/>
    </xf>
    <xf numFmtId="172" fontId="163" fillId="0" borderId="0" xfId="0" applyFont="1"/>
    <xf numFmtId="172" fontId="162" fillId="0" borderId="0" xfId="0" applyFont="1"/>
    <xf numFmtId="0" fontId="30" fillId="0" borderId="0" xfId="4598" applyFont="1" applyAlignment="1">
      <alignment horizontal="left"/>
    </xf>
    <xf numFmtId="0" fontId="30" fillId="0" borderId="0" xfId="4598" quotePrefix="1" applyFont="1" applyAlignment="1">
      <alignment horizontal="left"/>
    </xf>
    <xf numFmtId="41" fontId="30" fillId="2" borderId="0" xfId="4598" applyNumberFormat="1" applyFont="1" applyFill="1"/>
    <xf numFmtId="0" fontId="30" fillId="0" borderId="0" xfId="4598" applyFont="1" applyAlignment="1">
      <alignment horizontal="right"/>
    </xf>
    <xf numFmtId="174" fontId="30" fillId="0" borderId="14" xfId="190" applyNumberFormat="1" applyFont="1" applyBorder="1"/>
    <xf numFmtId="37" fontId="30" fillId="0" borderId="0" xfId="4598" applyNumberFormat="1" applyFont="1"/>
    <xf numFmtId="172" fontId="30" fillId="0" borderId="0" xfId="4596" applyFont="1"/>
    <xf numFmtId="0" fontId="122" fillId="0" borderId="0" xfId="4598" applyFont="1" applyAlignment="1">
      <alignment horizontal="centerContinuous" wrapText="1"/>
    </xf>
    <xf numFmtId="41" fontId="30" fillId="77" borderId="0" xfId="4598" applyNumberFormat="1" applyFont="1" applyFill="1"/>
    <xf numFmtId="43" fontId="30" fillId="0" borderId="14" xfId="190" applyFont="1" applyBorder="1"/>
    <xf numFmtId="172" fontId="30" fillId="74" borderId="0" xfId="0" applyFont="1" applyFill="1"/>
    <xf numFmtId="172" fontId="30" fillId="0" borderId="0" xfId="0" applyFont="1" applyAlignment="1">
      <alignment horizontal="center"/>
    </xf>
    <xf numFmtId="44" fontId="30" fillId="0" borderId="0" xfId="0" applyNumberFormat="1" applyFont="1"/>
    <xf numFmtId="0" fontId="30" fillId="0" borderId="0" xfId="4157" applyFont="1"/>
    <xf numFmtId="0" fontId="30" fillId="0" borderId="0" xfId="4157" applyFont="1" applyAlignment="1">
      <alignment horizontal="center"/>
    </xf>
    <xf numFmtId="3" fontId="30" fillId="0" borderId="0" xfId="4157" applyNumberFormat="1" applyFont="1" applyAlignment="1">
      <alignment horizontal="center" wrapText="1"/>
    </xf>
    <xf numFmtId="0" fontId="30" fillId="0" borderId="0" xfId="4157" applyFont="1" applyAlignment="1">
      <alignment horizontal="center" wrapText="1"/>
    </xf>
    <xf numFmtId="174" fontId="30" fillId="0" borderId="0" xfId="190" applyNumberFormat="1" applyFont="1" applyFill="1" applyBorder="1" applyAlignment="1">
      <alignment horizontal="center" wrapText="1"/>
    </xf>
    <xf numFmtId="0" fontId="164" fillId="0" borderId="0" xfId="0" applyNumberFormat="1" applyFont="1" applyAlignment="1">
      <alignment horizontal="center"/>
    </xf>
    <xf numFmtId="172" fontId="164" fillId="0" borderId="0" xfId="0" applyFont="1" applyAlignment="1">
      <alignment horizontal="center"/>
    </xf>
    <xf numFmtId="44" fontId="164" fillId="0" borderId="0" xfId="0" applyNumberFormat="1" applyFont="1"/>
    <xf numFmtId="172" fontId="30" fillId="0" borderId="0" xfId="0" applyFont="1" applyAlignment="1">
      <alignment vertical="center" wrapText="1"/>
    </xf>
    <xf numFmtId="172" fontId="30" fillId="0" borderId="0" xfId="0" applyFont="1" applyAlignment="1">
      <alignment vertical="center"/>
    </xf>
    <xf numFmtId="0" fontId="30" fillId="0" borderId="0" xfId="0" applyNumberFormat="1" applyFont="1" applyAlignment="1">
      <alignment horizontal="center" vertical="top"/>
    </xf>
    <xf numFmtId="0" fontId="30" fillId="0" borderId="0" xfId="4228" applyFont="1" applyAlignment="1">
      <alignment vertical="top"/>
    </xf>
    <xf numFmtId="3" fontId="30" fillId="0" borderId="0" xfId="4228" applyNumberFormat="1" applyFont="1"/>
    <xf numFmtId="3" fontId="30" fillId="0" borderId="0" xfId="4597" applyNumberFormat="1" applyFont="1"/>
    <xf numFmtId="0" fontId="30" fillId="0" borderId="0" xfId="4597" applyNumberFormat="1" applyFont="1" applyAlignment="1" applyProtection="1">
      <alignment horizontal="center"/>
      <protection locked="0"/>
    </xf>
    <xf numFmtId="0" fontId="30" fillId="0" borderId="0" xfId="4597" applyNumberFormat="1" applyFont="1"/>
    <xf numFmtId="174" fontId="30" fillId="0" borderId="0" xfId="190" applyNumberFormat="1" applyFont="1" applyAlignment="1"/>
    <xf numFmtId="43" fontId="30" fillId="0" borderId="0" xfId="190" applyFont="1" applyAlignment="1">
      <alignment horizontal="center"/>
    </xf>
    <xf numFmtId="0" fontId="30" fillId="0" borderId="0" xfId="4595" applyFont="1"/>
    <xf numFmtId="3" fontId="30" fillId="0" borderId="0" xfId="4595" applyNumberFormat="1" applyFont="1"/>
    <xf numFmtId="174" fontId="30" fillId="0" borderId="0" xfId="190" applyNumberFormat="1" applyFont="1" applyFill="1" applyBorder="1" applyAlignment="1"/>
    <xf numFmtId="174" fontId="30" fillId="0" borderId="0" xfId="190" applyNumberFormat="1" applyFont="1" applyBorder="1" applyAlignment="1"/>
    <xf numFmtId="172" fontId="30" fillId="0" borderId="0" xfId="4597" applyFont="1"/>
    <xf numFmtId="164" fontId="30" fillId="0" borderId="0" xfId="4597" applyNumberFormat="1" applyFont="1" applyAlignment="1">
      <alignment horizontal="center"/>
    </xf>
    <xf numFmtId="174" fontId="30" fillId="0" borderId="0" xfId="190" applyNumberFormat="1" applyFont="1" applyFill="1" applyAlignment="1"/>
    <xf numFmtId="174" fontId="30" fillId="0" borderId="1" xfId="190" applyNumberFormat="1" applyFont="1" applyFill="1" applyBorder="1" applyAlignment="1"/>
    <xf numFmtId="271" fontId="30" fillId="0" borderId="0" xfId="190" applyNumberFormat="1" applyFont="1" applyFill="1" applyAlignment="1"/>
    <xf numFmtId="271" fontId="30" fillId="0" borderId="0" xfId="190" applyNumberFormat="1" applyFont="1" applyAlignment="1"/>
    <xf numFmtId="271" fontId="30" fillId="0" borderId="0" xfId="190" applyNumberFormat="1" applyFont="1" applyBorder="1" applyAlignment="1"/>
    <xf numFmtId="174" fontId="30" fillId="0" borderId="1" xfId="190" applyNumberFormat="1" applyFont="1" applyBorder="1" applyAlignment="1"/>
    <xf numFmtId="3" fontId="30" fillId="0" borderId="0" xfId="4597" quotePrefix="1" applyNumberFormat="1" applyFont="1" applyAlignment="1">
      <alignment horizontal="left"/>
    </xf>
    <xf numFmtId="174" fontId="30" fillId="0" borderId="14" xfId="190" applyNumberFormat="1" applyFont="1" applyFill="1" applyBorder="1" applyAlignment="1"/>
    <xf numFmtId="0" fontId="30" fillId="0" borderId="0" xfId="0" applyNumberFormat="1" applyFont="1" applyProtection="1">
      <protection locked="0"/>
    </xf>
    <xf numFmtId="174" fontId="30" fillId="0" borderId="50" xfId="190" applyNumberFormat="1" applyFont="1" applyFill="1" applyBorder="1" applyAlignment="1"/>
    <xf numFmtId="174" fontId="165" fillId="3" borderId="0" xfId="190" applyNumberFormat="1" applyFont="1" applyFill="1" applyAlignment="1"/>
    <xf numFmtId="0" fontId="30" fillId="0" borderId="0" xfId="4595" applyFont="1" applyAlignment="1" applyProtection="1">
      <alignment horizontal="center"/>
      <protection locked="0"/>
    </xf>
    <xf numFmtId="10" fontId="30" fillId="0" borderId="0" xfId="4597" applyNumberFormat="1" applyFont="1" applyAlignment="1">
      <alignment horizontal="left"/>
    </xf>
    <xf numFmtId="174" fontId="30" fillId="0" borderId="2" xfId="190" applyNumberFormat="1" applyFont="1" applyFill="1" applyBorder="1" applyAlignment="1"/>
    <xf numFmtId="0" fontId="30" fillId="0" borderId="0" xfId="0" applyNumberFormat="1" applyFont="1" applyAlignment="1" applyProtection="1">
      <alignment horizontal="center"/>
      <protection locked="0"/>
    </xf>
    <xf numFmtId="0" fontId="30" fillId="0" borderId="0" xfId="0" applyNumberFormat="1" applyFont="1" applyAlignment="1" applyProtection="1">
      <alignment horizontal="center" vertical="top"/>
      <protection locked="0"/>
    </xf>
    <xf numFmtId="0" fontId="30" fillId="0" borderId="0" xfId="0" applyNumberFormat="1" applyFont="1" applyAlignment="1" applyProtection="1">
      <alignment vertical="center"/>
      <protection locked="0"/>
    </xf>
    <xf numFmtId="172" fontId="30" fillId="0" borderId="0" xfId="0" applyFont="1" applyAlignment="1">
      <alignment horizontal="center" vertical="top"/>
    </xf>
    <xf numFmtId="0" fontId="30" fillId="0" borderId="0" xfId="4664" applyNumberFormat="1" applyFont="1"/>
    <xf numFmtId="0" fontId="166" fillId="0" borderId="0" xfId="0" applyNumberFormat="1" applyFont="1" applyProtection="1">
      <protection locked="0"/>
    </xf>
    <xf numFmtId="3" fontId="166" fillId="0" borderId="0" xfId="0" applyNumberFormat="1" applyFont="1"/>
    <xf numFmtId="0" fontId="166" fillId="0" borderId="0" xfId="0" applyNumberFormat="1" applyFont="1" applyAlignment="1" applyProtection="1">
      <alignment horizontal="center" vertical="top"/>
      <protection locked="0"/>
    </xf>
    <xf numFmtId="0" fontId="166" fillId="0" borderId="0" xfId="4597" applyNumberFormat="1" applyFont="1" applyAlignment="1" applyProtection="1">
      <alignment vertical="top" wrapText="1"/>
      <protection locked="0"/>
    </xf>
    <xf numFmtId="0" fontId="166" fillId="0" borderId="0" xfId="0" applyNumberFormat="1" applyFont="1" applyAlignment="1" applyProtection="1">
      <alignment vertical="top"/>
      <protection locked="0"/>
    </xf>
    <xf numFmtId="0" fontId="167" fillId="0" borderId="0" xfId="0" applyNumberFormat="1" applyFont="1" applyProtection="1">
      <protection locked="0"/>
    </xf>
    <xf numFmtId="172" fontId="166" fillId="0" borderId="0" xfId="0" applyFont="1"/>
    <xf numFmtId="172" fontId="166" fillId="0" borderId="0" xfId="0" applyFont="1" applyAlignment="1">
      <alignment horizontal="center"/>
    </xf>
    <xf numFmtId="0" fontId="166" fillId="0" borderId="0" xfId="4228" applyFont="1" applyAlignment="1">
      <alignment vertical="top" wrapText="1"/>
    </xf>
    <xf numFmtId="0" fontId="166" fillId="0" borderId="0" xfId="0" applyNumberFormat="1" applyFont="1"/>
    <xf numFmtId="172" fontId="166" fillId="0" borderId="0" xfId="0" applyFont="1" applyAlignment="1">
      <alignment horizontal="center" vertical="top"/>
    </xf>
    <xf numFmtId="0" fontId="166" fillId="0" borderId="0" xfId="4664" applyNumberFormat="1" applyFont="1"/>
    <xf numFmtId="172" fontId="166" fillId="0" borderId="0" xfId="4664" applyFont="1" applyAlignment="1">
      <alignment horizontal="center"/>
    </xf>
    <xf numFmtId="172" fontId="166" fillId="0" borderId="0" xfId="0" applyFont="1" applyAlignment="1">
      <alignment vertical="top" wrapText="1"/>
    </xf>
    <xf numFmtId="0" fontId="166" fillId="0" borderId="0" xfId="4228" applyFont="1" applyAlignment="1">
      <alignment vertical="top"/>
    </xf>
    <xf numFmtId="0" fontId="166" fillId="0" borderId="0" xfId="4597" applyNumberFormat="1" applyFont="1" applyAlignment="1" applyProtection="1">
      <alignment vertical="top"/>
      <protection locked="0"/>
    </xf>
    <xf numFmtId="170" fontId="166" fillId="0" borderId="0" xfId="4597" applyNumberFormat="1" applyFont="1" applyAlignment="1" applyProtection="1">
      <alignment vertical="top"/>
    </xf>
    <xf numFmtId="3" fontId="166" fillId="0" borderId="0" xfId="4597" applyNumberFormat="1" applyFont="1" applyAlignment="1" applyProtection="1">
      <alignment vertical="top"/>
    </xf>
    <xf numFmtId="172" fontId="166" fillId="0" borderId="0" xfId="0" applyFont="1" applyAlignment="1">
      <alignment vertical="top"/>
    </xf>
    <xf numFmtId="0" fontId="166" fillId="0" borderId="0" xfId="2138" applyFont="1" applyAlignment="1">
      <alignment vertical="center"/>
    </xf>
    <xf numFmtId="172" fontId="30" fillId="0" borderId="0" xfId="0" applyFont="1" applyProtection="1">
      <protection locked="0"/>
    </xf>
    <xf numFmtId="0" fontId="30" fillId="0" borderId="0" xfId="0" applyNumberFormat="1" applyFont="1" applyAlignment="1" applyProtection="1">
      <alignment horizontal="left"/>
      <protection locked="0"/>
    </xf>
    <xf numFmtId="0" fontId="30" fillId="0" borderId="0" xfId="0" applyNumberFormat="1" applyFont="1" applyAlignment="1" applyProtection="1">
      <alignment horizontal="right"/>
      <protection locked="0"/>
    </xf>
    <xf numFmtId="0" fontId="30" fillId="2" borderId="0" xfId="0" applyNumberFormat="1" applyFont="1" applyFill="1" applyAlignment="1" applyProtection="1">
      <alignment horizontal="right"/>
      <protection locked="0"/>
    </xf>
    <xf numFmtId="3" fontId="30" fillId="0" borderId="0" xfId="0" applyNumberFormat="1" applyFont="1" applyProtection="1">
      <protection locked="0"/>
    </xf>
    <xf numFmtId="3" fontId="30" fillId="0" borderId="0" xfId="0" applyNumberFormat="1" applyFont="1" applyAlignment="1" applyProtection="1">
      <alignment horizontal="center"/>
      <protection locked="0"/>
    </xf>
    <xf numFmtId="49" fontId="122" fillId="0" borderId="0" xfId="0" applyNumberFormat="1" applyFont="1" applyAlignment="1" applyProtection="1">
      <alignment horizontal="center"/>
      <protection locked="0"/>
    </xf>
    <xf numFmtId="49" fontId="30" fillId="0" borderId="0" xfId="0" applyNumberFormat="1" applyFont="1" applyProtection="1">
      <protection locked="0"/>
    </xf>
    <xf numFmtId="0" fontId="30" fillId="0" borderId="1" xfId="0" applyNumberFormat="1" applyFont="1" applyBorder="1" applyAlignment="1" applyProtection="1">
      <alignment horizontal="center"/>
      <protection locked="0"/>
    </xf>
    <xf numFmtId="42" fontId="30" fillId="0" borderId="0" xfId="0" applyNumberFormat="1" applyFont="1" applyProtection="1"/>
    <xf numFmtId="0" fontId="30" fillId="0" borderId="1" xfId="0" applyNumberFormat="1" applyFont="1" applyBorder="1" applyAlignment="1" applyProtection="1">
      <alignment horizontal="centerContinuous"/>
      <protection locked="0"/>
    </xf>
    <xf numFmtId="166" fontId="30" fillId="0" borderId="0" xfId="0" applyNumberFormat="1" applyFont="1" applyProtection="1"/>
    <xf numFmtId="3" fontId="30" fillId="0" borderId="0" xfId="0" applyNumberFormat="1" applyFont="1" applyProtection="1"/>
    <xf numFmtId="3" fontId="165" fillId="2" borderId="0" xfId="0" applyNumberFormat="1" applyFont="1" applyFill="1" applyProtection="1">
      <protection locked="0"/>
    </xf>
    <xf numFmtId="3" fontId="30" fillId="0" borderId="0" xfId="0" applyNumberFormat="1" applyFont="1" applyAlignment="1" applyProtection="1">
      <alignment horizontal="fill"/>
      <protection locked="0"/>
    </xf>
    <xf numFmtId="166" fontId="30" fillId="0" borderId="0" xfId="0" applyNumberFormat="1" applyFont="1" applyProtection="1">
      <protection locked="0"/>
    </xf>
    <xf numFmtId="42" fontId="30" fillId="0" borderId="14" xfId="0" applyNumberFormat="1" applyFont="1" applyBorder="1" applyAlignment="1" applyProtection="1">
      <alignment horizontal="right"/>
    </xf>
    <xf numFmtId="0" fontId="30" fillId="0" borderId="0" xfId="0" applyNumberFormat="1" applyFont="1" applyAlignment="1" applyProtection="1">
      <alignment horizontal="right"/>
    </xf>
    <xf numFmtId="172" fontId="122" fillId="0" borderId="0" xfId="0" applyFont="1" applyAlignment="1" applyProtection="1">
      <alignment horizontal="center"/>
    </xf>
    <xf numFmtId="49" fontId="30" fillId="0" borderId="0" xfId="0" applyNumberFormat="1" applyFont="1" applyAlignment="1" applyProtection="1">
      <alignment horizontal="left"/>
      <protection locked="0"/>
    </xf>
    <xf numFmtId="49" fontId="30" fillId="0" borderId="0" xfId="0" applyNumberFormat="1" applyFont="1" applyAlignment="1" applyProtection="1">
      <alignment horizontal="center"/>
      <protection locked="0"/>
    </xf>
    <xf numFmtId="3" fontId="122" fillId="0" borderId="0" xfId="0" applyNumberFormat="1" applyFont="1" applyAlignment="1" applyProtection="1">
      <alignment horizontal="center"/>
      <protection locked="0"/>
    </xf>
    <xf numFmtId="0" fontId="122" fillId="0" borderId="0" xfId="0" applyNumberFormat="1" applyFont="1" applyAlignment="1" applyProtection="1">
      <alignment horizontal="center"/>
      <protection locked="0"/>
    </xf>
    <xf numFmtId="172" fontId="122" fillId="0" borderId="0" xfId="0" applyFont="1" applyAlignment="1" applyProtection="1">
      <alignment horizontal="center"/>
      <protection locked="0"/>
    </xf>
    <xf numFmtId="3" fontId="122" fillId="0" borderId="0" xfId="0" applyNumberFormat="1" applyFont="1" applyProtection="1">
      <protection locked="0"/>
    </xf>
    <xf numFmtId="0" fontId="122" fillId="0" borderId="0" xfId="0" applyNumberFormat="1" applyFont="1" applyProtection="1">
      <protection locked="0"/>
    </xf>
    <xf numFmtId="165" fontId="30" fillId="0" borderId="0" xfId="0" applyNumberFormat="1" applyFont="1" applyProtection="1">
      <protection locked="0"/>
    </xf>
    <xf numFmtId="165" fontId="30" fillId="0" borderId="0" xfId="0" applyNumberFormat="1" applyFont="1" applyProtection="1"/>
    <xf numFmtId="164" fontId="30" fillId="0" borderId="0" xfId="0" applyNumberFormat="1" applyFont="1" applyAlignment="1" applyProtection="1">
      <alignment horizontal="center"/>
    </xf>
    <xf numFmtId="164" fontId="30" fillId="0" borderId="0" xfId="0" applyNumberFormat="1" applyFont="1" applyAlignment="1" applyProtection="1">
      <alignment horizontal="center"/>
      <protection locked="0"/>
    </xf>
    <xf numFmtId="0" fontId="30" fillId="0" borderId="0" xfId="0" applyNumberFormat="1" applyFont="1" applyProtection="1"/>
    <xf numFmtId="172" fontId="30" fillId="0" borderId="1" xfId="0" applyFont="1" applyBorder="1" applyProtection="1">
      <protection locked="0"/>
    </xf>
    <xf numFmtId="172" fontId="30" fillId="0" borderId="0" xfId="0" applyFont="1" applyProtection="1"/>
    <xf numFmtId="171" fontId="30" fillId="0" borderId="0" xfId="0" applyNumberFormat="1" applyFont="1" applyAlignment="1" applyProtection="1">
      <alignment horizontal="left"/>
    </xf>
    <xf numFmtId="166" fontId="30" fillId="0" borderId="0" xfId="0" applyNumberFormat="1" applyFont="1" applyAlignment="1" applyProtection="1">
      <alignment horizontal="right"/>
      <protection locked="0"/>
    </xf>
    <xf numFmtId="166" fontId="30" fillId="0" borderId="0" xfId="0" applyNumberFormat="1" applyFont="1" applyAlignment="1" applyProtection="1">
      <alignment horizontal="center"/>
      <protection locked="0"/>
    </xf>
    <xf numFmtId="164" fontId="30" fillId="0" borderId="0" xfId="0" applyNumberFormat="1" applyFont="1" applyAlignment="1" applyProtection="1">
      <alignment horizontal="left"/>
      <protection locked="0"/>
    </xf>
    <xf numFmtId="10" fontId="30" fillId="0" borderId="0" xfId="0" applyNumberFormat="1" applyFont="1" applyAlignment="1" applyProtection="1">
      <alignment horizontal="right"/>
    </xf>
    <xf numFmtId="10" fontId="30" fillId="0" borderId="0" xfId="0" applyNumberFormat="1" applyFont="1" applyAlignment="1" applyProtection="1">
      <alignment horizontal="left"/>
      <protection locked="0"/>
    </xf>
    <xf numFmtId="3" fontId="30" fillId="0" borderId="0" xfId="0" applyNumberFormat="1" applyFont="1" applyAlignment="1" applyProtection="1">
      <alignment horizontal="left"/>
      <protection locked="0"/>
    </xf>
    <xf numFmtId="167" fontId="30" fillId="0" borderId="0" xfId="0" applyNumberFormat="1" applyFont="1" applyProtection="1">
      <protection locked="0"/>
    </xf>
    <xf numFmtId="0" fontId="30" fillId="0" borderId="1" xfId="0" applyNumberFormat="1" applyFont="1" applyBorder="1" applyProtection="1">
      <protection locked="0"/>
    </xf>
    <xf numFmtId="3" fontId="165" fillId="2" borderId="1" xfId="0" applyNumberFormat="1" applyFont="1" applyFill="1" applyBorder="1" applyProtection="1">
      <protection locked="0"/>
    </xf>
    <xf numFmtId="165" fontId="30" fillId="0" borderId="0" xfId="0" applyNumberFormat="1" applyFont="1" applyAlignment="1" applyProtection="1">
      <alignment horizontal="right"/>
    </xf>
    <xf numFmtId="172" fontId="168" fillId="0" borderId="0" xfId="0" applyFont="1" applyProtection="1">
      <protection locked="0"/>
    </xf>
    <xf numFmtId="3" fontId="30" fillId="2" borderId="1" xfId="0" applyNumberFormat="1" applyFont="1" applyFill="1" applyBorder="1" applyProtection="1">
      <protection locked="0"/>
    </xf>
    <xf numFmtId="173" fontId="30" fillId="0" borderId="0" xfId="1" applyNumberFormat="1" applyFont="1" applyFill="1" applyBorder="1" applyAlignment="1" applyProtection="1">
      <protection locked="0"/>
    </xf>
    <xf numFmtId="3" fontId="169" fillId="0" borderId="0" xfId="0" applyNumberFormat="1" applyFont="1" applyProtection="1">
      <protection locked="0"/>
    </xf>
    <xf numFmtId="170" fontId="30" fillId="0" borderId="0" xfId="0" applyNumberFormat="1" applyFont="1" applyProtection="1">
      <protection locked="0"/>
    </xf>
    <xf numFmtId="172" fontId="169" fillId="0" borderId="0" xfId="0" applyFont="1" applyProtection="1">
      <protection locked="0"/>
    </xf>
    <xf numFmtId="172" fontId="170" fillId="0" borderId="0" xfId="0" applyFont="1" applyProtection="1">
      <protection locked="0"/>
    </xf>
    <xf numFmtId="172" fontId="171" fillId="0" borderId="0" xfId="0" applyFont="1" applyProtection="1">
      <protection locked="0"/>
    </xf>
    <xf numFmtId="172" fontId="169" fillId="0" borderId="0" xfId="0" applyFont="1" applyAlignment="1" applyProtection="1">
      <alignment horizontal="left" wrapText="1"/>
      <protection locked="0"/>
    </xf>
    <xf numFmtId="3" fontId="30" fillId="0" borderId="1" xfId="0" applyNumberFormat="1" applyFont="1" applyBorder="1" applyProtection="1">
      <protection locked="0"/>
    </xf>
    <xf numFmtId="3" fontId="30" fillId="0" borderId="1" xfId="0" applyNumberFormat="1" applyFont="1" applyBorder="1" applyAlignment="1" applyProtection="1">
      <alignment horizontal="center"/>
      <protection locked="0"/>
    </xf>
    <xf numFmtId="4" fontId="30" fillId="0" borderId="0" xfId="0" applyNumberFormat="1" applyFont="1" applyProtection="1">
      <protection locked="0"/>
    </xf>
    <xf numFmtId="4" fontId="30" fillId="0" borderId="0" xfId="0" applyNumberFormat="1" applyFont="1" applyProtection="1"/>
    <xf numFmtId="3" fontId="30" fillId="0" borderId="1" xfId="0" applyNumberFormat="1" applyFont="1" applyBorder="1" applyProtection="1"/>
    <xf numFmtId="166" fontId="30" fillId="0" borderId="0" xfId="0" applyNumberFormat="1" applyFont="1" applyAlignment="1" applyProtection="1">
      <alignment horizontal="center"/>
    </xf>
    <xf numFmtId="42" fontId="165" fillId="2" borderId="0" xfId="0" applyNumberFormat="1" applyFont="1" applyFill="1" applyProtection="1">
      <protection locked="0"/>
    </xf>
    <xf numFmtId="9" fontId="30" fillId="0" borderId="0" xfId="0" applyNumberFormat="1" applyFont="1" applyProtection="1"/>
    <xf numFmtId="169" fontId="30" fillId="0" borderId="0" xfId="0" applyNumberFormat="1" applyFont="1" applyProtection="1">
      <protection locked="0"/>
    </xf>
    <xf numFmtId="169" fontId="30" fillId="0" borderId="0" xfId="0" applyNumberFormat="1" applyFont="1" applyProtection="1"/>
    <xf numFmtId="3" fontId="30" fillId="0" borderId="0" xfId="0" quotePrefix="1" applyNumberFormat="1" applyFont="1" applyProtection="1">
      <protection locked="0"/>
    </xf>
    <xf numFmtId="169" fontId="30" fillId="0" borderId="1" xfId="0" applyNumberFormat="1" applyFont="1" applyBorder="1" applyProtection="1"/>
    <xf numFmtId="3" fontId="122" fillId="0" borderId="0" xfId="0" applyNumberFormat="1" applyFont="1" applyAlignment="1" applyProtection="1">
      <alignment horizontal="center"/>
    </xf>
    <xf numFmtId="10" fontId="30" fillId="2" borderId="0" xfId="0" applyNumberFormat="1" applyFont="1" applyFill="1" applyAlignment="1" applyProtection="1">
      <alignment vertical="top" wrapText="1"/>
      <protection locked="0"/>
    </xf>
    <xf numFmtId="174" fontId="30" fillId="75" borderId="0" xfId="4665" applyNumberFormat="1" applyFont="1" applyFill="1" applyAlignment="1"/>
    <xf numFmtId="174" fontId="165" fillId="0" borderId="0" xfId="190" applyNumberFormat="1" applyFont="1" applyFill="1" applyAlignment="1"/>
    <xf numFmtId="3" fontId="172" fillId="0" borderId="0" xfId="0" applyNumberFormat="1" applyFont="1" applyProtection="1">
      <protection locked="0"/>
    </xf>
    <xf numFmtId="43" fontId="30" fillId="0" borderId="0" xfId="4665" applyFont="1" applyFill="1" applyAlignment="1"/>
    <xf numFmtId="166" fontId="30" fillId="0" borderId="0" xfId="4665" applyNumberFormat="1" applyFont="1" applyFill="1" applyAlignment="1"/>
    <xf numFmtId="3" fontId="30" fillId="0" borderId="4" xfId="4597" applyNumberFormat="1" applyFont="1" applyBorder="1"/>
    <xf numFmtId="3" fontId="30" fillId="0" borderId="4" xfId="0" applyNumberFormat="1" applyFont="1" applyBorder="1" applyProtection="1"/>
    <xf numFmtId="0" fontId="30" fillId="0" borderId="4" xfId="0" applyNumberFormat="1" applyFont="1" applyBorder="1" applyProtection="1">
      <protection locked="0"/>
    </xf>
    <xf numFmtId="3" fontId="30" fillId="0" borderId="4" xfId="0" applyNumberFormat="1" applyFont="1" applyBorder="1" applyProtection="1">
      <protection locked="0"/>
    </xf>
    <xf numFmtId="49" fontId="30" fillId="0" borderId="4" xfId="0" applyNumberFormat="1" applyFont="1" applyBorder="1" applyProtection="1">
      <protection locked="0"/>
    </xf>
    <xf numFmtId="174" fontId="30" fillId="0" borderId="4" xfId="190" applyNumberFormat="1" applyFont="1" applyFill="1" applyBorder="1" applyAlignment="1"/>
    <xf numFmtId="3" fontId="30" fillId="0" borderId="3" xfId="0" applyNumberFormat="1" applyFont="1" applyBorder="1" applyAlignment="1" applyProtection="1">
      <alignment horizontal="center"/>
      <protection locked="0"/>
    </xf>
    <xf numFmtId="172" fontId="122" fillId="0" borderId="0" xfId="0" applyFont="1" applyAlignment="1">
      <alignment horizontal="center"/>
    </xf>
    <xf numFmtId="0" fontId="156" fillId="0" borderId="0" xfId="0" applyNumberFormat="1" applyFont="1" applyAlignment="1">
      <alignment horizontal="center"/>
    </xf>
    <xf numFmtId="0" fontId="30" fillId="0" borderId="0" xfId="4155" applyNumberFormat="1" applyFont="1" applyAlignment="1" applyProtection="1">
      <alignment horizontal="right"/>
      <protection locked="0"/>
    </xf>
    <xf numFmtId="172" fontId="9" fillId="0" borderId="0" xfId="0" applyFont="1"/>
    <xf numFmtId="172" fontId="174" fillId="0" borderId="0" xfId="0" applyFont="1"/>
    <xf numFmtId="172" fontId="9" fillId="0" borderId="0" xfId="0" applyFont="1" applyAlignment="1">
      <alignment horizontal="right"/>
    </xf>
    <xf numFmtId="172" fontId="9" fillId="0" borderId="0" xfId="0" applyFont="1" applyAlignment="1">
      <alignment vertical="top" wrapText="1"/>
    </xf>
    <xf numFmtId="172" fontId="9" fillId="3" borderId="0" xfId="0" applyFont="1" applyFill="1"/>
    <xf numFmtId="172" fontId="9" fillId="75" borderId="0" xfId="0" applyFont="1" applyFill="1"/>
    <xf numFmtId="172" fontId="9" fillId="0" borderId="0" xfId="0" applyFont="1" applyAlignment="1">
      <alignment vertical="top"/>
    </xf>
    <xf numFmtId="172" fontId="174" fillId="0" borderId="1" xfId="0" applyFont="1" applyBorder="1"/>
    <xf numFmtId="172" fontId="174" fillId="0" borderId="1" xfId="0" applyFont="1" applyBorder="1" applyAlignment="1">
      <alignment horizontal="center"/>
    </xf>
    <xf numFmtId="172" fontId="9" fillId="0" borderId="0" xfId="0" applyFont="1" applyAlignment="1">
      <alignment horizontal="center"/>
    </xf>
    <xf numFmtId="172" fontId="175" fillId="0" borderId="0" xfId="4663" applyNumberFormat="1" applyFont="1" applyFill="1" applyAlignment="1" applyProtection="1"/>
    <xf numFmtId="172" fontId="9" fillId="0" borderId="0" xfId="0" quotePrefix="1" applyFont="1" applyAlignment="1">
      <alignment horizontal="center"/>
    </xf>
    <xf numFmtId="172" fontId="9" fillId="0" borderId="0" xfId="0" applyFont="1" applyProtection="1"/>
    <xf numFmtId="172" fontId="176" fillId="0" borderId="0" xfId="0" applyFont="1"/>
    <xf numFmtId="172" fontId="9" fillId="0" borderId="0" xfId="0" quotePrefix="1" applyFont="1"/>
    <xf numFmtId="0" fontId="30" fillId="0" borderId="0" xfId="4" applyFont="1"/>
    <xf numFmtId="0" fontId="122" fillId="0" borderId="0" xfId="4" applyFont="1" applyAlignment="1">
      <alignment horizontal="right"/>
    </xf>
    <xf numFmtId="0" fontId="30" fillId="0" borderId="0" xfId="4" applyFont="1" applyAlignment="1">
      <alignment horizontal="right"/>
    </xf>
    <xf numFmtId="0" fontId="30" fillId="0" borderId="0" xfId="4" applyFont="1" applyAlignment="1">
      <alignment horizontal="center"/>
    </xf>
    <xf numFmtId="3" fontId="30" fillId="0" borderId="0" xfId="0" applyNumberFormat="1" applyFont="1" applyAlignment="1">
      <alignment horizontal="center"/>
    </xf>
    <xf numFmtId="3" fontId="30" fillId="0" borderId="0" xfId="0" applyNumberFormat="1" applyFont="1"/>
    <xf numFmtId="0" fontId="30" fillId="0" borderId="3" xfId="4" applyFont="1" applyBorder="1" applyAlignment="1">
      <alignment horizontal="center"/>
    </xf>
    <xf numFmtId="172" fontId="30" fillId="0" borderId="3" xfId="0" applyFont="1" applyBorder="1" applyAlignment="1">
      <alignment horizontal="center"/>
    </xf>
    <xf numFmtId="0" fontId="30" fillId="0" borderId="3" xfId="0" applyNumberFormat="1" applyFont="1" applyBorder="1" applyAlignment="1" applyProtection="1">
      <alignment horizontal="center"/>
      <protection locked="0"/>
    </xf>
    <xf numFmtId="173" fontId="165" fillId="2" borderId="0" xfId="1" applyNumberFormat="1" applyFont="1" applyFill="1" applyBorder="1"/>
    <xf numFmtId="43" fontId="30" fillId="0" borderId="0" xfId="190" applyFont="1" applyFill="1"/>
    <xf numFmtId="3" fontId="30" fillId="0" borderId="0" xfId="4" applyNumberFormat="1" applyFont="1"/>
    <xf numFmtId="174" fontId="30" fillId="0" borderId="0" xfId="190" applyNumberFormat="1" applyFont="1" applyFill="1"/>
    <xf numFmtId="174" fontId="30" fillId="0" borderId="0" xfId="4" applyNumberFormat="1" applyFont="1"/>
    <xf numFmtId="173" fontId="30" fillId="0" borderId="14" xfId="1" applyNumberFormat="1" applyFont="1" applyFill="1" applyBorder="1"/>
    <xf numFmtId="44" fontId="30" fillId="0" borderId="0" xfId="4" applyNumberFormat="1" applyFont="1"/>
    <xf numFmtId="0" fontId="122" fillId="0" borderId="0" xfId="4" applyFont="1"/>
    <xf numFmtId="174" fontId="30" fillId="0" borderId="0" xfId="190" applyNumberFormat="1" applyFont="1"/>
    <xf numFmtId="174" fontId="30" fillId="0" borderId="4" xfId="190" applyNumberFormat="1" applyFont="1" applyFill="1" applyBorder="1"/>
    <xf numFmtId="174" fontId="122" fillId="0" borderId="0" xfId="190" applyNumberFormat="1" applyFont="1" applyFill="1"/>
    <xf numFmtId="173" fontId="30" fillId="0" borderId="0" xfId="1" applyNumberFormat="1" applyFont="1" applyFill="1" applyBorder="1"/>
    <xf numFmtId="0" fontId="156" fillId="0" borderId="0" xfId="4" applyFont="1"/>
    <xf numFmtId="9" fontId="30" fillId="0" borderId="0" xfId="4475" applyFont="1"/>
    <xf numFmtId="172" fontId="122" fillId="0" borderId="0" xfId="0" applyFont="1" applyAlignment="1">
      <alignment horizontal="right"/>
    </xf>
    <xf numFmtId="49" fontId="122" fillId="0" borderId="0" xfId="4598" applyNumberFormat="1" applyFont="1" applyAlignment="1">
      <alignment horizontal="center"/>
    </xf>
    <xf numFmtId="0" fontId="30" fillId="0" borderId="3" xfId="4" applyFont="1" applyBorder="1"/>
    <xf numFmtId="10" fontId="30" fillId="0" borderId="0" xfId="3" applyNumberFormat="1" applyFont="1" applyFill="1"/>
    <xf numFmtId="10" fontId="30" fillId="0" borderId="0" xfId="4" applyNumberFormat="1" applyFont="1"/>
    <xf numFmtId="49" fontId="122" fillId="0" borderId="0" xfId="4" applyNumberFormat="1" applyFont="1"/>
    <xf numFmtId="172" fontId="122" fillId="0" borderId="0" xfId="0" applyFont="1" applyAlignment="1" applyProtection="1">
      <alignment horizontal="center" wrapText="1"/>
      <protection locked="0"/>
    </xf>
    <xf numFmtId="172" fontId="122" fillId="0" borderId="3" xfId="0" applyFont="1" applyBorder="1" applyAlignment="1" applyProtection="1">
      <alignment horizontal="center"/>
      <protection locked="0"/>
    </xf>
    <xf numFmtId="172" fontId="122" fillId="0" borderId="3" xfId="0" applyFont="1" applyBorder="1" applyAlignment="1" applyProtection="1">
      <alignment horizontal="center" wrapText="1"/>
      <protection locked="0"/>
    </xf>
    <xf numFmtId="174" fontId="30" fillId="0" borderId="0" xfId="4665" applyNumberFormat="1" applyFont="1" applyBorder="1" applyAlignment="1">
      <alignment horizontal="center"/>
    </xf>
    <xf numFmtId="10" fontId="9" fillId="56" borderId="0" xfId="4352" applyNumberFormat="1" applyFont="1" applyFill="1" applyBorder="1"/>
    <xf numFmtId="307" fontId="9" fillId="56" borderId="0" xfId="0" applyNumberFormat="1" applyFont="1" applyFill="1"/>
    <xf numFmtId="10" fontId="30" fillId="0" borderId="0" xfId="4666" applyNumberFormat="1" applyFont="1" applyBorder="1" applyAlignment="1">
      <alignment horizontal="right"/>
    </xf>
    <xf numFmtId="172" fontId="30" fillId="0" borderId="0" xfId="0" applyFont="1" applyAlignment="1" applyProtection="1">
      <alignment horizontal="right"/>
    </xf>
    <xf numFmtId="174" fontId="30" fillId="0" borderId="0" xfId="0" applyNumberFormat="1" applyFont="1" applyProtection="1"/>
    <xf numFmtId="174" fontId="30" fillId="0" borderId="17" xfId="0" applyNumberFormat="1" applyFont="1" applyBorder="1" applyProtection="1"/>
    <xf numFmtId="10" fontId="30" fillId="0" borderId="0" xfId="3" applyNumberFormat="1" applyFont="1" applyFill="1" applyBorder="1"/>
    <xf numFmtId="0" fontId="30" fillId="0" borderId="0" xfId="4476" applyFont="1"/>
    <xf numFmtId="0" fontId="30" fillId="0" borderId="0" xfId="4476" applyFont="1" applyAlignment="1">
      <alignment horizontal="center"/>
    </xf>
    <xf numFmtId="0" fontId="30" fillId="0" borderId="0" xfId="4476" applyFont="1" applyAlignment="1">
      <alignment horizontal="right"/>
    </xf>
    <xf numFmtId="0" fontId="122" fillId="0" borderId="0" xfId="4476" applyFont="1" applyAlignment="1">
      <alignment horizontal="left"/>
    </xf>
    <xf numFmtId="0" fontId="30" fillId="0" borderId="0" xfId="4476" applyFont="1" applyAlignment="1">
      <alignment horizontal="left"/>
    </xf>
    <xf numFmtId="16" fontId="30" fillId="0" borderId="0" xfId="4476" applyNumberFormat="1" applyFont="1" applyAlignment="1">
      <alignment horizontal="center"/>
    </xf>
    <xf numFmtId="0" fontId="30" fillId="0" borderId="0" xfId="4476" applyFont="1" applyAlignment="1">
      <alignment horizontal="left" wrapText="1"/>
    </xf>
    <xf numFmtId="0" fontId="30" fillId="0" borderId="0" xfId="4476" applyFont="1" applyAlignment="1">
      <alignment wrapText="1"/>
    </xf>
    <xf numFmtId="0" fontId="122" fillId="0" borderId="1" xfId="4476" applyFont="1" applyBorder="1" applyAlignment="1">
      <alignment horizontal="center" wrapText="1"/>
    </xf>
    <xf numFmtId="0" fontId="177" fillId="0" borderId="0" xfId="4476" applyFont="1"/>
    <xf numFmtId="174" fontId="30" fillId="0" borderId="0" xfId="190" applyNumberFormat="1" applyFont="1" applyFill="1" applyBorder="1" applyAlignment="1" applyProtection="1">
      <alignment wrapText="1"/>
    </xf>
    <xf numFmtId="173" fontId="30" fillId="0" borderId="0" xfId="4476" applyNumberFormat="1" applyFont="1"/>
    <xf numFmtId="174" fontId="177" fillId="0" borderId="0" xfId="190" applyNumberFormat="1" applyFont="1" applyFill="1" applyProtection="1"/>
    <xf numFmtId="0" fontId="178" fillId="0" borderId="0" xfId="4476" applyFont="1" applyAlignment="1">
      <alignment horizontal="center"/>
    </xf>
    <xf numFmtId="174" fontId="177" fillId="0" borderId="0" xfId="4477" applyNumberFormat="1" applyFont="1" applyFill="1" applyProtection="1"/>
    <xf numFmtId="173" fontId="30" fillId="0" borderId="0" xfId="1" applyNumberFormat="1" applyFont="1" applyFill="1" applyProtection="1"/>
    <xf numFmtId="174" fontId="30" fillId="0" borderId="0" xfId="4476" applyNumberFormat="1" applyFont="1"/>
    <xf numFmtId="0" fontId="30" fillId="0" borderId="0" xfId="4476" applyFont="1" applyAlignment="1">
      <alignment horizontal="center" vertical="top"/>
    </xf>
    <xf numFmtId="0" fontId="9" fillId="0" borderId="0" xfId="4476" applyFont="1" applyAlignment="1">
      <alignment horizontal="center"/>
    </xf>
    <xf numFmtId="0" fontId="9" fillId="0" borderId="0" xfId="4476" applyFont="1"/>
    <xf numFmtId="172" fontId="30" fillId="0" borderId="0" xfId="4667" applyNumberFormat="1" applyFont="1" applyAlignment="1"/>
    <xf numFmtId="172" fontId="30" fillId="0" borderId="0" xfId="4667" applyNumberFormat="1" applyFont="1" applyAlignment="1">
      <alignment horizontal="right"/>
    </xf>
    <xf numFmtId="0" fontId="30" fillId="0" borderId="0" xfId="4667" applyNumberFormat="1" applyFont="1" applyAlignment="1"/>
    <xf numFmtId="172" fontId="30" fillId="0" borderId="0" xfId="4667" applyNumberFormat="1" applyFont="1" applyBorder="1" applyAlignment="1"/>
    <xf numFmtId="0" fontId="30" fillId="0" borderId="0" xfId="4667" applyNumberFormat="1" applyFont="1" applyBorder="1" applyAlignment="1"/>
    <xf numFmtId="193" fontId="30" fillId="0" borderId="0" xfId="4667" applyNumberFormat="1" applyFont="1" applyAlignment="1"/>
    <xf numFmtId="172" fontId="30" fillId="0" borderId="0" xfId="4667" applyNumberFormat="1" applyFont="1" applyFill="1" applyBorder="1" applyAlignment="1"/>
    <xf numFmtId="306" fontId="38" fillId="0" borderId="0" xfId="4667" applyNumberFormat="1" applyFont="1" applyFill="1" applyAlignment="1">
      <alignment horizontal="left"/>
    </xf>
    <xf numFmtId="41" fontId="30" fillId="78" borderId="0" xfId="1" applyNumberFormat="1" applyFont="1" applyFill="1" applyAlignment="1" applyProtection="1">
      <protection locked="0"/>
    </xf>
    <xf numFmtId="173" fontId="30" fillId="0" borderId="0" xfId="1" applyNumberFormat="1" applyFont="1" applyFill="1" applyBorder="1" applyAlignment="1"/>
    <xf numFmtId="172" fontId="30" fillId="0" borderId="38" xfId="4667" applyNumberFormat="1" applyFont="1" applyBorder="1" applyAlignment="1"/>
    <xf numFmtId="172" fontId="156" fillId="0" borderId="0" xfId="4667" applyNumberFormat="1" applyFont="1" applyBorder="1" applyAlignment="1">
      <alignment horizontal="center"/>
    </xf>
    <xf numFmtId="42" fontId="38" fillId="0" borderId="0" xfId="4667" applyNumberFormat="1" applyFont="1" applyAlignment="1"/>
    <xf numFmtId="42" fontId="38" fillId="0" borderId="0" xfId="4667" applyNumberFormat="1" applyFont="1" applyBorder="1" applyAlignment="1"/>
    <xf numFmtId="42" fontId="38" fillId="0" borderId="38" xfId="4667" applyNumberFormat="1" applyFont="1" applyBorder="1" applyAlignment="1"/>
    <xf numFmtId="42" fontId="38" fillId="0" borderId="0" xfId="1" applyNumberFormat="1" applyFont="1" applyFill="1" applyBorder="1" applyAlignment="1"/>
    <xf numFmtId="42" fontId="30" fillId="0" borderId="38" xfId="4667" applyNumberFormat="1" applyFont="1" applyBorder="1" applyAlignment="1"/>
    <xf numFmtId="42" fontId="30" fillId="0" borderId="0" xfId="4667" applyNumberFormat="1" applyFont="1" applyBorder="1" applyAlignment="1"/>
    <xf numFmtId="306" fontId="30" fillId="0" borderId="0" xfId="4667" applyNumberFormat="1" applyFont="1" applyFill="1" applyAlignment="1">
      <alignment horizontal="left"/>
    </xf>
    <xf numFmtId="170" fontId="30" fillId="0" borderId="0" xfId="4667" applyNumberFormat="1" applyFont="1" applyAlignment="1"/>
    <xf numFmtId="172" fontId="30" fillId="0" borderId="0" xfId="4667" applyNumberFormat="1" applyFont="1" applyFill="1" applyAlignment="1"/>
    <xf numFmtId="172" fontId="156" fillId="0" borderId="0" xfId="4667" applyNumberFormat="1" applyFont="1" applyAlignment="1">
      <alignment horizontal="center"/>
    </xf>
    <xf numFmtId="172" fontId="122" fillId="0" borderId="0" xfId="4667" quotePrefix="1" applyNumberFormat="1" applyFont="1" applyFill="1" applyAlignment="1"/>
    <xf numFmtId="172" fontId="30" fillId="0" borderId="0" xfId="4667" applyNumberFormat="1" applyFont="1" applyAlignment="1">
      <alignment horizontal="center" vertical="top"/>
    </xf>
    <xf numFmtId="172" fontId="30" fillId="0" borderId="0" xfId="4667" applyNumberFormat="1" applyFont="1" applyBorder="1" applyAlignment="1">
      <alignment horizontal="center"/>
    </xf>
    <xf numFmtId="172" fontId="30" fillId="0" borderId="3" xfId="4667" applyNumberFormat="1" applyFont="1" applyFill="1" applyBorder="1"/>
    <xf numFmtId="172" fontId="30" fillId="0" borderId="0" xfId="4667" applyNumberFormat="1" applyFont="1" applyFill="1"/>
    <xf numFmtId="0" fontId="30" fillId="0" borderId="0" xfId="4667" applyNumberFormat="1" applyFont="1" applyFill="1" applyAlignment="1">
      <alignment horizontal="center"/>
    </xf>
    <xf numFmtId="172" fontId="122" fillId="0" borderId="17" xfId="4667" applyNumberFormat="1" applyFont="1" applyFill="1" applyBorder="1" applyAlignment="1">
      <alignment horizontal="center" wrapText="1"/>
    </xf>
    <xf numFmtId="172" fontId="122" fillId="0" borderId="54" xfId="4667" applyNumberFormat="1" applyFont="1" applyFill="1" applyBorder="1" applyAlignment="1">
      <alignment horizontal="center" wrapText="1"/>
    </xf>
    <xf numFmtId="172" fontId="30" fillId="0" borderId="0" xfId="0" applyFont="1" applyAlignment="1">
      <alignment horizontal="left" vertical="center" wrapText="1"/>
    </xf>
    <xf numFmtId="0" fontId="30" fillId="0" borderId="0" xfId="4228" applyFont="1" applyAlignment="1">
      <alignment horizontal="left" vertical="top" wrapText="1"/>
    </xf>
    <xf numFmtId="44" fontId="30" fillId="0" borderId="0" xfId="4" applyNumberFormat="1" applyFont="1" applyAlignment="1">
      <alignment horizontal="center"/>
    </xf>
    <xf numFmtId="10" fontId="30" fillId="0" borderId="0" xfId="4665" applyNumberFormat="1" applyFont="1" applyFill="1" applyAlignment="1">
      <alignment horizontal="center"/>
    </xf>
    <xf numFmtId="10" fontId="30" fillId="0" borderId="0" xfId="3" applyNumberFormat="1" applyFont="1" applyFill="1" applyAlignment="1">
      <alignment horizontal="center"/>
    </xf>
    <xf numFmtId="0" fontId="30" fillId="0" borderId="4" xfId="4" applyFont="1" applyBorder="1"/>
    <xf numFmtId="10" fontId="30" fillId="0" borderId="4" xfId="3" applyNumberFormat="1" applyFont="1" applyFill="1" applyBorder="1" applyAlignment="1">
      <alignment horizontal="center"/>
    </xf>
    <xf numFmtId="172" fontId="179" fillId="0" borderId="0" xfId="0" applyFont="1"/>
    <xf numFmtId="172" fontId="181" fillId="0" borderId="51" xfId="0" applyFont="1" applyBorder="1"/>
    <xf numFmtId="172" fontId="179" fillId="0" borderId="37" xfId="0" applyFont="1" applyBorder="1"/>
    <xf numFmtId="172" fontId="179" fillId="0" borderId="38" xfId="0" applyFont="1" applyBorder="1"/>
    <xf numFmtId="10" fontId="179" fillId="0" borderId="0" xfId="4352" applyNumberFormat="1" applyFont="1" applyBorder="1" applyAlignment="1"/>
    <xf numFmtId="172" fontId="180" fillId="0" borderId="53" xfId="0" applyFont="1" applyBorder="1" applyAlignment="1">
      <alignment horizontal="center"/>
    </xf>
    <xf numFmtId="172" fontId="180" fillId="0" borderId="3" xfId="0" applyFont="1" applyBorder="1" applyAlignment="1">
      <alignment horizontal="center"/>
    </xf>
    <xf numFmtId="172" fontId="179" fillId="0" borderId="3" xfId="0" applyFont="1" applyBorder="1" applyAlignment="1">
      <alignment horizontal="center"/>
    </xf>
    <xf numFmtId="172" fontId="179" fillId="0" borderId="37" xfId="0" applyFont="1" applyBorder="1" applyAlignment="1">
      <alignment horizontal="center"/>
    </xf>
    <xf numFmtId="172" fontId="179" fillId="0" borderId="0" xfId="0" applyFont="1" applyAlignment="1">
      <alignment horizontal="center"/>
    </xf>
    <xf numFmtId="172" fontId="179" fillId="0" borderId="38" xfId="0" applyFont="1" applyBorder="1" applyAlignment="1">
      <alignment horizontal="center"/>
    </xf>
    <xf numFmtId="42" fontId="179" fillId="0" borderId="0" xfId="0" applyNumberFormat="1" applyFont="1"/>
    <xf numFmtId="42" fontId="179" fillId="0" borderId="0" xfId="1" applyNumberFormat="1" applyFont="1" applyBorder="1" applyAlignment="1"/>
    <xf numFmtId="42" fontId="179" fillId="0" borderId="38" xfId="1" applyNumberFormat="1" applyFont="1" applyBorder="1" applyAlignment="1"/>
    <xf numFmtId="174" fontId="179" fillId="0" borderId="52" xfId="190" applyNumberFormat="1" applyFont="1" applyBorder="1" applyAlignment="1"/>
    <xf numFmtId="174" fontId="179" fillId="0" borderId="3" xfId="190" applyNumberFormat="1" applyFont="1" applyBorder="1" applyAlignment="1"/>
    <xf numFmtId="44" fontId="179" fillId="0" borderId="52" xfId="1" applyFont="1" applyBorder="1" applyAlignment="1">
      <alignment horizontal="right"/>
    </xf>
    <xf numFmtId="173" fontId="179" fillId="0" borderId="3" xfId="1" applyNumberFormat="1" applyFont="1" applyBorder="1" applyAlignment="1"/>
    <xf numFmtId="173" fontId="179" fillId="0" borderId="53" xfId="1" applyNumberFormat="1" applyFont="1" applyBorder="1" applyAlignment="1"/>
    <xf numFmtId="174" fontId="179" fillId="0" borderId="0" xfId="190" applyNumberFormat="1" applyFont="1" applyBorder="1" applyAlignment="1"/>
    <xf numFmtId="44" fontId="179" fillId="0" borderId="0" xfId="1" applyFont="1" applyBorder="1" applyAlignment="1">
      <alignment horizontal="right"/>
    </xf>
    <xf numFmtId="173" fontId="179" fillId="0" borderId="0" xfId="1" applyNumberFormat="1" applyFont="1" applyBorder="1" applyAlignment="1"/>
    <xf numFmtId="172" fontId="179" fillId="3" borderId="4" xfId="0" applyFont="1" applyFill="1" applyBorder="1"/>
    <xf numFmtId="172" fontId="179" fillId="3" borderId="0" xfId="0" applyFont="1" applyFill="1" applyAlignment="1">
      <alignment horizontal="center"/>
    </xf>
    <xf numFmtId="10" fontId="179" fillId="3" borderId="0" xfId="4352" applyNumberFormat="1" applyFont="1" applyFill="1" applyBorder="1" applyAlignment="1"/>
    <xf numFmtId="172" fontId="179" fillId="3" borderId="4" xfId="0" applyFont="1" applyFill="1" applyBorder="1" applyAlignment="1">
      <alignment wrapText="1"/>
    </xf>
    <xf numFmtId="0" fontId="179" fillId="3" borderId="0" xfId="4352" quotePrefix="1" applyNumberFormat="1" applyFont="1" applyFill="1" applyBorder="1" applyAlignment="1">
      <alignment horizontal="right"/>
    </xf>
    <xf numFmtId="42" fontId="179" fillId="3" borderId="37" xfId="1" applyNumberFormat="1" applyFont="1" applyFill="1" applyBorder="1" applyAlignment="1">
      <alignment horizontal="right"/>
    </xf>
    <xf numFmtId="42" fontId="179" fillId="3" borderId="0" xfId="1" applyNumberFormat="1" applyFont="1" applyFill="1" applyBorder="1" applyAlignment="1"/>
    <xf numFmtId="172" fontId="180" fillId="0" borderId="0" xfId="0" applyFont="1" applyAlignment="1">
      <alignment horizontal="center"/>
    </xf>
    <xf numFmtId="0" fontId="30" fillId="0" borderId="0" xfId="4598" applyFont="1" applyAlignment="1">
      <alignment horizontal="center"/>
    </xf>
    <xf numFmtId="44" fontId="164" fillId="0" borderId="0" xfId="0" applyNumberFormat="1" applyFont="1" applyAlignment="1">
      <alignment horizontal="center"/>
    </xf>
    <xf numFmtId="0" fontId="179" fillId="0" borderId="0" xfId="0" applyNumberFormat="1" applyFont="1" applyAlignment="1">
      <alignment horizontal="center"/>
    </xf>
    <xf numFmtId="172" fontId="179" fillId="0" borderId="0" xfId="0" applyFont="1" applyAlignment="1">
      <alignment horizontal="left"/>
    </xf>
    <xf numFmtId="172" fontId="182" fillId="0" borderId="0" xfId="0" applyFont="1" applyAlignment="1">
      <alignment horizontal="center"/>
    </xf>
    <xf numFmtId="0" fontId="164" fillId="0" borderId="0" xfId="0" applyNumberFormat="1" applyFont="1" applyProtection="1">
      <protection locked="0"/>
    </xf>
    <xf numFmtId="172" fontId="122" fillId="0" borderId="0" xfId="4667" applyNumberFormat="1" applyFont="1" applyBorder="1" applyAlignment="1"/>
    <xf numFmtId="172" fontId="30" fillId="0" borderId="37" xfId="4667" applyNumberFormat="1" applyFont="1" applyFill="1" applyBorder="1" applyAlignment="1"/>
    <xf numFmtId="172" fontId="30" fillId="0" borderId="37" xfId="4667" applyNumberFormat="1" applyFont="1" applyBorder="1" applyAlignment="1"/>
    <xf numFmtId="172" fontId="156" fillId="0" borderId="37" xfId="4667" applyNumberFormat="1" applyFont="1" applyBorder="1" applyAlignment="1">
      <alignment horizontal="center"/>
    </xf>
    <xf numFmtId="172" fontId="180" fillId="0" borderId="0" xfId="0" applyFont="1" applyAlignment="1">
      <alignment horizontal="left"/>
    </xf>
    <xf numFmtId="42" fontId="179" fillId="79" borderId="0" xfId="0" applyNumberFormat="1" applyFont="1" applyFill="1"/>
    <xf numFmtId="172" fontId="180" fillId="0" borderId="37" xfId="0" applyFont="1" applyBorder="1" applyAlignment="1">
      <alignment horizontal="center"/>
    </xf>
    <xf numFmtId="172" fontId="180" fillId="0" borderId="52" xfId="0" applyFont="1" applyBorder="1" applyAlignment="1">
      <alignment horizontal="center"/>
    </xf>
    <xf numFmtId="42" fontId="38" fillId="0" borderId="37" xfId="4667" applyNumberFormat="1" applyFont="1" applyBorder="1" applyAlignment="1"/>
    <xf numFmtId="174" fontId="179" fillId="0" borderId="37" xfId="190" applyNumberFormat="1" applyFont="1" applyBorder="1" applyAlignment="1"/>
    <xf numFmtId="172" fontId="179" fillId="3" borderId="47" xfId="0" applyFont="1" applyFill="1" applyBorder="1"/>
    <xf numFmtId="172" fontId="180" fillId="0" borderId="38" xfId="0" applyFont="1" applyBorder="1" applyAlignment="1">
      <alignment horizontal="center"/>
    </xf>
    <xf numFmtId="174" fontId="179" fillId="0" borderId="38" xfId="190" applyNumberFormat="1" applyFont="1" applyBorder="1" applyAlignment="1"/>
    <xf numFmtId="44" fontId="179" fillId="0" borderId="37" xfId="1" applyFont="1" applyBorder="1" applyAlignment="1">
      <alignment horizontal="right"/>
    </xf>
    <xf numFmtId="173" fontId="179" fillId="0" borderId="38" xfId="1" applyNumberFormat="1" applyFont="1" applyBorder="1" applyAlignment="1"/>
    <xf numFmtId="172" fontId="179" fillId="0" borderId="35" xfId="0" applyFont="1" applyBorder="1"/>
    <xf numFmtId="172" fontId="122" fillId="0" borderId="0" xfId="4667" applyNumberFormat="1" applyFont="1" applyFill="1" applyAlignment="1">
      <alignment horizontal="center"/>
    </xf>
    <xf numFmtId="0" fontId="30" fillId="0" borderId="0" xfId="4671" applyFont="1"/>
    <xf numFmtId="0" fontId="30" fillId="0" borderId="0" xfId="4671" quotePrefix="1" applyFont="1"/>
    <xf numFmtId="0" fontId="30" fillId="0" borderId="0" xfId="4671" applyFont="1" applyAlignment="1">
      <alignment horizontal="center"/>
    </xf>
    <xf numFmtId="37" fontId="30" fillId="0" borderId="0" xfId="4671" applyNumberFormat="1" applyFont="1" applyAlignment="1">
      <alignment horizontal="right"/>
    </xf>
    <xf numFmtId="0" fontId="184" fillId="0" borderId="27" xfId="4671" applyFont="1" applyBorder="1"/>
    <xf numFmtId="37" fontId="30" fillId="0" borderId="0" xfId="4671" applyNumberFormat="1" applyFont="1"/>
    <xf numFmtId="0" fontId="30" fillId="0" borderId="0" xfId="4671" applyFont="1" applyAlignment="1">
      <alignment horizontal="left" indent="1"/>
    </xf>
    <xf numFmtId="5" fontId="30" fillId="0" borderId="0" xfId="4671" applyNumberFormat="1" applyFont="1"/>
    <xf numFmtId="0" fontId="30" fillId="0" borderId="0" xfId="4671" applyFont="1" applyAlignment="1">
      <alignment horizontal="left" indent="2"/>
    </xf>
    <xf numFmtId="0" fontId="131" fillId="0" borderId="0" xfId="4473" applyFont="1" applyAlignment="1">
      <alignment horizontal="left" indent="2"/>
    </xf>
    <xf numFmtId="0" fontId="184" fillId="0" borderId="0" xfId="4671" applyFont="1" applyAlignment="1">
      <alignment horizontal="left"/>
    </xf>
    <xf numFmtId="212" fontId="30" fillId="0" borderId="0" xfId="4671" applyNumberFormat="1" applyFont="1"/>
    <xf numFmtId="309" fontId="30" fillId="0" borderId="0" xfId="4671" applyNumberFormat="1" applyFont="1"/>
    <xf numFmtId="0" fontId="122" fillId="0" borderId="0" xfId="4671" applyFont="1"/>
    <xf numFmtId="0" fontId="156" fillId="0" borderId="0" xfId="4" applyFont="1" applyAlignment="1">
      <alignment horizontal="center"/>
    </xf>
    <xf numFmtId="174" fontId="30" fillId="0" borderId="0" xfId="4665" applyNumberFormat="1" applyFont="1" applyFill="1" applyAlignment="1" applyProtection="1">
      <alignment horizontal="center"/>
      <protection locked="0"/>
    </xf>
    <xf numFmtId="43" fontId="30" fillId="0" borderId="0" xfId="190" applyFont="1" applyFill="1" applyAlignment="1"/>
    <xf numFmtId="172" fontId="30" fillId="0" borderId="0" xfId="4667" applyNumberFormat="1" applyFont="1" applyFill="1" applyAlignment="1">
      <alignment horizontal="right"/>
    </xf>
    <xf numFmtId="172" fontId="122" fillId="0" borderId="0" xfId="4667" applyNumberFormat="1" applyFont="1" applyBorder="1"/>
    <xf numFmtId="172" fontId="122" fillId="0" borderId="0" xfId="4667" applyNumberFormat="1" applyFont="1" applyBorder="1" applyAlignment="1">
      <alignment horizontal="center"/>
    </xf>
    <xf numFmtId="172" fontId="30" fillId="0" borderId="0" xfId="4667" quotePrefix="1" applyNumberFormat="1" applyFont="1" applyAlignment="1">
      <alignment horizontal="center"/>
    </xf>
    <xf numFmtId="172" fontId="30" fillId="0" borderId="0" xfId="4667" quotePrefix="1" applyNumberFormat="1" applyFont="1" applyFill="1" applyAlignment="1">
      <alignment horizontal="center"/>
    </xf>
    <xf numFmtId="172" fontId="122" fillId="0" borderId="0" xfId="4667" applyNumberFormat="1" applyFont="1" applyAlignment="1"/>
    <xf numFmtId="172" fontId="122" fillId="0" borderId="0" xfId="4667" applyNumberFormat="1" applyFont="1" applyAlignment="1">
      <alignment horizontal="center"/>
    </xf>
    <xf numFmtId="172" fontId="122" fillId="0" borderId="1" xfId="4667" applyNumberFormat="1" applyFont="1" applyBorder="1" applyAlignment="1">
      <alignment horizontal="center"/>
    </xf>
    <xf numFmtId="172" fontId="122" fillId="0" borderId="1" xfId="4667" applyNumberFormat="1" applyFont="1" applyFill="1" applyBorder="1" applyAlignment="1">
      <alignment horizontal="center"/>
    </xf>
    <xf numFmtId="0" fontId="30" fillId="0" borderId="0" xfId="190" applyNumberFormat="1" applyFont="1" applyAlignment="1">
      <alignment horizontal="center"/>
    </xf>
    <xf numFmtId="170" fontId="30" fillId="0" borderId="0" xfId="190" applyNumberFormat="1" applyFont="1" applyFill="1" applyBorder="1" applyAlignment="1"/>
    <xf numFmtId="0" fontId="30" fillId="0" borderId="0" xfId="4667" applyNumberFormat="1" applyFont="1" applyAlignment="1">
      <alignment horizontal="center"/>
    </xf>
    <xf numFmtId="193" fontId="30" fillId="0" borderId="0" xfId="4667" applyNumberFormat="1" applyFont="1" applyFill="1" applyAlignment="1"/>
    <xf numFmtId="41" fontId="30" fillId="0" borderId="0" xfId="4668" applyNumberFormat="1" applyFont="1" applyProtection="1">
      <protection locked="0"/>
    </xf>
    <xf numFmtId="271" fontId="30" fillId="79" borderId="0" xfId="190" applyNumberFormat="1" applyFont="1" applyFill="1" applyAlignment="1"/>
    <xf numFmtId="41" fontId="30" fillId="0" borderId="0" xfId="4667" applyNumberFormat="1" applyFont="1" applyFill="1" applyBorder="1" applyAlignment="1"/>
    <xf numFmtId="172" fontId="30" fillId="0" borderId="4" xfId="4667" applyNumberFormat="1" applyFont="1" applyFill="1" applyBorder="1" applyAlignment="1"/>
    <xf numFmtId="173" fontId="30" fillId="0" borderId="4" xfId="1" applyNumberFormat="1" applyFont="1" applyFill="1" applyBorder="1" applyAlignment="1"/>
    <xf numFmtId="271" fontId="30" fillId="0" borderId="4" xfId="190" applyNumberFormat="1" applyFont="1" applyFill="1" applyBorder="1" applyAlignment="1"/>
    <xf numFmtId="173" fontId="30" fillId="0" borderId="0" xfId="4668" applyNumberFormat="1" applyFont="1" applyProtection="1">
      <protection locked="0"/>
    </xf>
    <xf numFmtId="0" fontId="30" fillId="0" borderId="4" xfId="4667" applyNumberFormat="1" applyFont="1" applyBorder="1" applyAlignment="1"/>
    <xf numFmtId="1" fontId="30" fillId="0" borderId="4" xfId="4668" applyNumberFormat="1" applyFont="1" applyBorder="1" applyAlignment="1" applyProtection="1">
      <alignment horizontal="left"/>
      <protection locked="0"/>
    </xf>
    <xf numFmtId="173" fontId="30" fillId="0" borderId="4" xfId="4668" applyNumberFormat="1" applyFont="1" applyBorder="1" applyProtection="1">
      <protection locked="0"/>
    </xf>
    <xf numFmtId="173" fontId="30" fillId="0" borderId="0" xfId="1" applyNumberFormat="1" applyFont="1" applyFill="1" applyAlignment="1"/>
    <xf numFmtId="172" fontId="122" fillId="0" borderId="0" xfId="4669" applyFont="1" applyAlignment="1">
      <alignment horizontal="left"/>
    </xf>
    <xf numFmtId="42" fontId="30" fillId="0" borderId="0" xfId="4667" applyNumberFormat="1" applyFont="1" applyAlignment="1"/>
    <xf numFmtId="0" fontId="30" fillId="0" borderId="0" xfId="4667" applyNumberFormat="1" applyFont="1" applyFill="1" applyBorder="1" applyAlignment="1"/>
    <xf numFmtId="41" fontId="115" fillId="0" borderId="0" xfId="4668" applyNumberFormat="1" applyFont="1" applyProtection="1">
      <protection locked="0"/>
    </xf>
    <xf numFmtId="172" fontId="30" fillId="0" borderId="0" xfId="4667" applyNumberFormat="1" applyFont="1" applyFill="1" applyBorder="1" applyAlignment="1">
      <alignment horizontal="center"/>
    </xf>
    <xf numFmtId="193" fontId="30" fillId="0" borderId="0" xfId="4667" applyNumberFormat="1" applyFont="1" applyFill="1" applyBorder="1" applyAlignment="1"/>
    <xf numFmtId="42" fontId="30" fillId="0" borderId="0" xfId="4667" applyNumberFormat="1" applyFont="1" applyFill="1" applyBorder="1" applyAlignment="1"/>
    <xf numFmtId="10" fontId="30" fillId="0" borderId="0" xfId="4667" applyNumberFormat="1" applyFont="1" applyFill="1" applyBorder="1" applyAlignment="1"/>
    <xf numFmtId="41" fontId="185" fillId="0" borderId="0" xfId="4667" applyNumberFormat="1" applyFont="1" applyFill="1" applyBorder="1" applyAlignment="1"/>
    <xf numFmtId="0" fontId="30" fillId="0" borderId="0" xfId="4670" applyFont="1"/>
    <xf numFmtId="1" fontId="165" fillId="3" borderId="0" xfId="0" applyNumberFormat="1" applyFont="1" applyFill="1" applyAlignment="1" applyProtection="1">
      <alignment horizontal="center"/>
      <protection locked="0"/>
    </xf>
    <xf numFmtId="14" fontId="30" fillId="0" borderId="0" xfId="0" applyNumberFormat="1" applyFont="1" applyProtection="1">
      <protection locked="0"/>
    </xf>
    <xf numFmtId="1" fontId="30" fillId="0" borderId="0" xfId="0" applyNumberFormat="1" applyFont="1" applyAlignment="1" applyProtection="1">
      <alignment horizontal="center"/>
      <protection locked="0"/>
    </xf>
    <xf numFmtId="0" fontId="30" fillId="0" borderId="0" xfId="4" applyFont="1" applyAlignment="1">
      <alignment horizontal="center" vertical="top"/>
    </xf>
    <xf numFmtId="42" fontId="30" fillId="0" borderId="0" xfId="0" applyNumberFormat="1" applyFont="1" applyAlignment="1" applyProtection="1">
      <alignment horizontal="right"/>
    </xf>
    <xf numFmtId="0" fontId="30" fillId="0" borderId="0" xfId="0" applyNumberFormat="1" applyFont="1"/>
    <xf numFmtId="172" fontId="122" fillId="0" borderId="0" xfId="0" applyFont="1"/>
    <xf numFmtId="0" fontId="122" fillId="0" borderId="0" xfId="4" applyFont="1" applyAlignment="1">
      <alignment horizontal="center"/>
    </xf>
    <xf numFmtId="3" fontId="30" fillId="0" borderId="1" xfId="0" applyNumberFormat="1" applyFont="1" applyBorder="1" applyAlignment="1">
      <alignment horizontal="center"/>
    </xf>
    <xf numFmtId="0" fontId="122" fillId="0" borderId="1" xfId="4" applyFont="1" applyBorder="1" applyAlignment="1">
      <alignment horizontal="center"/>
    </xf>
    <xf numFmtId="0" fontId="30" fillId="0" borderId="0" xfId="4" applyFont="1" applyAlignment="1">
      <alignment horizontal="center" vertical="center"/>
    </xf>
    <xf numFmtId="174" fontId="30" fillId="75" borderId="14" xfId="4665" applyNumberFormat="1" applyFont="1" applyFill="1" applyBorder="1" applyAlignment="1"/>
    <xf numFmtId="0" fontId="187" fillId="0" borderId="0" xfId="4671" applyFont="1" applyAlignment="1">
      <alignment horizontal="center"/>
    </xf>
    <xf numFmtId="0" fontId="184" fillId="0" borderId="0" xfId="4671" applyFont="1" applyAlignment="1">
      <alignment horizontal="center"/>
    </xf>
    <xf numFmtId="37" fontId="184" fillId="0" borderId="0" xfId="4671" applyNumberFormat="1" applyFont="1" applyAlignment="1">
      <alignment horizontal="center"/>
    </xf>
    <xf numFmtId="173" fontId="165" fillId="3" borderId="0" xfId="1" applyNumberFormat="1" applyFont="1" applyFill="1" applyAlignment="1"/>
    <xf numFmtId="173" fontId="30" fillId="0" borderId="4" xfId="1" applyNumberFormat="1" applyFont="1" applyFill="1" applyBorder="1"/>
    <xf numFmtId="0" fontId="30" fillId="0" borderId="4" xfId="4671" applyFont="1" applyBorder="1" applyAlignment="1">
      <alignment horizontal="left" indent="1"/>
    </xf>
    <xf numFmtId="42" fontId="122" fillId="0" borderId="0" xfId="1" applyNumberFormat="1" applyFont="1" applyFill="1" applyBorder="1" applyAlignment="1" applyProtection="1">
      <alignment horizontal="right"/>
    </xf>
    <xf numFmtId="0" fontId="30" fillId="0" borderId="0" xfId="4671" applyFont="1" applyAlignment="1">
      <alignment horizontal="left"/>
    </xf>
    <xf numFmtId="173" fontId="30" fillId="0" borderId="0" xfId="4671" applyNumberFormat="1" applyFont="1"/>
    <xf numFmtId="173" fontId="30" fillId="0" borderId="15" xfId="4671" applyNumberFormat="1" applyFont="1" applyBorder="1"/>
    <xf numFmtId="0" fontId="30" fillId="0" borderId="0" xfId="0" applyNumberFormat="1" applyFont="1" applyAlignment="1" applyProtection="1">
      <alignment vertical="top" wrapText="1"/>
      <protection locked="0"/>
    </xf>
    <xf numFmtId="0" fontId="122" fillId="0" borderId="0" xfId="4155" applyNumberFormat="1" applyFont="1" applyAlignment="1" applyProtection="1">
      <alignment horizontal="center"/>
      <protection locked="0"/>
    </xf>
    <xf numFmtId="49" fontId="122" fillId="0" borderId="0" xfId="4597" applyNumberFormat="1" applyFont="1" applyAlignment="1">
      <alignment horizontal="center"/>
    </xf>
    <xf numFmtId="168" fontId="30" fillId="0" borderId="0" xfId="0" applyNumberFormat="1" applyFont="1" applyProtection="1">
      <protection locked="0"/>
    </xf>
    <xf numFmtId="172" fontId="122" fillId="0" borderId="0" xfId="0" applyFont="1" applyProtection="1">
      <protection locked="0"/>
    </xf>
    <xf numFmtId="172" fontId="188" fillId="0" borderId="0" xfId="0" applyFont="1" applyProtection="1">
      <protection locked="0"/>
    </xf>
    <xf numFmtId="172" fontId="122" fillId="0" borderId="3" xfId="0" applyFont="1" applyBorder="1" applyAlignment="1">
      <alignment horizontal="center"/>
    </xf>
    <xf numFmtId="172" fontId="30" fillId="0" borderId="3" xfId="0" applyFont="1" applyBorder="1"/>
    <xf numFmtId="172" fontId="30" fillId="0" borderId="0" xfId="0" applyFont="1" applyAlignment="1" applyProtection="1">
      <alignment wrapText="1"/>
      <protection locked="0"/>
    </xf>
    <xf numFmtId="0" fontId="131" fillId="0" borderId="0" xfId="4473" applyFont="1" applyAlignment="1">
      <alignment horizontal="center"/>
    </xf>
    <xf numFmtId="0" fontId="30" fillId="0" borderId="0" xfId="4472" applyNumberFormat="1" applyFont="1" applyFill="1" applyBorder="1" applyAlignment="1">
      <alignment horizontal="left"/>
    </xf>
    <xf numFmtId="174" fontId="30" fillId="0" borderId="0" xfId="4472" applyNumberFormat="1" applyFont="1" applyFill="1" applyBorder="1"/>
    <xf numFmtId="0" fontId="30" fillId="0" borderId="0" xfId="4472" applyNumberFormat="1" applyFont="1" applyFill="1" applyBorder="1" applyAlignment="1">
      <alignment horizontal="center"/>
    </xf>
    <xf numFmtId="174" fontId="165" fillId="2" borderId="0" xfId="4472" applyNumberFormat="1" applyFont="1" applyFill="1" applyBorder="1"/>
    <xf numFmtId="174" fontId="30" fillId="0" borderId="4" xfId="4472" applyNumberFormat="1" applyFont="1" applyFill="1" applyBorder="1"/>
    <xf numFmtId="172" fontId="30" fillId="0" borderId="4" xfId="0" applyFont="1" applyBorder="1"/>
    <xf numFmtId="172" fontId="122" fillId="0" borderId="0" xfId="0" applyFont="1" applyAlignment="1" applyProtection="1">
      <alignment horizontal="left"/>
      <protection locked="0"/>
    </xf>
    <xf numFmtId="172" fontId="30" fillId="0" borderId="0" xfId="0" applyFont="1" applyAlignment="1" applyProtection="1">
      <alignment horizontal="centerContinuous"/>
      <protection locked="0"/>
    </xf>
    <xf numFmtId="172" fontId="189" fillId="0" borderId="0" xfId="0" applyFont="1" applyAlignment="1">
      <alignment horizontal="left"/>
    </xf>
    <xf numFmtId="0" fontId="122" fillId="0" borderId="3" xfId="4471" applyFont="1" applyBorder="1" applyAlignment="1">
      <alignment horizontal="center"/>
    </xf>
    <xf numFmtId="172" fontId="165" fillId="2" borderId="27" xfId="0" applyFont="1" applyFill="1" applyBorder="1"/>
    <xf numFmtId="0" fontId="165" fillId="2" borderId="27" xfId="4471" applyFont="1" applyFill="1" applyBorder="1"/>
    <xf numFmtId="174" fontId="165" fillId="2" borderId="27" xfId="190" applyNumberFormat="1" applyFont="1" applyFill="1" applyBorder="1"/>
    <xf numFmtId="37" fontId="165" fillId="2" borderId="27" xfId="0" applyNumberFormat="1" applyFont="1" applyFill="1" applyBorder="1"/>
    <xf numFmtId="172" fontId="190" fillId="0" borderId="0" xfId="0" applyFont="1"/>
    <xf numFmtId="172" fontId="165" fillId="2" borderId="46" xfId="0" applyFont="1" applyFill="1" applyBorder="1"/>
    <xf numFmtId="37" fontId="165" fillId="2" borderId="46" xfId="0" applyNumberFormat="1" applyFont="1" applyFill="1" applyBorder="1"/>
    <xf numFmtId="37" fontId="30" fillId="0" borderId="4" xfId="0" applyNumberFormat="1" applyFont="1" applyBorder="1"/>
    <xf numFmtId="43" fontId="30" fillId="0" borderId="0" xfId="190" applyFont="1"/>
    <xf numFmtId="37" fontId="30" fillId="0" borderId="0" xfId="0" applyNumberFormat="1" applyFont="1"/>
    <xf numFmtId="172" fontId="184" fillId="0" borderId="0" xfId="0" applyFont="1"/>
    <xf numFmtId="174" fontId="30" fillId="0" borderId="0" xfId="0" applyNumberFormat="1" applyFont="1"/>
    <xf numFmtId="172" fontId="156" fillId="0" borderId="0" xfId="0" applyFont="1"/>
    <xf numFmtId="172" fontId="156" fillId="0" borderId="0" xfId="0" applyFont="1" applyAlignment="1">
      <alignment horizontal="center"/>
    </xf>
    <xf numFmtId="172" fontId="191" fillId="0" borderId="0" xfId="4667" applyNumberFormat="1" applyFont="1" applyAlignment="1">
      <alignment horizontal="center"/>
    </xf>
    <xf numFmtId="172" fontId="189" fillId="0" borderId="0" xfId="4667" applyNumberFormat="1" applyFont="1" applyAlignment="1">
      <alignment horizontal="center"/>
    </xf>
    <xf numFmtId="172" fontId="30" fillId="0" borderId="51" xfId="4667" applyNumberFormat="1" applyFont="1" applyBorder="1" applyAlignment="1"/>
    <xf numFmtId="172" fontId="30" fillId="0" borderId="4" xfId="4667" applyNumberFormat="1" applyFont="1" applyBorder="1" applyAlignment="1"/>
    <xf numFmtId="0" fontId="30" fillId="0" borderId="47" xfId="4667" applyNumberFormat="1" applyFont="1" applyBorder="1" applyAlignment="1"/>
    <xf numFmtId="172" fontId="30" fillId="0" borderId="37" xfId="4667" applyNumberFormat="1" applyFont="1" applyFill="1" applyBorder="1" applyAlignment="1">
      <alignment horizontal="center"/>
    </xf>
    <xf numFmtId="172" fontId="30" fillId="0" borderId="38" xfId="4667" applyNumberFormat="1" applyFont="1" applyFill="1" applyBorder="1" applyAlignment="1">
      <alignment horizontal="center"/>
    </xf>
    <xf numFmtId="172" fontId="30" fillId="0" borderId="37" xfId="4667" applyNumberFormat="1" applyFont="1" applyBorder="1" applyAlignment="1">
      <alignment horizontal="center"/>
    </xf>
    <xf numFmtId="172" fontId="30" fillId="0" borderId="38" xfId="4667" applyNumberFormat="1" applyFont="1" applyBorder="1" applyAlignment="1">
      <alignment horizontal="center"/>
    </xf>
    <xf numFmtId="172" fontId="122" fillId="0" borderId="3" xfId="4667" applyNumberFormat="1" applyFont="1" applyBorder="1" applyAlignment="1">
      <alignment horizontal="center"/>
    </xf>
    <xf numFmtId="172" fontId="30" fillId="0" borderId="56" xfId="4667" applyNumberFormat="1" applyFont="1" applyBorder="1" applyAlignment="1">
      <alignment horizontal="center"/>
    </xf>
    <xf numFmtId="172" fontId="30" fillId="0" borderId="1" xfId="4667" applyNumberFormat="1" applyFont="1" applyBorder="1" applyAlignment="1">
      <alignment horizontal="center"/>
    </xf>
    <xf numFmtId="172" fontId="30" fillId="0" borderId="57" xfId="4667" applyNumberFormat="1" applyFont="1" applyBorder="1" applyAlignment="1">
      <alignment horizontal="center"/>
    </xf>
    <xf numFmtId="193" fontId="30" fillId="0" borderId="0" xfId="4667" applyNumberFormat="1" applyFont="1" applyBorder="1" applyAlignment="1"/>
    <xf numFmtId="173" fontId="30" fillId="0" borderId="0" xfId="1" applyNumberFormat="1" applyFont="1" applyFill="1" applyBorder="1" applyAlignment="1" applyProtection="1">
      <alignment vertical="center"/>
      <protection locked="0"/>
    </xf>
    <xf numFmtId="173" fontId="30" fillId="0" borderId="0" xfId="4667" applyNumberFormat="1" applyFont="1" applyFill="1" applyBorder="1" applyAlignment="1"/>
    <xf numFmtId="42" fontId="30" fillId="56" borderId="0" xfId="4667" quotePrefix="1" applyNumberFormat="1" applyFont="1" applyFill="1" applyAlignment="1">
      <alignment horizontal="left"/>
    </xf>
    <xf numFmtId="173" fontId="115" fillId="3" borderId="37" xfId="1" applyNumberFormat="1" applyFont="1" applyFill="1" applyBorder="1" applyAlignment="1" applyProtection="1">
      <alignment vertical="center"/>
      <protection locked="0"/>
    </xf>
    <xf numFmtId="42" fontId="30" fillId="0" borderId="0" xfId="190" applyNumberFormat="1" applyFont="1" applyBorder="1" applyAlignment="1"/>
    <xf numFmtId="42" fontId="30" fillId="0" borderId="0" xfId="190" applyNumberFormat="1" applyFont="1" applyFill="1" applyBorder="1" applyAlignment="1"/>
    <xf numFmtId="42" fontId="30" fillId="0" borderId="38" xfId="190" applyNumberFormat="1" applyFont="1" applyBorder="1" applyAlignment="1"/>
    <xf numFmtId="306" fontId="30" fillId="0" borderId="0" xfId="4667" quotePrefix="1" applyNumberFormat="1" applyFont="1" applyFill="1" applyAlignment="1">
      <alignment horizontal="left"/>
    </xf>
    <xf numFmtId="170" fontId="187" fillId="0" borderId="37" xfId="4667" applyNumberFormat="1" applyFont="1" applyBorder="1" applyAlignment="1"/>
    <xf numFmtId="42" fontId="30" fillId="0" borderId="0" xfId="1" applyNumberFormat="1" applyFont="1" applyFill="1" applyBorder="1" applyAlignment="1"/>
    <xf numFmtId="172" fontId="30" fillId="0" borderId="52" xfId="4667" applyNumberFormat="1" applyFont="1" applyBorder="1" applyAlignment="1"/>
    <xf numFmtId="42" fontId="30" fillId="0" borderId="3" xfId="4667" applyNumberFormat="1" applyFont="1" applyFill="1" applyBorder="1" applyAlignment="1"/>
    <xf numFmtId="42" fontId="30" fillId="0" borderId="53" xfId="4667" applyNumberFormat="1" applyFont="1" applyBorder="1" applyAlignment="1"/>
    <xf numFmtId="41" fontId="30" fillId="0" borderId="0" xfId="4667" applyNumberFormat="1" applyFont="1" applyFill="1" applyAlignment="1"/>
    <xf numFmtId="172" fontId="190" fillId="0" borderId="0" xfId="4667" applyNumberFormat="1" applyFont="1" applyFill="1" applyAlignment="1"/>
    <xf numFmtId="172" fontId="30" fillId="0" borderId="17" xfId="4667" applyNumberFormat="1" applyFont="1" applyFill="1" applyBorder="1" applyAlignment="1">
      <alignment horizontal="center"/>
    </xf>
    <xf numFmtId="172" fontId="30" fillId="0" borderId="17" xfId="4667" quotePrefix="1" applyNumberFormat="1" applyFont="1" applyFill="1" applyBorder="1" applyAlignment="1">
      <alignment horizontal="center"/>
    </xf>
    <xf numFmtId="10" fontId="30" fillId="0" borderId="48" xfId="4352" applyNumberFormat="1" applyFont="1" applyFill="1" applyBorder="1"/>
    <xf numFmtId="10" fontId="30" fillId="56" borderId="51" xfId="4352" applyNumberFormat="1" applyFont="1" applyFill="1" applyBorder="1"/>
    <xf numFmtId="10" fontId="30" fillId="56" borderId="54" xfId="4352" applyNumberFormat="1" applyFont="1" applyFill="1" applyBorder="1"/>
    <xf numFmtId="41" fontId="115" fillId="2" borderId="49" xfId="4352" applyNumberFormat="1" applyFont="1" applyFill="1" applyBorder="1"/>
    <xf numFmtId="174" fontId="30" fillId="0" borderId="17" xfId="190" applyNumberFormat="1" applyFont="1" applyFill="1" applyBorder="1"/>
    <xf numFmtId="172" fontId="189" fillId="0" borderId="0" xfId="4667" applyNumberFormat="1" applyFont="1" applyAlignment="1"/>
    <xf numFmtId="10" fontId="30" fillId="56" borderId="37" xfId="4352" applyNumberFormat="1" applyFont="1" applyFill="1" applyBorder="1"/>
    <xf numFmtId="10" fontId="30" fillId="56" borderId="55" xfId="4352" applyNumberFormat="1" applyFont="1" applyFill="1" applyBorder="1"/>
    <xf numFmtId="10" fontId="30" fillId="56" borderId="52" xfId="4352" applyNumberFormat="1" applyFont="1" applyFill="1" applyBorder="1"/>
    <xf numFmtId="10" fontId="30" fillId="56" borderId="58" xfId="4352" applyNumberFormat="1" applyFont="1" applyFill="1" applyBorder="1"/>
    <xf numFmtId="172" fontId="190" fillId="0" borderId="0" xfId="4667" applyNumberFormat="1" applyFont="1" applyAlignment="1"/>
    <xf numFmtId="10" fontId="30" fillId="0" borderId="17" xfId="4352" applyNumberFormat="1" applyFont="1" applyFill="1" applyBorder="1"/>
    <xf numFmtId="10" fontId="30" fillId="0" borderId="58" xfId="4352" applyNumberFormat="1" applyFont="1" applyFill="1" applyBorder="1"/>
    <xf numFmtId="41" fontId="30" fillId="0" borderId="52" xfId="4352" applyNumberFormat="1" applyFont="1" applyFill="1" applyBorder="1"/>
    <xf numFmtId="308" fontId="30" fillId="0" borderId="52" xfId="4352" applyNumberFormat="1" applyFont="1" applyFill="1" applyBorder="1"/>
    <xf numFmtId="174" fontId="30" fillId="0" borderId="49" xfId="190" applyNumberFormat="1" applyFont="1" applyFill="1" applyBorder="1"/>
    <xf numFmtId="172" fontId="30" fillId="0" borderId="17" xfId="4667" applyNumberFormat="1" applyFont="1" applyFill="1" applyBorder="1" applyAlignment="1">
      <alignment horizontal="right"/>
    </xf>
    <xf numFmtId="174" fontId="30" fillId="0" borderId="17" xfId="4667" applyNumberFormat="1" applyFont="1" applyFill="1" applyBorder="1"/>
    <xf numFmtId="174" fontId="30" fillId="0" borderId="48" xfId="4667" applyNumberFormat="1" applyFont="1" applyFill="1" applyBorder="1"/>
    <xf numFmtId="174" fontId="30" fillId="0" borderId="49" xfId="4667" applyNumberFormat="1" applyFont="1" applyFill="1" applyBorder="1"/>
    <xf numFmtId="308" fontId="30" fillId="0" borderId="49" xfId="4667" applyNumberFormat="1" applyFont="1" applyFill="1" applyBorder="1"/>
    <xf numFmtId="172" fontId="30" fillId="0" borderId="0" xfId="4667" applyNumberFormat="1" applyFont="1" applyFill="1" applyAlignment="1">
      <alignment vertical="top"/>
    </xf>
    <xf numFmtId="172" fontId="30" fillId="0" borderId="0" xfId="4667" applyNumberFormat="1" applyFont="1" applyAlignment="1">
      <alignment horizontal="left" vertical="top"/>
    </xf>
    <xf numFmtId="172" fontId="122" fillId="0" borderId="0" xfId="4667" applyNumberFormat="1" applyFont="1" applyFill="1" applyAlignment="1"/>
    <xf numFmtId="172" fontId="115" fillId="0" borderId="0" xfId="4667" applyNumberFormat="1" applyFont="1" applyFill="1" applyAlignment="1"/>
    <xf numFmtId="172" fontId="115" fillId="0" borderId="0" xfId="4667" applyNumberFormat="1" applyFont="1" applyAlignment="1"/>
    <xf numFmtId="172" fontId="192" fillId="0" borderId="0" xfId="4667" applyNumberFormat="1" applyFont="1" applyFill="1" applyAlignment="1"/>
    <xf numFmtId="44" fontId="30" fillId="0" borderId="0" xfId="1" applyFont="1" applyFill="1" applyBorder="1" applyAlignment="1"/>
    <xf numFmtId="174" fontId="165" fillId="3" borderId="0" xfId="4665" applyNumberFormat="1" applyFont="1" applyFill="1" applyAlignment="1"/>
    <xf numFmtId="174" fontId="165" fillId="0" borderId="0" xfId="4665" applyNumberFormat="1" applyFont="1" applyFill="1" applyAlignment="1"/>
    <xf numFmtId="174" fontId="30" fillId="0" borderId="0" xfId="4665" applyNumberFormat="1" applyFont="1" applyFill="1" applyAlignment="1"/>
    <xf numFmtId="173" fontId="122" fillId="0" borderId="15" xfId="4476" applyNumberFormat="1" applyFont="1" applyBorder="1" applyAlignment="1">
      <alignment wrapText="1"/>
    </xf>
    <xf numFmtId="2" fontId="30" fillId="0" borderId="0" xfId="0" applyNumberFormat="1" applyFont="1" applyProtection="1"/>
    <xf numFmtId="165" fontId="30" fillId="0" borderId="4" xfId="0" applyNumberFormat="1" applyFont="1" applyBorder="1" applyProtection="1"/>
    <xf numFmtId="172" fontId="30" fillId="0" borderId="0" xfId="4667" applyNumberFormat="1" applyFont="1" applyFill="1" applyAlignment="1">
      <alignment horizontal="left" vertical="top" wrapText="1"/>
    </xf>
    <xf numFmtId="43" fontId="178" fillId="0" borderId="0" xfId="190" applyFont="1" applyBorder="1" applyAlignment="1">
      <alignment horizontal="right" vertical="center" wrapText="1"/>
    </xf>
    <xf numFmtId="43" fontId="178" fillId="0" borderId="0" xfId="190" applyFont="1" applyBorder="1" applyAlignment="1">
      <alignment vertical="center" wrapText="1"/>
    </xf>
    <xf numFmtId="174" fontId="178" fillId="0" borderId="0" xfId="190" applyNumberFormat="1" applyFont="1"/>
    <xf numFmtId="174" fontId="30" fillId="0" borderId="0" xfId="190" applyNumberFormat="1" applyFont="1" applyFill="1" applyAlignment="1">
      <alignment horizontal="center"/>
    </xf>
    <xf numFmtId="249" fontId="178" fillId="0" borderId="0" xfId="190" applyNumberFormat="1" applyFont="1"/>
    <xf numFmtId="249" fontId="178" fillId="0" borderId="0" xfId="190" applyNumberFormat="1" applyFont="1" applyBorder="1" applyAlignment="1">
      <alignment horizontal="right" vertical="center" wrapText="1"/>
    </xf>
    <xf numFmtId="49" fontId="30" fillId="0" borderId="0" xfId="4" applyNumberFormat="1" applyFont="1" applyAlignment="1">
      <alignment horizontal="center"/>
    </xf>
    <xf numFmtId="172" fontId="122" fillId="0" borderId="0" xfId="4667" applyNumberFormat="1" applyFont="1" applyFill="1" applyBorder="1" applyAlignment="1">
      <alignment horizontal="center"/>
    </xf>
    <xf numFmtId="164" fontId="115" fillId="3" borderId="37" xfId="4666" applyNumberFormat="1" applyFont="1" applyFill="1" applyBorder="1" applyAlignment="1" applyProtection="1">
      <alignment vertical="center"/>
      <protection locked="0"/>
    </xf>
    <xf numFmtId="10" fontId="30" fillId="0" borderId="52" xfId="4352" quotePrefix="1" applyNumberFormat="1" applyFont="1" applyBorder="1" applyAlignment="1">
      <alignment horizontal="center"/>
    </xf>
    <xf numFmtId="10" fontId="30" fillId="0" borderId="3" xfId="4352" quotePrefix="1" applyNumberFormat="1" applyFont="1" applyBorder="1" applyAlignment="1">
      <alignment horizontal="center"/>
    </xf>
    <xf numFmtId="172" fontId="30" fillId="0" borderId="3" xfId="4667" applyNumberFormat="1" applyFont="1" applyBorder="1" applyAlignment="1">
      <alignment horizontal="center"/>
    </xf>
    <xf numFmtId="174" fontId="30" fillId="0" borderId="4" xfId="4665" applyNumberFormat="1" applyFont="1" applyBorder="1" applyAlignment="1"/>
    <xf numFmtId="172" fontId="30" fillId="0" borderId="52" xfId="4667" applyNumberFormat="1" applyFont="1" applyBorder="1" applyAlignment="1">
      <alignment horizontal="center"/>
    </xf>
    <xf numFmtId="172" fontId="30" fillId="0" borderId="53" xfId="4667" applyNumberFormat="1" applyFont="1" applyBorder="1" applyAlignment="1">
      <alignment horizontal="center"/>
    </xf>
    <xf numFmtId="172" fontId="122" fillId="0" borderId="0" xfId="4667" applyNumberFormat="1" applyFont="1" applyFill="1" applyBorder="1" applyAlignment="1">
      <alignment horizontal="center" vertical="center"/>
    </xf>
    <xf numFmtId="172" fontId="30" fillId="0" borderId="0" xfId="4667" applyNumberFormat="1" applyFont="1" applyFill="1" applyAlignment="1">
      <alignment horizontal="center" vertical="center"/>
    </xf>
    <xf numFmtId="172" fontId="30" fillId="0" borderId="0" xfId="4667" applyNumberFormat="1" applyFont="1" applyAlignment="1">
      <alignment horizontal="center" vertical="center"/>
    </xf>
    <xf numFmtId="0" fontId="30" fillId="0" borderId="0" xfId="4667" applyNumberFormat="1" applyFont="1" applyAlignment="1">
      <alignment horizontal="center" vertical="center"/>
    </xf>
    <xf numFmtId="172" fontId="122" fillId="0" borderId="3" xfId="4667" applyNumberFormat="1" applyFont="1" applyBorder="1" applyAlignment="1">
      <alignment horizontal="center" vertical="center"/>
    </xf>
    <xf numFmtId="172" fontId="30" fillId="0" borderId="0" xfId="4667" applyNumberFormat="1" applyFont="1" applyFill="1" applyAlignment="1">
      <alignment vertical="top" wrapText="1"/>
    </xf>
    <xf numFmtId="249" fontId="178" fillId="0" borderId="0" xfId="4665" applyNumberFormat="1" applyFont="1"/>
    <xf numFmtId="172" fontId="30" fillId="0" borderId="47" xfId="4667" applyNumberFormat="1" applyFont="1" applyFill="1" applyBorder="1" applyAlignment="1">
      <alignment horizontal="center"/>
    </xf>
    <xf numFmtId="311" fontId="30" fillId="0" borderId="0" xfId="4667" applyNumberFormat="1" applyFont="1" applyAlignment="1"/>
    <xf numFmtId="172" fontId="30" fillId="3" borderId="37" xfId="4667" applyNumberFormat="1" applyFont="1" applyFill="1" applyBorder="1" applyAlignment="1">
      <alignment horizontal="right" wrapText="1"/>
    </xf>
    <xf numFmtId="44" fontId="30" fillId="0" borderId="0" xfId="1" applyFont="1" applyAlignment="1" applyProtection="1">
      <protection locked="0"/>
    </xf>
    <xf numFmtId="312" fontId="30" fillId="0" borderId="0" xfId="1" applyNumberFormat="1" applyFont="1" applyAlignment="1" applyProtection="1">
      <protection locked="0"/>
    </xf>
    <xf numFmtId="313" fontId="30" fillId="0" borderId="0" xfId="0" applyNumberFormat="1" applyFont="1" applyProtection="1">
      <protection locked="0"/>
    </xf>
    <xf numFmtId="172" fontId="30" fillId="0" borderId="51" xfId="4667" applyNumberFormat="1" applyFont="1" applyFill="1" applyBorder="1" applyAlignment="1">
      <alignment horizontal="center"/>
    </xf>
    <xf numFmtId="172" fontId="30" fillId="0" borderId="4" xfId="4667" applyNumberFormat="1" applyFont="1" applyFill="1" applyBorder="1" applyAlignment="1">
      <alignment horizontal="center"/>
    </xf>
    <xf numFmtId="14" fontId="30" fillId="0" borderId="0" xfId="0" applyNumberFormat="1" applyFont="1"/>
    <xf numFmtId="174" fontId="178" fillId="0" borderId="0" xfId="190" applyNumberFormat="1" applyFont="1" applyBorder="1" applyAlignment="1">
      <alignment vertical="center" wrapText="1"/>
    </xf>
    <xf numFmtId="41" fontId="30" fillId="78" borderId="4" xfId="1" applyNumberFormat="1" applyFont="1" applyFill="1" applyBorder="1" applyAlignment="1" applyProtection="1">
      <protection locked="0"/>
    </xf>
    <xf numFmtId="41" fontId="30" fillId="0" borderId="0" xfId="1" applyNumberFormat="1" applyFont="1" applyFill="1" applyAlignment="1" applyProtection="1">
      <protection locked="0"/>
    </xf>
    <xf numFmtId="41" fontId="30" fillId="0" borderId="4" xfId="1" applyNumberFormat="1" applyFont="1" applyFill="1" applyBorder="1" applyAlignment="1" applyProtection="1">
      <protection locked="0"/>
    </xf>
    <xf numFmtId="310" fontId="30" fillId="0" borderId="0" xfId="1" applyNumberFormat="1" applyFont="1" applyFill="1" applyAlignment="1" applyProtection="1">
      <protection locked="0"/>
    </xf>
    <xf numFmtId="174" fontId="30" fillId="0" borderId="4" xfId="4665" applyNumberFormat="1" applyFont="1" applyFill="1" applyBorder="1" applyAlignment="1"/>
    <xf numFmtId="3" fontId="30" fillId="0" borderId="0" xfId="0" quotePrefix="1" applyNumberFormat="1" applyFont="1" applyProtection="1"/>
    <xf numFmtId="0" fontId="30" fillId="0" borderId="0" xfId="4" quotePrefix="1" applyFont="1"/>
    <xf numFmtId="172" fontId="180" fillId="0" borderId="0" xfId="0" applyFont="1"/>
    <xf numFmtId="0" fontId="30" fillId="0" borderId="0" xfId="0" applyNumberFormat="1" applyFont="1" applyAlignment="1" applyProtection="1">
      <alignment horizontal="center" vertical="top" wrapText="1"/>
      <protection locked="0"/>
    </xf>
    <xf numFmtId="172" fontId="30" fillId="0" borderId="47" xfId="0" applyFont="1" applyBorder="1"/>
    <xf numFmtId="173" fontId="30" fillId="0" borderId="17" xfId="0" applyNumberFormat="1" applyFont="1" applyBorder="1"/>
    <xf numFmtId="174" fontId="30" fillId="0" borderId="0" xfId="190" applyNumberFormat="1" applyFont="1" applyBorder="1"/>
    <xf numFmtId="174" fontId="30" fillId="0" borderId="0" xfId="190" applyNumberFormat="1" applyFont="1" applyBorder="1" applyAlignment="1">
      <alignment horizontal="right"/>
    </xf>
    <xf numFmtId="271" fontId="30" fillId="0" borderId="0" xfId="190" applyNumberFormat="1" applyFont="1" applyBorder="1"/>
    <xf numFmtId="174" fontId="30" fillId="0" borderId="15" xfId="190" applyNumberFormat="1" applyFont="1" applyBorder="1"/>
    <xf numFmtId="41" fontId="30" fillId="0" borderId="0" xfId="4598" applyNumberFormat="1" applyFont="1"/>
    <xf numFmtId="0" fontId="122" fillId="0" borderId="49" xfId="4598" applyFont="1" applyBorder="1"/>
    <xf numFmtId="0" fontId="122" fillId="0" borderId="17" xfId="4598" applyFont="1" applyBorder="1"/>
    <xf numFmtId="0" fontId="30" fillId="0" borderId="0" xfId="4598" applyFont="1" applyAlignment="1">
      <alignment horizontal="center" wrapText="1"/>
    </xf>
    <xf numFmtId="49" fontId="122" fillId="0" borderId="0" xfId="4" applyNumberFormat="1" applyFont="1" applyAlignment="1">
      <alignment horizontal="center"/>
    </xf>
    <xf numFmtId="0" fontId="122" fillId="0" borderId="0" xfId="4690" applyFont="1"/>
    <xf numFmtId="0" fontId="178" fillId="0" borderId="0" xfId="4690" applyFont="1"/>
    <xf numFmtId="0" fontId="178" fillId="0" borderId="0" xfId="4690" applyFont="1" applyAlignment="1">
      <alignment horizontal="right"/>
    </xf>
    <xf numFmtId="0" fontId="178" fillId="0" borderId="0" xfId="4690" applyFont="1" applyAlignment="1">
      <alignment horizontal="center"/>
    </xf>
    <xf numFmtId="0" fontId="194" fillId="0" borderId="0" xfId="4690" applyFont="1"/>
    <xf numFmtId="0" fontId="194" fillId="0" borderId="0" xfId="4690" applyFont="1" applyAlignment="1">
      <alignment vertical="center"/>
    </xf>
    <xf numFmtId="0" fontId="194" fillId="0" borderId="0" xfId="4690" applyFont="1" applyAlignment="1">
      <alignment horizontal="center" vertical="center"/>
    </xf>
    <xf numFmtId="0" fontId="194" fillId="0" borderId="0" xfId="4690" applyFont="1" applyAlignment="1">
      <alignment horizontal="center" vertical="center" wrapText="1"/>
    </xf>
    <xf numFmtId="0" fontId="194" fillId="0" borderId="54" xfId="4690" applyFont="1" applyBorder="1" applyAlignment="1">
      <alignment horizontal="center" vertical="center"/>
    </xf>
    <xf numFmtId="0" fontId="178" fillId="0" borderId="58" xfId="4690" applyFont="1" applyBorder="1" applyAlignment="1">
      <alignment horizontal="center" vertical="center" wrapText="1"/>
    </xf>
    <xf numFmtId="0" fontId="178" fillId="0" borderId="0" xfId="4690" applyFont="1" applyAlignment="1">
      <alignment horizontal="center" vertical="center" wrapText="1"/>
    </xf>
    <xf numFmtId="0" fontId="178" fillId="0" borderId="0" xfId="4690" applyFont="1" applyAlignment="1">
      <alignment horizontal="left" vertical="center"/>
    </xf>
    <xf numFmtId="15" fontId="178" fillId="0" borderId="0" xfId="4690" applyNumberFormat="1" applyFont="1" applyAlignment="1">
      <alignment vertical="center" wrapText="1"/>
    </xf>
    <xf numFmtId="174" fontId="178" fillId="0" borderId="0" xfId="4691" applyNumberFormat="1" applyFont="1" applyBorder="1" applyAlignment="1">
      <alignment horizontal="right" vertical="center" wrapText="1"/>
    </xf>
    <xf numFmtId="174" fontId="178" fillId="0" borderId="0" xfId="4691" applyNumberFormat="1" applyFont="1" applyBorder="1" applyAlignment="1">
      <alignment vertical="center" wrapText="1"/>
    </xf>
    <xf numFmtId="174" fontId="178" fillId="3" borderId="0" xfId="4692" applyNumberFormat="1" applyFont="1" applyFill="1" applyBorder="1" applyAlignment="1">
      <alignment horizontal="right" vertical="center" wrapText="1"/>
    </xf>
    <xf numFmtId="174" fontId="178" fillId="0" borderId="0" xfId="4691" applyNumberFormat="1" applyFont="1" applyFill="1" applyBorder="1" applyAlignment="1">
      <alignment horizontal="center" vertical="center" wrapText="1"/>
    </xf>
    <xf numFmtId="174" fontId="178" fillId="0" borderId="0" xfId="4692" applyNumberFormat="1" applyFont="1" applyBorder="1" applyAlignment="1">
      <alignment vertical="center" wrapText="1"/>
    </xf>
    <xf numFmtId="174" fontId="178" fillId="3" borderId="0" xfId="4692" applyNumberFormat="1" applyFont="1" applyFill="1" applyBorder="1" applyAlignment="1">
      <alignment vertical="center" wrapText="1"/>
    </xf>
    <xf numFmtId="0" fontId="178" fillId="0" borderId="4" xfId="4690" applyFont="1" applyBorder="1" applyAlignment="1">
      <alignment vertical="center" wrapText="1"/>
    </xf>
    <xf numFmtId="0" fontId="178" fillId="0" borderId="4" xfId="4690" applyFont="1" applyBorder="1" applyAlignment="1">
      <alignment horizontal="right" vertical="center" wrapText="1"/>
    </xf>
    <xf numFmtId="174" fontId="178" fillId="0" borderId="4" xfId="4691" applyNumberFormat="1" applyFont="1" applyBorder="1" applyAlignment="1">
      <alignment vertical="center" wrapText="1"/>
    </xf>
    <xf numFmtId="0" fontId="178" fillId="0" borderId="0" xfId="4690" applyFont="1" applyAlignment="1">
      <alignment vertical="center" wrapText="1"/>
    </xf>
    <xf numFmtId="0" fontId="178" fillId="0" borderId="0" xfId="4690" applyFont="1" applyAlignment="1">
      <alignment horizontal="right" vertical="center" wrapText="1"/>
    </xf>
    <xf numFmtId="0" fontId="178" fillId="0" borderId="0" xfId="4690" applyFont="1" applyAlignment="1">
      <alignment horizontal="justify" vertical="center" wrapText="1"/>
    </xf>
    <xf numFmtId="174" fontId="178" fillId="0" borderId="0" xfId="4691" applyNumberFormat="1" applyFont="1" applyFill="1" applyBorder="1" applyAlignment="1">
      <alignment vertical="center" wrapText="1"/>
    </xf>
    <xf numFmtId="174" fontId="178" fillId="0" borderId="4" xfId="4691" applyNumberFormat="1" applyFont="1" applyFill="1" applyBorder="1" applyAlignment="1">
      <alignment vertical="center" wrapText="1"/>
    </xf>
    <xf numFmtId="174" fontId="194" fillId="0" borderId="0" xfId="4690" applyNumberFormat="1" applyFont="1"/>
    <xf numFmtId="0" fontId="195" fillId="0" borderId="0" xfId="4690" applyFont="1" applyAlignment="1">
      <alignment horizontal="center"/>
    </xf>
    <xf numFmtId="174" fontId="194" fillId="0" borderId="0" xfId="4691" applyNumberFormat="1" applyFont="1" applyFill="1" applyBorder="1" applyAlignment="1">
      <alignment horizontal="center" vertical="center" wrapText="1"/>
    </xf>
    <xf numFmtId="0" fontId="194" fillId="0" borderId="0" xfId="4690" applyFont="1" applyAlignment="1">
      <alignment horizontal="center"/>
    </xf>
    <xf numFmtId="0" fontId="178" fillId="0" borderId="0" xfId="4693" applyFont="1"/>
    <xf numFmtId="174" fontId="178" fillId="0" borderId="0" xfId="4693" applyNumberFormat="1" applyFont="1"/>
    <xf numFmtId="174" fontId="178" fillId="0" borderId="0" xfId="4692" applyNumberFormat="1" applyFont="1" applyBorder="1" applyAlignment="1">
      <alignment horizontal="right" vertical="center" wrapText="1"/>
    </xf>
    <xf numFmtId="174" fontId="178" fillId="0" borderId="0" xfId="4690" applyNumberFormat="1" applyFont="1" applyAlignment="1">
      <alignment horizontal="center"/>
    </xf>
    <xf numFmtId="43" fontId="178" fillId="0" borderId="0" xfId="4690" applyNumberFormat="1" applyFont="1"/>
    <xf numFmtId="174" fontId="178" fillId="0" borderId="0" xfId="4692" applyNumberFormat="1" applyFont="1" applyFill="1" applyBorder="1" applyAlignment="1">
      <alignment vertical="center" wrapText="1"/>
    </xf>
    <xf numFmtId="174" fontId="178" fillId="0" borderId="0" xfId="4690" applyNumberFormat="1" applyFont="1"/>
    <xf numFmtId="0" fontId="193" fillId="0" borderId="0" xfId="4690" applyFont="1"/>
    <xf numFmtId="44" fontId="30" fillId="0" borderId="3" xfId="4667" applyNumberFormat="1" applyFont="1" applyBorder="1" applyAlignment="1"/>
    <xf numFmtId="9" fontId="178" fillId="0" borderId="0" xfId="4690" applyNumberFormat="1" applyFont="1"/>
    <xf numFmtId="174" fontId="178" fillId="0" borderId="0" xfId="4665" applyNumberFormat="1" applyFont="1"/>
    <xf numFmtId="174" fontId="178" fillId="0" borderId="0" xfId="4690" applyNumberFormat="1" applyFont="1" applyAlignment="1">
      <alignment horizontal="justify" vertical="center" wrapText="1"/>
    </xf>
    <xf numFmtId="165" fontId="30" fillId="3" borderId="0" xfId="0" applyNumberFormat="1" applyFont="1" applyFill="1" applyProtection="1"/>
    <xf numFmtId="174" fontId="194" fillId="0" borderId="4" xfId="4690" applyNumberFormat="1" applyFont="1" applyBorder="1"/>
    <xf numFmtId="0" fontId="30" fillId="0" borderId="0" xfId="4" applyFont="1" applyAlignment="1">
      <alignment horizontal="left"/>
    </xf>
    <xf numFmtId="0" fontId="156" fillId="0" borderId="0" xfId="4476" applyFont="1" applyAlignment="1">
      <alignment horizontal="center"/>
    </xf>
    <xf numFmtId="173" fontId="30" fillId="0" borderId="4" xfId="1" applyNumberFormat="1" applyFont="1" applyBorder="1"/>
    <xf numFmtId="173" fontId="30" fillId="0" borderId="17" xfId="1" applyNumberFormat="1" applyFont="1" applyBorder="1"/>
    <xf numFmtId="173" fontId="30" fillId="0" borderId="47" xfId="1" applyNumberFormat="1" applyFont="1" applyBorder="1"/>
    <xf numFmtId="174" fontId="30" fillId="0" borderId="17" xfId="190" applyNumberFormat="1" applyFont="1" applyFill="1" applyBorder="1" applyAlignment="1"/>
    <xf numFmtId="305" fontId="30" fillId="0" borderId="0" xfId="4665" applyNumberFormat="1" applyFont="1" applyFill="1" applyAlignment="1" applyProtection="1">
      <protection locked="0"/>
    </xf>
    <xf numFmtId="174" fontId="30" fillId="0" borderId="14" xfId="190" applyNumberFormat="1" applyFont="1" applyFill="1" applyBorder="1"/>
    <xf numFmtId="0" fontId="30" fillId="0" borderId="0" xfId="4476" applyFont="1" applyAlignment="1">
      <alignment vertical="top"/>
    </xf>
    <xf numFmtId="172" fontId="179" fillId="0" borderId="3" xfId="0" applyFont="1" applyBorder="1" applyAlignment="1">
      <alignment horizontal="center" wrapText="1"/>
    </xf>
    <xf numFmtId="42" fontId="179" fillId="0" borderId="0" xfId="1" applyNumberFormat="1" applyFont="1" applyFill="1" applyBorder="1" applyAlignment="1"/>
    <xf numFmtId="271" fontId="165" fillId="3" borderId="0" xfId="190" applyNumberFormat="1" applyFont="1" applyFill="1" applyAlignment="1"/>
    <xf numFmtId="173" fontId="30" fillId="0" borderId="0" xfId="1" applyNumberFormat="1" applyFont="1" applyBorder="1"/>
    <xf numFmtId="10" fontId="30" fillId="0" borderId="0" xfId="3" applyNumberFormat="1" applyFont="1" applyFill="1" applyBorder="1" applyAlignment="1">
      <alignment horizontal="center"/>
    </xf>
    <xf numFmtId="3" fontId="30" fillId="3" borderId="0" xfId="0" applyNumberFormat="1" applyFont="1" applyFill="1" applyProtection="1"/>
    <xf numFmtId="10" fontId="30" fillId="0" borderId="53" xfId="4352" quotePrefix="1" applyNumberFormat="1" applyFont="1" applyBorder="1" applyAlignment="1">
      <alignment horizontal="center"/>
    </xf>
    <xf numFmtId="172" fontId="30" fillId="0" borderId="38" xfId="4667" applyNumberFormat="1" applyFont="1" applyFill="1" applyBorder="1" applyAlignment="1"/>
    <xf numFmtId="42" fontId="30" fillId="0" borderId="37" xfId="190" applyNumberFormat="1" applyFont="1" applyBorder="1" applyAlignment="1"/>
    <xf numFmtId="172" fontId="30" fillId="80" borderId="38" xfId="4667" applyNumberFormat="1" applyFont="1" applyFill="1" applyBorder="1" applyAlignment="1"/>
    <xf numFmtId="172" fontId="30" fillId="80" borderId="0" xfId="4667" applyNumberFormat="1" applyFont="1" applyFill="1" applyBorder="1" applyAlignment="1"/>
    <xf numFmtId="42" fontId="30" fillId="0" borderId="37" xfId="4667" applyNumberFormat="1" applyFont="1" applyBorder="1" applyAlignment="1"/>
    <xf numFmtId="174" fontId="30" fillId="0" borderId="47" xfId="4665" applyNumberFormat="1" applyFont="1" applyFill="1" applyBorder="1" applyAlignment="1"/>
    <xf numFmtId="42" fontId="30" fillId="0" borderId="52" xfId="4667" applyNumberFormat="1" applyFont="1" applyBorder="1" applyAlignment="1"/>
    <xf numFmtId="42" fontId="30" fillId="0" borderId="3" xfId="4667" applyNumberFormat="1" applyFont="1" applyBorder="1" applyAlignment="1"/>
    <xf numFmtId="173" fontId="30" fillId="0" borderId="3" xfId="1" applyNumberFormat="1" applyFont="1" applyFill="1" applyBorder="1" applyAlignment="1"/>
    <xf numFmtId="172" fontId="30" fillId="0" borderId="3" xfId="4667" applyNumberFormat="1" applyFont="1" applyBorder="1" applyAlignment="1"/>
    <xf numFmtId="173" fontId="30" fillId="0" borderId="53" xfId="1" applyNumberFormat="1" applyFont="1" applyFill="1" applyBorder="1" applyAlignment="1"/>
    <xf numFmtId="170" fontId="30" fillId="0" borderId="37" xfId="4667" applyNumberFormat="1" applyFont="1" applyBorder="1" applyAlignment="1"/>
    <xf numFmtId="174" fontId="30" fillId="0" borderId="0" xfId="4665" applyNumberFormat="1" applyFont="1" applyBorder="1" applyAlignment="1"/>
    <xf numFmtId="237" fontId="30" fillId="0" borderId="0" xfId="4666" applyNumberFormat="1" applyFont="1" applyBorder="1" applyAlignment="1"/>
    <xf numFmtId="174" fontId="30" fillId="0" borderId="38" xfId="4665" applyNumberFormat="1" applyFont="1" applyBorder="1" applyAlignment="1"/>
    <xf numFmtId="172" fontId="30" fillId="80" borderId="37" xfId="4667" applyNumberFormat="1" applyFont="1" applyFill="1" applyBorder="1" applyAlignment="1"/>
    <xf numFmtId="174" fontId="30" fillId="0" borderId="51" xfId="4665" applyNumberFormat="1" applyFont="1" applyBorder="1" applyAlignment="1"/>
    <xf numFmtId="174" fontId="30" fillId="0" borderId="47" xfId="4665" applyNumberFormat="1" applyFont="1" applyBorder="1" applyAlignment="1"/>
    <xf numFmtId="172" fontId="30" fillId="0" borderId="53" xfId="4667" applyNumberFormat="1" applyFont="1" applyBorder="1" applyAlignment="1"/>
    <xf numFmtId="174" fontId="30" fillId="0" borderId="37" xfId="4665" applyNumberFormat="1" applyFont="1" applyBorder="1" applyAlignment="1"/>
    <xf numFmtId="172" fontId="179" fillId="0" borderId="0" xfId="0" applyFont="1" applyAlignment="1">
      <alignment horizontal="center" wrapText="1"/>
    </xf>
    <xf numFmtId="172" fontId="179" fillId="0" borderId="38" xfId="0" applyFont="1" applyBorder="1" applyAlignment="1">
      <alignment horizontal="center" wrapText="1"/>
    </xf>
    <xf numFmtId="172" fontId="179" fillId="0" borderId="53" xfId="0" applyFont="1" applyBorder="1" applyAlignment="1">
      <alignment horizontal="center" wrapText="1"/>
    </xf>
    <xf numFmtId="164" fontId="30" fillId="0" borderId="0" xfId="4597" applyNumberFormat="1" applyFont="1" applyAlignment="1">
      <alignment horizontal="left"/>
    </xf>
    <xf numFmtId="0" fontId="122" fillId="0" borderId="0" xfId="0" applyNumberFormat="1" applyFont="1"/>
    <xf numFmtId="44" fontId="30" fillId="0" borderId="3" xfId="4" applyNumberFormat="1" applyFont="1" applyBorder="1" applyAlignment="1">
      <alignment horizontal="center"/>
    </xf>
    <xf numFmtId="43" fontId="30" fillId="0" borderId="0" xfId="4665" applyFont="1" applyFill="1"/>
    <xf numFmtId="43" fontId="30" fillId="0" borderId="0" xfId="4665" applyFont="1" applyFill="1" applyAlignment="1">
      <alignment horizontal="right"/>
    </xf>
    <xf numFmtId="10" fontId="30" fillId="0" borderId="4" xfId="4665" applyNumberFormat="1" applyFont="1" applyFill="1" applyBorder="1" applyAlignment="1">
      <alignment horizontal="center"/>
    </xf>
    <xf numFmtId="10" fontId="30" fillId="0" borderId="0" xfId="4665" applyNumberFormat="1" applyFont="1" applyFill="1" applyBorder="1" applyAlignment="1">
      <alignment horizontal="center"/>
    </xf>
    <xf numFmtId="174" fontId="179" fillId="0" borderId="37" xfId="190" applyNumberFormat="1" applyFont="1" applyFill="1" applyBorder="1" applyAlignment="1"/>
    <xf numFmtId="174" fontId="179" fillId="0" borderId="0" xfId="190" applyNumberFormat="1" applyFont="1" applyFill="1" applyBorder="1" applyAlignment="1"/>
    <xf numFmtId="44" fontId="179" fillId="0" borderId="37" xfId="1" applyFont="1" applyFill="1" applyBorder="1" applyAlignment="1">
      <alignment horizontal="right"/>
    </xf>
    <xf numFmtId="174" fontId="179" fillId="0" borderId="38" xfId="190" applyNumberFormat="1" applyFont="1" applyFill="1" applyBorder="1" applyAlignment="1"/>
    <xf numFmtId="174" fontId="178" fillId="0" borderId="0" xfId="4665" applyNumberFormat="1" applyFont="1" applyFill="1" applyBorder="1" applyAlignment="1">
      <alignment horizontal="center" vertical="center" wrapText="1"/>
    </xf>
    <xf numFmtId="41" fontId="30" fillId="3" borderId="0" xfId="4598" applyNumberFormat="1" applyFont="1" applyFill="1"/>
    <xf numFmtId="174" fontId="30" fillId="3" borderId="0" xfId="4665" applyNumberFormat="1" applyFont="1" applyFill="1" applyAlignment="1"/>
    <xf numFmtId="3" fontId="165" fillId="3" borderId="0" xfId="0" applyNumberFormat="1" applyFont="1" applyFill="1" applyProtection="1">
      <protection locked="0"/>
    </xf>
    <xf numFmtId="311" fontId="30" fillId="0" borderId="0" xfId="4667" applyNumberFormat="1" applyFont="1" applyFill="1" applyAlignment="1">
      <alignment horizontal="center" vertical="center"/>
    </xf>
    <xf numFmtId="311" fontId="30" fillId="0" borderId="0" xfId="4667" applyNumberFormat="1" applyFont="1" applyFill="1" applyBorder="1" applyAlignment="1">
      <alignment horizontal="center"/>
    </xf>
    <xf numFmtId="311" fontId="30" fillId="0" borderId="37" xfId="4667" applyNumberFormat="1" applyFont="1" applyFill="1" applyBorder="1" applyAlignment="1">
      <alignment horizontal="center"/>
    </xf>
    <xf numFmtId="311" fontId="30" fillId="0" borderId="38" xfId="4667" applyNumberFormat="1" applyFont="1" applyFill="1" applyBorder="1" applyAlignment="1">
      <alignment horizontal="center"/>
    </xf>
    <xf numFmtId="0" fontId="30" fillId="0" borderId="0" xfId="4667" applyNumberFormat="1" applyFont="1" applyFill="1" applyBorder="1" applyAlignment="1">
      <alignment horizontal="center"/>
    </xf>
    <xf numFmtId="0" fontId="30" fillId="0" borderId="38" xfId="4667" applyNumberFormat="1" applyFont="1" applyFill="1" applyBorder="1" applyAlignment="1">
      <alignment horizontal="center"/>
    </xf>
    <xf numFmtId="0" fontId="30" fillId="0" borderId="0" xfId="4667" applyNumberFormat="1" applyFont="1" applyFill="1" applyAlignment="1"/>
    <xf numFmtId="0" fontId="178" fillId="3" borderId="0" xfId="4680" applyFont="1" applyFill="1" applyAlignment="1">
      <alignment horizontal="center"/>
    </xf>
    <xf numFmtId="174" fontId="178" fillId="3" borderId="0" xfId="4684" applyNumberFormat="1" applyFont="1" applyFill="1" applyAlignment="1">
      <alignment horizontal="right" vertical="center" wrapText="1"/>
    </xf>
    <xf numFmtId="173" fontId="165" fillId="3" borderId="0" xfId="1" applyNumberFormat="1" applyFont="1" applyFill="1"/>
    <xf numFmtId="192" fontId="186" fillId="3" borderId="0" xfId="0" applyNumberFormat="1" applyFont="1" applyFill="1" applyAlignment="1">
      <alignment horizontal="center"/>
    </xf>
    <xf numFmtId="0" fontId="30" fillId="0" borderId="4" xfId="4671" applyFont="1" applyBorder="1" applyAlignment="1">
      <alignment horizontal="left"/>
    </xf>
    <xf numFmtId="164" fontId="196" fillId="0" borderId="0" xfId="4597" applyNumberFormat="1" applyFont="1" applyAlignment="1">
      <alignment horizontal="left"/>
    </xf>
    <xf numFmtId="174" fontId="122" fillId="0" borderId="0" xfId="4696" applyNumberFormat="1" applyFont="1" applyFill="1" applyBorder="1" applyAlignment="1">
      <alignment horizontal="center"/>
    </xf>
    <xf numFmtId="174" fontId="122" fillId="0" borderId="0" xfId="4696" applyNumberFormat="1" applyFont="1" applyFill="1" applyBorder="1" applyAlignment="1"/>
    <xf numFmtId="3" fontId="122" fillId="0" borderId="0" xfId="4695" applyNumberFormat="1" applyFont="1"/>
    <xf numFmtId="174" fontId="122" fillId="0" borderId="3" xfId="4696" applyNumberFormat="1" applyFont="1" applyFill="1" applyBorder="1" applyAlignment="1"/>
    <xf numFmtId="164" fontId="122" fillId="0" borderId="0" xfId="4697" applyNumberFormat="1" applyFont="1" applyFill="1"/>
    <xf numFmtId="172" fontId="122" fillId="0" borderId="0" xfId="4695" applyNumberFormat="1" applyFont="1"/>
    <xf numFmtId="3" fontId="30" fillId="0" borderId="0" xfId="4695" applyNumberFormat="1" applyFont="1"/>
    <xf numFmtId="174" fontId="30" fillId="3" borderId="0" xfId="4696" applyNumberFormat="1" applyFont="1" applyFill="1" applyBorder="1" applyAlignment="1">
      <alignment horizontal="center"/>
    </xf>
    <xf numFmtId="174" fontId="30" fillId="0" borderId="3" xfId="4696" applyNumberFormat="1" applyFont="1" applyFill="1" applyBorder="1" applyAlignment="1"/>
    <xf numFmtId="174" fontId="30" fillId="3" borderId="3" xfId="4696" applyNumberFormat="1" applyFont="1" applyFill="1" applyBorder="1" applyAlignment="1">
      <alignment horizontal="center"/>
    </xf>
    <xf numFmtId="174" fontId="30" fillId="3" borderId="3" xfId="4696" applyNumberFormat="1" applyFont="1" applyFill="1" applyBorder="1" applyAlignment="1"/>
    <xf numFmtId="3" fontId="30" fillId="3" borderId="3" xfId="4695" applyNumberFormat="1" applyFont="1" applyFill="1" applyBorder="1" applyAlignment="1">
      <alignment horizontal="right"/>
    </xf>
    <xf numFmtId="3" fontId="30" fillId="3" borderId="0" xfId="4695" applyNumberFormat="1" applyFont="1" applyFill="1" applyAlignment="1">
      <alignment horizontal="right"/>
    </xf>
    <xf numFmtId="3" fontId="30" fillId="3" borderId="0" xfId="4695" applyNumberFormat="1" applyFont="1" applyFill="1"/>
    <xf numFmtId="174" fontId="30" fillId="0" borderId="0" xfId="4696" applyNumberFormat="1" applyFont="1" applyFill="1" applyBorder="1" applyAlignment="1"/>
    <xf numFmtId="3" fontId="30" fillId="0" borderId="0" xfId="4695" applyNumberFormat="1" applyFont="1" applyAlignment="1">
      <alignment horizontal="center"/>
    </xf>
    <xf numFmtId="174" fontId="30" fillId="3" borderId="0" xfId="4696" applyNumberFormat="1" applyFont="1" applyFill="1" applyAlignment="1"/>
    <xf numFmtId="3" fontId="30" fillId="3" borderId="0" xfId="4695" quotePrefix="1" applyNumberFormat="1" applyFont="1" applyFill="1" applyAlignment="1">
      <alignment horizontal="right"/>
    </xf>
    <xf numFmtId="174" fontId="122" fillId="0" borderId="4" xfId="4696" applyNumberFormat="1" applyFont="1" applyFill="1" applyBorder="1" applyAlignment="1"/>
    <xf numFmtId="164" fontId="30" fillId="3" borderId="3" xfId="4697" applyNumberFormat="1" applyFont="1" applyFill="1" applyBorder="1" applyAlignment="1">
      <alignment horizontal="center"/>
    </xf>
    <xf numFmtId="3" fontId="30" fillId="0" borderId="0" xfId="4698" applyNumberFormat="1" applyFont="1"/>
    <xf numFmtId="174" fontId="30" fillId="0" borderId="0" xfId="4696" applyNumberFormat="1" applyFont="1" applyFill="1" applyBorder="1" applyAlignment="1">
      <alignment horizontal="center"/>
    </xf>
    <xf numFmtId="172" fontId="122" fillId="0" borderId="0" xfId="4695" applyNumberFormat="1" applyFont="1" applyAlignment="1">
      <alignment horizontal="center" wrapText="1"/>
    </xf>
    <xf numFmtId="172" fontId="122" fillId="0" borderId="0" xfId="4695" applyNumberFormat="1" applyFont="1" applyAlignment="1">
      <alignment horizontal="center"/>
    </xf>
    <xf numFmtId="172" fontId="122" fillId="0" borderId="17" xfId="4695" applyNumberFormat="1" applyFont="1" applyBorder="1" applyAlignment="1">
      <alignment horizontal="center" wrapText="1"/>
    </xf>
    <xf numFmtId="172" fontId="122" fillId="0" borderId="17" xfId="4695" applyNumberFormat="1" applyFont="1" applyBorder="1"/>
    <xf numFmtId="172" fontId="30" fillId="0" borderId="0" xfId="4695" applyNumberFormat="1" applyFont="1"/>
    <xf numFmtId="172" fontId="30" fillId="0" borderId="0" xfId="4695" applyNumberFormat="1" applyFont="1" applyAlignment="1">
      <alignment horizontal="center"/>
    </xf>
    <xf numFmtId="192" fontId="122" fillId="0" borderId="0" xfId="4695" applyNumberFormat="1" applyFont="1" applyAlignment="1">
      <alignment horizontal="center"/>
    </xf>
    <xf numFmtId="192" fontId="122" fillId="0" borderId="0" xfId="4695" quotePrefix="1" applyNumberFormat="1" applyFont="1" applyAlignment="1">
      <alignment horizontal="center"/>
    </xf>
    <xf numFmtId="164" fontId="30" fillId="0" borderId="0" xfId="4697" applyNumberFormat="1" applyFont="1" applyAlignment="1">
      <alignment horizontal="center"/>
    </xf>
    <xf numFmtId="172" fontId="122" fillId="0" borderId="0" xfId="4695" applyNumberFormat="1" applyFont="1" applyAlignment="1">
      <alignment horizontal="right"/>
    </xf>
    <xf numFmtId="192" fontId="122" fillId="3" borderId="0" xfId="4695" applyNumberFormat="1" applyFont="1" applyFill="1" applyAlignment="1">
      <alignment horizontal="center"/>
    </xf>
    <xf numFmtId="192" fontId="122" fillId="3" borderId="0" xfId="4695" quotePrefix="1" applyNumberFormat="1" applyFont="1" applyFill="1" applyAlignment="1">
      <alignment horizontal="center"/>
    </xf>
    <xf numFmtId="164" fontId="122" fillId="0" borderId="0" xfId="4697" applyNumberFormat="1" applyFont="1" applyFill="1" applyAlignment="1">
      <alignment horizontal="center"/>
    </xf>
    <xf numFmtId="43" fontId="198" fillId="0" borderId="0" xfId="4696" applyFont="1" applyAlignment="1">
      <alignment horizontal="left" vertical="top"/>
    </xf>
    <xf numFmtId="44" fontId="30" fillId="0" borderId="0" xfId="1" applyFont="1" applyFill="1" applyAlignment="1" applyProtection="1">
      <protection locked="0"/>
    </xf>
    <xf numFmtId="312" fontId="30" fillId="0" borderId="0" xfId="1" applyNumberFormat="1" applyFont="1" applyFill="1" applyAlignment="1" applyProtection="1">
      <protection locked="0"/>
    </xf>
    <xf numFmtId="192" fontId="30" fillId="3" borderId="0" xfId="4667" quotePrefix="1" applyNumberFormat="1" applyFont="1" applyFill="1" applyAlignment="1">
      <alignment horizontal="left"/>
    </xf>
    <xf numFmtId="10" fontId="30" fillId="0" borderId="3" xfId="4" applyNumberFormat="1" applyFont="1" applyBorder="1"/>
    <xf numFmtId="10" fontId="30" fillId="0" borderId="3" xfId="4665" applyNumberFormat="1" applyFont="1" applyFill="1" applyBorder="1" applyAlignment="1">
      <alignment horizontal="center"/>
    </xf>
    <xf numFmtId="0" fontId="179" fillId="3" borderId="0" xfId="4155" applyNumberFormat="1" applyFont="1" applyFill="1" applyAlignment="1">
      <alignment horizontal="center"/>
    </xf>
    <xf numFmtId="192" fontId="30" fillId="78" borderId="0" xfId="1" applyNumberFormat="1" applyFont="1" applyFill="1" applyAlignment="1" applyProtection="1">
      <alignment horizontal="left"/>
      <protection locked="0"/>
    </xf>
    <xf numFmtId="37" fontId="165" fillId="3" borderId="0" xfId="0" applyNumberFormat="1" applyFont="1" applyFill="1"/>
    <xf numFmtId="0" fontId="30" fillId="0" borderId="1" xfId="0" applyNumberFormat="1" applyFont="1" applyBorder="1" applyAlignment="1" applyProtection="1">
      <alignment wrapText="1"/>
      <protection locked="0"/>
    </xf>
    <xf numFmtId="172" fontId="199" fillId="0" borderId="0" xfId="0" applyFont="1" applyProtection="1">
      <protection locked="0"/>
    </xf>
    <xf numFmtId="0" fontId="199" fillId="0" borderId="0" xfId="4" applyFont="1"/>
    <xf numFmtId="0" fontId="122" fillId="0" borderId="0" xfId="4155" applyNumberFormat="1" applyFont="1" applyProtection="1">
      <protection locked="0"/>
    </xf>
    <xf numFmtId="0" fontId="30" fillId="0" borderId="0" xfId="123" applyFont="1" applyAlignment="1">
      <alignment horizontal="center"/>
    </xf>
    <xf numFmtId="0" fontId="30" fillId="0" borderId="0" xfId="123" applyFont="1"/>
    <xf numFmtId="0" fontId="187" fillId="0" borderId="0" xfId="123" applyFont="1"/>
    <xf numFmtId="41" fontId="178" fillId="0" borderId="0" xfId="4690" applyNumberFormat="1" applyFont="1"/>
    <xf numFmtId="171" fontId="30" fillId="3" borderId="0" xfId="4695" quotePrefix="1" applyNumberFormat="1" applyFont="1" applyFill="1" applyAlignment="1">
      <alignment horizontal="right"/>
    </xf>
    <xf numFmtId="173" fontId="30" fillId="78" borderId="0" xfId="1" applyNumberFormat="1" applyFont="1" applyFill="1" applyBorder="1" applyAlignment="1" applyProtection="1">
      <protection locked="0"/>
    </xf>
    <xf numFmtId="173" fontId="30" fillId="78" borderId="38" xfId="1" applyNumberFormat="1" applyFont="1" applyFill="1" applyBorder="1" applyAlignment="1" applyProtection="1">
      <protection locked="0"/>
    </xf>
    <xf numFmtId="271" fontId="30" fillId="75" borderId="0" xfId="4665" applyNumberFormat="1" applyFont="1" applyFill="1" applyAlignment="1"/>
    <xf numFmtId="3" fontId="122" fillId="0" borderId="0" xfId="4695" applyNumberFormat="1" applyFont="1" applyAlignment="1">
      <alignment wrapText="1"/>
    </xf>
    <xf numFmtId="0" fontId="30" fillId="0" borderId="0" xfId="4" applyFont="1" applyAlignment="1">
      <alignment vertical="top" wrapText="1"/>
    </xf>
    <xf numFmtId="3" fontId="30" fillId="0" borderId="1" xfId="4695" applyNumberFormat="1" applyFont="1" applyBorder="1" applyAlignment="1">
      <alignment horizontal="center"/>
    </xf>
    <xf numFmtId="0" fontId="200" fillId="0" borderId="0" xfId="4690" applyFont="1"/>
    <xf numFmtId="0" fontId="197" fillId="0" borderId="0" xfId="4695" applyFont="1"/>
    <xf numFmtId="0" fontId="178" fillId="0" borderId="0" xfId="4695" applyFont="1"/>
    <xf numFmtId="43" fontId="201" fillId="0" borderId="0" xfId="4696" applyFont="1" applyFill="1" applyBorder="1" applyAlignment="1">
      <alignment horizontal="left"/>
    </xf>
    <xf numFmtId="43" fontId="201" fillId="0" borderId="3" xfId="4696" applyFont="1" applyFill="1" applyBorder="1" applyAlignment="1">
      <alignment horizontal="left"/>
    </xf>
    <xf numFmtId="0" fontId="38" fillId="0" borderId="0" xfId="4695" applyFont="1" applyAlignment="1">
      <alignment wrapText="1"/>
    </xf>
    <xf numFmtId="0" fontId="197" fillId="0" borderId="0" xfId="4695" applyFont="1" applyAlignment="1">
      <alignment wrapText="1"/>
    </xf>
    <xf numFmtId="0" fontId="197" fillId="0" borderId="0" xfId="4695" applyFont="1" applyAlignment="1">
      <alignment vertical="top" wrapText="1"/>
    </xf>
    <xf numFmtId="0" fontId="198" fillId="0" borderId="0" xfId="4698" applyAlignment="1">
      <alignment horizontal="left" vertical="top"/>
    </xf>
    <xf numFmtId="0" fontId="198" fillId="0" borderId="0" xfId="4698" applyAlignment="1">
      <alignment horizontal="center" vertical="top"/>
    </xf>
    <xf numFmtId="0" fontId="198" fillId="0" borderId="0" xfId="4698" applyAlignment="1">
      <alignment vertical="top" wrapText="1"/>
    </xf>
    <xf numFmtId="0" fontId="198" fillId="0" borderId="0" xfId="4698" applyAlignment="1">
      <alignment horizontal="center" wrapText="1"/>
    </xf>
    <xf numFmtId="0" fontId="198" fillId="0" borderId="0" xfId="4698" applyAlignment="1">
      <alignment wrapText="1"/>
    </xf>
    <xf numFmtId="0" fontId="198" fillId="0" borderId="0" xfId="4698" applyAlignment="1">
      <alignment horizontal="left" wrapText="1"/>
    </xf>
    <xf numFmtId="0" fontId="198" fillId="0" borderId="0" xfId="4698" applyAlignment="1">
      <alignment vertical="center" wrapText="1"/>
    </xf>
    <xf numFmtId="0" fontId="198" fillId="0" borderId="60" xfId="4698" applyBorder="1" applyAlignment="1">
      <alignment vertical="center" wrapText="1"/>
    </xf>
    <xf numFmtId="0" fontId="198" fillId="0" borderId="0" xfId="4698" applyAlignment="1">
      <alignment horizontal="left" vertical="center"/>
    </xf>
    <xf numFmtId="0" fontId="198" fillId="0" borderId="61" xfId="4698" applyBorder="1" applyAlignment="1">
      <alignment horizontal="left" wrapText="1"/>
    </xf>
    <xf numFmtId="0" fontId="198" fillId="0" borderId="0" xfId="4698" applyAlignment="1">
      <alignment horizontal="left" vertical="center" wrapText="1"/>
    </xf>
    <xf numFmtId="174" fontId="198" fillId="0" borderId="0" xfId="4696" applyNumberFormat="1" applyFont="1" applyAlignment="1">
      <alignment vertical="center" wrapText="1"/>
    </xf>
    <xf numFmtId="174" fontId="198" fillId="0" borderId="0" xfId="4698" applyNumberFormat="1" applyAlignment="1">
      <alignment horizontal="left" vertical="top"/>
    </xf>
    <xf numFmtId="174" fontId="198" fillId="0" borderId="0" xfId="4696" applyNumberFormat="1" applyFont="1" applyBorder="1" applyAlignment="1">
      <alignment horizontal="left" vertical="top"/>
    </xf>
    <xf numFmtId="174" fontId="198" fillId="0" borderId="0" xfId="4696" applyNumberFormat="1" applyFont="1" applyBorder="1" applyAlignment="1">
      <alignment vertical="center" wrapText="1"/>
    </xf>
    <xf numFmtId="174" fontId="198" fillId="0" borderId="59" xfId="4696" applyNumberFormat="1" applyFont="1" applyBorder="1" applyAlignment="1">
      <alignment wrapText="1"/>
    </xf>
    <xf numFmtId="0" fontId="122" fillId="0" borderId="0" xfId="4698" applyFont="1" applyAlignment="1">
      <alignment vertical="top" wrapText="1"/>
    </xf>
    <xf numFmtId="0" fontId="122" fillId="0" borderId="0" xfId="4698" applyFont="1" applyAlignment="1">
      <alignment horizontal="center" vertical="center" wrapText="1"/>
    </xf>
    <xf numFmtId="0" fontId="122" fillId="0" borderId="63" xfId="4698" applyFont="1" applyBorder="1" applyAlignment="1">
      <alignment horizontal="center" vertical="center" wrapText="1"/>
    </xf>
    <xf numFmtId="0" fontId="202" fillId="0" borderId="35" xfId="4698" quotePrefix="1" applyFont="1" applyBorder="1" applyAlignment="1">
      <alignment horizontal="center" vertical="center" wrapText="1"/>
    </xf>
    <xf numFmtId="0" fontId="122" fillId="0" borderId="35" xfId="4698" quotePrefix="1" applyFont="1" applyBorder="1" applyAlignment="1">
      <alignment horizontal="center" vertical="center"/>
    </xf>
    <xf numFmtId="1" fontId="202" fillId="0" borderId="0" xfId="4698" applyNumberFormat="1" applyFont="1" applyAlignment="1">
      <alignment horizontal="center" vertical="top" shrinkToFit="1"/>
    </xf>
    <xf numFmtId="0" fontId="184" fillId="0" borderId="0" xfId="4698" applyFont="1" applyAlignment="1">
      <alignment vertical="top" wrapText="1"/>
    </xf>
    <xf numFmtId="0" fontId="30" fillId="0" borderId="0" xfId="4698" applyFont="1" applyAlignment="1">
      <alignment vertical="center" wrapText="1"/>
    </xf>
    <xf numFmtId="174" fontId="198" fillId="0" borderId="0" xfId="4696" applyNumberFormat="1" applyFont="1" applyAlignment="1">
      <alignment vertical="top" shrinkToFit="1"/>
    </xf>
    <xf numFmtId="174" fontId="198" fillId="0" borderId="0" xfId="4696" applyNumberFormat="1" applyFont="1" applyAlignment="1">
      <alignment horizontal="left" vertical="top"/>
    </xf>
    <xf numFmtId="174" fontId="198" fillId="0" borderId="0" xfId="4696" applyNumberFormat="1" applyFont="1" applyBorder="1" applyAlignment="1">
      <alignment vertical="top" shrinkToFit="1"/>
    </xf>
    <xf numFmtId="174" fontId="198" fillId="0" borderId="3" xfId="4696" applyNumberFormat="1" applyFont="1" applyBorder="1" applyAlignment="1">
      <alignment vertical="top" shrinkToFit="1"/>
    </xf>
    <xf numFmtId="174" fontId="198" fillId="0" borderId="3" xfId="4696" applyNumberFormat="1" applyFont="1" applyBorder="1" applyAlignment="1">
      <alignment horizontal="left" vertical="top"/>
    </xf>
    <xf numFmtId="174" fontId="198" fillId="0" borderId="3" xfId="4698" applyNumberFormat="1" applyBorder="1" applyAlignment="1">
      <alignment horizontal="left" vertical="top"/>
    </xf>
    <xf numFmtId="174" fontId="198" fillId="0" borderId="2" xfId="4696" applyNumberFormat="1" applyFont="1" applyBorder="1" applyAlignment="1">
      <alignment vertical="top" shrinkToFit="1"/>
    </xf>
    <xf numFmtId="0" fontId="122" fillId="0" borderId="0" xfId="4698" applyFont="1" applyAlignment="1">
      <alignment horizontal="left" vertical="top" wrapText="1"/>
    </xf>
    <xf numFmtId="1" fontId="202" fillId="0" borderId="0" xfId="4698" applyNumberFormat="1" applyFont="1" applyAlignment="1">
      <alignment horizontal="center" vertical="center" shrinkToFit="1"/>
    </xf>
    <xf numFmtId="0" fontId="184" fillId="0" borderId="0" xfId="4698" applyFont="1" applyAlignment="1">
      <alignment vertical="center" wrapText="1"/>
    </xf>
    <xf numFmtId="0" fontId="122" fillId="0" borderId="0" xfId="4698" applyFont="1" applyAlignment="1">
      <alignment vertical="center" wrapText="1"/>
    </xf>
    <xf numFmtId="174" fontId="198" fillId="0" borderId="0" xfId="4696" applyNumberFormat="1" applyFont="1" applyFill="1" applyAlignment="1">
      <alignment horizontal="left" vertical="top"/>
    </xf>
    <xf numFmtId="174" fontId="198" fillId="0" borderId="59" xfId="4696" applyNumberFormat="1" applyFont="1" applyBorder="1" applyAlignment="1">
      <alignment vertical="top" shrinkToFit="1"/>
    </xf>
    <xf numFmtId="174" fontId="198" fillId="0" borderId="60" xfId="4696" applyNumberFormat="1" applyFont="1" applyBorder="1" applyAlignment="1">
      <alignment vertical="top" shrinkToFit="1"/>
    </xf>
    <xf numFmtId="174" fontId="198" fillId="0" borderId="59" xfId="4696" applyNumberFormat="1" applyFont="1" applyFill="1" applyBorder="1" applyAlignment="1">
      <alignment vertical="top" shrinkToFit="1"/>
    </xf>
    <xf numFmtId="174" fontId="187" fillId="0" borderId="0" xfId="4698" applyNumberFormat="1" applyFont="1" applyAlignment="1">
      <alignment horizontal="left" vertical="top"/>
    </xf>
    <xf numFmtId="39" fontId="178" fillId="0" borderId="0" xfId="4695" applyNumberFormat="1" applyFont="1"/>
    <xf numFmtId="0" fontId="30" fillId="0" borderId="0" xfId="4698" applyFont="1" applyAlignment="1">
      <alignment horizontal="center" vertical="top" wrapText="1"/>
    </xf>
    <xf numFmtId="0" fontId="197" fillId="0" borderId="0" xfId="4695" applyFont="1" applyAlignment="1">
      <alignment vertical="top"/>
    </xf>
    <xf numFmtId="14" fontId="30" fillId="0" borderId="0" xfId="0" applyNumberFormat="1" applyFont="1" applyAlignment="1" applyProtection="1">
      <alignment vertical="top" wrapText="1"/>
      <protection locked="0"/>
    </xf>
    <xf numFmtId="14" fontId="30" fillId="0" borderId="0" xfId="0" applyNumberFormat="1" applyFont="1" applyAlignment="1" applyProtection="1">
      <alignment horizontal="center" vertical="top"/>
      <protection locked="0"/>
    </xf>
    <xf numFmtId="271" fontId="30" fillId="0" borderId="0" xfId="4665" applyNumberFormat="1" applyFont="1" applyFill="1" applyAlignment="1" applyProtection="1">
      <alignment vertical="top"/>
      <protection locked="0"/>
    </xf>
    <xf numFmtId="173" fontId="30" fillId="0" borderId="0" xfId="1" applyNumberFormat="1" applyFont="1" applyFill="1" applyAlignment="1" applyProtection="1">
      <alignment vertical="top"/>
      <protection locked="0"/>
    </xf>
    <xf numFmtId="174" fontId="30" fillId="0" borderId="0" xfId="4665" applyNumberFormat="1" applyFont="1" applyFill="1" applyAlignment="1" applyProtection="1">
      <alignment vertical="top"/>
      <protection locked="0"/>
    </xf>
    <xf numFmtId="41" fontId="165" fillId="3" borderId="0" xfId="0" applyNumberFormat="1" applyFont="1" applyFill="1" applyProtection="1">
      <protection locked="0"/>
    </xf>
    <xf numFmtId="172" fontId="30" fillId="0" borderId="0" xfId="4667" applyNumberFormat="1" applyFont="1" applyAlignment="1">
      <alignment horizontal="center"/>
    </xf>
    <xf numFmtId="164" fontId="178" fillId="0" borderId="0" xfId="4697" applyNumberFormat="1" applyFont="1" applyFill="1" applyBorder="1" applyAlignment="1">
      <alignment horizontal="center"/>
    </xf>
    <xf numFmtId="0" fontId="30" fillId="0" borderId="0" xfId="0" applyNumberFormat="1" applyFont="1" applyAlignment="1" applyProtection="1">
      <alignment vertical="top"/>
      <protection locked="0"/>
    </xf>
    <xf numFmtId="9" fontId="30" fillId="0" borderId="0" xfId="0" applyNumberFormat="1" applyFont="1" applyAlignment="1" applyProtection="1">
      <alignment vertical="top"/>
    </xf>
    <xf numFmtId="169" fontId="30" fillId="0" borderId="0" xfId="0" applyNumberFormat="1" applyFont="1" applyAlignment="1" applyProtection="1">
      <alignment vertical="top"/>
      <protection locked="0"/>
    </xf>
    <xf numFmtId="169" fontId="30" fillId="0" borderId="0" xfId="0" applyNumberFormat="1" applyFont="1" applyAlignment="1" applyProtection="1">
      <alignment vertical="top"/>
    </xf>
    <xf numFmtId="172" fontId="30" fillId="0" borderId="0" xfId="0" applyFont="1" applyAlignment="1" applyProtection="1">
      <alignment vertical="top"/>
      <protection locked="0"/>
    </xf>
    <xf numFmtId="3" fontId="30" fillId="0" borderId="0" xfId="0" quotePrefix="1" applyNumberFormat="1" applyFont="1" applyAlignment="1" applyProtection="1">
      <alignment vertical="top"/>
      <protection locked="0"/>
    </xf>
    <xf numFmtId="172" fontId="204" fillId="0" borderId="0" xfId="0" applyFont="1" applyProtection="1"/>
    <xf numFmtId="172" fontId="204" fillId="0" borderId="0" xfId="0" applyFont="1"/>
    <xf numFmtId="172" fontId="204" fillId="0" borderId="0" xfId="0" quotePrefix="1" applyFont="1" applyAlignment="1">
      <alignment horizontal="center"/>
    </xf>
    <xf numFmtId="3" fontId="178" fillId="0" borderId="0" xfId="4597" applyNumberFormat="1" applyFont="1" applyAlignment="1">
      <alignment horizontal="left"/>
    </xf>
    <xf numFmtId="0" fontId="30" fillId="0" borderId="0" xfId="4698" applyFont="1" applyAlignment="1">
      <alignment horizontal="left" vertical="top" wrapText="1"/>
    </xf>
    <xf numFmtId="174" fontId="30" fillId="75" borderId="1" xfId="4665" applyNumberFormat="1" applyFont="1" applyFill="1" applyBorder="1" applyAlignment="1"/>
    <xf numFmtId="174" fontId="30" fillId="3" borderId="0" xfId="190" applyNumberFormat="1" applyFont="1" applyFill="1" applyAlignment="1"/>
    <xf numFmtId="0" fontId="30" fillId="0" borderId="0" xfId="4597" applyNumberFormat="1" applyFont="1" applyAlignment="1">
      <alignment wrapText="1"/>
    </xf>
    <xf numFmtId="0" fontId="38" fillId="0" borderId="0" xfId="4695" applyFont="1"/>
    <xf numFmtId="164" fontId="122" fillId="0" borderId="0" xfId="3" applyNumberFormat="1" applyFont="1" applyFill="1" applyBorder="1" applyAlignment="1">
      <alignment horizontal="center"/>
    </xf>
    <xf numFmtId="0" fontId="122" fillId="3" borderId="0" xfId="4698" applyFont="1" applyFill="1" applyAlignment="1">
      <alignment horizontal="center" vertical="top" wrapText="1"/>
    </xf>
    <xf numFmtId="10" fontId="198" fillId="3" borderId="0" xfId="4698" applyNumberFormat="1" applyFill="1" applyAlignment="1">
      <alignment horizontal="center" vertical="top" shrinkToFit="1"/>
    </xf>
    <xf numFmtId="10" fontId="198" fillId="3" borderId="0" xfId="4697" applyNumberFormat="1" applyFont="1" applyFill="1" applyAlignment="1">
      <alignment horizontal="center" vertical="top"/>
    </xf>
    <xf numFmtId="0" fontId="122" fillId="0" borderId="62" xfId="4698" applyFont="1" applyBorder="1" applyAlignment="1">
      <alignment horizontal="center" vertical="center" wrapText="1"/>
    </xf>
    <xf numFmtId="0" fontId="202" fillId="0" borderId="35" xfId="4698" applyFont="1" applyBorder="1" applyAlignment="1">
      <alignment horizontal="center" vertical="center" wrapText="1"/>
    </xf>
    <xf numFmtId="1" fontId="198" fillId="3" borderId="0" xfId="4698" applyNumberFormat="1" applyFill="1" applyAlignment="1">
      <alignment vertical="top" shrinkToFit="1"/>
    </xf>
    <xf numFmtId="174" fontId="198" fillId="3" borderId="0" xfId="4696" applyNumberFormat="1" applyFont="1" applyFill="1" applyAlignment="1">
      <alignment vertical="top" shrinkToFit="1"/>
    </xf>
    <xf numFmtId="174" fontId="198" fillId="3" borderId="0" xfId="4696" applyNumberFormat="1" applyFont="1" applyFill="1" applyBorder="1" applyAlignment="1">
      <alignment vertical="top" shrinkToFit="1"/>
    </xf>
    <xf numFmtId="0" fontId="198" fillId="3" borderId="0" xfId="4698" applyFill="1" applyAlignment="1">
      <alignment wrapText="1"/>
    </xf>
    <xf numFmtId="174" fontId="198" fillId="3" borderId="3" xfId="4696" applyNumberFormat="1" applyFont="1" applyFill="1" applyBorder="1" applyAlignment="1">
      <alignment wrapText="1"/>
    </xf>
    <xf numFmtId="174" fontId="198" fillId="3" borderId="3" xfId="4696" applyNumberFormat="1" applyFont="1" applyFill="1" applyBorder="1" applyAlignment="1">
      <alignment vertical="top" shrinkToFit="1"/>
    </xf>
    <xf numFmtId="0" fontId="30" fillId="3" borderId="0" xfId="4698" applyFont="1" applyFill="1" applyAlignment="1">
      <alignment vertical="top" wrapText="1"/>
    </xf>
    <xf numFmtId="174" fontId="30" fillId="3" borderId="0" xfId="4696" applyNumberFormat="1" applyFont="1" applyFill="1" applyAlignment="1">
      <alignment vertical="top" wrapText="1"/>
    </xf>
    <xf numFmtId="173" fontId="30" fillId="81" borderId="0" xfId="1" applyNumberFormat="1" applyFont="1" applyFill="1" applyAlignment="1" applyProtection="1">
      <alignment vertical="top"/>
      <protection locked="0"/>
    </xf>
    <xf numFmtId="174" fontId="30" fillId="81" borderId="0" xfId="4665" applyNumberFormat="1" applyFont="1" applyFill="1" applyAlignment="1" applyProtection="1">
      <alignment vertical="top"/>
      <protection locked="0"/>
    </xf>
    <xf numFmtId="0" fontId="132" fillId="0" borderId="0" xfId="4698" applyFont="1" applyAlignment="1">
      <alignment vertical="top" wrapText="1"/>
    </xf>
    <xf numFmtId="0" fontId="72" fillId="0" borderId="0" xfId="4698" applyFont="1" applyAlignment="1">
      <alignment vertical="center" wrapText="1"/>
    </xf>
    <xf numFmtId="0" fontId="194" fillId="0" borderId="0" xfId="4598" applyFont="1" applyAlignment="1">
      <alignment horizontal="center" wrapText="1"/>
    </xf>
    <xf numFmtId="0" fontId="178" fillId="0" borderId="0" xfId="123" applyFont="1" applyAlignment="1">
      <alignment horizontal="center"/>
    </xf>
    <xf numFmtId="0" fontId="178" fillId="0" borderId="0" xfId="123" applyFont="1"/>
    <xf numFmtId="172" fontId="178" fillId="0" borderId="0" xfId="0" applyFont="1"/>
    <xf numFmtId="0" fontId="194" fillId="0" borderId="0" xfId="4598" applyFont="1" applyAlignment="1">
      <alignment horizontal="center"/>
    </xf>
    <xf numFmtId="0" fontId="178" fillId="0" borderId="0" xfId="4598" applyFont="1" applyAlignment="1">
      <alignment horizontal="left"/>
    </xf>
    <xf numFmtId="0" fontId="178" fillId="0" borderId="0" xfId="4598" applyFont="1"/>
    <xf numFmtId="41" fontId="178" fillId="2" borderId="0" xfId="4598" applyNumberFormat="1" applyFont="1" applyFill="1"/>
    <xf numFmtId="174" fontId="178" fillId="0" borderId="14" xfId="190" applyNumberFormat="1" applyFont="1" applyBorder="1"/>
    <xf numFmtId="0" fontId="203" fillId="0" borderId="0" xfId="4690" applyFont="1"/>
    <xf numFmtId="0" fontId="205" fillId="0" borderId="0" xfId="4690" applyFont="1"/>
    <xf numFmtId="164" fontId="30" fillId="75" borderId="0" xfId="4666" applyNumberFormat="1" applyFont="1" applyFill="1" applyAlignment="1"/>
    <xf numFmtId="305" fontId="30" fillId="75" borderId="0" xfId="4665" applyNumberFormat="1" applyFont="1" applyFill="1" applyAlignment="1"/>
    <xf numFmtId="0" fontId="178" fillId="0" borderId="0" xfId="0" applyNumberFormat="1" applyFont="1" applyAlignment="1" applyProtection="1">
      <alignment horizontal="center"/>
      <protection locked="0"/>
    </xf>
    <xf numFmtId="0" fontId="178" fillId="0" borderId="0" xfId="0" applyNumberFormat="1" applyFont="1" applyProtection="1">
      <protection locked="0"/>
    </xf>
    <xf numFmtId="3" fontId="178" fillId="0" borderId="0" xfId="4228" applyNumberFormat="1" applyFont="1"/>
    <xf numFmtId="3" fontId="178" fillId="0" borderId="4" xfId="4597" applyNumberFormat="1" applyFont="1" applyBorder="1"/>
    <xf numFmtId="41" fontId="178" fillId="78" borderId="0" xfId="1" applyNumberFormat="1" applyFont="1" applyFill="1" applyAlignment="1" applyProtection="1">
      <protection locked="0"/>
    </xf>
    <xf numFmtId="3" fontId="178" fillId="0" borderId="0" xfId="0" applyNumberFormat="1" applyFont="1" applyProtection="1">
      <protection locked="0"/>
    </xf>
    <xf numFmtId="165" fontId="178" fillId="0" borderId="0" xfId="0" applyNumberFormat="1" applyFont="1" applyProtection="1"/>
    <xf numFmtId="174" fontId="178" fillId="0" borderId="0" xfId="190" applyNumberFormat="1" applyFont="1" applyFill="1" applyAlignment="1"/>
    <xf numFmtId="174" fontId="178" fillId="0" borderId="4" xfId="190" applyNumberFormat="1" applyFont="1" applyFill="1" applyBorder="1" applyAlignment="1"/>
    <xf numFmtId="0" fontId="178" fillId="0" borderId="0" xfId="0" applyNumberFormat="1" applyFont="1" applyProtection="1"/>
    <xf numFmtId="3" fontId="178" fillId="0" borderId="0" xfId="0" applyNumberFormat="1" applyFont="1" applyProtection="1"/>
    <xf numFmtId="41" fontId="178" fillId="78" borderId="4" xfId="1" applyNumberFormat="1" applyFont="1" applyFill="1" applyBorder="1" applyAlignment="1" applyProtection="1">
      <protection locked="0"/>
    </xf>
    <xf numFmtId="3" fontId="178" fillId="0" borderId="0" xfId="4597" applyNumberFormat="1" applyFont="1"/>
    <xf numFmtId="41" fontId="178" fillId="0" borderId="0" xfId="1" applyNumberFormat="1" applyFont="1" applyFill="1" applyAlignment="1" applyProtection="1">
      <protection locked="0"/>
    </xf>
    <xf numFmtId="41" fontId="178" fillId="0" borderId="4" xfId="1" applyNumberFormat="1" applyFont="1" applyFill="1" applyBorder="1" applyAlignment="1" applyProtection="1">
      <protection locked="0"/>
    </xf>
    <xf numFmtId="172" fontId="178" fillId="0" borderId="0" xfId="0" applyFont="1" applyProtection="1">
      <protection locked="0"/>
    </xf>
    <xf numFmtId="271" fontId="30" fillId="75" borderId="38" xfId="4665" applyNumberFormat="1" applyFont="1" applyFill="1" applyBorder="1" applyAlignment="1"/>
    <xf numFmtId="173" fontId="30" fillId="0" borderId="38" xfId="1" applyNumberFormat="1" applyFont="1" applyFill="1" applyBorder="1" applyAlignment="1" applyProtection="1">
      <protection locked="0"/>
    </xf>
    <xf numFmtId="172" fontId="30" fillId="0" borderId="27" xfId="0" applyFont="1" applyBorder="1"/>
    <xf numFmtId="0" fontId="30" fillId="0" borderId="27" xfId="4471" applyFont="1" applyBorder="1"/>
    <xf numFmtId="0" fontId="30" fillId="0" borderId="4" xfId="4157" applyFont="1" applyBorder="1"/>
    <xf numFmtId="174" fontId="30" fillId="0" borderId="4" xfId="190" applyNumberFormat="1" applyFont="1" applyFill="1" applyBorder="1" applyAlignment="1">
      <alignment horizontal="center" wrapText="1"/>
    </xf>
    <xf numFmtId="172" fontId="30" fillId="0" borderId="0" xfId="4667" applyNumberFormat="1" applyFont="1" applyBorder="1" applyAlignment="1">
      <alignment wrapText="1"/>
    </xf>
    <xf numFmtId="172" fontId="30" fillId="0" borderId="37" xfId="4667" applyNumberFormat="1" applyFont="1" applyBorder="1" applyAlignment="1">
      <alignment horizontal="center" vertical="top" wrapText="1"/>
    </xf>
    <xf numFmtId="174" fontId="179" fillId="0" borderId="53" xfId="190" applyNumberFormat="1" applyFont="1" applyBorder="1" applyAlignment="1">
      <alignment horizontal="center" vertical="center"/>
    </xf>
    <xf numFmtId="44" fontId="179" fillId="0" borderId="52" xfId="1" applyFont="1" applyBorder="1" applyAlignment="1">
      <alignment horizontal="center" vertical="center"/>
    </xf>
    <xf numFmtId="173" fontId="179" fillId="0" borderId="53" xfId="1" applyNumberFormat="1" applyFont="1" applyBorder="1" applyAlignment="1">
      <alignment horizontal="center" vertical="center"/>
    </xf>
    <xf numFmtId="174" fontId="179" fillId="0" borderId="3" xfId="190" applyNumberFormat="1" applyFont="1" applyBorder="1" applyAlignment="1">
      <alignment horizontal="center" vertical="center" wrapText="1"/>
    </xf>
    <xf numFmtId="0" fontId="30" fillId="0" borderId="0" xfId="4690" applyFont="1" applyAlignment="1">
      <alignment horizontal="center" vertical="center" wrapText="1"/>
    </xf>
    <xf numFmtId="0" fontId="30" fillId="0" borderId="0" xfId="4690" applyFont="1"/>
    <xf numFmtId="3" fontId="30" fillId="0" borderId="0" xfId="122" applyNumberFormat="1" applyFont="1" applyAlignment="1">
      <alignment horizontal="center"/>
    </xf>
    <xf numFmtId="37" fontId="165" fillId="3" borderId="0" xfId="122" applyNumberFormat="1" applyFont="1" applyFill="1"/>
    <xf numFmtId="3" fontId="30" fillId="0" borderId="0" xfId="122" applyNumberFormat="1" applyFont="1"/>
    <xf numFmtId="0" fontId="30" fillId="0" borderId="0" xfId="122" applyFont="1"/>
    <xf numFmtId="3" fontId="30" fillId="0" borderId="3" xfId="0" applyNumberFormat="1" applyFont="1" applyBorder="1" applyProtection="1">
      <protection locked="0"/>
    </xf>
    <xf numFmtId="0" fontId="165" fillId="0" borderId="0" xfId="4671" applyFont="1" applyAlignment="1">
      <alignment horizontal="left"/>
    </xf>
    <xf numFmtId="37" fontId="165" fillId="0" borderId="0" xfId="4671" applyNumberFormat="1" applyFont="1" applyAlignment="1">
      <alignment horizontal="left"/>
    </xf>
    <xf numFmtId="0" fontId="165" fillId="0" borderId="0" xfId="4671" applyFont="1" applyAlignment="1">
      <alignment horizontal="left" indent="1"/>
    </xf>
    <xf numFmtId="0" fontId="165" fillId="0" borderId="0" xfId="4671" applyFont="1"/>
    <xf numFmtId="172" fontId="30" fillId="0" borderId="48" xfId="4667" applyNumberFormat="1" applyFont="1" applyBorder="1" applyAlignment="1"/>
    <xf numFmtId="172" fontId="30" fillId="0" borderId="4" xfId="4667" applyNumberFormat="1" applyFont="1" applyBorder="1" applyAlignment="1">
      <alignment horizontal="center"/>
    </xf>
    <xf numFmtId="172" fontId="30" fillId="0" borderId="65" xfId="4667" applyNumberFormat="1" applyFont="1" applyBorder="1" applyAlignment="1">
      <alignment horizontal="center"/>
    </xf>
    <xf numFmtId="172" fontId="30" fillId="0" borderId="0" xfId="4667" applyNumberFormat="1" applyFont="1" applyAlignment="1">
      <alignment vertical="center"/>
    </xf>
    <xf numFmtId="172" fontId="30" fillId="0" borderId="37" xfId="4667" applyNumberFormat="1" applyFont="1" applyBorder="1" applyAlignment="1">
      <alignment vertical="center"/>
    </xf>
    <xf numFmtId="164" fontId="30" fillId="0" borderId="0" xfId="4667" applyNumberFormat="1" applyFont="1" applyBorder="1" applyAlignment="1">
      <alignment horizontal="center" vertical="center" wrapText="1"/>
    </xf>
    <xf numFmtId="193" fontId="30" fillId="0" borderId="0" xfId="4352" applyNumberFormat="1" applyFont="1" applyFill="1" applyBorder="1" applyAlignment="1">
      <alignment vertical="center"/>
    </xf>
    <xf numFmtId="10" fontId="30" fillId="0" borderId="38" xfId="4352" quotePrefix="1" applyNumberFormat="1" applyFont="1" applyBorder="1" applyAlignment="1">
      <alignment horizontal="center" vertical="center" wrapText="1"/>
    </xf>
    <xf numFmtId="172" fontId="30" fillId="0" borderId="0" xfId="4667" applyNumberFormat="1" applyFont="1" applyBorder="1" applyAlignment="1">
      <alignment vertical="center"/>
    </xf>
    <xf numFmtId="172" fontId="30" fillId="0" borderId="0" xfId="4667" applyNumberFormat="1" applyFont="1" applyBorder="1" applyAlignment="1">
      <alignment horizontal="center" vertical="center"/>
    </xf>
    <xf numFmtId="173" fontId="200" fillId="3" borderId="0" xfId="1" applyNumberFormat="1" applyFont="1" applyFill="1" applyBorder="1" applyAlignment="1" applyProtection="1">
      <alignment vertical="center"/>
      <protection locked="0"/>
    </xf>
    <xf numFmtId="173" fontId="200" fillId="3" borderId="38" xfId="1" applyNumberFormat="1" applyFont="1" applyFill="1" applyBorder="1" applyAlignment="1" applyProtection="1">
      <alignment vertical="center"/>
      <protection locked="0"/>
    </xf>
    <xf numFmtId="172" fontId="30" fillId="0" borderId="51" xfId="4667" applyNumberFormat="1" applyFont="1" applyBorder="1" applyAlignment="1">
      <alignment horizontal="center" vertical="center" wrapText="1"/>
    </xf>
    <xf numFmtId="172" fontId="30" fillId="0" borderId="0" xfId="4667" applyNumberFormat="1" applyFont="1" applyBorder="1" applyAlignment="1">
      <alignment horizontal="center" vertical="center" wrapText="1"/>
    </xf>
    <xf numFmtId="172" fontId="30" fillId="0" borderId="38" xfId="4667" applyNumberFormat="1" applyFont="1" applyBorder="1" applyAlignment="1">
      <alignment horizontal="center" vertical="center"/>
    </xf>
    <xf numFmtId="172" fontId="30" fillId="0" borderId="37" xfId="4667" applyNumberFormat="1" applyFont="1" applyBorder="1" applyAlignment="1">
      <alignment horizontal="center" vertical="center" wrapText="1"/>
    </xf>
    <xf numFmtId="172" fontId="30" fillId="0" borderId="47" xfId="4667" applyNumberFormat="1" applyFont="1" applyBorder="1" applyAlignment="1">
      <alignment horizontal="center" vertical="center"/>
    </xf>
    <xf numFmtId="271" fontId="30" fillId="0" borderId="0" xfId="190" applyNumberFormat="1" applyFont="1" applyFill="1" applyBorder="1" applyAlignment="1">
      <alignment horizontal="center"/>
    </xf>
    <xf numFmtId="167" fontId="165" fillId="3" borderId="0" xfId="0" applyNumberFormat="1" applyFont="1" applyFill="1" applyProtection="1">
      <protection locked="0"/>
    </xf>
    <xf numFmtId="3" fontId="165" fillId="2" borderId="0" xfId="121" applyNumberFormat="1" applyFont="1" applyFill="1" applyProtection="1">
      <protection locked="0"/>
    </xf>
    <xf numFmtId="3" fontId="165" fillId="2" borderId="1" xfId="121" applyNumberFormat="1" applyFont="1" applyFill="1" applyBorder="1" applyProtection="1">
      <protection locked="0"/>
    </xf>
    <xf numFmtId="174" fontId="165" fillId="2" borderId="27" xfId="4665" applyNumberFormat="1" applyFont="1" applyFill="1" applyBorder="1"/>
    <xf numFmtId="14" fontId="30" fillId="0" borderId="0" xfId="122" applyNumberFormat="1" applyFont="1"/>
    <xf numFmtId="44" fontId="30" fillId="0" borderId="4" xfId="1" applyFont="1" applyFill="1" applyBorder="1"/>
    <xf numFmtId="174" fontId="30" fillId="0" borderId="0" xfId="4665" applyNumberFormat="1" applyFont="1" applyProtection="1">
      <protection locked="0"/>
    </xf>
    <xf numFmtId="0" fontId="193" fillId="0" borderId="0" xfId="4476" applyFont="1"/>
    <xf numFmtId="0" fontId="122" fillId="0" borderId="0" xfId="4476" applyFont="1"/>
    <xf numFmtId="174" fontId="30" fillId="0" borderId="0" xfId="4665" applyNumberFormat="1" applyFont="1"/>
    <xf numFmtId="172" fontId="9" fillId="0" borderId="0" xfId="0" applyFont="1" applyAlignment="1">
      <alignment vertical="top" wrapText="1"/>
    </xf>
    <xf numFmtId="172" fontId="9" fillId="0" borderId="0" xfId="0" applyFont="1" applyAlignment="1">
      <alignment horizontal="left" vertical="top" wrapText="1"/>
    </xf>
    <xf numFmtId="172" fontId="173" fillId="0" borderId="0" xfId="0" applyFont="1" applyAlignment="1">
      <alignment horizontal="center"/>
    </xf>
    <xf numFmtId="172" fontId="30" fillId="0" borderId="0" xfId="0" applyFont="1" applyAlignment="1" applyProtection="1">
      <alignment horizontal="left" vertical="top" wrapText="1"/>
      <protection locked="0"/>
    </xf>
    <xf numFmtId="172" fontId="30" fillId="0" borderId="0" xfId="0" applyFont="1" applyAlignment="1">
      <alignment horizontal="left" vertical="top" wrapText="1"/>
    </xf>
    <xf numFmtId="0" fontId="30" fillId="0" borderId="0" xfId="0" applyNumberFormat="1" applyFont="1" applyAlignment="1" applyProtection="1">
      <alignment horizontal="right"/>
      <protection locked="0"/>
    </xf>
    <xf numFmtId="0" fontId="122" fillId="0" borderId="0" xfId="0" applyNumberFormat="1" applyFont="1" applyAlignment="1" applyProtection="1">
      <alignment horizontal="right"/>
      <protection locked="0"/>
    </xf>
    <xf numFmtId="0" fontId="30" fillId="0" borderId="0" xfId="0" applyNumberFormat="1" applyFont="1" applyAlignment="1" applyProtection="1">
      <alignment vertical="top" wrapText="1"/>
      <protection locked="0"/>
    </xf>
    <xf numFmtId="0" fontId="30" fillId="0" borderId="0" xfId="4597" applyNumberFormat="1" applyFont="1" applyAlignment="1" applyProtection="1">
      <alignment horizontal="left" vertical="top" wrapText="1"/>
      <protection locked="0"/>
    </xf>
    <xf numFmtId="0" fontId="30" fillId="0" borderId="0" xfId="0" applyNumberFormat="1" applyFont="1" applyAlignment="1" applyProtection="1">
      <alignment horizontal="left" vertical="top" wrapText="1"/>
      <protection locked="0"/>
    </xf>
    <xf numFmtId="0" fontId="30" fillId="0" borderId="0" xfId="4664" applyNumberFormat="1" applyFont="1" applyAlignment="1">
      <alignment horizontal="left" vertical="top" wrapText="1"/>
    </xf>
    <xf numFmtId="0" fontId="30" fillId="0" borderId="0" xfId="0" applyNumberFormat="1" applyFont="1" applyAlignment="1" applyProtection="1">
      <alignment horizontal="right" vertical="top"/>
    </xf>
    <xf numFmtId="0" fontId="30" fillId="0" borderId="0" xfId="0" applyNumberFormat="1" applyFont="1" applyAlignment="1" applyProtection="1">
      <alignment horizontal="center"/>
      <protection locked="0"/>
    </xf>
    <xf numFmtId="0" fontId="30" fillId="0" borderId="0" xfId="0" applyNumberFormat="1" applyFont="1" applyProtection="1">
      <protection locked="0"/>
    </xf>
    <xf numFmtId="3" fontId="30" fillId="0" borderId="0" xfId="0" applyNumberFormat="1" applyFont="1" applyAlignment="1" applyProtection="1">
      <alignment horizontal="right"/>
      <protection locked="0"/>
    </xf>
    <xf numFmtId="0" fontId="30" fillId="0" borderId="1" xfId="0" applyNumberFormat="1" applyFont="1" applyBorder="1" applyAlignment="1" applyProtection="1">
      <alignment horizontal="center"/>
      <protection locked="0"/>
    </xf>
    <xf numFmtId="172" fontId="166" fillId="0" borderId="0" xfId="4597" applyFont="1" applyAlignment="1">
      <alignment horizontal="left" vertical="top" wrapText="1"/>
    </xf>
    <xf numFmtId="0" fontId="30" fillId="0" borderId="0" xfId="0" applyNumberFormat="1" applyFont="1" applyAlignment="1">
      <alignment horizontal="left" vertical="top" wrapText="1"/>
    </xf>
    <xf numFmtId="172" fontId="166" fillId="0" borderId="0" xfId="0" applyFont="1" applyAlignment="1">
      <alignment horizontal="left" vertical="top" wrapText="1"/>
    </xf>
    <xf numFmtId="0" fontId="30" fillId="0" borderId="0" xfId="4595" applyFont="1" applyAlignment="1">
      <alignment vertical="top" wrapText="1"/>
    </xf>
    <xf numFmtId="0" fontId="30" fillId="0" borderId="0" xfId="4597" quotePrefix="1" applyNumberFormat="1" applyFont="1" applyAlignment="1">
      <alignment horizontal="left" vertical="top" wrapText="1"/>
    </xf>
    <xf numFmtId="0" fontId="30" fillId="0" borderId="0" xfId="2138" applyFont="1" applyFill="1" applyAlignment="1">
      <alignment horizontal="left" vertical="top" wrapText="1"/>
    </xf>
    <xf numFmtId="0" fontId="131" fillId="0" borderId="4" xfId="4473" applyFont="1" applyBorder="1" applyAlignment="1">
      <alignment horizontal="center"/>
    </xf>
    <xf numFmtId="172" fontId="122" fillId="0" borderId="3" xfId="0" applyFont="1" applyBorder="1" applyAlignment="1">
      <alignment horizontal="center"/>
    </xf>
    <xf numFmtId="0" fontId="122" fillId="0" borderId="0" xfId="4155" applyNumberFormat="1" applyFont="1" applyAlignment="1" applyProtection="1">
      <alignment horizontal="center"/>
      <protection locked="0"/>
    </xf>
    <xf numFmtId="172" fontId="122" fillId="0" borderId="0" xfId="0" applyFont="1" applyAlignment="1">
      <alignment horizontal="center"/>
    </xf>
    <xf numFmtId="0" fontId="30" fillId="0" borderId="0" xfId="4" applyFont="1" applyAlignment="1">
      <alignment vertical="top" wrapText="1"/>
    </xf>
    <xf numFmtId="0" fontId="122" fillId="0" borderId="0" xfId="4" applyFont="1" applyAlignment="1">
      <alignment horizontal="center"/>
    </xf>
    <xf numFmtId="49" fontId="122" fillId="0" borderId="0" xfId="4" applyNumberFormat="1" applyFont="1" applyAlignment="1">
      <alignment horizontal="center"/>
    </xf>
    <xf numFmtId="172" fontId="30" fillId="0" borderId="0" xfId="0" applyFont="1" applyAlignment="1">
      <alignment horizontal="left" vertical="top"/>
    </xf>
    <xf numFmtId="172" fontId="30" fillId="0" borderId="0" xfId="0" applyFont="1" applyAlignment="1">
      <alignment horizontal="left" vertical="center"/>
    </xf>
    <xf numFmtId="3" fontId="30" fillId="0" borderId="1" xfId="4695" applyNumberFormat="1" applyFont="1" applyBorder="1" applyAlignment="1">
      <alignment horizontal="center"/>
    </xf>
    <xf numFmtId="3" fontId="122" fillId="0" borderId="48" xfId="4695" applyNumberFormat="1" applyFont="1" applyBorder="1" applyAlignment="1">
      <alignment horizontal="center"/>
    </xf>
    <xf numFmtId="3" fontId="122" fillId="0" borderId="15" xfId="4695" applyNumberFormat="1" applyFont="1" applyBorder="1" applyAlignment="1">
      <alignment horizontal="center"/>
    </xf>
    <xf numFmtId="0" fontId="194" fillId="0" borderId="0" xfId="4695" applyFont="1" applyAlignment="1">
      <alignment horizontal="center"/>
    </xf>
    <xf numFmtId="172" fontId="122" fillId="0" borderId="17" xfId="4695" applyNumberFormat="1" applyFont="1" applyBorder="1" applyAlignment="1">
      <alignment horizontal="center"/>
    </xf>
    <xf numFmtId="0" fontId="38" fillId="0" borderId="0" xfId="4695" applyFont="1" applyAlignment="1">
      <alignment horizontal="left" vertical="top" wrapText="1"/>
    </xf>
    <xf numFmtId="0" fontId="197" fillId="0" borderId="0" xfId="4695" applyFont="1" applyAlignment="1">
      <alignment horizontal="left" vertical="top" wrapText="1"/>
    </xf>
    <xf numFmtId="0" fontId="122" fillId="0" borderId="0" xfId="4" applyFont="1" applyAlignment="1">
      <alignment horizontal="center" vertical="center"/>
    </xf>
    <xf numFmtId="0" fontId="122" fillId="0" borderId="0" xfId="4698" applyFont="1" applyAlignment="1">
      <alignment horizontal="center" vertical="center"/>
    </xf>
    <xf numFmtId="0" fontId="30" fillId="0" borderId="0" xfId="4698" applyFont="1" applyAlignment="1">
      <alignment horizontal="left" vertical="top" wrapText="1"/>
    </xf>
    <xf numFmtId="0" fontId="122" fillId="0" borderId="63" xfId="4698" applyFont="1" applyBorder="1" applyAlignment="1">
      <alignment horizontal="center" vertical="center" wrapText="1"/>
    </xf>
    <xf numFmtId="0" fontId="122" fillId="0" borderId="21" xfId="4698" applyFont="1" applyBorder="1" applyAlignment="1">
      <alignment horizontal="center" vertical="center" wrapText="1"/>
    </xf>
    <xf numFmtId="0" fontId="122" fillId="0" borderId="64" xfId="4698" applyFont="1" applyBorder="1" applyAlignment="1">
      <alignment horizontal="center" vertical="center" wrapText="1"/>
    </xf>
    <xf numFmtId="49" fontId="122" fillId="0" borderId="0" xfId="4" applyNumberFormat="1" applyFont="1" applyAlignment="1">
      <alignment horizontal="center" vertical="center"/>
    </xf>
    <xf numFmtId="0" fontId="30" fillId="0" borderId="0" xfId="4228" applyFont="1" applyAlignment="1">
      <alignment horizontal="left" vertical="top" wrapText="1"/>
    </xf>
    <xf numFmtId="0" fontId="122" fillId="0" borderId="48" xfId="4598" applyFont="1" applyBorder="1" applyAlignment="1">
      <alignment horizontal="center"/>
    </xf>
    <xf numFmtId="0" fontId="122" fillId="0" borderId="15" xfId="4598" applyFont="1" applyBorder="1" applyAlignment="1">
      <alignment horizontal="center"/>
    </xf>
    <xf numFmtId="0" fontId="122" fillId="0" borderId="49" xfId="4598" applyFont="1" applyBorder="1" applyAlignment="1">
      <alignment horizontal="center"/>
    </xf>
    <xf numFmtId="172" fontId="122" fillId="0" borderId="48" xfId="0" applyFont="1" applyBorder="1" applyAlignment="1">
      <alignment horizontal="center"/>
    </xf>
    <xf numFmtId="172" fontId="122" fillId="0" borderId="15" xfId="0" applyFont="1" applyBorder="1" applyAlignment="1">
      <alignment horizontal="center"/>
    </xf>
    <xf numFmtId="172" fontId="122" fillId="0" borderId="49" xfId="0" applyFont="1" applyBorder="1" applyAlignment="1">
      <alignment horizontal="center"/>
    </xf>
    <xf numFmtId="0" fontId="193" fillId="0" borderId="0" xfId="4595" applyFont="1" applyAlignment="1">
      <alignment horizontal="left"/>
    </xf>
    <xf numFmtId="0" fontId="30" fillId="0" borderId="0" xfId="4" applyFont="1" applyAlignment="1">
      <alignment horizontal="left" vertical="top" wrapText="1"/>
    </xf>
    <xf numFmtId="172" fontId="180" fillId="0" borderId="3" xfId="0" applyFont="1" applyBorder="1" applyAlignment="1">
      <alignment horizontal="center"/>
    </xf>
    <xf numFmtId="0" fontId="122" fillId="0" borderId="0" xfId="4598" applyFont="1" applyAlignment="1">
      <alignment horizontal="center"/>
    </xf>
    <xf numFmtId="49" fontId="122" fillId="0" borderId="0" xfId="4597" applyNumberFormat="1" applyFont="1" applyAlignment="1">
      <alignment horizontal="center"/>
    </xf>
    <xf numFmtId="172" fontId="179" fillId="0" borderId="0" xfId="0" applyFont="1" applyAlignment="1">
      <alignment horizontal="left" wrapText="1"/>
    </xf>
    <xf numFmtId="0" fontId="30" fillId="0" borderId="0" xfId="4476" applyFont="1" applyAlignment="1">
      <alignment horizontal="left" vertical="top" wrapText="1"/>
    </xf>
    <xf numFmtId="0" fontId="30" fillId="0" borderId="0" xfId="4476" applyFont="1" applyAlignment="1">
      <alignment horizontal="left" vertical="top"/>
    </xf>
    <xf numFmtId="0" fontId="30" fillId="0" borderId="0" xfId="0" applyNumberFormat="1" applyFont="1" applyAlignment="1" applyProtection="1">
      <alignment horizontal="right"/>
    </xf>
    <xf numFmtId="0" fontId="166" fillId="0" borderId="0" xfId="0" applyNumberFormat="1" applyFont="1" applyAlignment="1">
      <alignment horizontal="left" vertical="top" wrapText="1"/>
    </xf>
    <xf numFmtId="0" fontId="30" fillId="0" borderId="0" xfId="0" applyNumberFormat="1" applyFont="1" applyAlignment="1">
      <alignment horizontal="left"/>
    </xf>
    <xf numFmtId="172" fontId="30" fillId="0" borderId="0" xfId="0" applyFont="1" applyAlignment="1" applyProtection="1">
      <alignment horizontal="left"/>
      <protection locked="0"/>
    </xf>
    <xf numFmtId="172" fontId="122" fillId="0" borderId="0" xfId="4667" applyNumberFormat="1" applyFont="1" applyAlignment="1">
      <alignment horizontal="center"/>
    </xf>
    <xf numFmtId="172" fontId="122" fillId="0" borderId="0" xfId="4667" applyNumberFormat="1" applyFont="1" applyBorder="1" applyAlignment="1">
      <alignment horizontal="center"/>
    </xf>
    <xf numFmtId="172" fontId="122" fillId="0" borderId="3" xfId="4667" applyNumberFormat="1" applyFont="1" applyBorder="1" applyAlignment="1">
      <alignment horizontal="center"/>
    </xf>
    <xf numFmtId="172" fontId="122" fillId="0" borderId="52" xfId="4667" applyNumberFormat="1" applyFont="1" applyFill="1" applyBorder="1" applyAlignment="1">
      <alignment horizontal="center"/>
    </xf>
    <xf numFmtId="172" fontId="122" fillId="0" borderId="3" xfId="4667" applyNumberFormat="1" applyFont="1" applyFill="1" applyBorder="1" applyAlignment="1">
      <alignment horizontal="center"/>
    </xf>
    <xf numFmtId="172" fontId="122" fillId="0" borderId="53" xfId="4667" applyNumberFormat="1" applyFont="1" applyFill="1" applyBorder="1" applyAlignment="1">
      <alignment horizontal="center"/>
    </xf>
    <xf numFmtId="172" fontId="191" fillId="0" borderId="0" xfId="4667" applyNumberFormat="1" applyFont="1" applyAlignment="1">
      <alignment horizontal="center"/>
    </xf>
    <xf numFmtId="172" fontId="30" fillId="0" borderId="0" xfId="4667" applyNumberFormat="1" applyFont="1" applyBorder="1" applyAlignment="1">
      <alignment horizontal="center"/>
    </xf>
    <xf numFmtId="172" fontId="30" fillId="0" borderId="0" xfId="4667" applyNumberFormat="1" applyFont="1" applyFill="1" applyBorder="1" applyAlignment="1">
      <alignment horizontal="center"/>
    </xf>
    <xf numFmtId="172" fontId="30" fillId="0" borderId="38" xfId="4667" applyNumberFormat="1" applyFont="1" applyFill="1" applyBorder="1" applyAlignment="1">
      <alignment horizontal="center"/>
    </xf>
    <xf numFmtId="0" fontId="30" fillId="0" borderId="48" xfId="4352" quotePrefix="1" applyNumberFormat="1" applyFont="1" applyBorder="1" applyAlignment="1">
      <alignment horizontal="center"/>
    </xf>
    <xf numFmtId="0" fontId="30" fillId="0" borderId="15" xfId="4352" quotePrefix="1" applyNumberFormat="1" applyFont="1" applyBorder="1" applyAlignment="1">
      <alignment horizontal="center"/>
    </xf>
    <xf numFmtId="0" fontId="30" fillId="0" borderId="49" xfId="4352" quotePrefix="1" applyNumberFormat="1" applyFont="1" applyBorder="1" applyAlignment="1">
      <alignment horizontal="center"/>
    </xf>
    <xf numFmtId="172" fontId="30" fillId="0" borderId="0" xfId="4667" quotePrefix="1" applyNumberFormat="1" applyFont="1" applyFill="1" applyAlignment="1">
      <alignment horizontal="left" vertical="top" wrapText="1"/>
    </xf>
    <xf numFmtId="172" fontId="122" fillId="0" borderId="0" xfId="4667" applyNumberFormat="1" applyFont="1" applyFill="1" applyAlignment="1">
      <alignment horizontal="center"/>
    </xf>
    <xf numFmtId="172" fontId="122" fillId="0" borderId="0" xfId="4667" applyNumberFormat="1" applyFont="1" applyFill="1" applyAlignment="1">
      <alignment horizontal="left" vertical="top" wrapText="1"/>
    </xf>
    <xf numFmtId="172" fontId="30" fillId="0" borderId="0" xfId="4667" applyNumberFormat="1" applyFont="1" applyFill="1" applyAlignment="1">
      <alignment horizontal="left" vertical="top" wrapText="1"/>
    </xf>
    <xf numFmtId="172" fontId="122" fillId="0" borderId="0" xfId="4667" applyNumberFormat="1" applyFont="1" applyFill="1" applyAlignment="1">
      <alignment wrapText="1"/>
    </xf>
    <xf numFmtId="172" fontId="30" fillId="0" borderId="0" xfId="4667" applyNumberFormat="1" applyFont="1" applyFill="1" applyAlignment="1">
      <alignment wrapText="1"/>
    </xf>
    <xf numFmtId="172" fontId="180" fillId="0" borderId="0" xfId="0" applyFont="1" applyAlignment="1">
      <alignment horizontal="center"/>
    </xf>
    <xf numFmtId="0" fontId="194" fillId="0" borderId="0" xfId="4690" applyFont="1" applyAlignment="1">
      <alignment horizontal="center"/>
    </xf>
    <xf numFmtId="0" fontId="194" fillId="0" borderId="48" xfId="4690" applyFont="1" applyBorder="1" applyAlignment="1">
      <alignment horizontal="center" vertical="center"/>
    </xf>
    <xf numFmtId="0" fontId="194" fillId="0" borderId="15" xfId="4690" applyFont="1" applyBorder="1" applyAlignment="1">
      <alignment horizontal="center" vertical="center"/>
    </xf>
    <xf numFmtId="0" fontId="194" fillId="0" borderId="49" xfId="4690" applyFont="1" applyBorder="1" applyAlignment="1">
      <alignment horizontal="center" vertical="center"/>
    </xf>
    <xf numFmtId="49" fontId="194" fillId="0" borderId="0" xfId="4690" applyNumberFormat="1" applyFont="1" applyAlignment="1">
      <alignment horizontal="center"/>
    </xf>
    <xf numFmtId="0" fontId="194" fillId="0" borderId="51" xfId="4690" applyFont="1" applyBorder="1" applyAlignment="1">
      <alignment horizontal="center" vertical="center"/>
    </xf>
    <xf numFmtId="0" fontId="194" fillId="0" borderId="4" xfId="4690" applyFont="1" applyBorder="1" applyAlignment="1">
      <alignment horizontal="center" vertical="center"/>
    </xf>
    <xf numFmtId="0" fontId="194" fillId="0" borderId="47" xfId="4690" applyFont="1" applyBorder="1" applyAlignment="1">
      <alignment horizontal="center" vertical="center"/>
    </xf>
  </cellXfs>
  <cellStyles count="5182">
    <cellStyle name=" 1" xfId="4276" xr:uid="{00000000-0005-0000-0000-000000000000}"/>
    <cellStyle name="%" xfId="5" xr:uid="{00000000-0005-0000-0000-000001000000}"/>
    <cellStyle name="_033103 13 week CF1" xfId="6" xr:uid="{00000000-0005-0000-0000-000002000000}"/>
    <cellStyle name="_181000-189000" xfId="7" xr:uid="{00000000-0005-0000-0000-000003000000}"/>
    <cellStyle name="_2002  What- No Cap X Morgan" xfId="8" xr:uid="{00000000-0005-0000-0000-000004000000}"/>
    <cellStyle name="_Baseline Rollforward Support 050817" xfId="9" xr:uid="{00000000-0005-0000-0000-000005000000}"/>
    <cellStyle name="_Book200 Acq Adj by Plant Acct (w Alloc %)" xfId="4277" xr:uid="{00000000-0005-0000-0000-000006000000}"/>
    <cellStyle name="_EGTG_2003_YTD_Cash_Flow" xfId="10" xr:uid="{00000000-0005-0000-0000-000007000000}"/>
    <cellStyle name="_Everest_Board_Book_2003_FINAL" xfId="11" xr:uid="{00000000-0005-0000-0000-000008000000}"/>
    <cellStyle name="_Oct03_Everest_Board_Financial_Operating_Report" xfId="12" xr:uid="{00000000-0005-0000-0000-000009000000}"/>
    <cellStyle name="_SpreadSM" xfId="13" xr:uid="{00000000-0005-0000-0000-00000A000000}"/>
    <cellStyle name="_Vacation Hours 7-14-08 (2)" xfId="14" xr:uid="{00000000-0005-0000-0000-00000B000000}"/>
    <cellStyle name="_x0010_“+ˆÉ•?pý¤" xfId="4278" xr:uid="{00000000-0005-0000-0000-00000C000000}"/>
    <cellStyle name="_x0010_“+ˆÉ•?pý¤ 2" xfId="4279" xr:uid="{00000000-0005-0000-0000-00000D000000}"/>
    <cellStyle name="¢ Currency [1]" xfId="4478" xr:uid="{00000000-0005-0000-0000-00000E000000}"/>
    <cellStyle name="¢ Currency [2]" xfId="4479" xr:uid="{00000000-0005-0000-0000-00000F000000}"/>
    <cellStyle name="¢ Currency [3]" xfId="4480" xr:uid="{00000000-0005-0000-0000-000010000000}"/>
    <cellStyle name="£ Currency [0]" xfId="4481" xr:uid="{00000000-0005-0000-0000-000011000000}"/>
    <cellStyle name="£ Currency [1]" xfId="4482" xr:uid="{00000000-0005-0000-0000-000012000000}"/>
    <cellStyle name="£ Currency [2]" xfId="4483" xr:uid="{00000000-0005-0000-0000-000013000000}"/>
    <cellStyle name="=C:\WINNT35\SYSTEM32\COMMAND.COM" xfId="15" xr:uid="{00000000-0005-0000-0000-000014000000}"/>
    <cellStyle name="=C:\WINNT40\SYSTEM32\COMMAND.COM" xfId="191" xr:uid="{00000000-0005-0000-0000-000015000000}"/>
    <cellStyle name="=C:\WINNT40\SYSTEM32\COMMAND.COM 2" xfId="192" xr:uid="{00000000-0005-0000-0000-000016000000}"/>
    <cellStyle name="=C:\WINNT40\SYSTEM32\COMMAND.COM 2 2" xfId="193" xr:uid="{00000000-0005-0000-0000-000017000000}"/>
    <cellStyle name="=C:\WINNT40\SYSTEM32\COMMAND.COM 3" xfId="194" xr:uid="{00000000-0005-0000-0000-000018000000}"/>
    <cellStyle name="=C:\WINNT40\SYSTEM32\COMMAND.COM 3 2" xfId="195" xr:uid="{00000000-0005-0000-0000-000019000000}"/>
    <cellStyle name="=C:\WINNT40\SYSTEM32\COMMAND.COM 4" xfId="196" xr:uid="{00000000-0005-0000-0000-00001A000000}"/>
    <cellStyle name="=C:\WINNT40\SYSTEM32\COMMAND.COM 4 2" xfId="197" xr:uid="{00000000-0005-0000-0000-00001B000000}"/>
    <cellStyle name="=C:\WINNT40\SYSTEM32\COMMAND.COM 5" xfId="198" xr:uid="{00000000-0005-0000-0000-00001C000000}"/>
    <cellStyle name="=C:\WINNT40\SYSTEM32\COMMAND.COM 5 2" xfId="199" xr:uid="{00000000-0005-0000-0000-00001D000000}"/>
    <cellStyle name="=C:\WINNT40\SYSTEM32\COMMAND.COM 6" xfId="200" xr:uid="{00000000-0005-0000-0000-00001E000000}"/>
    <cellStyle name="=C:\WINNT40\SYSTEM32\COMMAND.COM 6 2" xfId="201" xr:uid="{00000000-0005-0000-0000-00001F000000}"/>
    <cellStyle name="=C:\WINNT40\SYSTEM32\COMMAND.COM 7" xfId="202" xr:uid="{00000000-0005-0000-0000-000020000000}"/>
    <cellStyle name="=C:\WINNT40\SYSTEM32\COMMAND.COM 7 2" xfId="203" xr:uid="{00000000-0005-0000-0000-000021000000}"/>
    <cellStyle name="=C:\WINNT40\SYSTEM32\COMMAND.COM 8" xfId="204" xr:uid="{00000000-0005-0000-0000-000022000000}"/>
    <cellStyle name="20% - Accent1 10" xfId="205" xr:uid="{00000000-0005-0000-0000-000023000000}"/>
    <cellStyle name="20% - Accent1 11" xfId="206" xr:uid="{00000000-0005-0000-0000-000024000000}"/>
    <cellStyle name="20% - Accent1 12" xfId="207" xr:uid="{00000000-0005-0000-0000-000025000000}"/>
    <cellStyle name="20% - Accent1 13" xfId="208" xr:uid="{00000000-0005-0000-0000-000026000000}"/>
    <cellStyle name="20% - Accent1 14" xfId="209" xr:uid="{00000000-0005-0000-0000-000027000000}"/>
    <cellStyle name="20% - Accent1 15" xfId="210" xr:uid="{00000000-0005-0000-0000-000028000000}"/>
    <cellStyle name="20% - Accent1 16" xfId="211" xr:uid="{00000000-0005-0000-0000-000029000000}"/>
    <cellStyle name="20% - Accent1 17" xfId="212" xr:uid="{00000000-0005-0000-0000-00002A000000}"/>
    <cellStyle name="20% - Accent1 18" xfId="213" xr:uid="{00000000-0005-0000-0000-00002B000000}"/>
    <cellStyle name="20% - Accent1 19" xfId="214" xr:uid="{00000000-0005-0000-0000-00002C000000}"/>
    <cellStyle name="20% - Accent1 19 2" xfId="215" xr:uid="{00000000-0005-0000-0000-00002D000000}"/>
    <cellStyle name="20% - Accent1 19 2 2" xfId="216" xr:uid="{00000000-0005-0000-0000-00002E000000}"/>
    <cellStyle name="20% - Accent1 19 2 2 2" xfId="4703" xr:uid="{F9088253-A330-4A16-83BB-9E7629D86F03}"/>
    <cellStyle name="20% - Accent1 19 2 3" xfId="4702" xr:uid="{4584683A-CC8E-431D-9834-E72D4E388AA4}"/>
    <cellStyle name="20% - Accent1 19 3" xfId="217" xr:uid="{00000000-0005-0000-0000-00002F000000}"/>
    <cellStyle name="20% - Accent1 19 3 2" xfId="4704" xr:uid="{A96E1A5F-9CE9-47B5-B67C-2B9A05240AC2}"/>
    <cellStyle name="20% - Accent1 19 4" xfId="4701" xr:uid="{67FED3FF-9AB0-40CF-BD51-840A98A0DEF9}"/>
    <cellStyle name="20% - Accent1 2" xfId="16" xr:uid="{00000000-0005-0000-0000-000030000000}"/>
    <cellStyle name="20% - Accent1 2 10" xfId="218" xr:uid="{00000000-0005-0000-0000-000031000000}"/>
    <cellStyle name="20% - Accent1 2 10 2" xfId="4705" xr:uid="{37DF6210-4E6C-403E-BB78-0AE2AD39FF46}"/>
    <cellStyle name="20% - Accent1 2 2" xfId="219" xr:uid="{00000000-0005-0000-0000-000032000000}"/>
    <cellStyle name="20% - Accent1 2 2 2" xfId="220" xr:uid="{00000000-0005-0000-0000-000033000000}"/>
    <cellStyle name="20% - Accent1 2 2 2 2" xfId="221" xr:uid="{00000000-0005-0000-0000-000034000000}"/>
    <cellStyle name="20% - Accent1 2 2 2 2 2" xfId="4708" xr:uid="{347C05CF-6120-48B0-B597-898641A6059C}"/>
    <cellStyle name="20% - Accent1 2 2 2 3" xfId="4707" xr:uid="{B5391CD3-93BC-4BDA-9065-86D5304F1353}"/>
    <cellStyle name="20% - Accent1 2 2 3" xfId="222" xr:uid="{00000000-0005-0000-0000-000035000000}"/>
    <cellStyle name="20% - Accent1 2 2 3 2" xfId="4709" xr:uid="{1E248033-056D-4D69-B8EA-E1C11CFA7969}"/>
    <cellStyle name="20% - Accent1 2 2 4" xfId="4706" xr:uid="{77D425FD-FCD1-425F-80AA-D0334B76B7F4}"/>
    <cellStyle name="20% - Accent1 2 3" xfId="223" xr:uid="{00000000-0005-0000-0000-000036000000}"/>
    <cellStyle name="20% - Accent1 2 3 2" xfId="224" xr:uid="{00000000-0005-0000-0000-000037000000}"/>
    <cellStyle name="20% - Accent1 2 3 2 2" xfId="225" xr:uid="{00000000-0005-0000-0000-000038000000}"/>
    <cellStyle name="20% - Accent1 2 3 2 2 2" xfId="4712" xr:uid="{20B3A8F6-3B52-4A80-BC93-B314BB5B7B37}"/>
    <cellStyle name="20% - Accent1 2 3 2 3" xfId="4711" xr:uid="{404DA855-017E-4C62-B393-A2EB2637FB07}"/>
    <cellStyle name="20% - Accent1 2 3 3" xfId="226" xr:uid="{00000000-0005-0000-0000-000039000000}"/>
    <cellStyle name="20% - Accent1 2 3 3 2" xfId="4713" xr:uid="{F400B926-FFEB-4224-B7E9-ADA6BE2F3BA8}"/>
    <cellStyle name="20% - Accent1 2 3 4" xfId="4710" xr:uid="{51A12943-BD91-4C55-94EB-C2B4964A4542}"/>
    <cellStyle name="20% - Accent1 2 4" xfId="227" xr:uid="{00000000-0005-0000-0000-00003A000000}"/>
    <cellStyle name="20% - Accent1 2 4 2" xfId="228" xr:uid="{00000000-0005-0000-0000-00003B000000}"/>
    <cellStyle name="20% - Accent1 2 4 2 2" xfId="229" xr:uid="{00000000-0005-0000-0000-00003C000000}"/>
    <cellStyle name="20% - Accent1 2 4 2 2 2" xfId="4716" xr:uid="{64B5FF25-DFDC-47EF-B9EF-071A1E0C1D32}"/>
    <cellStyle name="20% - Accent1 2 4 2 3" xfId="4715" xr:uid="{DC3F645E-0A47-4325-8F22-9BBED7201665}"/>
    <cellStyle name="20% - Accent1 2 4 3" xfId="230" xr:uid="{00000000-0005-0000-0000-00003D000000}"/>
    <cellStyle name="20% - Accent1 2 4 3 2" xfId="4717" xr:uid="{62FE2DC1-CEF8-4EFB-ACE4-A6249188BA1F}"/>
    <cellStyle name="20% - Accent1 2 4 4" xfId="4714" xr:uid="{5616D1E4-EC37-4FC4-84DF-BCD7DD5449F3}"/>
    <cellStyle name="20% - Accent1 2 5" xfId="231" xr:uid="{00000000-0005-0000-0000-00003E000000}"/>
    <cellStyle name="20% - Accent1 2 5 2" xfId="232" xr:uid="{00000000-0005-0000-0000-00003F000000}"/>
    <cellStyle name="20% - Accent1 2 5 2 2" xfId="233" xr:uid="{00000000-0005-0000-0000-000040000000}"/>
    <cellStyle name="20% - Accent1 2 5 2 2 2" xfId="4720" xr:uid="{6D438972-5944-4ACC-8091-EA92EE1AF6C9}"/>
    <cellStyle name="20% - Accent1 2 5 2 3" xfId="4719" xr:uid="{6F22EA6F-4058-4234-A66C-063EB4F56823}"/>
    <cellStyle name="20% - Accent1 2 5 3" xfId="234" xr:uid="{00000000-0005-0000-0000-000041000000}"/>
    <cellStyle name="20% - Accent1 2 5 3 2" xfId="4721" xr:uid="{8F3F23BA-C7C8-42A3-9E46-8FD727BC83D3}"/>
    <cellStyle name="20% - Accent1 2 5 4" xfId="4718" xr:uid="{DFE1FF2C-9AED-4BC2-B660-9F18B76D7523}"/>
    <cellStyle name="20% - Accent1 2 6" xfId="235" xr:uid="{00000000-0005-0000-0000-000042000000}"/>
    <cellStyle name="20% - Accent1 2 6 2" xfId="236" xr:uid="{00000000-0005-0000-0000-000043000000}"/>
    <cellStyle name="20% - Accent1 2 6 2 2" xfId="237" xr:uid="{00000000-0005-0000-0000-000044000000}"/>
    <cellStyle name="20% - Accent1 2 6 2 2 2" xfId="4724" xr:uid="{DB0BCEB0-65DC-4E9A-81DE-A2AE53C35164}"/>
    <cellStyle name="20% - Accent1 2 6 2 3" xfId="4723" xr:uid="{348BA117-A4AF-44B4-87B0-C60B458F4F2A}"/>
    <cellStyle name="20% - Accent1 2 6 3" xfId="238" xr:uid="{00000000-0005-0000-0000-000045000000}"/>
    <cellStyle name="20% - Accent1 2 6 3 2" xfId="4725" xr:uid="{3B14C568-2B4E-4857-BC2F-8FA2296EFF67}"/>
    <cellStyle name="20% - Accent1 2 6 4" xfId="4722" xr:uid="{FF201E5B-CA81-4903-A480-06D2A6B150F2}"/>
    <cellStyle name="20% - Accent1 2 7" xfId="239" xr:uid="{00000000-0005-0000-0000-000046000000}"/>
    <cellStyle name="20% - Accent1 2 7 2" xfId="240" xr:uid="{00000000-0005-0000-0000-000047000000}"/>
    <cellStyle name="20% - Accent1 2 7 2 2" xfId="241" xr:uid="{00000000-0005-0000-0000-000048000000}"/>
    <cellStyle name="20% - Accent1 2 7 2 2 2" xfId="4728" xr:uid="{CFA7301E-AE34-45F0-8E9F-862464531996}"/>
    <cellStyle name="20% - Accent1 2 7 2 3" xfId="4727" xr:uid="{3CE251F0-FD82-4D2E-BC33-502A9655B896}"/>
    <cellStyle name="20% - Accent1 2 7 3" xfId="242" xr:uid="{00000000-0005-0000-0000-000049000000}"/>
    <cellStyle name="20% - Accent1 2 7 3 2" xfId="4729" xr:uid="{D6A34E4A-E05B-4575-99D3-04F503E6B6FE}"/>
    <cellStyle name="20% - Accent1 2 7 4" xfId="4726" xr:uid="{511A32D8-2AB5-458E-8DEF-D3AFE29DD72C}"/>
    <cellStyle name="20% - Accent1 2 8" xfId="243" xr:uid="{00000000-0005-0000-0000-00004A000000}"/>
    <cellStyle name="20% - Accent1 2 8 2" xfId="244" xr:uid="{00000000-0005-0000-0000-00004B000000}"/>
    <cellStyle name="20% - Accent1 2 8 2 2" xfId="245" xr:uid="{00000000-0005-0000-0000-00004C000000}"/>
    <cellStyle name="20% - Accent1 2 8 2 2 2" xfId="4732" xr:uid="{2630200F-1377-42F8-9FCD-C896D4E1A373}"/>
    <cellStyle name="20% - Accent1 2 8 2 3" xfId="4731" xr:uid="{DC380D55-0A18-4B07-A61B-9AB4C2428947}"/>
    <cellStyle name="20% - Accent1 2 8 3" xfId="246" xr:uid="{00000000-0005-0000-0000-00004D000000}"/>
    <cellStyle name="20% - Accent1 2 8 3 2" xfId="4733" xr:uid="{3FDC1B11-1D0F-4489-AB19-E8498A64C984}"/>
    <cellStyle name="20% - Accent1 2 8 4" xfId="4730" xr:uid="{4CAC4473-DE1C-41AC-B087-AEA10B08FDFC}"/>
    <cellStyle name="20% - Accent1 2 9" xfId="247" xr:uid="{00000000-0005-0000-0000-00004E000000}"/>
    <cellStyle name="20% - Accent1 2 9 2" xfId="248" xr:uid="{00000000-0005-0000-0000-00004F000000}"/>
    <cellStyle name="20% - Accent1 2 9 2 2" xfId="4735" xr:uid="{0FC1368D-E55F-415E-BA22-9E00C30550B0}"/>
    <cellStyle name="20% - Accent1 2 9 3" xfId="4734" xr:uid="{CD6EFC36-BD43-4285-9424-7A0EEA4ED334}"/>
    <cellStyle name="20% - Accent1 3" xfId="249" xr:uid="{00000000-0005-0000-0000-000050000000}"/>
    <cellStyle name="20% - Accent1 4" xfId="250" xr:uid="{00000000-0005-0000-0000-000051000000}"/>
    <cellStyle name="20% - Accent1 5" xfId="251" xr:uid="{00000000-0005-0000-0000-000052000000}"/>
    <cellStyle name="20% - Accent1 6" xfId="252" xr:uid="{00000000-0005-0000-0000-000053000000}"/>
    <cellStyle name="20% - Accent1 7" xfId="253" xr:uid="{00000000-0005-0000-0000-000054000000}"/>
    <cellStyle name="20% - Accent1 8" xfId="254" xr:uid="{00000000-0005-0000-0000-000055000000}"/>
    <cellStyle name="20% - Accent1 9" xfId="255" xr:uid="{00000000-0005-0000-0000-000056000000}"/>
    <cellStyle name="20% - Accent2 10" xfId="256" xr:uid="{00000000-0005-0000-0000-000057000000}"/>
    <cellStyle name="20% - Accent2 11" xfId="257" xr:uid="{00000000-0005-0000-0000-000058000000}"/>
    <cellStyle name="20% - Accent2 12" xfId="258" xr:uid="{00000000-0005-0000-0000-000059000000}"/>
    <cellStyle name="20% - Accent2 13" xfId="259" xr:uid="{00000000-0005-0000-0000-00005A000000}"/>
    <cellStyle name="20% - Accent2 14" xfId="260" xr:uid="{00000000-0005-0000-0000-00005B000000}"/>
    <cellStyle name="20% - Accent2 15" xfId="261" xr:uid="{00000000-0005-0000-0000-00005C000000}"/>
    <cellStyle name="20% - Accent2 16" xfId="262" xr:uid="{00000000-0005-0000-0000-00005D000000}"/>
    <cellStyle name="20% - Accent2 17" xfId="263" xr:uid="{00000000-0005-0000-0000-00005E000000}"/>
    <cellStyle name="20% - Accent2 18" xfId="264" xr:uid="{00000000-0005-0000-0000-00005F000000}"/>
    <cellStyle name="20% - Accent2 19" xfId="265" xr:uid="{00000000-0005-0000-0000-000060000000}"/>
    <cellStyle name="20% - Accent2 19 2" xfId="266" xr:uid="{00000000-0005-0000-0000-000061000000}"/>
    <cellStyle name="20% - Accent2 19 2 2" xfId="267" xr:uid="{00000000-0005-0000-0000-000062000000}"/>
    <cellStyle name="20% - Accent2 19 2 2 2" xfId="4738" xr:uid="{71C9BF15-F341-43FD-BB1C-CE8572A50803}"/>
    <cellStyle name="20% - Accent2 19 2 3" xfId="4737" xr:uid="{B63E8E98-7F0C-4377-A57E-FB8AD7443B75}"/>
    <cellStyle name="20% - Accent2 19 3" xfId="268" xr:uid="{00000000-0005-0000-0000-000063000000}"/>
    <cellStyle name="20% - Accent2 19 3 2" xfId="4739" xr:uid="{9D2D3066-38E6-41FF-AA4E-E00163ABDC66}"/>
    <cellStyle name="20% - Accent2 19 4" xfId="4736" xr:uid="{90B3C9C6-9ACF-4823-8F5E-8D87CFFD6F2F}"/>
    <cellStyle name="20% - Accent2 2" xfId="17" xr:uid="{00000000-0005-0000-0000-000064000000}"/>
    <cellStyle name="20% - Accent2 2 10" xfId="269" xr:uid="{00000000-0005-0000-0000-000065000000}"/>
    <cellStyle name="20% - Accent2 2 10 2" xfId="4740" xr:uid="{007602C6-F938-4B6C-B908-2366BFFAF9BB}"/>
    <cellStyle name="20% - Accent2 2 2" xfId="270" xr:uid="{00000000-0005-0000-0000-000066000000}"/>
    <cellStyle name="20% - Accent2 2 2 2" xfId="271" xr:uid="{00000000-0005-0000-0000-000067000000}"/>
    <cellStyle name="20% - Accent2 2 2 2 2" xfId="272" xr:uid="{00000000-0005-0000-0000-000068000000}"/>
    <cellStyle name="20% - Accent2 2 2 2 2 2" xfId="4743" xr:uid="{E666692E-FFAD-4C6D-8580-78F9CBE3F849}"/>
    <cellStyle name="20% - Accent2 2 2 2 3" xfId="4742" xr:uid="{BA1D542E-C02E-4E7D-9E21-1C8F6C4B5689}"/>
    <cellStyle name="20% - Accent2 2 2 3" xfId="273" xr:uid="{00000000-0005-0000-0000-000069000000}"/>
    <cellStyle name="20% - Accent2 2 2 3 2" xfId="4744" xr:uid="{6840D131-270A-454D-A3C2-95AB552024CC}"/>
    <cellStyle name="20% - Accent2 2 2 4" xfId="4741" xr:uid="{A9197A87-690C-443E-8CF0-DBB158EDDDAE}"/>
    <cellStyle name="20% - Accent2 2 3" xfId="274" xr:uid="{00000000-0005-0000-0000-00006A000000}"/>
    <cellStyle name="20% - Accent2 2 3 2" xfId="275" xr:uid="{00000000-0005-0000-0000-00006B000000}"/>
    <cellStyle name="20% - Accent2 2 3 2 2" xfId="276" xr:uid="{00000000-0005-0000-0000-00006C000000}"/>
    <cellStyle name="20% - Accent2 2 3 2 2 2" xfId="4747" xr:uid="{C6F07D59-6B47-4C68-8619-FFC0EC7B7B17}"/>
    <cellStyle name="20% - Accent2 2 3 2 3" xfId="4746" xr:uid="{16456A81-8FF8-40BF-8DAC-9CB2269B4D9A}"/>
    <cellStyle name="20% - Accent2 2 3 3" xfId="277" xr:uid="{00000000-0005-0000-0000-00006D000000}"/>
    <cellStyle name="20% - Accent2 2 3 3 2" xfId="4748" xr:uid="{08213492-0058-4CF4-8CCF-225433A7AB4D}"/>
    <cellStyle name="20% - Accent2 2 3 4" xfId="4745" xr:uid="{186052B9-88B3-42F4-8049-F98095FB30E0}"/>
    <cellStyle name="20% - Accent2 2 4" xfId="278" xr:uid="{00000000-0005-0000-0000-00006E000000}"/>
    <cellStyle name="20% - Accent2 2 4 2" xfId="279" xr:uid="{00000000-0005-0000-0000-00006F000000}"/>
    <cellStyle name="20% - Accent2 2 4 2 2" xfId="280" xr:uid="{00000000-0005-0000-0000-000070000000}"/>
    <cellStyle name="20% - Accent2 2 4 2 2 2" xfId="4751" xr:uid="{166C827A-CFA2-442D-99F7-B2B94D35E0BE}"/>
    <cellStyle name="20% - Accent2 2 4 2 3" xfId="4750" xr:uid="{3A4D0B7A-D79E-4DCC-92DE-331E6F62CCA7}"/>
    <cellStyle name="20% - Accent2 2 4 3" xfId="281" xr:uid="{00000000-0005-0000-0000-000071000000}"/>
    <cellStyle name="20% - Accent2 2 4 3 2" xfId="4752" xr:uid="{E9B2D010-F219-40BC-8131-49B874931287}"/>
    <cellStyle name="20% - Accent2 2 4 4" xfId="4749" xr:uid="{3478DBDD-4C71-402A-AB52-6D0A8167AD1C}"/>
    <cellStyle name="20% - Accent2 2 5" xfId="282" xr:uid="{00000000-0005-0000-0000-000072000000}"/>
    <cellStyle name="20% - Accent2 2 5 2" xfId="283" xr:uid="{00000000-0005-0000-0000-000073000000}"/>
    <cellStyle name="20% - Accent2 2 5 2 2" xfId="284" xr:uid="{00000000-0005-0000-0000-000074000000}"/>
    <cellStyle name="20% - Accent2 2 5 2 2 2" xfId="4755" xr:uid="{785D029F-8EA2-4B4F-9CFC-3F1EF7E877E8}"/>
    <cellStyle name="20% - Accent2 2 5 2 3" xfId="4754" xr:uid="{2E52994C-9139-4F54-A900-21769090E382}"/>
    <cellStyle name="20% - Accent2 2 5 3" xfId="285" xr:uid="{00000000-0005-0000-0000-000075000000}"/>
    <cellStyle name="20% - Accent2 2 5 3 2" xfId="4756" xr:uid="{5FCD9EC5-4C66-4C98-8F74-E4CB6CABEA13}"/>
    <cellStyle name="20% - Accent2 2 5 4" xfId="4753" xr:uid="{4C811793-AAAE-45C6-BB0A-CB41D86077FF}"/>
    <cellStyle name="20% - Accent2 2 6" xfId="286" xr:uid="{00000000-0005-0000-0000-000076000000}"/>
    <cellStyle name="20% - Accent2 2 6 2" xfId="287" xr:uid="{00000000-0005-0000-0000-000077000000}"/>
    <cellStyle name="20% - Accent2 2 6 2 2" xfId="288" xr:uid="{00000000-0005-0000-0000-000078000000}"/>
    <cellStyle name="20% - Accent2 2 6 2 2 2" xfId="4759" xr:uid="{1FD25793-1D5A-4DAD-BDD3-CE9114036FA6}"/>
    <cellStyle name="20% - Accent2 2 6 2 3" xfId="4758" xr:uid="{32502CFB-86DF-495A-AC3D-471C9CFC17EF}"/>
    <cellStyle name="20% - Accent2 2 6 3" xfId="289" xr:uid="{00000000-0005-0000-0000-000079000000}"/>
    <cellStyle name="20% - Accent2 2 6 3 2" xfId="4760" xr:uid="{62F9C6BB-E1D7-45CA-ADDD-72F337323DD0}"/>
    <cellStyle name="20% - Accent2 2 6 4" xfId="4757" xr:uid="{AC1D5CCD-8D90-4B9E-8FF3-04F6528235F0}"/>
    <cellStyle name="20% - Accent2 2 7" xfId="290" xr:uid="{00000000-0005-0000-0000-00007A000000}"/>
    <cellStyle name="20% - Accent2 2 7 2" xfId="291" xr:uid="{00000000-0005-0000-0000-00007B000000}"/>
    <cellStyle name="20% - Accent2 2 7 2 2" xfId="292" xr:uid="{00000000-0005-0000-0000-00007C000000}"/>
    <cellStyle name="20% - Accent2 2 7 2 2 2" xfId="4763" xr:uid="{0143D36F-4C41-4767-9585-11A93FE925F5}"/>
    <cellStyle name="20% - Accent2 2 7 2 3" xfId="4762" xr:uid="{0CD7DB96-2A20-4465-B402-A3EF107B9535}"/>
    <cellStyle name="20% - Accent2 2 7 3" xfId="293" xr:uid="{00000000-0005-0000-0000-00007D000000}"/>
    <cellStyle name="20% - Accent2 2 7 3 2" xfId="4764" xr:uid="{C577AE2F-09B5-4BE7-9329-D23B4D4642BA}"/>
    <cellStyle name="20% - Accent2 2 7 4" xfId="4761" xr:uid="{643ED49D-7625-4FF3-A7AF-529B98DD0F78}"/>
    <cellStyle name="20% - Accent2 2 8" xfId="294" xr:uid="{00000000-0005-0000-0000-00007E000000}"/>
    <cellStyle name="20% - Accent2 2 8 2" xfId="295" xr:uid="{00000000-0005-0000-0000-00007F000000}"/>
    <cellStyle name="20% - Accent2 2 8 2 2" xfId="296" xr:uid="{00000000-0005-0000-0000-000080000000}"/>
    <cellStyle name="20% - Accent2 2 8 2 2 2" xfId="4767" xr:uid="{5AC2E7B5-4B9F-4B35-9CE4-98EEF1938BA0}"/>
    <cellStyle name="20% - Accent2 2 8 2 3" xfId="4766" xr:uid="{93004D68-1269-4515-A22C-F1342CA64EBD}"/>
    <cellStyle name="20% - Accent2 2 8 3" xfId="297" xr:uid="{00000000-0005-0000-0000-000081000000}"/>
    <cellStyle name="20% - Accent2 2 8 3 2" xfId="4768" xr:uid="{2A4806B4-8976-4841-A3E3-FD87CAFEBB4A}"/>
    <cellStyle name="20% - Accent2 2 8 4" xfId="4765" xr:uid="{8CD4BBA0-8687-4293-BFFD-833457542AF0}"/>
    <cellStyle name="20% - Accent2 2 9" xfId="298" xr:uid="{00000000-0005-0000-0000-000082000000}"/>
    <cellStyle name="20% - Accent2 2 9 2" xfId="299" xr:uid="{00000000-0005-0000-0000-000083000000}"/>
    <cellStyle name="20% - Accent2 2 9 2 2" xfId="4770" xr:uid="{C56DC56B-DE39-415B-8531-B5CA65CDC5D6}"/>
    <cellStyle name="20% - Accent2 2 9 3" xfId="4769" xr:uid="{C32CCABD-E08E-4048-AB72-81D3F7C01CE0}"/>
    <cellStyle name="20% - Accent2 3" xfId="300" xr:uid="{00000000-0005-0000-0000-000084000000}"/>
    <cellStyle name="20% - Accent2 4" xfId="301" xr:uid="{00000000-0005-0000-0000-000085000000}"/>
    <cellStyle name="20% - Accent2 5" xfId="302" xr:uid="{00000000-0005-0000-0000-000086000000}"/>
    <cellStyle name="20% - Accent2 6" xfId="303" xr:uid="{00000000-0005-0000-0000-000087000000}"/>
    <cellStyle name="20% - Accent2 7" xfId="304" xr:uid="{00000000-0005-0000-0000-000088000000}"/>
    <cellStyle name="20% - Accent2 8" xfId="305" xr:uid="{00000000-0005-0000-0000-000089000000}"/>
    <cellStyle name="20% - Accent2 9" xfId="306" xr:uid="{00000000-0005-0000-0000-00008A000000}"/>
    <cellStyle name="20% - Accent3 10" xfId="307" xr:uid="{00000000-0005-0000-0000-00008B000000}"/>
    <cellStyle name="20% - Accent3 11" xfId="308" xr:uid="{00000000-0005-0000-0000-00008C000000}"/>
    <cellStyle name="20% - Accent3 12" xfId="309" xr:uid="{00000000-0005-0000-0000-00008D000000}"/>
    <cellStyle name="20% - Accent3 13" xfId="310" xr:uid="{00000000-0005-0000-0000-00008E000000}"/>
    <cellStyle name="20% - Accent3 14" xfId="311" xr:uid="{00000000-0005-0000-0000-00008F000000}"/>
    <cellStyle name="20% - Accent3 15" xfId="312" xr:uid="{00000000-0005-0000-0000-000090000000}"/>
    <cellStyle name="20% - Accent3 16" xfId="313" xr:uid="{00000000-0005-0000-0000-000091000000}"/>
    <cellStyle name="20% - Accent3 17" xfId="314" xr:uid="{00000000-0005-0000-0000-000092000000}"/>
    <cellStyle name="20% - Accent3 18" xfId="315" xr:uid="{00000000-0005-0000-0000-000093000000}"/>
    <cellStyle name="20% - Accent3 2" xfId="18" xr:uid="{00000000-0005-0000-0000-000094000000}"/>
    <cellStyle name="20% - Accent3 2 2" xfId="316" xr:uid="{00000000-0005-0000-0000-000095000000}"/>
    <cellStyle name="20% - Accent3 2 2 2" xfId="317" xr:uid="{00000000-0005-0000-0000-000096000000}"/>
    <cellStyle name="20% - Accent3 2 2 2 2" xfId="318" xr:uid="{00000000-0005-0000-0000-000097000000}"/>
    <cellStyle name="20% - Accent3 2 2 2 2 2" xfId="4773" xr:uid="{EA1143D1-2942-4B35-8033-2813211C4479}"/>
    <cellStyle name="20% - Accent3 2 2 2 3" xfId="4772" xr:uid="{5A84F5D2-F869-4D5B-9098-AA6EDC3C3F5B}"/>
    <cellStyle name="20% - Accent3 2 2 3" xfId="319" xr:uid="{00000000-0005-0000-0000-000098000000}"/>
    <cellStyle name="20% - Accent3 2 2 3 2" xfId="4774" xr:uid="{0CA48360-E6C9-46B5-A238-3D189849741B}"/>
    <cellStyle name="20% - Accent3 2 2 4" xfId="4771" xr:uid="{56EE86DA-AD62-4C0F-8C9E-9ED4E5B4585A}"/>
    <cellStyle name="20% - Accent3 2 3" xfId="320" xr:uid="{00000000-0005-0000-0000-000099000000}"/>
    <cellStyle name="20% - Accent3 2 3 2" xfId="321" xr:uid="{00000000-0005-0000-0000-00009A000000}"/>
    <cellStyle name="20% - Accent3 2 3 2 2" xfId="322" xr:uid="{00000000-0005-0000-0000-00009B000000}"/>
    <cellStyle name="20% - Accent3 2 3 2 2 2" xfId="4777" xr:uid="{CD69096C-B1D0-4FC2-88B3-A152C485F3D2}"/>
    <cellStyle name="20% - Accent3 2 3 2 3" xfId="4776" xr:uid="{8BB6A78E-FF5F-4E79-8DF9-C1B134B7D6C5}"/>
    <cellStyle name="20% - Accent3 2 3 3" xfId="323" xr:uid="{00000000-0005-0000-0000-00009C000000}"/>
    <cellStyle name="20% - Accent3 2 3 3 2" xfId="4778" xr:uid="{951EB265-7C51-4C38-B2BB-51006155E4C9}"/>
    <cellStyle name="20% - Accent3 2 3 4" xfId="4775" xr:uid="{119D75E9-2F0B-40E7-828D-87FB727A8CF0}"/>
    <cellStyle name="20% - Accent3 2 4" xfId="324" xr:uid="{00000000-0005-0000-0000-00009D000000}"/>
    <cellStyle name="20% - Accent3 2 4 2" xfId="325" xr:uid="{00000000-0005-0000-0000-00009E000000}"/>
    <cellStyle name="20% - Accent3 2 4 2 2" xfId="326" xr:uid="{00000000-0005-0000-0000-00009F000000}"/>
    <cellStyle name="20% - Accent3 2 4 2 2 2" xfId="4781" xr:uid="{AEFF0904-86FA-45E2-B40D-07A884952005}"/>
    <cellStyle name="20% - Accent3 2 4 2 3" xfId="4780" xr:uid="{8FA72EBD-EDF3-4975-BF4A-26B96B7DF1D6}"/>
    <cellStyle name="20% - Accent3 2 4 3" xfId="327" xr:uid="{00000000-0005-0000-0000-0000A0000000}"/>
    <cellStyle name="20% - Accent3 2 4 3 2" xfId="4782" xr:uid="{4C5DBD32-FF0F-44BB-B0A7-45DA4012B2EC}"/>
    <cellStyle name="20% - Accent3 2 4 4" xfId="4779" xr:uid="{C8007EEA-15C4-4FF6-87C3-A0FFEB6AA300}"/>
    <cellStyle name="20% - Accent3 2 5" xfId="328" xr:uid="{00000000-0005-0000-0000-0000A1000000}"/>
    <cellStyle name="20% - Accent3 2 5 2" xfId="329" xr:uid="{00000000-0005-0000-0000-0000A2000000}"/>
    <cellStyle name="20% - Accent3 2 5 2 2" xfId="330" xr:uid="{00000000-0005-0000-0000-0000A3000000}"/>
    <cellStyle name="20% - Accent3 2 5 2 2 2" xfId="4785" xr:uid="{58F336F2-2F55-485A-A339-80F177700A4C}"/>
    <cellStyle name="20% - Accent3 2 5 2 3" xfId="4784" xr:uid="{4BB42C75-2CA6-4659-A077-EE9BF3DBDF33}"/>
    <cellStyle name="20% - Accent3 2 5 3" xfId="331" xr:uid="{00000000-0005-0000-0000-0000A4000000}"/>
    <cellStyle name="20% - Accent3 2 5 3 2" xfId="4786" xr:uid="{95EAB2EE-DC8C-4F7A-BE6D-38847D63F94A}"/>
    <cellStyle name="20% - Accent3 2 5 4" xfId="4783" xr:uid="{17BD7996-CDE3-423E-8873-BEE7DFB604F8}"/>
    <cellStyle name="20% - Accent3 2 6" xfId="332" xr:uid="{00000000-0005-0000-0000-0000A5000000}"/>
    <cellStyle name="20% - Accent3 2 6 2" xfId="333" xr:uid="{00000000-0005-0000-0000-0000A6000000}"/>
    <cellStyle name="20% - Accent3 2 6 2 2" xfId="334" xr:uid="{00000000-0005-0000-0000-0000A7000000}"/>
    <cellStyle name="20% - Accent3 2 6 2 2 2" xfId="4789" xr:uid="{B83BD3D8-A618-4382-83BA-FF779307A17A}"/>
    <cellStyle name="20% - Accent3 2 6 2 3" xfId="4788" xr:uid="{DB27AC2D-A721-4F5B-8D9B-252763D40391}"/>
    <cellStyle name="20% - Accent3 2 6 3" xfId="335" xr:uid="{00000000-0005-0000-0000-0000A8000000}"/>
    <cellStyle name="20% - Accent3 2 6 3 2" xfId="4790" xr:uid="{552D5231-AA31-403D-96FC-5AE06CD99D84}"/>
    <cellStyle name="20% - Accent3 2 6 4" xfId="4787" xr:uid="{2F339C11-B1E5-4D78-B79E-7A1E74D35E87}"/>
    <cellStyle name="20% - Accent3 2 7" xfId="336" xr:uid="{00000000-0005-0000-0000-0000A9000000}"/>
    <cellStyle name="20% - Accent3 2 7 2" xfId="337" xr:uid="{00000000-0005-0000-0000-0000AA000000}"/>
    <cellStyle name="20% - Accent3 2 7 2 2" xfId="338" xr:uid="{00000000-0005-0000-0000-0000AB000000}"/>
    <cellStyle name="20% - Accent3 2 7 2 2 2" xfId="4793" xr:uid="{C0751DAC-F6E6-4119-8CD4-A6E993E8230B}"/>
    <cellStyle name="20% - Accent3 2 7 2 3" xfId="4792" xr:uid="{EEBA90E7-6C3E-4F56-A2AD-EC2AB6863505}"/>
    <cellStyle name="20% - Accent3 2 7 3" xfId="339" xr:uid="{00000000-0005-0000-0000-0000AC000000}"/>
    <cellStyle name="20% - Accent3 2 7 3 2" xfId="4794" xr:uid="{DAFCE71E-9E8E-4CC6-B85D-E803A5982A81}"/>
    <cellStyle name="20% - Accent3 2 7 4" xfId="4791" xr:uid="{CBE31A23-85A5-4ABB-95FB-C088D23DEC5F}"/>
    <cellStyle name="20% - Accent3 2 8" xfId="340" xr:uid="{00000000-0005-0000-0000-0000AD000000}"/>
    <cellStyle name="20% - Accent3 2 8 2" xfId="341" xr:uid="{00000000-0005-0000-0000-0000AE000000}"/>
    <cellStyle name="20% - Accent3 2 8 2 2" xfId="4796" xr:uid="{B08DE865-2F31-46CF-A43D-416619E8DF72}"/>
    <cellStyle name="20% - Accent3 2 8 3" xfId="4795" xr:uid="{FDC6A85E-035A-4C22-B7C5-7AB702E52161}"/>
    <cellStyle name="20% - Accent3 2 9" xfId="342" xr:uid="{00000000-0005-0000-0000-0000AF000000}"/>
    <cellStyle name="20% - Accent3 2 9 2" xfId="4797" xr:uid="{9AE69CDE-BFA1-459E-8844-A7EC8B82D452}"/>
    <cellStyle name="20% - Accent3 3" xfId="343" xr:uid="{00000000-0005-0000-0000-0000B0000000}"/>
    <cellStyle name="20% - Accent3 4" xfId="344" xr:uid="{00000000-0005-0000-0000-0000B1000000}"/>
    <cellStyle name="20% - Accent3 5" xfId="345" xr:uid="{00000000-0005-0000-0000-0000B2000000}"/>
    <cellStyle name="20% - Accent3 6" xfId="346" xr:uid="{00000000-0005-0000-0000-0000B3000000}"/>
    <cellStyle name="20% - Accent3 7" xfId="347" xr:uid="{00000000-0005-0000-0000-0000B4000000}"/>
    <cellStyle name="20% - Accent3 8" xfId="348" xr:uid="{00000000-0005-0000-0000-0000B5000000}"/>
    <cellStyle name="20% - Accent3 9" xfId="349" xr:uid="{00000000-0005-0000-0000-0000B6000000}"/>
    <cellStyle name="20% - Accent4 10" xfId="350" xr:uid="{00000000-0005-0000-0000-0000B7000000}"/>
    <cellStyle name="20% - Accent4 11" xfId="351" xr:uid="{00000000-0005-0000-0000-0000B8000000}"/>
    <cellStyle name="20% - Accent4 12" xfId="352" xr:uid="{00000000-0005-0000-0000-0000B9000000}"/>
    <cellStyle name="20% - Accent4 13" xfId="353" xr:uid="{00000000-0005-0000-0000-0000BA000000}"/>
    <cellStyle name="20% - Accent4 14" xfId="354" xr:uid="{00000000-0005-0000-0000-0000BB000000}"/>
    <cellStyle name="20% - Accent4 15" xfId="355" xr:uid="{00000000-0005-0000-0000-0000BC000000}"/>
    <cellStyle name="20% - Accent4 16" xfId="356" xr:uid="{00000000-0005-0000-0000-0000BD000000}"/>
    <cellStyle name="20% - Accent4 17" xfId="357" xr:uid="{00000000-0005-0000-0000-0000BE000000}"/>
    <cellStyle name="20% - Accent4 18" xfId="358" xr:uid="{00000000-0005-0000-0000-0000BF000000}"/>
    <cellStyle name="20% - Accent4 2" xfId="19" xr:uid="{00000000-0005-0000-0000-0000C0000000}"/>
    <cellStyle name="20% - Accent4 2 2" xfId="359" xr:uid="{00000000-0005-0000-0000-0000C1000000}"/>
    <cellStyle name="20% - Accent4 2 2 2" xfId="360" xr:uid="{00000000-0005-0000-0000-0000C2000000}"/>
    <cellStyle name="20% - Accent4 2 2 2 2" xfId="361" xr:uid="{00000000-0005-0000-0000-0000C3000000}"/>
    <cellStyle name="20% - Accent4 2 2 2 2 2" xfId="4800" xr:uid="{CB344899-92EF-458F-A2A2-DC0AD3835BBB}"/>
    <cellStyle name="20% - Accent4 2 2 2 3" xfId="4799" xr:uid="{0C55A690-1106-495B-8367-B24C37B557B4}"/>
    <cellStyle name="20% - Accent4 2 2 3" xfId="362" xr:uid="{00000000-0005-0000-0000-0000C4000000}"/>
    <cellStyle name="20% - Accent4 2 2 3 2" xfId="4801" xr:uid="{1C5DE75A-692A-4816-AA0E-B0C93671708C}"/>
    <cellStyle name="20% - Accent4 2 2 4" xfId="4798" xr:uid="{265DF366-0DAB-49CA-8C71-01DB933DCB90}"/>
    <cellStyle name="20% - Accent4 2 3" xfId="363" xr:uid="{00000000-0005-0000-0000-0000C5000000}"/>
    <cellStyle name="20% - Accent4 2 3 2" xfId="364" xr:uid="{00000000-0005-0000-0000-0000C6000000}"/>
    <cellStyle name="20% - Accent4 2 3 2 2" xfId="365" xr:uid="{00000000-0005-0000-0000-0000C7000000}"/>
    <cellStyle name="20% - Accent4 2 3 2 2 2" xfId="4804" xr:uid="{379E8985-5847-426C-A4F3-3FEFEE9E4B69}"/>
    <cellStyle name="20% - Accent4 2 3 2 3" xfId="4803" xr:uid="{BAA6A8CE-79BE-440D-86A2-3584C1B36305}"/>
    <cellStyle name="20% - Accent4 2 3 3" xfId="366" xr:uid="{00000000-0005-0000-0000-0000C8000000}"/>
    <cellStyle name="20% - Accent4 2 3 3 2" xfId="4805" xr:uid="{48E7BFAA-F42B-4526-A199-376FCE6B6A35}"/>
    <cellStyle name="20% - Accent4 2 3 4" xfId="4802" xr:uid="{22D2B815-E050-40E1-8123-19D4CA1AE8C7}"/>
    <cellStyle name="20% - Accent4 2 4" xfId="367" xr:uid="{00000000-0005-0000-0000-0000C9000000}"/>
    <cellStyle name="20% - Accent4 2 4 2" xfId="368" xr:uid="{00000000-0005-0000-0000-0000CA000000}"/>
    <cellStyle name="20% - Accent4 2 4 2 2" xfId="369" xr:uid="{00000000-0005-0000-0000-0000CB000000}"/>
    <cellStyle name="20% - Accent4 2 4 2 2 2" xfId="4808" xr:uid="{5C1BBE19-7BFD-43A3-A739-CF79D693852F}"/>
    <cellStyle name="20% - Accent4 2 4 2 3" xfId="4807" xr:uid="{DA9FC671-8462-4F14-AB1D-6AE014E53542}"/>
    <cellStyle name="20% - Accent4 2 4 3" xfId="370" xr:uid="{00000000-0005-0000-0000-0000CC000000}"/>
    <cellStyle name="20% - Accent4 2 4 3 2" xfId="4809" xr:uid="{C15A3B10-F653-4344-AF29-1129F29D681D}"/>
    <cellStyle name="20% - Accent4 2 4 4" xfId="4806" xr:uid="{3FAE72F1-59B9-4C6D-B7E8-78528892BA1F}"/>
    <cellStyle name="20% - Accent4 2 5" xfId="371" xr:uid="{00000000-0005-0000-0000-0000CD000000}"/>
    <cellStyle name="20% - Accent4 2 5 2" xfId="372" xr:uid="{00000000-0005-0000-0000-0000CE000000}"/>
    <cellStyle name="20% - Accent4 2 5 2 2" xfId="373" xr:uid="{00000000-0005-0000-0000-0000CF000000}"/>
    <cellStyle name="20% - Accent4 2 5 2 2 2" xfId="4812" xr:uid="{9D4DDE1E-9E24-43E5-B10A-85A25B14DC98}"/>
    <cellStyle name="20% - Accent4 2 5 2 3" xfId="4811" xr:uid="{082CD8A1-C485-4DC0-B112-B61A8EF5027F}"/>
    <cellStyle name="20% - Accent4 2 5 3" xfId="374" xr:uid="{00000000-0005-0000-0000-0000D0000000}"/>
    <cellStyle name="20% - Accent4 2 5 3 2" xfId="4813" xr:uid="{2E0B39C7-F305-43CA-A1A2-06646D5A4C66}"/>
    <cellStyle name="20% - Accent4 2 5 4" xfId="4810" xr:uid="{3F11060D-CB03-4AA8-A18E-CB747B02B4D7}"/>
    <cellStyle name="20% - Accent4 2 6" xfId="375" xr:uid="{00000000-0005-0000-0000-0000D1000000}"/>
    <cellStyle name="20% - Accent4 2 6 2" xfId="376" xr:uid="{00000000-0005-0000-0000-0000D2000000}"/>
    <cellStyle name="20% - Accent4 2 6 2 2" xfId="377" xr:uid="{00000000-0005-0000-0000-0000D3000000}"/>
    <cellStyle name="20% - Accent4 2 6 2 2 2" xfId="4816" xr:uid="{BAF920CA-10A2-4E7D-86FE-CA6C3F4D56F3}"/>
    <cellStyle name="20% - Accent4 2 6 2 3" xfId="4815" xr:uid="{B1BEA7D4-6AE6-4EAB-8800-10A007712F38}"/>
    <cellStyle name="20% - Accent4 2 6 3" xfId="378" xr:uid="{00000000-0005-0000-0000-0000D4000000}"/>
    <cellStyle name="20% - Accent4 2 6 3 2" xfId="4817" xr:uid="{C59924CC-9238-4900-A6D2-708E5491BA88}"/>
    <cellStyle name="20% - Accent4 2 6 4" xfId="4814" xr:uid="{E3A5BF9D-D995-40D3-83BE-CE18D88A378F}"/>
    <cellStyle name="20% - Accent4 2 7" xfId="379" xr:uid="{00000000-0005-0000-0000-0000D5000000}"/>
    <cellStyle name="20% - Accent4 2 7 2" xfId="380" xr:uid="{00000000-0005-0000-0000-0000D6000000}"/>
    <cellStyle name="20% - Accent4 2 7 2 2" xfId="381" xr:uid="{00000000-0005-0000-0000-0000D7000000}"/>
    <cellStyle name="20% - Accent4 2 7 2 2 2" xfId="4820" xr:uid="{5A85D919-7062-4A7D-AF16-917B41425267}"/>
    <cellStyle name="20% - Accent4 2 7 2 3" xfId="4819" xr:uid="{DF123308-6218-4403-BAC1-6C73E8923704}"/>
    <cellStyle name="20% - Accent4 2 7 3" xfId="382" xr:uid="{00000000-0005-0000-0000-0000D8000000}"/>
    <cellStyle name="20% - Accent4 2 7 3 2" xfId="4821" xr:uid="{41D6D67D-7ED4-4DD7-AE3C-133E44F369C3}"/>
    <cellStyle name="20% - Accent4 2 7 4" xfId="4818" xr:uid="{702080D3-79CB-4358-861F-E54320B10438}"/>
    <cellStyle name="20% - Accent4 2 8" xfId="383" xr:uid="{00000000-0005-0000-0000-0000D9000000}"/>
    <cellStyle name="20% - Accent4 2 8 2" xfId="384" xr:uid="{00000000-0005-0000-0000-0000DA000000}"/>
    <cellStyle name="20% - Accent4 2 8 2 2" xfId="4823" xr:uid="{A5E051BB-F6AD-430D-8B4D-225AB86BCC26}"/>
    <cellStyle name="20% - Accent4 2 8 3" xfId="4822" xr:uid="{685FC4CD-E72A-444D-864B-1F8B971D86F8}"/>
    <cellStyle name="20% - Accent4 2 9" xfId="385" xr:uid="{00000000-0005-0000-0000-0000DB000000}"/>
    <cellStyle name="20% - Accent4 2 9 2" xfId="4824" xr:uid="{69DDBF44-4EA8-411E-8DCA-AA3A672BB1F5}"/>
    <cellStyle name="20% - Accent4 3" xfId="386" xr:uid="{00000000-0005-0000-0000-0000DC000000}"/>
    <cellStyle name="20% - Accent4 4" xfId="387" xr:uid="{00000000-0005-0000-0000-0000DD000000}"/>
    <cellStyle name="20% - Accent4 5" xfId="388" xr:uid="{00000000-0005-0000-0000-0000DE000000}"/>
    <cellStyle name="20% - Accent4 6" xfId="389" xr:uid="{00000000-0005-0000-0000-0000DF000000}"/>
    <cellStyle name="20% - Accent4 7" xfId="390" xr:uid="{00000000-0005-0000-0000-0000E0000000}"/>
    <cellStyle name="20% - Accent4 8" xfId="391" xr:uid="{00000000-0005-0000-0000-0000E1000000}"/>
    <cellStyle name="20% - Accent4 9" xfId="392" xr:uid="{00000000-0005-0000-0000-0000E2000000}"/>
    <cellStyle name="20% - Accent5 10" xfId="393" xr:uid="{00000000-0005-0000-0000-0000E3000000}"/>
    <cellStyle name="20% - Accent5 11" xfId="394" xr:uid="{00000000-0005-0000-0000-0000E4000000}"/>
    <cellStyle name="20% - Accent5 12" xfId="395" xr:uid="{00000000-0005-0000-0000-0000E5000000}"/>
    <cellStyle name="20% - Accent5 13" xfId="396" xr:uid="{00000000-0005-0000-0000-0000E6000000}"/>
    <cellStyle name="20% - Accent5 14" xfId="397" xr:uid="{00000000-0005-0000-0000-0000E7000000}"/>
    <cellStyle name="20% - Accent5 15" xfId="398" xr:uid="{00000000-0005-0000-0000-0000E8000000}"/>
    <cellStyle name="20% - Accent5 16" xfId="399" xr:uid="{00000000-0005-0000-0000-0000E9000000}"/>
    <cellStyle name="20% - Accent5 17" xfId="400" xr:uid="{00000000-0005-0000-0000-0000EA000000}"/>
    <cellStyle name="20% - Accent5 18" xfId="401" xr:uid="{00000000-0005-0000-0000-0000EB000000}"/>
    <cellStyle name="20% - Accent5 2" xfId="20" xr:uid="{00000000-0005-0000-0000-0000EC000000}"/>
    <cellStyle name="20% - Accent5 2 2" xfId="402" xr:uid="{00000000-0005-0000-0000-0000ED000000}"/>
    <cellStyle name="20% - Accent5 2 2 2" xfId="403" xr:uid="{00000000-0005-0000-0000-0000EE000000}"/>
    <cellStyle name="20% - Accent5 2 2 2 2" xfId="404" xr:uid="{00000000-0005-0000-0000-0000EF000000}"/>
    <cellStyle name="20% - Accent5 2 2 2 2 2" xfId="4827" xr:uid="{BAA7BB35-32C5-4590-9EE1-19F56E607CB7}"/>
    <cellStyle name="20% - Accent5 2 2 2 3" xfId="4826" xr:uid="{EC7A2B3E-8DA4-4444-B231-D1544304525A}"/>
    <cellStyle name="20% - Accent5 2 2 3" xfId="405" xr:uid="{00000000-0005-0000-0000-0000F0000000}"/>
    <cellStyle name="20% - Accent5 2 2 3 2" xfId="4828" xr:uid="{46D69829-2E75-4714-98B2-E99E7BDCC540}"/>
    <cellStyle name="20% - Accent5 2 2 4" xfId="4825" xr:uid="{AFA7E1E7-3A51-4F71-B5DB-1FD3BA5C4ED9}"/>
    <cellStyle name="20% - Accent5 2 3" xfId="406" xr:uid="{00000000-0005-0000-0000-0000F1000000}"/>
    <cellStyle name="20% - Accent5 2 3 2" xfId="407" xr:uid="{00000000-0005-0000-0000-0000F2000000}"/>
    <cellStyle name="20% - Accent5 2 3 2 2" xfId="408" xr:uid="{00000000-0005-0000-0000-0000F3000000}"/>
    <cellStyle name="20% - Accent5 2 3 2 2 2" xfId="4831" xr:uid="{A3F84533-0757-434F-9FB4-19507D612AF5}"/>
    <cellStyle name="20% - Accent5 2 3 2 3" xfId="4830" xr:uid="{639243EC-1DEB-4CB9-B647-BB425C3ED975}"/>
    <cellStyle name="20% - Accent5 2 3 3" xfId="409" xr:uid="{00000000-0005-0000-0000-0000F4000000}"/>
    <cellStyle name="20% - Accent5 2 3 3 2" xfId="4832" xr:uid="{A84AD155-11FB-4B8C-80D7-2877F31C5584}"/>
    <cellStyle name="20% - Accent5 2 3 4" xfId="4829" xr:uid="{507B52AA-01DB-477B-8DF2-AD577970AC4F}"/>
    <cellStyle name="20% - Accent5 2 4" xfId="410" xr:uid="{00000000-0005-0000-0000-0000F5000000}"/>
    <cellStyle name="20% - Accent5 2 4 2" xfId="411" xr:uid="{00000000-0005-0000-0000-0000F6000000}"/>
    <cellStyle name="20% - Accent5 2 4 2 2" xfId="412" xr:uid="{00000000-0005-0000-0000-0000F7000000}"/>
    <cellStyle name="20% - Accent5 2 4 2 2 2" xfId="4835" xr:uid="{1B06FA8E-E394-40A7-9D45-3811EB5C78B0}"/>
    <cellStyle name="20% - Accent5 2 4 2 3" xfId="4834" xr:uid="{9F57FA20-B67C-42A9-9ED0-3BEB254D7075}"/>
    <cellStyle name="20% - Accent5 2 4 3" xfId="413" xr:uid="{00000000-0005-0000-0000-0000F8000000}"/>
    <cellStyle name="20% - Accent5 2 4 3 2" xfId="4836" xr:uid="{F4946AE9-11BF-4CF9-BDE2-F0433A3B9B2C}"/>
    <cellStyle name="20% - Accent5 2 4 4" xfId="4833" xr:uid="{BAF1FECC-9073-4066-9138-F0CCBC0306CF}"/>
    <cellStyle name="20% - Accent5 2 5" xfId="414" xr:uid="{00000000-0005-0000-0000-0000F9000000}"/>
    <cellStyle name="20% - Accent5 2 5 2" xfId="415" xr:uid="{00000000-0005-0000-0000-0000FA000000}"/>
    <cellStyle name="20% - Accent5 2 5 2 2" xfId="416" xr:uid="{00000000-0005-0000-0000-0000FB000000}"/>
    <cellStyle name="20% - Accent5 2 5 2 2 2" xfId="4839" xr:uid="{C5A2D507-0608-449C-A25B-DA86A030D3ED}"/>
    <cellStyle name="20% - Accent5 2 5 2 3" xfId="4838" xr:uid="{0C0643C5-BC39-4CC9-9235-7CDFD1CBBCB2}"/>
    <cellStyle name="20% - Accent5 2 5 3" xfId="417" xr:uid="{00000000-0005-0000-0000-0000FC000000}"/>
    <cellStyle name="20% - Accent5 2 5 3 2" xfId="4840" xr:uid="{BF954CEE-D750-4C34-B1BD-370AC4EDBDD6}"/>
    <cellStyle name="20% - Accent5 2 5 4" xfId="4837" xr:uid="{6280C9DE-3E3A-465C-B524-035EAB4E7B8E}"/>
    <cellStyle name="20% - Accent5 2 6" xfId="418" xr:uid="{00000000-0005-0000-0000-0000FD000000}"/>
    <cellStyle name="20% - Accent5 2 6 2" xfId="419" xr:uid="{00000000-0005-0000-0000-0000FE000000}"/>
    <cellStyle name="20% - Accent5 2 6 2 2" xfId="420" xr:uid="{00000000-0005-0000-0000-0000FF000000}"/>
    <cellStyle name="20% - Accent5 2 6 2 2 2" xfId="4843" xr:uid="{66D7E977-A02B-4525-B1DF-D580DC0AC316}"/>
    <cellStyle name="20% - Accent5 2 6 2 3" xfId="4842" xr:uid="{02AC4BFE-AB10-469C-8E8A-3AEEE207B699}"/>
    <cellStyle name="20% - Accent5 2 6 3" xfId="421" xr:uid="{00000000-0005-0000-0000-000000010000}"/>
    <cellStyle name="20% - Accent5 2 6 3 2" xfId="4844" xr:uid="{6131F14C-87BC-4C36-B4ED-9001EF78D15A}"/>
    <cellStyle name="20% - Accent5 2 6 4" xfId="4841" xr:uid="{5F4D2E6F-CDBF-4475-924D-0A1F51F1C419}"/>
    <cellStyle name="20% - Accent5 2 7" xfId="422" xr:uid="{00000000-0005-0000-0000-000001010000}"/>
    <cellStyle name="20% - Accent5 2 7 2" xfId="423" xr:uid="{00000000-0005-0000-0000-000002010000}"/>
    <cellStyle name="20% - Accent5 2 7 2 2" xfId="424" xr:uid="{00000000-0005-0000-0000-000003010000}"/>
    <cellStyle name="20% - Accent5 2 7 2 2 2" xfId="4847" xr:uid="{66399250-0C4B-46F5-922C-15EB923E56F0}"/>
    <cellStyle name="20% - Accent5 2 7 2 3" xfId="4846" xr:uid="{469DCAC4-5A86-46EE-91C3-BD5E88C71F3D}"/>
    <cellStyle name="20% - Accent5 2 7 3" xfId="425" xr:uid="{00000000-0005-0000-0000-000004010000}"/>
    <cellStyle name="20% - Accent5 2 7 3 2" xfId="4848" xr:uid="{18E8C89A-85E6-4FB6-B17D-BC1A91F25A29}"/>
    <cellStyle name="20% - Accent5 2 7 4" xfId="4845" xr:uid="{9A386F14-0E1B-45A2-8D9C-084BF47C6CBF}"/>
    <cellStyle name="20% - Accent5 2 8" xfId="426" xr:uid="{00000000-0005-0000-0000-000005010000}"/>
    <cellStyle name="20% - Accent5 2 8 2" xfId="427" xr:uid="{00000000-0005-0000-0000-000006010000}"/>
    <cellStyle name="20% - Accent5 2 8 2 2" xfId="4850" xr:uid="{B8EAE02F-A715-481A-A0FE-FF8C3095B5DE}"/>
    <cellStyle name="20% - Accent5 2 8 3" xfId="4849" xr:uid="{FA72078A-4BBF-4C46-BCEC-FC212A6AEC96}"/>
    <cellStyle name="20% - Accent5 2 9" xfId="428" xr:uid="{00000000-0005-0000-0000-000007010000}"/>
    <cellStyle name="20% - Accent5 2 9 2" xfId="4851" xr:uid="{E02EC5EE-3B0C-4C53-866E-693B675EB761}"/>
    <cellStyle name="20% - Accent5 3" xfId="429" xr:uid="{00000000-0005-0000-0000-000008010000}"/>
    <cellStyle name="20% - Accent5 4" xfId="430" xr:uid="{00000000-0005-0000-0000-000009010000}"/>
    <cellStyle name="20% - Accent5 5" xfId="431" xr:uid="{00000000-0005-0000-0000-00000A010000}"/>
    <cellStyle name="20% - Accent5 6" xfId="432" xr:uid="{00000000-0005-0000-0000-00000B010000}"/>
    <cellStyle name="20% - Accent5 7" xfId="433" xr:uid="{00000000-0005-0000-0000-00000C010000}"/>
    <cellStyle name="20% - Accent5 8" xfId="434" xr:uid="{00000000-0005-0000-0000-00000D010000}"/>
    <cellStyle name="20% - Accent5 9" xfId="435" xr:uid="{00000000-0005-0000-0000-00000E010000}"/>
    <cellStyle name="20% - Accent6 10" xfId="436" xr:uid="{00000000-0005-0000-0000-00000F010000}"/>
    <cellStyle name="20% - Accent6 11" xfId="437" xr:uid="{00000000-0005-0000-0000-000010010000}"/>
    <cellStyle name="20% - Accent6 12" xfId="438" xr:uid="{00000000-0005-0000-0000-000011010000}"/>
    <cellStyle name="20% - Accent6 13" xfId="439" xr:uid="{00000000-0005-0000-0000-000012010000}"/>
    <cellStyle name="20% - Accent6 14" xfId="440" xr:uid="{00000000-0005-0000-0000-000013010000}"/>
    <cellStyle name="20% - Accent6 15" xfId="441" xr:uid="{00000000-0005-0000-0000-000014010000}"/>
    <cellStyle name="20% - Accent6 16" xfId="442" xr:uid="{00000000-0005-0000-0000-000015010000}"/>
    <cellStyle name="20% - Accent6 17" xfId="443" xr:uid="{00000000-0005-0000-0000-000016010000}"/>
    <cellStyle name="20% - Accent6 18" xfId="444" xr:uid="{00000000-0005-0000-0000-000017010000}"/>
    <cellStyle name="20% - Accent6 2" xfId="21" xr:uid="{00000000-0005-0000-0000-000018010000}"/>
    <cellStyle name="20% - Accent6 2 2" xfId="445" xr:uid="{00000000-0005-0000-0000-000019010000}"/>
    <cellStyle name="20% - Accent6 2 2 2" xfId="446" xr:uid="{00000000-0005-0000-0000-00001A010000}"/>
    <cellStyle name="20% - Accent6 2 2 2 2" xfId="447" xr:uid="{00000000-0005-0000-0000-00001B010000}"/>
    <cellStyle name="20% - Accent6 2 2 2 2 2" xfId="4854" xr:uid="{485F05B6-867C-4A16-A29D-6DA56F9FD6ED}"/>
    <cellStyle name="20% - Accent6 2 2 2 3" xfId="4853" xr:uid="{48D89CFB-742C-4CE2-A08B-F29D32AAD372}"/>
    <cellStyle name="20% - Accent6 2 2 3" xfId="448" xr:uid="{00000000-0005-0000-0000-00001C010000}"/>
    <cellStyle name="20% - Accent6 2 2 3 2" xfId="4855" xr:uid="{7AA83F49-6ECB-46A6-8E30-CFA4244A5ADF}"/>
    <cellStyle name="20% - Accent6 2 2 4" xfId="4852" xr:uid="{DF282E1B-4946-4604-923C-1A74EAEEBB19}"/>
    <cellStyle name="20% - Accent6 2 3" xfId="449" xr:uid="{00000000-0005-0000-0000-00001D010000}"/>
    <cellStyle name="20% - Accent6 2 3 2" xfId="450" xr:uid="{00000000-0005-0000-0000-00001E010000}"/>
    <cellStyle name="20% - Accent6 2 3 2 2" xfId="451" xr:uid="{00000000-0005-0000-0000-00001F010000}"/>
    <cellStyle name="20% - Accent6 2 3 2 2 2" xfId="4858" xr:uid="{9CFA22C0-37A8-4A98-A221-3233EFEF6BFF}"/>
    <cellStyle name="20% - Accent6 2 3 2 3" xfId="4857" xr:uid="{9A900A14-736D-423D-9BF2-761593AFE051}"/>
    <cellStyle name="20% - Accent6 2 3 3" xfId="452" xr:uid="{00000000-0005-0000-0000-000020010000}"/>
    <cellStyle name="20% - Accent6 2 3 3 2" xfId="4859" xr:uid="{AE2A6EC4-E591-49CF-9C34-007FA3EAADFD}"/>
    <cellStyle name="20% - Accent6 2 3 4" xfId="4856" xr:uid="{6778124E-32B7-4BE4-9616-35F6D717FF84}"/>
    <cellStyle name="20% - Accent6 2 4" xfId="453" xr:uid="{00000000-0005-0000-0000-000021010000}"/>
    <cellStyle name="20% - Accent6 2 4 2" xfId="454" xr:uid="{00000000-0005-0000-0000-000022010000}"/>
    <cellStyle name="20% - Accent6 2 4 2 2" xfId="455" xr:uid="{00000000-0005-0000-0000-000023010000}"/>
    <cellStyle name="20% - Accent6 2 4 2 2 2" xfId="4862" xr:uid="{DEF14D8D-3B8D-41AA-AEB5-413AC85C1082}"/>
    <cellStyle name="20% - Accent6 2 4 2 3" xfId="4861" xr:uid="{09EB8791-EB03-4758-A213-6CFC55A1C620}"/>
    <cellStyle name="20% - Accent6 2 4 3" xfId="456" xr:uid="{00000000-0005-0000-0000-000024010000}"/>
    <cellStyle name="20% - Accent6 2 4 3 2" xfId="4863" xr:uid="{CC561B8C-B04C-4A50-BE60-8532B8A22E5C}"/>
    <cellStyle name="20% - Accent6 2 4 4" xfId="4860" xr:uid="{4CA49318-A0F7-4531-8AE7-AFAEEFFAAB24}"/>
    <cellStyle name="20% - Accent6 2 5" xfId="457" xr:uid="{00000000-0005-0000-0000-000025010000}"/>
    <cellStyle name="20% - Accent6 2 5 2" xfId="458" xr:uid="{00000000-0005-0000-0000-000026010000}"/>
    <cellStyle name="20% - Accent6 2 5 2 2" xfId="459" xr:uid="{00000000-0005-0000-0000-000027010000}"/>
    <cellStyle name="20% - Accent6 2 5 2 2 2" xfId="4866" xr:uid="{3CC52C50-DF45-4FF7-9065-781AAB995D73}"/>
    <cellStyle name="20% - Accent6 2 5 2 3" xfId="4865" xr:uid="{B3364446-F232-4B74-B842-923BCAD0AFE4}"/>
    <cellStyle name="20% - Accent6 2 5 3" xfId="460" xr:uid="{00000000-0005-0000-0000-000028010000}"/>
    <cellStyle name="20% - Accent6 2 5 3 2" xfId="4867" xr:uid="{3B171200-31F7-4013-94FF-62187F82AA3E}"/>
    <cellStyle name="20% - Accent6 2 5 4" xfId="4864" xr:uid="{19412EF5-6F65-4D0B-855B-ADD502AB2117}"/>
    <cellStyle name="20% - Accent6 2 6" xfId="461" xr:uid="{00000000-0005-0000-0000-000029010000}"/>
    <cellStyle name="20% - Accent6 2 6 2" xfId="462" xr:uid="{00000000-0005-0000-0000-00002A010000}"/>
    <cellStyle name="20% - Accent6 2 6 2 2" xfId="463" xr:uid="{00000000-0005-0000-0000-00002B010000}"/>
    <cellStyle name="20% - Accent6 2 6 2 2 2" xfId="4870" xr:uid="{82E14BBA-7311-493C-87F0-E77889F4E610}"/>
    <cellStyle name="20% - Accent6 2 6 2 3" xfId="4869" xr:uid="{5B354529-CBFA-4078-8723-2E0F8B963F87}"/>
    <cellStyle name="20% - Accent6 2 6 3" xfId="464" xr:uid="{00000000-0005-0000-0000-00002C010000}"/>
    <cellStyle name="20% - Accent6 2 6 3 2" xfId="4871" xr:uid="{A73E7129-335A-460D-8B76-53C69ABA1D24}"/>
    <cellStyle name="20% - Accent6 2 6 4" xfId="4868" xr:uid="{8BF599BC-EB3E-4384-9CC2-15D99FE57FFF}"/>
    <cellStyle name="20% - Accent6 2 7" xfId="465" xr:uid="{00000000-0005-0000-0000-00002D010000}"/>
    <cellStyle name="20% - Accent6 2 7 2" xfId="466" xr:uid="{00000000-0005-0000-0000-00002E010000}"/>
    <cellStyle name="20% - Accent6 2 7 2 2" xfId="467" xr:uid="{00000000-0005-0000-0000-00002F010000}"/>
    <cellStyle name="20% - Accent6 2 7 2 2 2" xfId="4874" xr:uid="{30784D3F-FC8A-4A77-B9BC-EB1D4CD2DE2A}"/>
    <cellStyle name="20% - Accent6 2 7 2 3" xfId="4873" xr:uid="{BDA34587-D682-4249-8D43-826F09B279FA}"/>
    <cellStyle name="20% - Accent6 2 7 3" xfId="468" xr:uid="{00000000-0005-0000-0000-000030010000}"/>
    <cellStyle name="20% - Accent6 2 7 3 2" xfId="4875" xr:uid="{75E46A15-2C48-4479-81DE-422CAEF28DB8}"/>
    <cellStyle name="20% - Accent6 2 7 4" xfId="4872" xr:uid="{1602A96A-A881-4E3A-921C-E950677DA468}"/>
    <cellStyle name="20% - Accent6 2 8" xfId="469" xr:uid="{00000000-0005-0000-0000-000031010000}"/>
    <cellStyle name="20% - Accent6 2 8 2" xfId="470" xr:uid="{00000000-0005-0000-0000-000032010000}"/>
    <cellStyle name="20% - Accent6 2 8 2 2" xfId="4877" xr:uid="{B0958AE0-1AD3-4AA0-B884-E5147E0CCB5B}"/>
    <cellStyle name="20% - Accent6 2 8 3" xfId="4876" xr:uid="{ACA6D9C6-BE25-4F90-A25B-CB14EA63AC90}"/>
    <cellStyle name="20% - Accent6 2 9" xfId="471" xr:uid="{00000000-0005-0000-0000-000033010000}"/>
    <cellStyle name="20% - Accent6 2 9 2" xfId="4878" xr:uid="{BC6ACBAD-9780-4CD1-A7DC-B7A4BAE9BDAF}"/>
    <cellStyle name="20% - Accent6 3" xfId="472" xr:uid="{00000000-0005-0000-0000-000034010000}"/>
    <cellStyle name="20% - Accent6 4" xfId="473" xr:uid="{00000000-0005-0000-0000-000035010000}"/>
    <cellStyle name="20% - Accent6 5" xfId="474" xr:uid="{00000000-0005-0000-0000-000036010000}"/>
    <cellStyle name="20% - Accent6 6" xfId="475" xr:uid="{00000000-0005-0000-0000-000037010000}"/>
    <cellStyle name="20% - Accent6 7" xfId="476" xr:uid="{00000000-0005-0000-0000-000038010000}"/>
    <cellStyle name="20% - Accent6 8" xfId="477" xr:uid="{00000000-0005-0000-0000-000039010000}"/>
    <cellStyle name="20% - Accent6 9" xfId="478" xr:uid="{00000000-0005-0000-0000-00003A010000}"/>
    <cellStyle name="40% - Accent1 10" xfId="479" xr:uid="{00000000-0005-0000-0000-00003B010000}"/>
    <cellStyle name="40% - Accent1 11" xfId="480" xr:uid="{00000000-0005-0000-0000-00003C010000}"/>
    <cellStyle name="40% - Accent1 12" xfId="481" xr:uid="{00000000-0005-0000-0000-00003D010000}"/>
    <cellStyle name="40% - Accent1 13" xfId="482" xr:uid="{00000000-0005-0000-0000-00003E010000}"/>
    <cellStyle name="40% - Accent1 14" xfId="483" xr:uid="{00000000-0005-0000-0000-00003F010000}"/>
    <cellStyle name="40% - Accent1 15" xfId="484" xr:uid="{00000000-0005-0000-0000-000040010000}"/>
    <cellStyle name="40% - Accent1 16" xfId="485" xr:uid="{00000000-0005-0000-0000-000041010000}"/>
    <cellStyle name="40% - Accent1 17" xfId="486" xr:uid="{00000000-0005-0000-0000-000042010000}"/>
    <cellStyle name="40% - Accent1 18" xfId="487" xr:uid="{00000000-0005-0000-0000-000043010000}"/>
    <cellStyle name="40% - Accent1 2" xfId="22" xr:uid="{00000000-0005-0000-0000-000044010000}"/>
    <cellStyle name="40% - Accent1 2 2" xfId="488" xr:uid="{00000000-0005-0000-0000-000045010000}"/>
    <cellStyle name="40% - Accent1 2 2 2" xfId="489" xr:uid="{00000000-0005-0000-0000-000046010000}"/>
    <cellStyle name="40% - Accent1 2 2 2 2" xfId="490" xr:uid="{00000000-0005-0000-0000-000047010000}"/>
    <cellStyle name="40% - Accent1 2 2 2 2 2" xfId="4881" xr:uid="{D85F5368-D4ED-45FD-BBAA-40A0D58737E4}"/>
    <cellStyle name="40% - Accent1 2 2 2 3" xfId="4880" xr:uid="{E303F292-2214-4FD8-9AFD-F0CD47B6C53F}"/>
    <cellStyle name="40% - Accent1 2 2 3" xfId="491" xr:uid="{00000000-0005-0000-0000-000048010000}"/>
    <cellStyle name="40% - Accent1 2 2 3 2" xfId="4882" xr:uid="{7009E6EA-F6BA-420E-AD57-E716994EAC6B}"/>
    <cellStyle name="40% - Accent1 2 2 4" xfId="4879" xr:uid="{35DC5945-990A-4B23-9ACB-475EA77F1094}"/>
    <cellStyle name="40% - Accent1 2 3" xfId="492" xr:uid="{00000000-0005-0000-0000-000049010000}"/>
    <cellStyle name="40% - Accent1 2 3 2" xfId="493" xr:uid="{00000000-0005-0000-0000-00004A010000}"/>
    <cellStyle name="40% - Accent1 2 3 2 2" xfId="494" xr:uid="{00000000-0005-0000-0000-00004B010000}"/>
    <cellStyle name="40% - Accent1 2 3 2 2 2" xfId="4885" xr:uid="{B35181D0-96D4-45B4-A4CE-D56FBBE19D84}"/>
    <cellStyle name="40% - Accent1 2 3 2 3" xfId="4884" xr:uid="{B2C56168-65AB-4CEC-8ABD-864459247371}"/>
    <cellStyle name="40% - Accent1 2 3 3" xfId="495" xr:uid="{00000000-0005-0000-0000-00004C010000}"/>
    <cellStyle name="40% - Accent1 2 3 3 2" xfId="4886" xr:uid="{3B69162C-5984-48AF-92ED-3134C2367AD5}"/>
    <cellStyle name="40% - Accent1 2 3 4" xfId="4883" xr:uid="{1207741B-F105-4D05-9811-CCF03ACFC613}"/>
    <cellStyle name="40% - Accent1 2 4" xfId="496" xr:uid="{00000000-0005-0000-0000-00004D010000}"/>
    <cellStyle name="40% - Accent1 2 4 2" xfId="497" xr:uid="{00000000-0005-0000-0000-00004E010000}"/>
    <cellStyle name="40% - Accent1 2 4 2 2" xfId="498" xr:uid="{00000000-0005-0000-0000-00004F010000}"/>
    <cellStyle name="40% - Accent1 2 4 2 2 2" xfId="4889" xr:uid="{6AC0E908-B40E-4782-82BC-0B8A08FDADFC}"/>
    <cellStyle name="40% - Accent1 2 4 2 3" xfId="4888" xr:uid="{5EBBA7DC-3B55-4EF2-8EFF-C0869ABB8B27}"/>
    <cellStyle name="40% - Accent1 2 4 3" xfId="499" xr:uid="{00000000-0005-0000-0000-000050010000}"/>
    <cellStyle name="40% - Accent1 2 4 3 2" xfId="4890" xr:uid="{4C32DF78-2304-4CC0-85CE-554638A524D6}"/>
    <cellStyle name="40% - Accent1 2 4 4" xfId="4887" xr:uid="{568D31D9-3593-4F78-A333-E593C0003BEA}"/>
    <cellStyle name="40% - Accent1 2 5" xfId="500" xr:uid="{00000000-0005-0000-0000-000051010000}"/>
    <cellStyle name="40% - Accent1 2 5 2" xfId="501" xr:uid="{00000000-0005-0000-0000-000052010000}"/>
    <cellStyle name="40% - Accent1 2 5 2 2" xfId="502" xr:uid="{00000000-0005-0000-0000-000053010000}"/>
    <cellStyle name="40% - Accent1 2 5 2 2 2" xfId="4893" xr:uid="{04BBC8F0-CA85-4648-9F3F-000A11F98010}"/>
    <cellStyle name="40% - Accent1 2 5 2 3" xfId="4892" xr:uid="{A75FFC7D-594D-489C-A01B-DF28F8D312AB}"/>
    <cellStyle name="40% - Accent1 2 5 3" xfId="503" xr:uid="{00000000-0005-0000-0000-000054010000}"/>
    <cellStyle name="40% - Accent1 2 5 3 2" xfId="4894" xr:uid="{197D832E-F0B2-48BE-85D2-8DB5971FCEB5}"/>
    <cellStyle name="40% - Accent1 2 5 4" xfId="4891" xr:uid="{8A3133F9-8EEF-4177-AA12-FED0DA61DD34}"/>
    <cellStyle name="40% - Accent1 2 6" xfId="504" xr:uid="{00000000-0005-0000-0000-000055010000}"/>
    <cellStyle name="40% - Accent1 2 6 2" xfId="505" xr:uid="{00000000-0005-0000-0000-000056010000}"/>
    <cellStyle name="40% - Accent1 2 6 2 2" xfId="506" xr:uid="{00000000-0005-0000-0000-000057010000}"/>
    <cellStyle name="40% - Accent1 2 6 2 2 2" xfId="4897" xr:uid="{D2C5162D-5A40-46A0-B3A4-97534DCE0104}"/>
    <cellStyle name="40% - Accent1 2 6 2 3" xfId="4896" xr:uid="{3155051B-CFB6-4999-A050-65911C9832FC}"/>
    <cellStyle name="40% - Accent1 2 6 3" xfId="507" xr:uid="{00000000-0005-0000-0000-000058010000}"/>
    <cellStyle name="40% - Accent1 2 6 3 2" xfId="4898" xr:uid="{E17E885F-C38C-43CE-AD42-13DB4C23992E}"/>
    <cellStyle name="40% - Accent1 2 6 4" xfId="4895" xr:uid="{0709DF13-2F07-4752-BC36-4F0677C95FBF}"/>
    <cellStyle name="40% - Accent1 2 7" xfId="508" xr:uid="{00000000-0005-0000-0000-000059010000}"/>
    <cellStyle name="40% - Accent1 2 7 2" xfId="509" xr:uid="{00000000-0005-0000-0000-00005A010000}"/>
    <cellStyle name="40% - Accent1 2 7 2 2" xfId="510" xr:uid="{00000000-0005-0000-0000-00005B010000}"/>
    <cellStyle name="40% - Accent1 2 7 2 2 2" xfId="4901" xr:uid="{2F8DF478-57A3-462A-AC37-3602A372ABA9}"/>
    <cellStyle name="40% - Accent1 2 7 2 3" xfId="4900" xr:uid="{CAC53A69-B99A-4984-A736-01368727F40D}"/>
    <cellStyle name="40% - Accent1 2 7 3" xfId="511" xr:uid="{00000000-0005-0000-0000-00005C010000}"/>
    <cellStyle name="40% - Accent1 2 7 3 2" xfId="4902" xr:uid="{05F029FD-B61E-474B-990E-43FCA23CC786}"/>
    <cellStyle name="40% - Accent1 2 7 4" xfId="4899" xr:uid="{A7FE8889-39A4-4B19-9ADC-55B8EA0979E0}"/>
    <cellStyle name="40% - Accent1 2 8" xfId="512" xr:uid="{00000000-0005-0000-0000-00005D010000}"/>
    <cellStyle name="40% - Accent1 2 8 2" xfId="513" xr:uid="{00000000-0005-0000-0000-00005E010000}"/>
    <cellStyle name="40% - Accent1 2 8 2 2" xfId="4904" xr:uid="{F6835BFA-0633-4BF1-A70F-4F9778B09791}"/>
    <cellStyle name="40% - Accent1 2 8 3" xfId="4903" xr:uid="{84B908EF-364C-4162-A429-ADF9AF931884}"/>
    <cellStyle name="40% - Accent1 2 9" xfId="514" xr:uid="{00000000-0005-0000-0000-00005F010000}"/>
    <cellStyle name="40% - Accent1 2 9 2" xfId="4905" xr:uid="{E6F040C6-30D0-469A-A011-9A2BB3B9ACB4}"/>
    <cellStyle name="40% - Accent1 3" xfId="515" xr:uid="{00000000-0005-0000-0000-000060010000}"/>
    <cellStyle name="40% - Accent1 4" xfId="516" xr:uid="{00000000-0005-0000-0000-000061010000}"/>
    <cellStyle name="40% - Accent1 5" xfId="517" xr:uid="{00000000-0005-0000-0000-000062010000}"/>
    <cellStyle name="40% - Accent1 6" xfId="518" xr:uid="{00000000-0005-0000-0000-000063010000}"/>
    <cellStyle name="40% - Accent1 7" xfId="519" xr:uid="{00000000-0005-0000-0000-000064010000}"/>
    <cellStyle name="40% - Accent1 8" xfId="520" xr:uid="{00000000-0005-0000-0000-000065010000}"/>
    <cellStyle name="40% - Accent1 9" xfId="521" xr:uid="{00000000-0005-0000-0000-000066010000}"/>
    <cellStyle name="40% - Accent2 10" xfId="522" xr:uid="{00000000-0005-0000-0000-000067010000}"/>
    <cellStyle name="40% - Accent2 11" xfId="523" xr:uid="{00000000-0005-0000-0000-000068010000}"/>
    <cellStyle name="40% - Accent2 12" xfId="524" xr:uid="{00000000-0005-0000-0000-000069010000}"/>
    <cellStyle name="40% - Accent2 13" xfId="525" xr:uid="{00000000-0005-0000-0000-00006A010000}"/>
    <cellStyle name="40% - Accent2 14" xfId="526" xr:uid="{00000000-0005-0000-0000-00006B010000}"/>
    <cellStyle name="40% - Accent2 15" xfId="527" xr:uid="{00000000-0005-0000-0000-00006C010000}"/>
    <cellStyle name="40% - Accent2 16" xfId="528" xr:uid="{00000000-0005-0000-0000-00006D010000}"/>
    <cellStyle name="40% - Accent2 17" xfId="529" xr:uid="{00000000-0005-0000-0000-00006E010000}"/>
    <cellStyle name="40% - Accent2 18" xfId="530" xr:uid="{00000000-0005-0000-0000-00006F010000}"/>
    <cellStyle name="40% - Accent2 2" xfId="23" xr:uid="{00000000-0005-0000-0000-000070010000}"/>
    <cellStyle name="40% - Accent2 2 2" xfId="531" xr:uid="{00000000-0005-0000-0000-000071010000}"/>
    <cellStyle name="40% - Accent2 2 2 2" xfId="532" xr:uid="{00000000-0005-0000-0000-000072010000}"/>
    <cellStyle name="40% - Accent2 2 2 2 2" xfId="533" xr:uid="{00000000-0005-0000-0000-000073010000}"/>
    <cellStyle name="40% - Accent2 2 2 2 2 2" xfId="4908" xr:uid="{3E3DA48F-6221-4869-A2FD-616D90707A27}"/>
    <cellStyle name="40% - Accent2 2 2 2 3" xfId="4907" xr:uid="{D19F6CB7-C591-4A5F-B208-24BE25A0B718}"/>
    <cellStyle name="40% - Accent2 2 2 3" xfId="534" xr:uid="{00000000-0005-0000-0000-000074010000}"/>
    <cellStyle name="40% - Accent2 2 2 3 2" xfId="4909" xr:uid="{CA493B81-2ED5-47FD-8181-7D47CB7413C1}"/>
    <cellStyle name="40% - Accent2 2 2 4" xfId="4906" xr:uid="{CB73B799-3C7A-4CEB-8F5D-DEA97DE6DDB8}"/>
    <cellStyle name="40% - Accent2 2 3" xfId="535" xr:uid="{00000000-0005-0000-0000-000075010000}"/>
    <cellStyle name="40% - Accent2 2 3 2" xfId="536" xr:uid="{00000000-0005-0000-0000-000076010000}"/>
    <cellStyle name="40% - Accent2 2 3 2 2" xfId="537" xr:uid="{00000000-0005-0000-0000-000077010000}"/>
    <cellStyle name="40% - Accent2 2 3 2 2 2" xfId="4912" xr:uid="{DC8D4225-1AF5-4D24-86F2-6C28C7231ACF}"/>
    <cellStyle name="40% - Accent2 2 3 2 3" xfId="4911" xr:uid="{717A19F5-0FA8-4440-9A10-014DD8BC63CA}"/>
    <cellStyle name="40% - Accent2 2 3 3" xfId="538" xr:uid="{00000000-0005-0000-0000-000078010000}"/>
    <cellStyle name="40% - Accent2 2 3 3 2" xfId="4913" xr:uid="{B7AD958B-5096-467C-B5E4-AA4D2DE8EAE5}"/>
    <cellStyle name="40% - Accent2 2 3 4" xfId="4910" xr:uid="{C781882A-D79B-45DA-BE7D-0C0C6B1C0D6E}"/>
    <cellStyle name="40% - Accent2 2 4" xfId="539" xr:uid="{00000000-0005-0000-0000-000079010000}"/>
    <cellStyle name="40% - Accent2 2 4 2" xfId="540" xr:uid="{00000000-0005-0000-0000-00007A010000}"/>
    <cellStyle name="40% - Accent2 2 4 2 2" xfId="541" xr:uid="{00000000-0005-0000-0000-00007B010000}"/>
    <cellStyle name="40% - Accent2 2 4 2 2 2" xfId="4916" xr:uid="{A6D82768-4215-4B30-A2CA-F84106D13090}"/>
    <cellStyle name="40% - Accent2 2 4 2 3" xfId="4915" xr:uid="{554B02B2-20F8-4844-B9C5-E89364295A87}"/>
    <cellStyle name="40% - Accent2 2 4 3" xfId="542" xr:uid="{00000000-0005-0000-0000-00007C010000}"/>
    <cellStyle name="40% - Accent2 2 4 3 2" xfId="4917" xr:uid="{8238CE3B-A2FC-479D-977C-EAA1B639DA25}"/>
    <cellStyle name="40% - Accent2 2 4 4" xfId="4914" xr:uid="{6F338B1E-D97F-448E-BF3C-B9CA460582C2}"/>
    <cellStyle name="40% - Accent2 2 5" xfId="543" xr:uid="{00000000-0005-0000-0000-00007D010000}"/>
    <cellStyle name="40% - Accent2 2 5 2" xfId="544" xr:uid="{00000000-0005-0000-0000-00007E010000}"/>
    <cellStyle name="40% - Accent2 2 5 2 2" xfId="545" xr:uid="{00000000-0005-0000-0000-00007F010000}"/>
    <cellStyle name="40% - Accent2 2 5 2 2 2" xfId="4920" xr:uid="{E63475F4-1496-4B17-8AED-56B673F2F635}"/>
    <cellStyle name="40% - Accent2 2 5 2 3" xfId="4919" xr:uid="{672F2425-CDE6-4FF1-BC69-624BF0219885}"/>
    <cellStyle name="40% - Accent2 2 5 3" xfId="546" xr:uid="{00000000-0005-0000-0000-000080010000}"/>
    <cellStyle name="40% - Accent2 2 5 3 2" xfId="4921" xr:uid="{77C40D0E-FB2A-4CAF-B280-F8E539291764}"/>
    <cellStyle name="40% - Accent2 2 5 4" xfId="4918" xr:uid="{3C9568F5-2440-484C-8F84-2FCFBE9D3050}"/>
    <cellStyle name="40% - Accent2 2 6" xfId="547" xr:uid="{00000000-0005-0000-0000-000081010000}"/>
    <cellStyle name="40% - Accent2 2 6 2" xfId="548" xr:uid="{00000000-0005-0000-0000-000082010000}"/>
    <cellStyle name="40% - Accent2 2 6 2 2" xfId="549" xr:uid="{00000000-0005-0000-0000-000083010000}"/>
    <cellStyle name="40% - Accent2 2 6 2 2 2" xfId="4924" xr:uid="{EC6E6C16-88FF-4D80-95A7-517AD64C9C0D}"/>
    <cellStyle name="40% - Accent2 2 6 2 3" xfId="4923" xr:uid="{25455054-A64C-4FE6-B474-20D1AB8A51EC}"/>
    <cellStyle name="40% - Accent2 2 6 3" xfId="550" xr:uid="{00000000-0005-0000-0000-000084010000}"/>
    <cellStyle name="40% - Accent2 2 6 3 2" xfId="4925" xr:uid="{7515B294-FAB2-4427-A716-211EBC592F80}"/>
    <cellStyle name="40% - Accent2 2 6 4" xfId="4922" xr:uid="{4D56C395-77FE-4B15-BDC0-21F029FBCB9C}"/>
    <cellStyle name="40% - Accent2 2 7" xfId="551" xr:uid="{00000000-0005-0000-0000-000085010000}"/>
    <cellStyle name="40% - Accent2 2 7 2" xfId="552" xr:uid="{00000000-0005-0000-0000-000086010000}"/>
    <cellStyle name="40% - Accent2 2 7 2 2" xfId="553" xr:uid="{00000000-0005-0000-0000-000087010000}"/>
    <cellStyle name="40% - Accent2 2 7 2 2 2" xfId="4928" xr:uid="{612A9980-2AF7-4BBE-A850-8CEE634FAB8F}"/>
    <cellStyle name="40% - Accent2 2 7 2 3" xfId="4927" xr:uid="{467EDBE3-5030-4D39-8264-AA02F30504B3}"/>
    <cellStyle name="40% - Accent2 2 7 3" xfId="554" xr:uid="{00000000-0005-0000-0000-000088010000}"/>
    <cellStyle name="40% - Accent2 2 7 3 2" xfId="4929" xr:uid="{09F5FDD3-1D9F-418A-A470-ACE2458859D4}"/>
    <cellStyle name="40% - Accent2 2 7 4" xfId="4926" xr:uid="{78689948-3042-4FF3-A175-65DA5960FE7F}"/>
    <cellStyle name="40% - Accent2 2 8" xfId="555" xr:uid="{00000000-0005-0000-0000-000089010000}"/>
    <cellStyle name="40% - Accent2 2 8 2" xfId="556" xr:uid="{00000000-0005-0000-0000-00008A010000}"/>
    <cellStyle name="40% - Accent2 2 8 2 2" xfId="4931" xr:uid="{261FD0FD-BD67-4E8A-A9C0-2725840D6F02}"/>
    <cellStyle name="40% - Accent2 2 8 3" xfId="4930" xr:uid="{A99FBF12-6BBC-4C44-B1EF-FE0FE73C957C}"/>
    <cellStyle name="40% - Accent2 2 9" xfId="557" xr:uid="{00000000-0005-0000-0000-00008B010000}"/>
    <cellStyle name="40% - Accent2 2 9 2" xfId="4932" xr:uid="{F3C161DC-A54C-4317-B252-8FF8C5170ABA}"/>
    <cellStyle name="40% - Accent2 3" xfId="558" xr:uid="{00000000-0005-0000-0000-00008C010000}"/>
    <cellStyle name="40% - Accent2 4" xfId="559" xr:uid="{00000000-0005-0000-0000-00008D010000}"/>
    <cellStyle name="40% - Accent2 5" xfId="560" xr:uid="{00000000-0005-0000-0000-00008E010000}"/>
    <cellStyle name="40% - Accent2 6" xfId="561" xr:uid="{00000000-0005-0000-0000-00008F010000}"/>
    <cellStyle name="40% - Accent2 7" xfId="562" xr:uid="{00000000-0005-0000-0000-000090010000}"/>
    <cellStyle name="40% - Accent2 8" xfId="563" xr:uid="{00000000-0005-0000-0000-000091010000}"/>
    <cellStyle name="40% - Accent2 9" xfId="564" xr:uid="{00000000-0005-0000-0000-000092010000}"/>
    <cellStyle name="40% - Accent3 10" xfId="565" xr:uid="{00000000-0005-0000-0000-000093010000}"/>
    <cellStyle name="40% - Accent3 11" xfId="566" xr:uid="{00000000-0005-0000-0000-000094010000}"/>
    <cellStyle name="40% - Accent3 12" xfId="567" xr:uid="{00000000-0005-0000-0000-000095010000}"/>
    <cellStyle name="40% - Accent3 13" xfId="568" xr:uid="{00000000-0005-0000-0000-000096010000}"/>
    <cellStyle name="40% - Accent3 14" xfId="569" xr:uid="{00000000-0005-0000-0000-000097010000}"/>
    <cellStyle name="40% - Accent3 15" xfId="570" xr:uid="{00000000-0005-0000-0000-000098010000}"/>
    <cellStyle name="40% - Accent3 16" xfId="571" xr:uid="{00000000-0005-0000-0000-000099010000}"/>
    <cellStyle name="40% - Accent3 17" xfId="572" xr:uid="{00000000-0005-0000-0000-00009A010000}"/>
    <cellStyle name="40% - Accent3 18" xfId="573" xr:uid="{00000000-0005-0000-0000-00009B010000}"/>
    <cellStyle name="40% - Accent3 2" xfId="24" xr:uid="{00000000-0005-0000-0000-00009C010000}"/>
    <cellStyle name="40% - Accent3 2 2" xfId="574" xr:uid="{00000000-0005-0000-0000-00009D010000}"/>
    <cellStyle name="40% - Accent3 2 2 2" xfId="575" xr:uid="{00000000-0005-0000-0000-00009E010000}"/>
    <cellStyle name="40% - Accent3 2 2 2 2" xfId="576" xr:uid="{00000000-0005-0000-0000-00009F010000}"/>
    <cellStyle name="40% - Accent3 2 2 2 2 2" xfId="4935" xr:uid="{119222F6-15E9-4D24-B23A-4FB8147B22AA}"/>
    <cellStyle name="40% - Accent3 2 2 2 3" xfId="4934" xr:uid="{14A9AE0A-6814-4EC6-BD14-F26241CFDE28}"/>
    <cellStyle name="40% - Accent3 2 2 3" xfId="577" xr:uid="{00000000-0005-0000-0000-0000A0010000}"/>
    <cellStyle name="40% - Accent3 2 2 3 2" xfId="4936" xr:uid="{6683CC63-7B61-4E93-8A34-EDAF22FA7D4C}"/>
    <cellStyle name="40% - Accent3 2 2 4" xfId="4933" xr:uid="{7B50A99A-8CC5-48FA-9D2F-591554B2EAFB}"/>
    <cellStyle name="40% - Accent3 2 3" xfId="578" xr:uid="{00000000-0005-0000-0000-0000A1010000}"/>
    <cellStyle name="40% - Accent3 2 3 2" xfId="579" xr:uid="{00000000-0005-0000-0000-0000A2010000}"/>
    <cellStyle name="40% - Accent3 2 3 2 2" xfId="580" xr:uid="{00000000-0005-0000-0000-0000A3010000}"/>
    <cellStyle name="40% - Accent3 2 3 2 2 2" xfId="4939" xr:uid="{8ED6CC87-AB92-45C6-9E27-94BFBCA2C563}"/>
    <cellStyle name="40% - Accent3 2 3 2 3" xfId="4938" xr:uid="{0AFA020E-74D8-4E27-841A-031D513E1042}"/>
    <cellStyle name="40% - Accent3 2 3 3" xfId="581" xr:uid="{00000000-0005-0000-0000-0000A4010000}"/>
    <cellStyle name="40% - Accent3 2 3 3 2" xfId="4940" xr:uid="{1A38A92F-5D06-432A-BB6C-FB4030273C6B}"/>
    <cellStyle name="40% - Accent3 2 3 4" xfId="4937" xr:uid="{F4584CE8-466B-4AE4-B6AE-32DBC4DCD569}"/>
    <cellStyle name="40% - Accent3 2 4" xfId="582" xr:uid="{00000000-0005-0000-0000-0000A5010000}"/>
    <cellStyle name="40% - Accent3 2 4 2" xfId="583" xr:uid="{00000000-0005-0000-0000-0000A6010000}"/>
    <cellStyle name="40% - Accent3 2 4 2 2" xfId="584" xr:uid="{00000000-0005-0000-0000-0000A7010000}"/>
    <cellStyle name="40% - Accent3 2 4 2 2 2" xfId="4943" xr:uid="{DAF26089-6871-43EA-936E-08F0FBF71970}"/>
    <cellStyle name="40% - Accent3 2 4 2 3" xfId="4942" xr:uid="{D5637F6A-F92F-44B4-9D82-5D4B49578693}"/>
    <cellStyle name="40% - Accent3 2 4 3" xfId="585" xr:uid="{00000000-0005-0000-0000-0000A8010000}"/>
    <cellStyle name="40% - Accent3 2 4 3 2" xfId="4944" xr:uid="{3255D450-623E-4E73-8395-08AEFDCBAFCE}"/>
    <cellStyle name="40% - Accent3 2 4 4" xfId="4941" xr:uid="{F36C1706-083C-48E7-8370-6C07A4E09A36}"/>
    <cellStyle name="40% - Accent3 2 5" xfId="586" xr:uid="{00000000-0005-0000-0000-0000A9010000}"/>
    <cellStyle name="40% - Accent3 2 5 2" xfId="587" xr:uid="{00000000-0005-0000-0000-0000AA010000}"/>
    <cellStyle name="40% - Accent3 2 5 2 2" xfId="588" xr:uid="{00000000-0005-0000-0000-0000AB010000}"/>
    <cellStyle name="40% - Accent3 2 5 2 2 2" xfId="4947" xr:uid="{D788AA13-A4D7-4213-8C83-B2AEC2F4E06C}"/>
    <cellStyle name="40% - Accent3 2 5 2 3" xfId="4946" xr:uid="{5E763645-8106-402C-8B77-647EEF89584A}"/>
    <cellStyle name="40% - Accent3 2 5 3" xfId="589" xr:uid="{00000000-0005-0000-0000-0000AC010000}"/>
    <cellStyle name="40% - Accent3 2 5 3 2" xfId="4948" xr:uid="{960C6C05-A631-4C45-9655-1A1C65455380}"/>
    <cellStyle name="40% - Accent3 2 5 4" xfId="4945" xr:uid="{BA1C0E1B-3D14-4C75-A25A-C9830DCA0668}"/>
    <cellStyle name="40% - Accent3 2 6" xfId="590" xr:uid="{00000000-0005-0000-0000-0000AD010000}"/>
    <cellStyle name="40% - Accent3 2 6 2" xfId="591" xr:uid="{00000000-0005-0000-0000-0000AE010000}"/>
    <cellStyle name="40% - Accent3 2 6 2 2" xfId="592" xr:uid="{00000000-0005-0000-0000-0000AF010000}"/>
    <cellStyle name="40% - Accent3 2 6 2 2 2" xfId="4951" xr:uid="{2AC0E71F-6BB4-4F64-B43C-811E74793DBB}"/>
    <cellStyle name="40% - Accent3 2 6 2 3" xfId="4950" xr:uid="{5262FDBE-382D-41F9-8553-2D973CC85A05}"/>
    <cellStyle name="40% - Accent3 2 6 3" xfId="593" xr:uid="{00000000-0005-0000-0000-0000B0010000}"/>
    <cellStyle name="40% - Accent3 2 6 3 2" xfId="4952" xr:uid="{9C96A356-334D-4CEE-948C-6E710C783122}"/>
    <cellStyle name="40% - Accent3 2 6 4" xfId="4949" xr:uid="{735355B1-137D-4F88-8B49-2B3673BD63B1}"/>
    <cellStyle name="40% - Accent3 2 7" xfId="594" xr:uid="{00000000-0005-0000-0000-0000B1010000}"/>
    <cellStyle name="40% - Accent3 2 7 2" xfId="595" xr:uid="{00000000-0005-0000-0000-0000B2010000}"/>
    <cellStyle name="40% - Accent3 2 7 2 2" xfId="596" xr:uid="{00000000-0005-0000-0000-0000B3010000}"/>
    <cellStyle name="40% - Accent3 2 7 2 2 2" xfId="4955" xr:uid="{266CF510-C50D-4C62-A346-BC606AD74CC9}"/>
    <cellStyle name="40% - Accent3 2 7 2 3" xfId="4954" xr:uid="{A9541F78-CF94-4AC0-AA08-0899A81FCBFE}"/>
    <cellStyle name="40% - Accent3 2 7 3" xfId="597" xr:uid="{00000000-0005-0000-0000-0000B4010000}"/>
    <cellStyle name="40% - Accent3 2 7 3 2" xfId="4956" xr:uid="{E33EFD75-2944-4506-A943-B4BD55CDAC26}"/>
    <cellStyle name="40% - Accent3 2 7 4" xfId="4953" xr:uid="{73D8DB54-58EF-4AC4-B765-2D4BE1AA8AAE}"/>
    <cellStyle name="40% - Accent3 2 8" xfId="598" xr:uid="{00000000-0005-0000-0000-0000B5010000}"/>
    <cellStyle name="40% - Accent3 2 8 2" xfId="599" xr:uid="{00000000-0005-0000-0000-0000B6010000}"/>
    <cellStyle name="40% - Accent3 2 8 2 2" xfId="4958" xr:uid="{AC94706A-07BE-48E7-96C7-D2B3A4F0B6FF}"/>
    <cellStyle name="40% - Accent3 2 8 3" xfId="4957" xr:uid="{FFB7FC60-CC47-42C8-B73A-3C5316EE3E01}"/>
    <cellStyle name="40% - Accent3 2 9" xfId="600" xr:uid="{00000000-0005-0000-0000-0000B7010000}"/>
    <cellStyle name="40% - Accent3 2 9 2" xfId="4959" xr:uid="{DFECCA8A-EF44-4E5F-A4FE-FD4D2FC8060C}"/>
    <cellStyle name="40% - Accent3 3" xfId="601" xr:uid="{00000000-0005-0000-0000-0000B8010000}"/>
    <cellStyle name="40% - Accent3 4" xfId="602" xr:uid="{00000000-0005-0000-0000-0000B9010000}"/>
    <cellStyle name="40% - Accent3 5" xfId="603" xr:uid="{00000000-0005-0000-0000-0000BA010000}"/>
    <cellStyle name="40% - Accent3 6" xfId="604" xr:uid="{00000000-0005-0000-0000-0000BB010000}"/>
    <cellStyle name="40% - Accent3 7" xfId="605" xr:uid="{00000000-0005-0000-0000-0000BC010000}"/>
    <cellStyle name="40% - Accent3 8" xfId="606" xr:uid="{00000000-0005-0000-0000-0000BD010000}"/>
    <cellStyle name="40% - Accent3 9" xfId="607" xr:uid="{00000000-0005-0000-0000-0000BE010000}"/>
    <cellStyle name="40% - Accent4 10" xfId="608" xr:uid="{00000000-0005-0000-0000-0000BF010000}"/>
    <cellStyle name="40% - Accent4 11" xfId="609" xr:uid="{00000000-0005-0000-0000-0000C0010000}"/>
    <cellStyle name="40% - Accent4 12" xfId="610" xr:uid="{00000000-0005-0000-0000-0000C1010000}"/>
    <cellStyle name="40% - Accent4 13" xfId="611" xr:uid="{00000000-0005-0000-0000-0000C2010000}"/>
    <cellStyle name="40% - Accent4 14" xfId="612" xr:uid="{00000000-0005-0000-0000-0000C3010000}"/>
    <cellStyle name="40% - Accent4 15" xfId="613" xr:uid="{00000000-0005-0000-0000-0000C4010000}"/>
    <cellStyle name="40% - Accent4 16" xfId="614" xr:uid="{00000000-0005-0000-0000-0000C5010000}"/>
    <cellStyle name="40% - Accent4 17" xfId="615" xr:uid="{00000000-0005-0000-0000-0000C6010000}"/>
    <cellStyle name="40% - Accent4 18" xfId="616" xr:uid="{00000000-0005-0000-0000-0000C7010000}"/>
    <cellStyle name="40% - Accent4 2" xfId="25" xr:uid="{00000000-0005-0000-0000-0000C8010000}"/>
    <cellStyle name="40% - Accent4 2 2" xfId="617" xr:uid="{00000000-0005-0000-0000-0000C9010000}"/>
    <cellStyle name="40% - Accent4 2 2 2" xfId="618" xr:uid="{00000000-0005-0000-0000-0000CA010000}"/>
    <cellStyle name="40% - Accent4 2 2 2 2" xfId="619" xr:uid="{00000000-0005-0000-0000-0000CB010000}"/>
    <cellStyle name="40% - Accent4 2 2 2 2 2" xfId="4962" xr:uid="{2DBDD035-630C-442E-8771-DB78CF11C78E}"/>
    <cellStyle name="40% - Accent4 2 2 2 3" xfId="4961" xr:uid="{563BAF26-6269-413A-BEAD-2A211C29937D}"/>
    <cellStyle name="40% - Accent4 2 2 3" xfId="620" xr:uid="{00000000-0005-0000-0000-0000CC010000}"/>
    <cellStyle name="40% - Accent4 2 2 3 2" xfId="4963" xr:uid="{16AF0D35-4C7B-4C55-8AFB-2C31F302DD29}"/>
    <cellStyle name="40% - Accent4 2 2 4" xfId="4960" xr:uid="{F2E82A26-552C-4C20-B9F5-3C346DFDED77}"/>
    <cellStyle name="40% - Accent4 2 3" xfId="621" xr:uid="{00000000-0005-0000-0000-0000CD010000}"/>
    <cellStyle name="40% - Accent4 2 3 2" xfId="622" xr:uid="{00000000-0005-0000-0000-0000CE010000}"/>
    <cellStyle name="40% - Accent4 2 3 2 2" xfId="623" xr:uid="{00000000-0005-0000-0000-0000CF010000}"/>
    <cellStyle name="40% - Accent4 2 3 2 2 2" xfId="4966" xr:uid="{FE3D7085-A1F1-473E-93EC-489788B92AE7}"/>
    <cellStyle name="40% - Accent4 2 3 2 3" xfId="4965" xr:uid="{4B9EE69A-E614-48A8-96F3-77DBCEA023D6}"/>
    <cellStyle name="40% - Accent4 2 3 3" xfId="624" xr:uid="{00000000-0005-0000-0000-0000D0010000}"/>
    <cellStyle name="40% - Accent4 2 3 3 2" xfId="4967" xr:uid="{8ECEF061-4AFC-453C-A280-61262F03AD97}"/>
    <cellStyle name="40% - Accent4 2 3 4" xfId="4964" xr:uid="{B0DBAA97-9C02-441A-9AF1-AEF6FD42B1AA}"/>
    <cellStyle name="40% - Accent4 2 4" xfId="625" xr:uid="{00000000-0005-0000-0000-0000D1010000}"/>
    <cellStyle name="40% - Accent4 2 4 2" xfId="626" xr:uid="{00000000-0005-0000-0000-0000D2010000}"/>
    <cellStyle name="40% - Accent4 2 4 2 2" xfId="627" xr:uid="{00000000-0005-0000-0000-0000D3010000}"/>
    <cellStyle name="40% - Accent4 2 4 2 2 2" xfId="4970" xr:uid="{04504283-7462-4C1F-8F87-359DDAF6F3C5}"/>
    <cellStyle name="40% - Accent4 2 4 2 3" xfId="4969" xr:uid="{5B39A68E-94D2-4ADE-81E0-871910819D82}"/>
    <cellStyle name="40% - Accent4 2 4 3" xfId="628" xr:uid="{00000000-0005-0000-0000-0000D4010000}"/>
    <cellStyle name="40% - Accent4 2 4 3 2" xfId="4971" xr:uid="{2C4045A2-FADC-41E0-9F31-063592093B34}"/>
    <cellStyle name="40% - Accent4 2 4 4" xfId="4968" xr:uid="{E66FA9CB-D53D-4A80-8DB7-B834BE9C823B}"/>
    <cellStyle name="40% - Accent4 2 5" xfId="629" xr:uid="{00000000-0005-0000-0000-0000D5010000}"/>
    <cellStyle name="40% - Accent4 2 5 2" xfId="630" xr:uid="{00000000-0005-0000-0000-0000D6010000}"/>
    <cellStyle name="40% - Accent4 2 5 2 2" xfId="631" xr:uid="{00000000-0005-0000-0000-0000D7010000}"/>
    <cellStyle name="40% - Accent4 2 5 2 2 2" xfId="4974" xr:uid="{B3E7004A-13D6-4ECC-9FB7-C8AF7CCA3D22}"/>
    <cellStyle name="40% - Accent4 2 5 2 3" xfId="4973" xr:uid="{92D45A64-3402-4421-A983-6F698B57FD6C}"/>
    <cellStyle name="40% - Accent4 2 5 3" xfId="632" xr:uid="{00000000-0005-0000-0000-0000D8010000}"/>
    <cellStyle name="40% - Accent4 2 5 3 2" xfId="4975" xr:uid="{0A269092-E9FB-4F67-9280-B0E55A4CB8C4}"/>
    <cellStyle name="40% - Accent4 2 5 4" xfId="4972" xr:uid="{391CA8A5-0213-47C9-8474-D3708B225A85}"/>
    <cellStyle name="40% - Accent4 2 6" xfId="633" xr:uid="{00000000-0005-0000-0000-0000D9010000}"/>
    <cellStyle name="40% - Accent4 2 6 2" xfId="634" xr:uid="{00000000-0005-0000-0000-0000DA010000}"/>
    <cellStyle name="40% - Accent4 2 6 2 2" xfId="635" xr:uid="{00000000-0005-0000-0000-0000DB010000}"/>
    <cellStyle name="40% - Accent4 2 6 2 2 2" xfId="4978" xr:uid="{24E2B112-8856-4F3B-8EB9-F5DCE3CBF4FE}"/>
    <cellStyle name="40% - Accent4 2 6 2 3" xfId="4977" xr:uid="{EA9BFA75-A43E-468D-B7C3-9C3D43D20BB0}"/>
    <cellStyle name="40% - Accent4 2 6 3" xfId="636" xr:uid="{00000000-0005-0000-0000-0000DC010000}"/>
    <cellStyle name="40% - Accent4 2 6 3 2" xfId="4979" xr:uid="{69DD198B-AC07-47A9-B330-8DC3998749E9}"/>
    <cellStyle name="40% - Accent4 2 6 4" xfId="4976" xr:uid="{0115BF59-3762-4F35-B5F8-F028C6F1FD38}"/>
    <cellStyle name="40% - Accent4 2 7" xfId="637" xr:uid="{00000000-0005-0000-0000-0000DD010000}"/>
    <cellStyle name="40% - Accent4 2 7 2" xfId="638" xr:uid="{00000000-0005-0000-0000-0000DE010000}"/>
    <cellStyle name="40% - Accent4 2 7 2 2" xfId="639" xr:uid="{00000000-0005-0000-0000-0000DF010000}"/>
    <cellStyle name="40% - Accent4 2 7 2 2 2" xfId="4982" xr:uid="{37EE87DB-895C-46E5-B2FA-72FB830E6656}"/>
    <cellStyle name="40% - Accent4 2 7 2 3" xfId="4981" xr:uid="{576EE210-1FFF-48C9-A501-9BE0B203EA31}"/>
    <cellStyle name="40% - Accent4 2 7 3" xfId="640" xr:uid="{00000000-0005-0000-0000-0000E0010000}"/>
    <cellStyle name="40% - Accent4 2 7 3 2" xfId="4983" xr:uid="{EE323471-C5AE-4214-A5AA-2FEA618466D4}"/>
    <cellStyle name="40% - Accent4 2 7 4" xfId="4980" xr:uid="{3B5BB942-7EF8-4687-A69E-90F753293E63}"/>
    <cellStyle name="40% - Accent4 2 8" xfId="641" xr:uid="{00000000-0005-0000-0000-0000E1010000}"/>
    <cellStyle name="40% - Accent4 2 8 2" xfId="642" xr:uid="{00000000-0005-0000-0000-0000E2010000}"/>
    <cellStyle name="40% - Accent4 2 8 2 2" xfId="4985" xr:uid="{16F39905-2A9A-475D-AE59-EEA57B75208A}"/>
    <cellStyle name="40% - Accent4 2 8 3" xfId="4984" xr:uid="{3DD2F357-4AE7-4BC5-B78E-209A1C3C95AF}"/>
    <cellStyle name="40% - Accent4 2 9" xfId="643" xr:uid="{00000000-0005-0000-0000-0000E3010000}"/>
    <cellStyle name="40% - Accent4 2 9 2" xfId="4986" xr:uid="{EE8083FB-1040-4592-BC33-980D7B33A60A}"/>
    <cellStyle name="40% - Accent4 3" xfId="644" xr:uid="{00000000-0005-0000-0000-0000E4010000}"/>
    <cellStyle name="40% - Accent4 4" xfId="645" xr:uid="{00000000-0005-0000-0000-0000E5010000}"/>
    <cellStyle name="40% - Accent4 5" xfId="646" xr:uid="{00000000-0005-0000-0000-0000E6010000}"/>
    <cellStyle name="40% - Accent4 6" xfId="647" xr:uid="{00000000-0005-0000-0000-0000E7010000}"/>
    <cellStyle name="40% - Accent4 7" xfId="648" xr:uid="{00000000-0005-0000-0000-0000E8010000}"/>
    <cellStyle name="40% - Accent4 8" xfId="649" xr:uid="{00000000-0005-0000-0000-0000E9010000}"/>
    <cellStyle name="40% - Accent4 9" xfId="650" xr:uid="{00000000-0005-0000-0000-0000EA010000}"/>
    <cellStyle name="40% - Accent5 10" xfId="651" xr:uid="{00000000-0005-0000-0000-0000EB010000}"/>
    <cellStyle name="40% - Accent5 11" xfId="652" xr:uid="{00000000-0005-0000-0000-0000EC010000}"/>
    <cellStyle name="40% - Accent5 12" xfId="653" xr:uid="{00000000-0005-0000-0000-0000ED010000}"/>
    <cellStyle name="40% - Accent5 13" xfId="654" xr:uid="{00000000-0005-0000-0000-0000EE010000}"/>
    <cellStyle name="40% - Accent5 14" xfId="655" xr:uid="{00000000-0005-0000-0000-0000EF010000}"/>
    <cellStyle name="40% - Accent5 15" xfId="656" xr:uid="{00000000-0005-0000-0000-0000F0010000}"/>
    <cellStyle name="40% - Accent5 16" xfId="657" xr:uid="{00000000-0005-0000-0000-0000F1010000}"/>
    <cellStyle name="40% - Accent5 17" xfId="658" xr:uid="{00000000-0005-0000-0000-0000F2010000}"/>
    <cellStyle name="40% - Accent5 18" xfId="659" xr:uid="{00000000-0005-0000-0000-0000F3010000}"/>
    <cellStyle name="40% - Accent5 2" xfId="26" xr:uid="{00000000-0005-0000-0000-0000F4010000}"/>
    <cellStyle name="40% - Accent5 2 2" xfId="660" xr:uid="{00000000-0005-0000-0000-0000F5010000}"/>
    <cellStyle name="40% - Accent5 2 2 2" xfId="661" xr:uid="{00000000-0005-0000-0000-0000F6010000}"/>
    <cellStyle name="40% - Accent5 2 2 2 2" xfId="662" xr:uid="{00000000-0005-0000-0000-0000F7010000}"/>
    <cellStyle name="40% - Accent5 2 2 2 2 2" xfId="4989" xr:uid="{6D036CBE-C33D-48C3-AC51-303B31482484}"/>
    <cellStyle name="40% - Accent5 2 2 2 3" xfId="4988" xr:uid="{DB2E0C98-ED41-4708-A757-4F9CC802208F}"/>
    <cellStyle name="40% - Accent5 2 2 3" xfId="663" xr:uid="{00000000-0005-0000-0000-0000F8010000}"/>
    <cellStyle name="40% - Accent5 2 2 3 2" xfId="4990" xr:uid="{1A2D5660-771D-41A6-8ACA-CD4E29DE7604}"/>
    <cellStyle name="40% - Accent5 2 2 4" xfId="4987" xr:uid="{1FB5DF1E-1515-46E9-A646-F5B524549169}"/>
    <cellStyle name="40% - Accent5 2 3" xfId="664" xr:uid="{00000000-0005-0000-0000-0000F9010000}"/>
    <cellStyle name="40% - Accent5 2 3 2" xfId="665" xr:uid="{00000000-0005-0000-0000-0000FA010000}"/>
    <cellStyle name="40% - Accent5 2 3 2 2" xfId="666" xr:uid="{00000000-0005-0000-0000-0000FB010000}"/>
    <cellStyle name="40% - Accent5 2 3 2 2 2" xfId="4993" xr:uid="{350944E6-344F-4FE6-935D-A06AEB64F75E}"/>
    <cellStyle name="40% - Accent5 2 3 2 3" xfId="4992" xr:uid="{ABF946E3-B401-4A4A-AA60-E41A1F94D2F0}"/>
    <cellStyle name="40% - Accent5 2 3 3" xfId="667" xr:uid="{00000000-0005-0000-0000-0000FC010000}"/>
    <cellStyle name="40% - Accent5 2 3 3 2" xfId="4994" xr:uid="{FF1D14FE-4049-4889-A84F-1E20AAB37A6C}"/>
    <cellStyle name="40% - Accent5 2 3 4" xfId="4991" xr:uid="{885C9972-91D8-4345-8199-DBDE15B09B51}"/>
    <cellStyle name="40% - Accent5 2 4" xfId="668" xr:uid="{00000000-0005-0000-0000-0000FD010000}"/>
    <cellStyle name="40% - Accent5 2 4 2" xfId="669" xr:uid="{00000000-0005-0000-0000-0000FE010000}"/>
    <cellStyle name="40% - Accent5 2 4 2 2" xfId="670" xr:uid="{00000000-0005-0000-0000-0000FF010000}"/>
    <cellStyle name="40% - Accent5 2 4 2 2 2" xfId="4997" xr:uid="{F005AD37-6722-4795-9BDB-B0A5575EE1DA}"/>
    <cellStyle name="40% - Accent5 2 4 2 3" xfId="4996" xr:uid="{62B76BFA-08F6-4402-9657-D40E33BACC41}"/>
    <cellStyle name="40% - Accent5 2 4 3" xfId="671" xr:uid="{00000000-0005-0000-0000-000000020000}"/>
    <cellStyle name="40% - Accent5 2 4 3 2" xfId="4998" xr:uid="{CC809920-282F-4E58-9B8D-B171AF0A4A94}"/>
    <cellStyle name="40% - Accent5 2 4 4" xfId="4995" xr:uid="{71BAE03D-BB58-4546-8A0C-1EDE1C476CB6}"/>
    <cellStyle name="40% - Accent5 2 5" xfId="672" xr:uid="{00000000-0005-0000-0000-000001020000}"/>
    <cellStyle name="40% - Accent5 2 5 2" xfId="673" xr:uid="{00000000-0005-0000-0000-000002020000}"/>
    <cellStyle name="40% - Accent5 2 5 2 2" xfId="674" xr:uid="{00000000-0005-0000-0000-000003020000}"/>
    <cellStyle name="40% - Accent5 2 5 2 2 2" xfId="5001" xr:uid="{11B11208-EBE6-4F0C-80E7-609AA27E8059}"/>
    <cellStyle name="40% - Accent5 2 5 2 3" xfId="5000" xr:uid="{759CA60D-2D05-449B-BFA6-C2EDC80C8901}"/>
    <cellStyle name="40% - Accent5 2 5 3" xfId="675" xr:uid="{00000000-0005-0000-0000-000004020000}"/>
    <cellStyle name="40% - Accent5 2 5 3 2" xfId="5002" xr:uid="{335831AD-950C-4676-9D8A-5033A173EA69}"/>
    <cellStyle name="40% - Accent5 2 5 4" xfId="4999" xr:uid="{F3E9E09E-5A12-4F4D-AC78-FAE2A1032B4F}"/>
    <cellStyle name="40% - Accent5 2 6" xfId="676" xr:uid="{00000000-0005-0000-0000-000005020000}"/>
    <cellStyle name="40% - Accent5 2 6 2" xfId="677" xr:uid="{00000000-0005-0000-0000-000006020000}"/>
    <cellStyle name="40% - Accent5 2 6 2 2" xfId="678" xr:uid="{00000000-0005-0000-0000-000007020000}"/>
    <cellStyle name="40% - Accent5 2 6 2 2 2" xfId="5005" xr:uid="{41F65F13-D616-45BB-9CCF-0A2AC761C692}"/>
    <cellStyle name="40% - Accent5 2 6 2 3" xfId="5004" xr:uid="{F3FC920F-174E-41B2-8210-C82796397674}"/>
    <cellStyle name="40% - Accent5 2 6 3" xfId="679" xr:uid="{00000000-0005-0000-0000-000008020000}"/>
    <cellStyle name="40% - Accent5 2 6 3 2" xfId="5006" xr:uid="{32CE7949-086E-4C10-91A0-0C7E23FDB5C0}"/>
    <cellStyle name="40% - Accent5 2 6 4" xfId="5003" xr:uid="{DE8B2BBA-E186-478E-AD21-7C92BD694C1B}"/>
    <cellStyle name="40% - Accent5 2 7" xfId="680" xr:uid="{00000000-0005-0000-0000-000009020000}"/>
    <cellStyle name="40% - Accent5 2 7 2" xfId="681" xr:uid="{00000000-0005-0000-0000-00000A020000}"/>
    <cellStyle name="40% - Accent5 2 7 2 2" xfId="682" xr:uid="{00000000-0005-0000-0000-00000B020000}"/>
    <cellStyle name="40% - Accent5 2 7 2 2 2" xfId="5009" xr:uid="{BA9E850D-8221-4B8D-878D-597EAEF88BBE}"/>
    <cellStyle name="40% - Accent5 2 7 2 3" xfId="5008" xr:uid="{8E7BBE41-CFBC-4B8C-BFB3-2C5B8F5F8F4D}"/>
    <cellStyle name="40% - Accent5 2 7 3" xfId="683" xr:uid="{00000000-0005-0000-0000-00000C020000}"/>
    <cellStyle name="40% - Accent5 2 7 3 2" xfId="5010" xr:uid="{F50F9634-8D58-46C0-AB6A-0DEE5F062A41}"/>
    <cellStyle name="40% - Accent5 2 7 4" xfId="5007" xr:uid="{A8F4EE10-DC66-4599-8D03-1E9CF1E0B7E8}"/>
    <cellStyle name="40% - Accent5 2 8" xfId="684" xr:uid="{00000000-0005-0000-0000-00000D020000}"/>
    <cellStyle name="40% - Accent5 2 8 2" xfId="685" xr:uid="{00000000-0005-0000-0000-00000E020000}"/>
    <cellStyle name="40% - Accent5 2 8 2 2" xfId="5012" xr:uid="{1FE787FA-68DE-4A82-BBE5-069A242BA7D6}"/>
    <cellStyle name="40% - Accent5 2 8 3" xfId="5011" xr:uid="{4126D4A0-B785-40E6-9956-0795EC731647}"/>
    <cellStyle name="40% - Accent5 2 9" xfId="686" xr:uid="{00000000-0005-0000-0000-00000F020000}"/>
    <cellStyle name="40% - Accent5 2 9 2" xfId="5013" xr:uid="{D02C1AA8-7F8D-46F8-8A6E-DC74A607149B}"/>
    <cellStyle name="40% - Accent5 3" xfId="687" xr:uid="{00000000-0005-0000-0000-000010020000}"/>
    <cellStyle name="40% - Accent5 4" xfId="688" xr:uid="{00000000-0005-0000-0000-000011020000}"/>
    <cellStyle name="40% - Accent5 5" xfId="689" xr:uid="{00000000-0005-0000-0000-000012020000}"/>
    <cellStyle name="40% - Accent5 6" xfId="690" xr:uid="{00000000-0005-0000-0000-000013020000}"/>
    <cellStyle name="40% - Accent5 7" xfId="691" xr:uid="{00000000-0005-0000-0000-000014020000}"/>
    <cellStyle name="40% - Accent5 8" xfId="692" xr:uid="{00000000-0005-0000-0000-000015020000}"/>
    <cellStyle name="40% - Accent5 9" xfId="693" xr:uid="{00000000-0005-0000-0000-000016020000}"/>
    <cellStyle name="40% - Accent6 10" xfId="694" xr:uid="{00000000-0005-0000-0000-000017020000}"/>
    <cellStyle name="40% - Accent6 11" xfId="695" xr:uid="{00000000-0005-0000-0000-000018020000}"/>
    <cellStyle name="40% - Accent6 12" xfId="696" xr:uid="{00000000-0005-0000-0000-000019020000}"/>
    <cellStyle name="40% - Accent6 13" xfId="697" xr:uid="{00000000-0005-0000-0000-00001A020000}"/>
    <cellStyle name="40% - Accent6 14" xfId="698" xr:uid="{00000000-0005-0000-0000-00001B020000}"/>
    <cellStyle name="40% - Accent6 15" xfId="699" xr:uid="{00000000-0005-0000-0000-00001C020000}"/>
    <cellStyle name="40% - Accent6 16" xfId="700" xr:uid="{00000000-0005-0000-0000-00001D020000}"/>
    <cellStyle name="40% - Accent6 17" xfId="701" xr:uid="{00000000-0005-0000-0000-00001E020000}"/>
    <cellStyle name="40% - Accent6 18" xfId="702" xr:uid="{00000000-0005-0000-0000-00001F020000}"/>
    <cellStyle name="40% - Accent6 2" xfId="27" xr:uid="{00000000-0005-0000-0000-000020020000}"/>
    <cellStyle name="40% - Accent6 2 2" xfId="703" xr:uid="{00000000-0005-0000-0000-000021020000}"/>
    <cellStyle name="40% - Accent6 2 2 2" xfId="704" xr:uid="{00000000-0005-0000-0000-000022020000}"/>
    <cellStyle name="40% - Accent6 2 2 2 2" xfId="705" xr:uid="{00000000-0005-0000-0000-000023020000}"/>
    <cellStyle name="40% - Accent6 2 2 2 2 2" xfId="5016" xr:uid="{F1ADAD3C-6B6E-48BC-A404-57AEEBAAF036}"/>
    <cellStyle name="40% - Accent6 2 2 2 3" xfId="5015" xr:uid="{5C05AE55-7351-4672-B125-72D65D822731}"/>
    <cellStyle name="40% - Accent6 2 2 3" xfId="706" xr:uid="{00000000-0005-0000-0000-000024020000}"/>
    <cellStyle name="40% - Accent6 2 2 3 2" xfId="5017" xr:uid="{73051037-693C-49F7-9F97-E1080D861707}"/>
    <cellStyle name="40% - Accent6 2 2 4" xfId="5014" xr:uid="{DA203C9E-8934-4C03-8C8F-BB4F223D55A2}"/>
    <cellStyle name="40% - Accent6 2 3" xfId="707" xr:uid="{00000000-0005-0000-0000-000025020000}"/>
    <cellStyle name="40% - Accent6 2 3 2" xfId="708" xr:uid="{00000000-0005-0000-0000-000026020000}"/>
    <cellStyle name="40% - Accent6 2 3 2 2" xfId="709" xr:uid="{00000000-0005-0000-0000-000027020000}"/>
    <cellStyle name="40% - Accent6 2 3 2 2 2" xfId="5020" xr:uid="{8D525FA0-0F0C-43BD-B9DD-ED58C6F0C769}"/>
    <cellStyle name="40% - Accent6 2 3 2 3" xfId="5019" xr:uid="{83AEAF2A-483F-49DA-8B9A-318112562524}"/>
    <cellStyle name="40% - Accent6 2 3 3" xfId="710" xr:uid="{00000000-0005-0000-0000-000028020000}"/>
    <cellStyle name="40% - Accent6 2 3 3 2" xfId="5021" xr:uid="{575557DB-A5BB-417D-95C9-0D621BAA1A0D}"/>
    <cellStyle name="40% - Accent6 2 3 4" xfId="5018" xr:uid="{65B9982D-6999-4C32-BCBA-57BFE4FED803}"/>
    <cellStyle name="40% - Accent6 2 4" xfId="711" xr:uid="{00000000-0005-0000-0000-000029020000}"/>
    <cellStyle name="40% - Accent6 2 4 2" xfId="712" xr:uid="{00000000-0005-0000-0000-00002A020000}"/>
    <cellStyle name="40% - Accent6 2 4 2 2" xfId="713" xr:uid="{00000000-0005-0000-0000-00002B020000}"/>
    <cellStyle name="40% - Accent6 2 4 2 2 2" xfId="5024" xr:uid="{3128A9B0-CEBC-4E75-B11F-16472E356BD2}"/>
    <cellStyle name="40% - Accent6 2 4 2 3" xfId="5023" xr:uid="{E660F6C5-E19A-4520-B1BB-D0C5805F4F48}"/>
    <cellStyle name="40% - Accent6 2 4 3" xfId="714" xr:uid="{00000000-0005-0000-0000-00002C020000}"/>
    <cellStyle name="40% - Accent6 2 4 3 2" xfId="5025" xr:uid="{9D1A4FCC-C062-404B-8AC4-51ECC60E650D}"/>
    <cellStyle name="40% - Accent6 2 4 4" xfId="5022" xr:uid="{AA7A522D-456F-4D39-AF6F-5333300C459B}"/>
    <cellStyle name="40% - Accent6 2 5" xfId="715" xr:uid="{00000000-0005-0000-0000-00002D020000}"/>
    <cellStyle name="40% - Accent6 2 5 2" xfId="716" xr:uid="{00000000-0005-0000-0000-00002E020000}"/>
    <cellStyle name="40% - Accent6 2 5 2 2" xfId="717" xr:uid="{00000000-0005-0000-0000-00002F020000}"/>
    <cellStyle name="40% - Accent6 2 5 2 2 2" xfId="5028" xr:uid="{EC6A6755-443F-406F-88B5-4E5A50E05803}"/>
    <cellStyle name="40% - Accent6 2 5 2 3" xfId="5027" xr:uid="{FD883E73-C56C-438D-AA52-E8E38EC143A5}"/>
    <cellStyle name="40% - Accent6 2 5 3" xfId="718" xr:uid="{00000000-0005-0000-0000-000030020000}"/>
    <cellStyle name="40% - Accent6 2 5 3 2" xfId="5029" xr:uid="{9B775066-FD3F-4760-97B1-57460F4BD312}"/>
    <cellStyle name="40% - Accent6 2 5 4" xfId="5026" xr:uid="{C256F892-3A08-4AA9-8BB6-BA435131CC25}"/>
    <cellStyle name="40% - Accent6 2 6" xfId="719" xr:uid="{00000000-0005-0000-0000-000031020000}"/>
    <cellStyle name="40% - Accent6 2 6 2" xfId="720" xr:uid="{00000000-0005-0000-0000-000032020000}"/>
    <cellStyle name="40% - Accent6 2 6 2 2" xfId="721" xr:uid="{00000000-0005-0000-0000-000033020000}"/>
    <cellStyle name="40% - Accent6 2 6 2 2 2" xfId="5032" xr:uid="{386DA886-599B-488A-A5B3-DAA6DA8899A4}"/>
    <cellStyle name="40% - Accent6 2 6 2 3" xfId="5031" xr:uid="{2A6DF7AC-0821-422C-B98F-39093731118B}"/>
    <cellStyle name="40% - Accent6 2 6 3" xfId="722" xr:uid="{00000000-0005-0000-0000-000034020000}"/>
    <cellStyle name="40% - Accent6 2 6 3 2" xfId="5033" xr:uid="{3FD12F6C-76ED-4027-8903-D36A4A5CD7E2}"/>
    <cellStyle name="40% - Accent6 2 6 4" xfId="5030" xr:uid="{10C97925-88D9-4903-8AEB-E3B253FEA4A5}"/>
    <cellStyle name="40% - Accent6 2 7" xfId="723" xr:uid="{00000000-0005-0000-0000-000035020000}"/>
    <cellStyle name="40% - Accent6 2 7 2" xfId="724" xr:uid="{00000000-0005-0000-0000-000036020000}"/>
    <cellStyle name="40% - Accent6 2 7 2 2" xfId="725" xr:uid="{00000000-0005-0000-0000-000037020000}"/>
    <cellStyle name="40% - Accent6 2 7 2 2 2" xfId="5036" xr:uid="{5B2E059D-538E-4BB5-91D1-98B35D9DEEFA}"/>
    <cellStyle name="40% - Accent6 2 7 2 3" xfId="5035" xr:uid="{A1692CAB-5514-49B2-990A-13237739430B}"/>
    <cellStyle name="40% - Accent6 2 7 3" xfId="726" xr:uid="{00000000-0005-0000-0000-000038020000}"/>
    <cellStyle name="40% - Accent6 2 7 3 2" xfId="5037" xr:uid="{E4C25E6B-D78A-40EF-A259-0CB92DC41088}"/>
    <cellStyle name="40% - Accent6 2 7 4" xfId="5034" xr:uid="{D1A0D293-6D5C-4B47-A225-86D505E0C999}"/>
    <cellStyle name="40% - Accent6 2 8" xfId="727" xr:uid="{00000000-0005-0000-0000-000039020000}"/>
    <cellStyle name="40% - Accent6 2 8 2" xfId="728" xr:uid="{00000000-0005-0000-0000-00003A020000}"/>
    <cellStyle name="40% - Accent6 2 8 2 2" xfId="5039" xr:uid="{D34D2161-EDB7-4876-807A-8EB85B9E90F8}"/>
    <cellStyle name="40% - Accent6 2 8 3" xfId="5038" xr:uid="{9777B8AD-D06F-468F-ACBE-BD9AD87123CD}"/>
    <cellStyle name="40% - Accent6 2 9" xfId="729" xr:uid="{00000000-0005-0000-0000-00003B020000}"/>
    <cellStyle name="40% - Accent6 2 9 2" xfId="5040" xr:uid="{AD7122F6-B338-49B2-8156-BB5F14E682B4}"/>
    <cellStyle name="40% - Accent6 3" xfId="730" xr:uid="{00000000-0005-0000-0000-00003C020000}"/>
    <cellStyle name="40% - Accent6 4" xfId="731" xr:uid="{00000000-0005-0000-0000-00003D020000}"/>
    <cellStyle name="40% - Accent6 5" xfId="732" xr:uid="{00000000-0005-0000-0000-00003E020000}"/>
    <cellStyle name="40% - Accent6 6" xfId="733" xr:uid="{00000000-0005-0000-0000-00003F020000}"/>
    <cellStyle name="40% - Accent6 7" xfId="734" xr:uid="{00000000-0005-0000-0000-000040020000}"/>
    <cellStyle name="40% - Accent6 8" xfId="735" xr:uid="{00000000-0005-0000-0000-000041020000}"/>
    <cellStyle name="40% - Accent6 9" xfId="736" xr:uid="{00000000-0005-0000-0000-000042020000}"/>
    <cellStyle name="60% - Accent1 10" xfId="737" xr:uid="{00000000-0005-0000-0000-000043020000}"/>
    <cellStyle name="60% - Accent1 11" xfId="738" xr:uid="{00000000-0005-0000-0000-000044020000}"/>
    <cellStyle name="60% - Accent1 12" xfId="739" xr:uid="{00000000-0005-0000-0000-000045020000}"/>
    <cellStyle name="60% - Accent1 13" xfId="740" xr:uid="{00000000-0005-0000-0000-000046020000}"/>
    <cellStyle name="60% - Accent1 14" xfId="741" xr:uid="{00000000-0005-0000-0000-000047020000}"/>
    <cellStyle name="60% - Accent1 15" xfId="742" xr:uid="{00000000-0005-0000-0000-000048020000}"/>
    <cellStyle name="60% - Accent1 16" xfId="743" xr:uid="{00000000-0005-0000-0000-000049020000}"/>
    <cellStyle name="60% - Accent1 17" xfId="744" xr:uid="{00000000-0005-0000-0000-00004A020000}"/>
    <cellStyle name="60% - Accent1 18" xfId="745" xr:uid="{00000000-0005-0000-0000-00004B020000}"/>
    <cellStyle name="60% - Accent1 2" xfId="28" xr:uid="{00000000-0005-0000-0000-00004C020000}"/>
    <cellStyle name="60% - Accent1 2 2" xfId="746" xr:uid="{00000000-0005-0000-0000-00004D020000}"/>
    <cellStyle name="60% - Accent1 2 3" xfId="747" xr:uid="{00000000-0005-0000-0000-00004E020000}"/>
    <cellStyle name="60% - Accent1 2 4" xfId="748" xr:uid="{00000000-0005-0000-0000-00004F020000}"/>
    <cellStyle name="60% - Accent1 2 5" xfId="749" xr:uid="{00000000-0005-0000-0000-000050020000}"/>
    <cellStyle name="60% - Accent1 3" xfId="750" xr:uid="{00000000-0005-0000-0000-000051020000}"/>
    <cellStyle name="60% - Accent1 4" xfId="751" xr:uid="{00000000-0005-0000-0000-000052020000}"/>
    <cellStyle name="60% - Accent1 5" xfId="752" xr:uid="{00000000-0005-0000-0000-000053020000}"/>
    <cellStyle name="60% - Accent1 6" xfId="753" xr:uid="{00000000-0005-0000-0000-000054020000}"/>
    <cellStyle name="60% - Accent1 7" xfId="754" xr:uid="{00000000-0005-0000-0000-000055020000}"/>
    <cellStyle name="60% - Accent1 8" xfId="755" xr:uid="{00000000-0005-0000-0000-000056020000}"/>
    <cellStyle name="60% - Accent1 9" xfId="756" xr:uid="{00000000-0005-0000-0000-000057020000}"/>
    <cellStyle name="60% - Accent2 10" xfId="757" xr:uid="{00000000-0005-0000-0000-000058020000}"/>
    <cellStyle name="60% - Accent2 11" xfId="758" xr:uid="{00000000-0005-0000-0000-000059020000}"/>
    <cellStyle name="60% - Accent2 12" xfId="759" xr:uid="{00000000-0005-0000-0000-00005A020000}"/>
    <cellStyle name="60% - Accent2 13" xfId="760" xr:uid="{00000000-0005-0000-0000-00005B020000}"/>
    <cellStyle name="60% - Accent2 14" xfId="761" xr:uid="{00000000-0005-0000-0000-00005C020000}"/>
    <cellStyle name="60% - Accent2 15" xfId="762" xr:uid="{00000000-0005-0000-0000-00005D020000}"/>
    <cellStyle name="60% - Accent2 16" xfId="763" xr:uid="{00000000-0005-0000-0000-00005E020000}"/>
    <cellStyle name="60% - Accent2 17" xfId="764" xr:uid="{00000000-0005-0000-0000-00005F020000}"/>
    <cellStyle name="60% - Accent2 18" xfId="765" xr:uid="{00000000-0005-0000-0000-000060020000}"/>
    <cellStyle name="60% - Accent2 2" xfId="29" xr:uid="{00000000-0005-0000-0000-000061020000}"/>
    <cellStyle name="60% - Accent2 2 2" xfId="766" xr:uid="{00000000-0005-0000-0000-000062020000}"/>
    <cellStyle name="60% - Accent2 2 3" xfId="767" xr:uid="{00000000-0005-0000-0000-000063020000}"/>
    <cellStyle name="60% - Accent2 2 4" xfId="768" xr:uid="{00000000-0005-0000-0000-000064020000}"/>
    <cellStyle name="60% - Accent2 2 5" xfId="769" xr:uid="{00000000-0005-0000-0000-000065020000}"/>
    <cellStyle name="60% - Accent2 3" xfId="770" xr:uid="{00000000-0005-0000-0000-000066020000}"/>
    <cellStyle name="60% - Accent2 4" xfId="771" xr:uid="{00000000-0005-0000-0000-000067020000}"/>
    <cellStyle name="60% - Accent2 5" xfId="772" xr:uid="{00000000-0005-0000-0000-000068020000}"/>
    <cellStyle name="60% - Accent2 6" xfId="773" xr:uid="{00000000-0005-0000-0000-000069020000}"/>
    <cellStyle name="60% - Accent2 7" xfId="774" xr:uid="{00000000-0005-0000-0000-00006A020000}"/>
    <cellStyle name="60% - Accent2 8" xfId="775" xr:uid="{00000000-0005-0000-0000-00006B020000}"/>
    <cellStyle name="60% - Accent2 9" xfId="776" xr:uid="{00000000-0005-0000-0000-00006C020000}"/>
    <cellStyle name="60% - Accent3 10" xfId="777" xr:uid="{00000000-0005-0000-0000-00006D020000}"/>
    <cellStyle name="60% - Accent3 11" xfId="778" xr:uid="{00000000-0005-0000-0000-00006E020000}"/>
    <cellStyle name="60% - Accent3 12" xfId="779" xr:uid="{00000000-0005-0000-0000-00006F020000}"/>
    <cellStyle name="60% - Accent3 13" xfId="780" xr:uid="{00000000-0005-0000-0000-000070020000}"/>
    <cellStyle name="60% - Accent3 14" xfId="781" xr:uid="{00000000-0005-0000-0000-000071020000}"/>
    <cellStyle name="60% - Accent3 15" xfId="782" xr:uid="{00000000-0005-0000-0000-000072020000}"/>
    <cellStyle name="60% - Accent3 16" xfId="783" xr:uid="{00000000-0005-0000-0000-000073020000}"/>
    <cellStyle name="60% - Accent3 17" xfId="784" xr:uid="{00000000-0005-0000-0000-000074020000}"/>
    <cellStyle name="60% - Accent3 18" xfId="785" xr:uid="{00000000-0005-0000-0000-000075020000}"/>
    <cellStyle name="60% - Accent3 2" xfId="30" xr:uid="{00000000-0005-0000-0000-000076020000}"/>
    <cellStyle name="60% - Accent3 2 2" xfId="786" xr:uid="{00000000-0005-0000-0000-000077020000}"/>
    <cellStyle name="60% - Accent3 2 3" xfId="787" xr:uid="{00000000-0005-0000-0000-000078020000}"/>
    <cellStyle name="60% - Accent3 2 4" xfId="788" xr:uid="{00000000-0005-0000-0000-000079020000}"/>
    <cellStyle name="60% - Accent3 2 5" xfId="789" xr:uid="{00000000-0005-0000-0000-00007A020000}"/>
    <cellStyle name="60% - Accent3 3" xfId="790" xr:uid="{00000000-0005-0000-0000-00007B020000}"/>
    <cellStyle name="60% - Accent3 4" xfId="791" xr:uid="{00000000-0005-0000-0000-00007C020000}"/>
    <cellStyle name="60% - Accent3 5" xfId="792" xr:uid="{00000000-0005-0000-0000-00007D020000}"/>
    <cellStyle name="60% - Accent3 6" xfId="793" xr:uid="{00000000-0005-0000-0000-00007E020000}"/>
    <cellStyle name="60% - Accent3 7" xfId="794" xr:uid="{00000000-0005-0000-0000-00007F020000}"/>
    <cellStyle name="60% - Accent3 8" xfId="795" xr:uid="{00000000-0005-0000-0000-000080020000}"/>
    <cellStyle name="60% - Accent3 9" xfId="796" xr:uid="{00000000-0005-0000-0000-000081020000}"/>
    <cellStyle name="60% - Accent4 10" xfId="797" xr:uid="{00000000-0005-0000-0000-000082020000}"/>
    <cellStyle name="60% - Accent4 11" xfId="798" xr:uid="{00000000-0005-0000-0000-000083020000}"/>
    <cellStyle name="60% - Accent4 12" xfId="799" xr:uid="{00000000-0005-0000-0000-000084020000}"/>
    <cellStyle name="60% - Accent4 13" xfId="800" xr:uid="{00000000-0005-0000-0000-000085020000}"/>
    <cellStyle name="60% - Accent4 14" xfId="801" xr:uid="{00000000-0005-0000-0000-000086020000}"/>
    <cellStyle name="60% - Accent4 15" xfId="802" xr:uid="{00000000-0005-0000-0000-000087020000}"/>
    <cellStyle name="60% - Accent4 16" xfId="803" xr:uid="{00000000-0005-0000-0000-000088020000}"/>
    <cellStyle name="60% - Accent4 17" xfId="804" xr:uid="{00000000-0005-0000-0000-000089020000}"/>
    <cellStyle name="60% - Accent4 18" xfId="805" xr:uid="{00000000-0005-0000-0000-00008A020000}"/>
    <cellStyle name="60% - Accent4 2" xfId="31" xr:uid="{00000000-0005-0000-0000-00008B020000}"/>
    <cellStyle name="60% - Accent4 2 2" xfId="806" xr:uid="{00000000-0005-0000-0000-00008C020000}"/>
    <cellStyle name="60% - Accent4 2 3" xfId="807" xr:uid="{00000000-0005-0000-0000-00008D020000}"/>
    <cellStyle name="60% - Accent4 2 4" xfId="808" xr:uid="{00000000-0005-0000-0000-00008E020000}"/>
    <cellStyle name="60% - Accent4 2 5" xfId="809" xr:uid="{00000000-0005-0000-0000-00008F020000}"/>
    <cellStyle name="60% - Accent4 3" xfId="810" xr:uid="{00000000-0005-0000-0000-000090020000}"/>
    <cellStyle name="60% - Accent4 4" xfId="811" xr:uid="{00000000-0005-0000-0000-000091020000}"/>
    <cellStyle name="60% - Accent4 5" xfId="812" xr:uid="{00000000-0005-0000-0000-000092020000}"/>
    <cellStyle name="60% - Accent4 6" xfId="813" xr:uid="{00000000-0005-0000-0000-000093020000}"/>
    <cellStyle name="60% - Accent4 7" xfId="814" xr:uid="{00000000-0005-0000-0000-000094020000}"/>
    <cellStyle name="60% - Accent4 8" xfId="815" xr:uid="{00000000-0005-0000-0000-000095020000}"/>
    <cellStyle name="60% - Accent4 9" xfId="816" xr:uid="{00000000-0005-0000-0000-000096020000}"/>
    <cellStyle name="60% - Accent5 10" xfId="817" xr:uid="{00000000-0005-0000-0000-000097020000}"/>
    <cellStyle name="60% - Accent5 11" xfId="818" xr:uid="{00000000-0005-0000-0000-000098020000}"/>
    <cellStyle name="60% - Accent5 12" xfId="819" xr:uid="{00000000-0005-0000-0000-000099020000}"/>
    <cellStyle name="60% - Accent5 13" xfId="820" xr:uid="{00000000-0005-0000-0000-00009A020000}"/>
    <cellStyle name="60% - Accent5 14" xfId="821" xr:uid="{00000000-0005-0000-0000-00009B020000}"/>
    <cellStyle name="60% - Accent5 15" xfId="822" xr:uid="{00000000-0005-0000-0000-00009C020000}"/>
    <cellStyle name="60% - Accent5 16" xfId="823" xr:uid="{00000000-0005-0000-0000-00009D020000}"/>
    <cellStyle name="60% - Accent5 17" xfId="824" xr:uid="{00000000-0005-0000-0000-00009E020000}"/>
    <cellStyle name="60% - Accent5 18" xfId="825" xr:uid="{00000000-0005-0000-0000-00009F020000}"/>
    <cellStyle name="60% - Accent5 2" xfId="32" xr:uid="{00000000-0005-0000-0000-0000A0020000}"/>
    <cellStyle name="60% - Accent5 2 2" xfId="826" xr:uid="{00000000-0005-0000-0000-0000A1020000}"/>
    <cellStyle name="60% - Accent5 2 3" xfId="827" xr:uid="{00000000-0005-0000-0000-0000A2020000}"/>
    <cellStyle name="60% - Accent5 2 4" xfId="828" xr:uid="{00000000-0005-0000-0000-0000A3020000}"/>
    <cellStyle name="60% - Accent5 2 5" xfId="829" xr:uid="{00000000-0005-0000-0000-0000A4020000}"/>
    <cellStyle name="60% - Accent5 3" xfId="830" xr:uid="{00000000-0005-0000-0000-0000A5020000}"/>
    <cellStyle name="60% - Accent5 4" xfId="831" xr:uid="{00000000-0005-0000-0000-0000A6020000}"/>
    <cellStyle name="60% - Accent5 5" xfId="832" xr:uid="{00000000-0005-0000-0000-0000A7020000}"/>
    <cellStyle name="60% - Accent5 6" xfId="833" xr:uid="{00000000-0005-0000-0000-0000A8020000}"/>
    <cellStyle name="60% - Accent5 7" xfId="834" xr:uid="{00000000-0005-0000-0000-0000A9020000}"/>
    <cellStyle name="60% - Accent5 8" xfId="835" xr:uid="{00000000-0005-0000-0000-0000AA020000}"/>
    <cellStyle name="60% - Accent5 9" xfId="836" xr:uid="{00000000-0005-0000-0000-0000AB020000}"/>
    <cellStyle name="60% - Accent6 10" xfId="837" xr:uid="{00000000-0005-0000-0000-0000AC020000}"/>
    <cellStyle name="60% - Accent6 11" xfId="838" xr:uid="{00000000-0005-0000-0000-0000AD020000}"/>
    <cellStyle name="60% - Accent6 12" xfId="839" xr:uid="{00000000-0005-0000-0000-0000AE020000}"/>
    <cellStyle name="60% - Accent6 13" xfId="840" xr:uid="{00000000-0005-0000-0000-0000AF020000}"/>
    <cellStyle name="60% - Accent6 14" xfId="841" xr:uid="{00000000-0005-0000-0000-0000B0020000}"/>
    <cellStyle name="60% - Accent6 15" xfId="842" xr:uid="{00000000-0005-0000-0000-0000B1020000}"/>
    <cellStyle name="60% - Accent6 16" xfId="843" xr:uid="{00000000-0005-0000-0000-0000B2020000}"/>
    <cellStyle name="60% - Accent6 17" xfId="844" xr:uid="{00000000-0005-0000-0000-0000B3020000}"/>
    <cellStyle name="60% - Accent6 18" xfId="845" xr:uid="{00000000-0005-0000-0000-0000B4020000}"/>
    <cellStyle name="60% - Accent6 2" xfId="33" xr:uid="{00000000-0005-0000-0000-0000B5020000}"/>
    <cellStyle name="60% - Accent6 2 2" xfId="846" xr:uid="{00000000-0005-0000-0000-0000B6020000}"/>
    <cellStyle name="60% - Accent6 2 3" xfId="847" xr:uid="{00000000-0005-0000-0000-0000B7020000}"/>
    <cellStyle name="60% - Accent6 2 4" xfId="848" xr:uid="{00000000-0005-0000-0000-0000B8020000}"/>
    <cellStyle name="60% - Accent6 2 5" xfId="849" xr:uid="{00000000-0005-0000-0000-0000B9020000}"/>
    <cellStyle name="60% - Accent6 3" xfId="850" xr:uid="{00000000-0005-0000-0000-0000BA020000}"/>
    <cellStyle name="60% - Accent6 4" xfId="851" xr:uid="{00000000-0005-0000-0000-0000BB020000}"/>
    <cellStyle name="60% - Accent6 5" xfId="852" xr:uid="{00000000-0005-0000-0000-0000BC020000}"/>
    <cellStyle name="60% - Accent6 6" xfId="853" xr:uid="{00000000-0005-0000-0000-0000BD020000}"/>
    <cellStyle name="60% - Accent6 7" xfId="854" xr:uid="{00000000-0005-0000-0000-0000BE020000}"/>
    <cellStyle name="60% - Accent6 8" xfId="855" xr:uid="{00000000-0005-0000-0000-0000BF020000}"/>
    <cellStyle name="60% - Accent6 9" xfId="856" xr:uid="{00000000-0005-0000-0000-0000C0020000}"/>
    <cellStyle name="Accent1 10" xfId="857" xr:uid="{00000000-0005-0000-0000-0000C1020000}"/>
    <cellStyle name="Accent1 11" xfId="858" xr:uid="{00000000-0005-0000-0000-0000C2020000}"/>
    <cellStyle name="Accent1 12" xfId="859" xr:uid="{00000000-0005-0000-0000-0000C3020000}"/>
    <cellStyle name="Accent1 13" xfId="860" xr:uid="{00000000-0005-0000-0000-0000C4020000}"/>
    <cellStyle name="Accent1 14" xfId="861" xr:uid="{00000000-0005-0000-0000-0000C5020000}"/>
    <cellStyle name="Accent1 15" xfId="862" xr:uid="{00000000-0005-0000-0000-0000C6020000}"/>
    <cellStyle name="Accent1 16" xfId="863" xr:uid="{00000000-0005-0000-0000-0000C7020000}"/>
    <cellStyle name="Accent1 17" xfId="864" xr:uid="{00000000-0005-0000-0000-0000C8020000}"/>
    <cellStyle name="Accent1 18" xfId="865" xr:uid="{00000000-0005-0000-0000-0000C9020000}"/>
    <cellStyle name="Accent1 2" xfId="34" xr:uid="{00000000-0005-0000-0000-0000CA020000}"/>
    <cellStyle name="Accent1 2 2" xfId="866" xr:uid="{00000000-0005-0000-0000-0000CB020000}"/>
    <cellStyle name="Accent1 2 3" xfId="867" xr:uid="{00000000-0005-0000-0000-0000CC020000}"/>
    <cellStyle name="Accent1 2 4" xfId="868" xr:uid="{00000000-0005-0000-0000-0000CD020000}"/>
    <cellStyle name="Accent1 2 5" xfId="869" xr:uid="{00000000-0005-0000-0000-0000CE020000}"/>
    <cellStyle name="Accent1 3" xfId="870" xr:uid="{00000000-0005-0000-0000-0000CF020000}"/>
    <cellStyle name="Accent1 4" xfId="871" xr:uid="{00000000-0005-0000-0000-0000D0020000}"/>
    <cellStyle name="Accent1 5" xfId="872" xr:uid="{00000000-0005-0000-0000-0000D1020000}"/>
    <cellStyle name="Accent1 6" xfId="873" xr:uid="{00000000-0005-0000-0000-0000D2020000}"/>
    <cellStyle name="Accent1 7" xfId="874" xr:uid="{00000000-0005-0000-0000-0000D3020000}"/>
    <cellStyle name="Accent1 8" xfId="875" xr:uid="{00000000-0005-0000-0000-0000D4020000}"/>
    <cellStyle name="Accent1 9" xfId="876" xr:uid="{00000000-0005-0000-0000-0000D5020000}"/>
    <cellStyle name="Accent2 10" xfId="877" xr:uid="{00000000-0005-0000-0000-0000D6020000}"/>
    <cellStyle name="Accent2 11" xfId="878" xr:uid="{00000000-0005-0000-0000-0000D7020000}"/>
    <cellStyle name="Accent2 12" xfId="879" xr:uid="{00000000-0005-0000-0000-0000D8020000}"/>
    <cellStyle name="Accent2 13" xfId="880" xr:uid="{00000000-0005-0000-0000-0000D9020000}"/>
    <cellStyle name="Accent2 14" xfId="881" xr:uid="{00000000-0005-0000-0000-0000DA020000}"/>
    <cellStyle name="Accent2 15" xfId="882" xr:uid="{00000000-0005-0000-0000-0000DB020000}"/>
    <cellStyle name="Accent2 16" xfId="883" xr:uid="{00000000-0005-0000-0000-0000DC020000}"/>
    <cellStyle name="Accent2 17" xfId="884" xr:uid="{00000000-0005-0000-0000-0000DD020000}"/>
    <cellStyle name="Accent2 18" xfId="885" xr:uid="{00000000-0005-0000-0000-0000DE020000}"/>
    <cellStyle name="Accent2 2" xfId="35" xr:uid="{00000000-0005-0000-0000-0000DF020000}"/>
    <cellStyle name="Accent2 2 2" xfId="886" xr:uid="{00000000-0005-0000-0000-0000E0020000}"/>
    <cellStyle name="Accent2 2 3" xfId="887" xr:uid="{00000000-0005-0000-0000-0000E1020000}"/>
    <cellStyle name="Accent2 2 4" xfId="888" xr:uid="{00000000-0005-0000-0000-0000E2020000}"/>
    <cellStyle name="Accent2 2 5" xfId="889" xr:uid="{00000000-0005-0000-0000-0000E3020000}"/>
    <cellStyle name="Accent2 3" xfId="890" xr:uid="{00000000-0005-0000-0000-0000E4020000}"/>
    <cellStyle name="Accent2 4" xfId="891" xr:uid="{00000000-0005-0000-0000-0000E5020000}"/>
    <cellStyle name="Accent2 5" xfId="892" xr:uid="{00000000-0005-0000-0000-0000E6020000}"/>
    <cellStyle name="Accent2 6" xfId="893" xr:uid="{00000000-0005-0000-0000-0000E7020000}"/>
    <cellStyle name="Accent2 7" xfId="894" xr:uid="{00000000-0005-0000-0000-0000E8020000}"/>
    <cellStyle name="Accent2 8" xfId="895" xr:uid="{00000000-0005-0000-0000-0000E9020000}"/>
    <cellStyle name="Accent2 9" xfId="896" xr:uid="{00000000-0005-0000-0000-0000EA020000}"/>
    <cellStyle name="Accent3 10" xfId="897" xr:uid="{00000000-0005-0000-0000-0000EB020000}"/>
    <cellStyle name="Accent3 11" xfId="898" xr:uid="{00000000-0005-0000-0000-0000EC020000}"/>
    <cellStyle name="Accent3 12" xfId="899" xr:uid="{00000000-0005-0000-0000-0000ED020000}"/>
    <cellStyle name="Accent3 13" xfId="900" xr:uid="{00000000-0005-0000-0000-0000EE020000}"/>
    <cellStyle name="Accent3 14" xfId="901" xr:uid="{00000000-0005-0000-0000-0000EF020000}"/>
    <cellStyle name="Accent3 15" xfId="902" xr:uid="{00000000-0005-0000-0000-0000F0020000}"/>
    <cellStyle name="Accent3 16" xfId="903" xr:uid="{00000000-0005-0000-0000-0000F1020000}"/>
    <cellStyle name="Accent3 17" xfId="904" xr:uid="{00000000-0005-0000-0000-0000F2020000}"/>
    <cellStyle name="Accent3 18" xfId="905" xr:uid="{00000000-0005-0000-0000-0000F3020000}"/>
    <cellStyle name="Accent3 2" xfId="36" xr:uid="{00000000-0005-0000-0000-0000F4020000}"/>
    <cellStyle name="Accent3 2 2" xfId="906" xr:uid="{00000000-0005-0000-0000-0000F5020000}"/>
    <cellStyle name="Accent3 2 3" xfId="907" xr:uid="{00000000-0005-0000-0000-0000F6020000}"/>
    <cellStyle name="Accent3 2 4" xfId="908" xr:uid="{00000000-0005-0000-0000-0000F7020000}"/>
    <cellStyle name="Accent3 2 5" xfId="909" xr:uid="{00000000-0005-0000-0000-0000F8020000}"/>
    <cellStyle name="Accent3 3" xfId="910" xr:uid="{00000000-0005-0000-0000-0000F9020000}"/>
    <cellStyle name="Accent3 4" xfId="911" xr:uid="{00000000-0005-0000-0000-0000FA020000}"/>
    <cellStyle name="Accent3 5" xfId="912" xr:uid="{00000000-0005-0000-0000-0000FB020000}"/>
    <cellStyle name="Accent3 6" xfId="913" xr:uid="{00000000-0005-0000-0000-0000FC020000}"/>
    <cellStyle name="Accent3 7" xfId="914" xr:uid="{00000000-0005-0000-0000-0000FD020000}"/>
    <cellStyle name="Accent3 8" xfId="915" xr:uid="{00000000-0005-0000-0000-0000FE020000}"/>
    <cellStyle name="Accent3 9" xfId="916" xr:uid="{00000000-0005-0000-0000-0000FF020000}"/>
    <cellStyle name="Accent4 10" xfId="917" xr:uid="{00000000-0005-0000-0000-000000030000}"/>
    <cellStyle name="Accent4 11" xfId="918" xr:uid="{00000000-0005-0000-0000-000001030000}"/>
    <cellStyle name="Accent4 12" xfId="919" xr:uid="{00000000-0005-0000-0000-000002030000}"/>
    <cellStyle name="Accent4 13" xfId="920" xr:uid="{00000000-0005-0000-0000-000003030000}"/>
    <cellStyle name="Accent4 14" xfId="921" xr:uid="{00000000-0005-0000-0000-000004030000}"/>
    <cellStyle name="Accent4 15" xfId="922" xr:uid="{00000000-0005-0000-0000-000005030000}"/>
    <cellStyle name="Accent4 16" xfId="923" xr:uid="{00000000-0005-0000-0000-000006030000}"/>
    <cellStyle name="Accent4 17" xfId="924" xr:uid="{00000000-0005-0000-0000-000007030000}"/>
    <cellStyle name="Accent4 18" xfId="925" xr:uid="{00000000-0005-0000-0000-000008030000}"/>
    <cellStyle name="Accent4 2" xfId="37" xr:uid="{00000000-0005-0000-0000-000009030000}"/>
    <cellStyle name="Accent4 2 2" xfId="926" xr:uid="{00000000-0005-0000-0000-00000A030000}"/>
    <cellStyle name="Accent4 2 3" xfId="927" xr:uid="{00000000-0005-0000-0000-00000B030000}"/>
    <cellStyle name="Accent4 2 4" xfId="928" xr:uid="{00000000-0005-0000-0000-00000C030000}"/>
    <cellStyle name="Accent4 2 5" xfId="929" xr:uid="{00000000-0005-0000-0000-00000D030000}"/>
    <cellStyle name="Accent4 3" xfId="930" xr:uid="{00000000-0005-0000-0000-00000E030000}"/>
    <cellStyle name="Accent4 4" xfId="931" xr:uid="{00000000-0005-0000-0000-00000F030000}"/>
    <cellStyle name="Accent4 5" xfId="932" xr:uid="{00000000-0005-0000-0000-000010030000}"/>
    <cellStyle name="Accent4 6" xfId="933" xr:uid="{00000000-0005-0000-0000-000011030000}"/>
    <cellStyle name="Accent4 7" xfId="934" xr:uid="{00000000-0005-0000-0000-000012030000}"/>
    <cellStyle name="Accent4 8" xfId="935" xr:uid="{00000000-0005-0000-0000-000013030000}"/>
    <cellStyle name="Accent4 9" xfId="936" xr:uid="{00000000-0005-0000-0000-000014030000}"/>
    <cellStyle name="Accent5 10" xfId="937" xr:uid="{00000000-0005-0000-0000-000015030000}"/>
    <cellStyle name="Accent5 11" xfId="938" xr:uid="{00000000-0005-0000-0000-000016030000}"/>
    <cellStyle name="Accent5 12" xfId="939" xr:uid="{00000000-0005-0000-0000-000017030000}"/>
    <cellStyle name="Accent5 13" xfId="940" xr:uid="{00000000-0005-0000-0000-000018030000}"/>
    <cellStyle name="Accent5 14" xfId="941" xr:uid="{00000000-0005-0000-0000-000019030000}"/>
    <cellStyle name="Accent5 15" xfId="942" xr:uid="{00000000-0005-0000-0000-00001A030000}"/>
    <cellStyle name="Accent5 16" xfId="943" xr:uid="{00000000-0005-0000-0000-00001B030000}"/>
    <cellStyle name="Accent5 17" xfId="944" xr:uid="{00000000-0005-0000-0000-00001C030000}"/>
    <cellStyle name="Accent5 18" xfId="945" xr:uid="{00000000-0005-0000-0000-00001D030000}"/>
    <cellStyle name="Accent5 2" xfId="38" xr:uid="{00000000-0005-0000-0000-00001E030000}"/>
    <cellStyle name="Accent5 2 2" xfId="946" xr:uid="{00000000-0005-0000-0000-00001F030000}"/>
    <cellStyle name="Accent5 2 3" xfId="947" xr:uid="{00000000-0005-0000-0000-000020030000}"/>
    <cellStyle name="Accent5 2 4" xfId="948" xr:uid="{00000000-0005-0000-0000-000021030000}"/>
    <cellStyle name="Accent5 2 5" xfId="949" xr:uid="{00000000-0005-0000-0000-000022030000}"/>
    <cellStyle name="Accent5 3" xfId="950" xr:uid="{00000000-0005-0000-0000-000023030000}"/>
    <cellStyle name="Accent5 4" xfId="951" xr:uid="{00000000-0005-0000-0000-000024030000}"/>
    <cellStyle name="Accent5 5" xfId="952" xr:uid="{00000000-0005-0000-0000-000025030000}"/>
    <cellStyle name="Accent5 6" xfId="953" xr:uid="{00000000-0005-0000-0000-000026030000}"/>
    <cellStyle name="Accent5 7" xfId="954" xr:uid="{00000000-0005-0000-0000-000027030000}"/>
    <cellStyle name="Accent5 8" xfId="955" xr:uid="{00000000-0005-0000-0000-000028030000}"/>
    <cellStyle name="Accent5 9" xfId="956" xr:uid="{00000000-0005-0000-0000-000029030000}"/>
    <cellStyle name="Accent6 10" xfId="957" xr:uid="{00000000-0005-0000-0000-00002A030000}"/>
    <cellStyle name="Accent6 11" xfId="958" xr:uid="{00000000-0005-0000-0000-00002B030000}"/>
    <cellStyle name="Accent6 12" xfId="959" xr:uid="{00000000-0005-0000-0000-00002C030000}"/>
    <cellStyle name="Accent6 13" xfId="960" xr:uid="{00000000-0005-0000-0000-00002D030000}"/>
    <cellStyle name="Accent6 14" xfId="961" xr:uid="{00000000-0005-0000-0000-00002E030000}"/>
    <cellStyle name="Accent6 15" xfId="962" xr:uid="{00000000-0005-0000-0000-00002F030000}"/>
    <cellStyle name="Accent6 16" xfId="963" xr:uid="{00000000-0005-0000-0000-000030030000}"/>
    <cellStyle name="Accent6 17" xfId="964" xr:uid="{00000000-0005-0000-0000-000031030000}"/>
    <cellStyle name="Accent6 18" xfId="965" xr:uid="{00000000-0005-0000-0000-000032030000}"/>
    <cellStyle name="Accent6 2" xfId="39" xr:uid="{00000000-0005-0000-0000-000033030000}"/>
    <cellStyle name="Accent6 2 2" xfId="966" xr:uid="{00000000-0005-0000-0000-000034030000}"/>
    <cellStyle name="Accent6 2 3" xfId="967" xr:uid="{00000000-0005-0000-0000-000035030000}"/>
    <cellStyle name="Accent6 2 4" xfId="968" xr:uid="{00000000-0005-0000-0000-000036030000}"/>
    <cellStyle name="Accent6 2 5" xfId="969" xr:uid="{00000000-0005-0000-0000-000037030000}"/>
    <cellStyle name="Accent6 3" xfId="970" xr:uid="{00000000-0005-0000-0000-000038030000}"/>
    <cellStyle name="Accent6 4" xfId="971" xr:uid="{00000000-0005-0000-0000-000039030000}"/>
    <cellStyle name="Accent6 5" xfId="972" xr:uid="{00000000-0005-0000-0000-00003A030000}"/>
    <cellStyle name="Accent6 6" xfId="973" xr:uid="{00000000-0005-0000-0000-00003B030000}"/>
    <cellStyle name="Accent6 7" xfId="974" xr:uid="{00000000-0005-0000-0000-00003C030000}"/>
    <cellStyle name="Accent6 8" xfId="975" xr:uid="{00000000-0005-0000-0000-00003D030000}"/>
    <cellStyle name="Accent6 9" xfId="976" xr:uid="{00000000-0005-0000-0000-00003E030000}"/>
    <cellStyle name="Accounting" xfId="40" xr:uid="{00000000-0005-0000-0000-00003F030000}"/>
    <cellStyle name="Actual Date" xfId="41" xr:uid="{00000000-0005-0000-0000-000040030000}"/>
    <cellStyle name="Actual Date 2" xfId="4280" xr:uid="{00000000-0005-0000-0000-000041030000}"/>
    <cellStyle name="ADDR" xfId="42" xr:uid="{00000000-0005-0000-0000-000042030000}"/>
    <cellStyle name="Agara" xfId="43" xr:uid="{00000000-0005-0000-0000-000043030000}"/>
    <cellStyle name="Align-top" xfId="4281" xr:uid="{00000000-0005-0000-0000-000044030000}"/>
    <cellStyle name="Alternate Rows" xfId="4282" xr:uid="{00000000-0005-0000-0000-000045030000}"/>
    <cellStyle name="Alternate Yellow" xfId="4283" xr:uid="{00000000-0005-0000-0000-000046030000}"/>
    <cellStyle name="Bad 10" xfId="977" xr:uid="{00000000-0005-0000-0000-000047030000}"/>
    <cellStyle name="Bad 11" xfId="978" xr:uid="{00000000-0005-0000-0000-000048030000}"/>
    <cellStyle name="Bad 12" xfId="979" xr:uid="{00000000-0005-0000-0000-000049030000}"/>
    <cellStyle name="Bad 13" xfId="980" xr:uid="{00000000-0005-0000-0000-00004A030000}"/>
    <cellStyle name="Bad 14" xfId="981" xr:uid="{00000000-0005-0000-0000-00004B030000}"/>
    <cellStyle name="Bad 15" xfId="982" xr:uid="{00000000-0005-0000-0000-00004C030000}"/>
    <cellStyle name="Bad 16" xfId="983" xr:uid="{00000000-0005-0000-0000-00004D030000}"/>
    <cellStyle name="Bad 17" xfId="984" xr:uid="{00000000-0005-0000-0000-00004E030000}"/>
    <cellStyle name="Bad 18" xfId="985" xr:uid="{00000000-0005-0000-0000-00004F030000}"/>
    <cellStyle name="Bad 2" xfId="44" xr:uid="{00000000-0005-0000-0000-000050030000}"/>
    <cellStyle name="Bad 2 2" xfId="986" xr:uid="{00000000-0005-0000-0000-000051030000}"/>
    <cellStyle name="Bad 2 3" xfId="987" xr:uid="{00000000-0005-0000-0000-000052030000}"/>
    <cellStyle name="Bad 2 4" xfId="988" xr:uid="{00000000-0005-0000-0000-000053030000}"/>
    <cellStyle name="Bad 2 5" xfId="989" xr:uid="{00000000-0005-0000-0000-000054030000}"/>
    <cellStyle name="Bad 3" xfId="990" xr:uid="{00000000-0005-0000-0000-000055030000}"/>
    <cellStyle name="Bad 4" xfId="991" xr:uid="{00000000-0005-0000-0000-000056030000}"/>
    <cellStyle name="Bad 5" xfId="992" xr:uid="{00000000-0005-0000-0000-000057030000}"/>
    <cellStyle name="Bad 6" xfId="993" xr:uid="{00000000-0005-0000-0000-000058030000}"/>
    <cellStyle name="Bad 7" xfId="994" xr:uid="{00000000-0005-0000-0000-000059030000}"/>
    <cellStyle name="Bad 8" xfId="995" xr:uid="{00000000-0005-0000-0000-00005A030000}"/>
    <cellStyle name="Bad 9" xfId="996" xr:uid="{00000000-0005-0000-0000-00005B030000}"/>
    <cellStyle name="Basic" xfId="4484" xr:uid="{00000000-0005-0000-0000-00005C030000}"/>
    <cellStyle name="black" xfId="4158" xr:uid="{00000000-0005-0000-0000-00005D030000}"/>
    <cellStyle name="blu" xfId="4159" xr:uid="{00000000-0005-0000-0000-00005E030000}"/>
    <cellStyle name="Body" xfId="45" xr:uid="{00000000-0005-0000-0000-00005F030000}"/>
    <cellStyle name="Bold Red" xfId="4284" xr:uid="{00000000-0005-0000-0000-000060030000}"/>
    <cellStyle name="bot" xfId="4160" xr:uid="{00000000-0005-0000-0000-000061030000}"/>
    <cellStyle name="Bottom bold border" xfId="46" xr:uid="{00000000-0005-0000-0000-000062030000}"/>
    <cellStyle name="Bottom single border" xfId="47" xr:uid="{00000000-0005-0000-0000-000063030000}"/>
    <cellStyle name="Bullet" xfId="4161" xr:uid="{00000000-0005-0000-0000-000064030000}"/>
    <cellStyle name="Bullet [0]" xfId="4485" xr:uid="{00000000-0005-0000-0000-000065030000}"/>
    <cellStyle name="Bullet [2]" xfId="4486" xr:uid="{00000000-0005-0000-0000-000066030000}"/>
    <cellStyle name="Bullet [4]" xfId="4487" xr:uid="{00000000-0005-0000-0000-000067030000}"/>
    <cellStyle name="Business Unit" xfId="48" xr:uid="{00000000-0005-0000-0000-000068030000}"/>
    <cellStyle name="c" xfId="4162" xr:uid="{00000000-0005-0000-0000-000069030000}"/>
    <cellStyle name="c," xfId="4163" xr:uid="{00000000-0005-0000-0000-00006A030000}"/>
    <cellStyle name="c_HardInc " xfId="4164" xr:uid="{00000000-0005-0000-0000-00006B030000}"/>
    <cellStyle name="c_HardInc _ITC Great Plains Formula 1-12-09a" xfId="4488" xr:uid="{00000000-0005-0000-0000-00006C030000}"/>
    <cellStyle name="C00A" xfId="49" xr:uid="{00000000-0005-0000-0000-00006D030000}"/>
    <cellStyle name="C00B" xfId="50" xr:uid="{00000000-0005-0000-0000-00006E030000}"/>
    <cellStyle name="C00L" xfId="51" xr:uid="{00000000-0005-0000-0000-00006F030000}"/>
    <cellStyle name="C01A" xfId="52" xr:uid="{00000000-0005-0000-0000-000070030000}"/>
    <cellStyle name="C01B" xfId="53" xr:uid="{00000000-0005-0000-0000-000071030000}"/>
    <cellStyle name="C01H" xfId="54" xr:uid="{00000000-0005-0000-0000-000072030000}"/>
    <cellStyle name="C01L" xfId="55" xr:uid="{00000000-0005-0000-0000-000073030000}"/>
    <cellStyle name="C02A" xfId="56" xr:uid="{00000000-0005-0000-0000-000074030000}"/>
    <cellStyle name="C02B" xfId="57" xr:uid="{00000000-0005-0000-0000-000075030000}"/>
    <cellStyle name="C02H" xfId="58" xr:uid="{00000000-0005-0000-0000-000076030000}"/>
    <cellStyle name="C02L" xfId="59" xr:uid="{00000000-0005-0000-0000-000077030000}"/>
    <cellStyle name="C03A" xfId="60" xr:uid="{00000000-0005-0000-0000-000078030000}"/>
    <cellStyle name="C03B" xfId="61" xr:uid="{00000000-0005-0000-0000-000079030000}"/>
    <cellStyle name="C03H" xfId="62" xr:uid="{00000000-0005-0000-0000-00007A030000}"/>
    <cellStyle name="C03L" xfId="63" xr:uid="{00000000-0005-0000-0000-00007B030000}"/>
    <cellStyle name="C04A" xfId="64" xr:uid="{00000000-0005-0000-0000-00007C030000}"/>
    <cellStyle name="C04B" xfId="65" xr:uid="{00000000-0005-0000-0000-00007D030000}"/>
    <cellStyle name="C04H" xfId="66" xr:uid="{00000000-0005-0000-0000-00007E030000}"/>
    <cellStyle name="C04L" xfId="67" xr:uid="{00000000-0005-0000-0000-00007F030000}"/>
    <cellStyle name="C05A" xfId="68" xr:uid="{00000000-0005-0000-0000-000080030000}"/>
    <cellStyle name="C05B" xfId="69" xr:uid="{00000000-0005-0000-0000-000081030000}"/>
    <cellStyle name="C05H" xfId="70" xr:uid="{00000000-0005-0000-0000-000082030000}"/>
    <cellStyle name="C05L" xfId="71" xr:uid="{00000000-0005-0000-0000-000083030000}"/>
    <cellStyle name="C05L 2" xfId="4165" xr:uid="{00000000-0005-0000-0000-000084030000}"/>
    <cellStyle name="C06A" xfId="72" xr:uid="{00000000-0005-0000-0000-000085030000}"/>
    <cellStyle name="C06B" xfId="73" xr:uid="{00000000-0005-0000-0000-000086030000}"/>
    <cellStyle name="C06H" xfId="74" xr:uid="{00000000-0005-0000-0000-000087030000}"/>
    <cellStyle name="C06L" xfId="75" xr:uid="{00000000-0005-0000-0000-000088030000}"/>
    <cellStyle name="C07A" xfId="76" xr:uid="{00000000-0005-0000-0000-000089030000}"/>
    <cellStyle name="C07B" xfId="77" xr:uid="{00000000-0005-0000-0000-00008A030000}"/>
    <cellStyle name="C07H" xfId="78" xr:uid="{00000000-0005-0000-0000-00008B030000}"/>
    <cellStyle name="C07L" xfId="79" xr:uid="{00000000-0005-0000-0000-00008C030000}"/>
    <cellStyle name="c1" xfId="4166" xr:uid="{00000000-0005-0000-0000-00008D030000}"/>
    <cellStyle name="c1," xfId="4167" xr:uid="{00000000-0005-0000-0000-00008E030000}"/>
    <cellStyle name="c2" xfId="4168" xr:uid="{00000000-0005-0000-0000-00008F030000}"/>
    <cellStyle name="c2," xfId="4169" xr:uid="{00000000-0005-0000-0000-000090030000}"/>
    <cellStyle name="c3" xfId="4170" xr:uid="{00000000-0005-0000-0000-000091030000}"/>
    <cellStyle name="Calculation 10" xfId="997" xr:uid="{00000000-0005-0000-0000-000092030000}"/>
    <cellStyle name="Calculation 11" xfId="998" xr:uid="{00000000-0005-0000-0000-000093030000}"/>
    <cellStyle name="Calculation 12" xfId="999" xr:uid="{00000000-0005-0000-0000-000094030000}"/>
    <cellStyle name="Calculation 13" xfId="1000" xr:uid="{00000000-0005-0000-0000-000095030000}"/>
    <cellStyle name="Calculation 14" xfId="1001" xr:uid="{00000000-0005-0000-0000-000096030000}"/>
    <cellStyle name="Calculation 15" xfId="1002" xr:uid="{00000000-0005-0000-0000-000097030000}"/>
    <cellStyle name="Calculation 16" xfId="1003" xr:uid="{00000000-0005-0000-0000-000098030000}"/>
    <cellStyle name="Calculation 17" xfId="1004" xr:uid="{00000000-0005-0000-0000-000099030000}"/>
    <cellStyle name="Calculation 18" xfId="1005" xr:uid="{00000000-0005-0000-0000-00009A030000}"/>
    <cellStyle name="Calculation 2" xfId="80" xr:uid="{00000000-0005-0000-0000-00009B030000}"/>
    <cellStyle name="Calculation 2 2" xfId="1006" xr:uid="{00000000-0005-0000-0000-00009C030000}"/>
    <cellStyle name="Calculation 2 3" xfId="1007" xr:uid="{00000000-0005-0000-0000-00009D030000}"/>
    <cellStyle name="Calculation 2 4" xfId="1008" xr:uid="{00000000-0005-0000-0000-00009E030000}"/>
    <cellStyle name="Calculation 2 5" xfId="1009" xr:uid="{00000000-0005-0000-0000-00009F030000}"/>
    <cellStyle name="Calculation 3" xfId="1010" xr:uid="{00000000-0005-0000-0000-0000A0030000}"/>
    <cellStyle name="Calculation 4" xfId="1011" xr:uid="{00000000-0005-0000-0000-0000A1030000}"/>
    <cellStyle name="Calculation 5" xfId="1012" xr:uid="{00000000-0005-0000-0000-0000A2030000}"/>
    <cellStyle name="Calculation 6" xfId="1013" xr:uid="{00000000-0005-0000-0000-0000A3030000}"/>
    <cellStyle name="Calculation 7" xfId="1014" xr:uid="{00000000-0005-0000-0000-0000A4030000}"/>
    <cellStyle name="Calculation 8" xfId="1015" xr:uid="{00000000-0005-0000-0000-0000A5030000}"/>
    <cellStyle name="Calculation 9" xfId="1016" xr:uid="{00000000-0005-0000-0000-0000A6030000}"/>
    <cellStyle name="Cancel" xfId="4285" xr:uid="{00000000-0005-0000-0000-0000A7030000}"/>
    <cellStyle name="cas" xfId="4171" xr:uid="{00000000-0005-0000-0000-0000A8030000}"/>
    <cellStyle name="Centered Heading" xfId="4172" xr:uid="{00000000-0005-0000-0000-0000A9030000}"/>
    <cellStyle name="Check Cell 10" xfId="1017" xr:uid="{00000000-0005-0000-0000-0000AA030000}"/>
    <cellStyle name="Check Cell 11" xfId="1018" xr:uid="{00000000-0005-0000-0000-0000AB030000}"/>
    <cellStyle name="Check Cell 12" xfId="1019" xr:uid="{00000000-0005-0000-0000-0000AC030000}"/>
    <cellStyle name="Check Cell 13" xfId="1020" xr:uid="{00000000-0005-0000-0000-0000AD030000}"/>
    <cellStyle name="Check Cell 14" xfId="1021" xr:uid="{00000000-0005-0000-0000-0000AE030000}"/>
    <cellStyle name="Check Cell 15" xfId="1022" xr:uid="{00000000-0005-0000-0000-0000AF030000}"/>
    <cellStyle name="Check Cell 16" xfId="1023" xr:uid="{00000000-0005-0000-0000-0000B0030000}"/>
    <cellStyle name="Check Cell 17" xfId="1024" xr:uid="{00000000-0005-0000-0000-0000B1030000}"/>
    <cellStyle name="Check Cell 18" xfId="1025" xr:uid="{00000000-0005-0000-0000-0000B2030000}"/>
    <cellStyle name="Check Cell 2" xfId="81" xr:uid="{00000000-0005-0000-0000-0000B3030000}"/>
    <cellStyle name="Check Cell 2 2" xfId="1026" xr:uid="{00000000-0005-0000-0000-0000B4030000}"/>
    <cellStyle name="Check Cell 2 3" xfId="1027" xr:uid="{00000000-0005-0000-0000-0000B5030000}"/>
    <cellStyle name="Check Cell 2 4" xfId="1028" xr:uid="{00000000-0005-0000-0000-0000B6030000}"/>
    <cellStyle name="Check Cell 2 5" xfId="1029" xr:uid="{00000000-0005-0000-0000-0000B7030000}"/>
    <cellStyle name="Check Cell 3" xfId="1030" xr:uid="{00000000-0005-0000-0000-0000B8030000}"/>
    <cellStyle name="Check Cell 4" xfId="1031" xr:uid="{00000000-0005-0000-0000-0000B9030000}"/>
    <cellStyle name="Check Cell 5" xfId="1032" xr:uid="{00000000-0005-0000-0000-0000BA030000}"/>
    <cellStyle name="Check Cell 6" xfId="1033" xr:uid="{00000000-0005-0000-0000-0000BB030000}"/>
    <cellStyle name="Check Cell 7" xfId="1034" xr:uid="{00000000-0005-0000-0000-0000BC030000}"/>
    <cellStyle name="Check Cell 8" xfId="1035" xr:uid="{00000000-0005-0000-0000-0000BD030000}"/>
    <cellStyle name="Check Cell 9" xfId="1036" xr:uid="{00000000-0005-0000-0000-0000BE030000}"/>
    <cellStyle name="Column.Head" xfId="4286" xr:uid="{00000000-0005-0000-0000-0000BF030000}"/>
    <cellStyle name="Comma" xfId="4665" builtinId="3"/>
    <cellStyle name="Comma  - Style1" xfId="4489" xr:uid="{00000000-0005-0000-0000-0000C1030000}"/>
    <cellStyle name="Comma  - Style2" xfId="4490" xr:uid="{00000000-0005-0000-0000-0000C2030000}"/>
    <cellStyle name="Comma  - Style3" xfId="4491" xr:uid="{00000000-0005-0000-0000-0000C3030000}"/>
    <cellStyle name="Comma  - Style4" xfId="4492" xr:uid="{00000000-0005-0000-0000-0000C4030000}"/>
    <cellStyle name="Comma  - Style5" xfId="4493" xr:uid="{00000000-0005-0000-0000-0000C5030000}"/>
    <cellStyle name="Comma  - Style6" xfId="4494" xr:uid="{00000000-0005-0000-0000-0000C6030000}"/>
    <cellStyle name="Comma  - Style7" xfId="4495" xr:uid="{00000000-0005-0000-0000-0000C7030000}"/>
    <cellStyle name="Comma  - Style8" xfId="4496" xr:uid="{00000000-0005-0000-0000-0000C8030000}"/>
    <cellStyle name="Comma [0] 2" xfId="1037" xr:uid="{00000000-0005-0000-0000-0000C9030000}"/>
    <cellStyle name="Comma [0] 3" xfId="4173" xr:uid="{00000000-0005-0000-0000-0000CA030000}"/>
    <cellStyle name="Comma [0] 3 2" xfId="4683" xr:uid="{00000000-0005-0000-0000-0000CB030000}"/>
    <cellStyle name="Comma [0] 3 2 2" xfId="5170" xr:uid="{05D1E500-D86D-4392-83A1-8CC5C72D4B3D}"/>
    <cellStyle name="Comma [0] 4" xfId="4174" xr:uid="{00000000-0005-0000-0000-0000CC030000}"/>
    <cellStyle name="Comma [0] 4 2" xfId="5065" xr:uid="{9081E65D-C1AA-4776-BB5F-40D9B7B713D3}"/>
    <cellStyle name="Comma [1]" xfId="4287" xr:uid="{00000000-0005-0000-0000-0000CD030000}"/>
    <cellStyle name="Comma [2]" xfId="4288" xr:uid="{00000000-0005-0000-0000-0000CE030000}"/>
    <cellStyle name="Comma [3]" xfId="4497" xr:uid="{00000000-0005-0000-0000-0000CF030000}"/>
    <cellStyle name="Comma 0" xfId="82" xr:uid="{00000000-0005-0000-0000-0000D0030000}"/>
    <cellStyle name="Comma 0.0" xfId="4175" xr:uid="{00000000-0005-0000-0000-0000D1030000}"/>
    <cellStyle name="Comma 0.00" xfId="4176" xr:uid="{00000000-0005-0000-0000-0000D2030000}"/>
    <cellStyle name="Comma 0.000" xfId="4177" xr:uid="{00000000-0005-0000-0000-0000D3030000}"/>
    <cellStyle name="Comma 0.0000" xfId="4178" xr:uid="{00000000-0005-0000-0000-0000D4030000}"/>
    <cellStyle name="Comma 10" xfId="190" xr:uid="{00000000-0005-0000-0000-0000D5030000}"/>
    <cellStyle name="Comma 10 2" xfId="1038" xr:uid="{00000000-0005-0000-0000-0000D6030000}"/>
    <cellStyle name="Comma 10 2 2" xfId="1039" xr:uid="{00000000-0005-0000-0000-0000D7030000}"/>
    <cellStyle name="Comma 10 3" xfId="1040" xr:uid="{00000000-0005-0000-0000-0000D8030000}"/>
    <cellStyle name="Comma 10 4" xfId="4498" xr:uid="{00000000-0005-0000-0000-0000D9030000}"/>
    <cellStyle name="Comma 10 4 2" xfId="5085" xr:uid="{74F0C874-67FA-4858-B337-CBBAFFC618B7}"/>
    <cellStyle name="Comma 10 5" xfId="4499" xr:uid="{00000000-0005-0000-0000-0000DA030000}"/>
    <cellStyle name="Comma 10 5 2" xfId="5086" xr:uid="{3E6AF834-CC00-454D-8B24-4D73E4F8AB4D}"/>
    <cellStyle name="Comma 10 6" xfId="4477" xr:uid="{00000000-0005-0000-0000-0000DB030000}"/>
    <cellStyle name="Comma 11" xfId="1041" xr:uid="{00000000-0005-0000-0000-0000DC030000}"/>
    <cellStyle name="Comma 12" xfId="1042" xr:uid="{00000000-0005-0000-0000-0000DD030000}"/>
    <cellStyle name="Comma 12 2" xfId="4684" xr:uid="{00000000-0005-0000-0000-0000DE030000}"/>
    <cellStyle name="Comma 12 2 2" xfId="4692" xr:uid="{00000000-0005-0000-0000-0000DF030000}"/>
    <cellStyle name="Comma 12 2 2 2" xfId="5179" xr:uid="{A21D6A42-8D7C-4B4D-AA66-20A37548AECA}"/>
    <cellStyle name="Comma 12 2 3" xfId="5171" xr:uid="{8696D2DF-141D-415B-8154-F322932128A8}"/>
    <cellStyle name="Comma 12 3" xfId="4678" xr:uid="{00000000-0005-0000-0000-0000E0030000}"/>
    <cellStyle name="Comma 12 3 2" xfId="5166" xr:uid="{1A1EBCDC-32C5-4B3D-98DC-8CE049F49CB3}"/>
    <cellStyle name="Comma 13" xfId="1043" xr:uid="{00000000-0005-0000-0000-0000E1030000}"/>
    <cellStyle name="Comma 13 2" xfId="4681" xr:uid="{00000000-0005-0000-0000-0000E2030000}"/>
    <cellStyle name="Comma 13 2 2" xfId="4691" xr:uid="{00000000-0005-0000-0000-0000E3030000}"/>
    <cellStyle name="Comma 13 2 2 2" xfId="5178" xr:uid="{D51128C2-6C6F-4071-994B-EC4210B9CE7B}"/>
    <cellStyle name="Comma 13 2 3" xfId="5168" xr:uid="{C1D19D87-C1B0-43E9-B865-56A7058555A7}"/>
    <cellStyle name="Comma 14" xfId="1044" xr:uid="{00000000-0005-0000-0000-0000E4030000}"/>
    <cellStyle name="Comma 15" xfId="1045" xr:uid="{00000000-0005-0000-0000-0000E5030000}"/>
    <cellStyle name="Comma 16" xfId="1046" xr:uid="{00000000-0005-0000-0000-0000E6030000}"/>
    <cellStyle name="Comma 17" xfId="1047" xr:uid="{00000000-0005-0000-0000-0000E7030000}"/>
    <cellStyle name="Comma 18" xfId="1048" xr:uid="{00000000-0005-0000-0000-0000E8030000}"/>
    <cellStyle name="Comma 19" xfId="1049" xr:uid="{00000000-0005-0000-0000-0000E9030000}"/>
    <cellStyle name="Comma 2" xfId="2" xr:uid="{00000000-0005-0000-0000-0000EA030000}"/>
    <cellStyle name="Comma 2 2" xfId="1050" xr:uid="{00000000-0005-0000-0000-0000EB030000}"/>
    <cellStyle name="Comma 2 2 2" xfId="4685" xr:uid="{00000000-0005-0000-0000-0000EC030000}"/>
    <cellStyle name="Comma 2 2 2 2" xfId="5172" xr:uid="{72A4038F-98B6-4E74-BF65-5CC3204C89B5}"/>
    <cellStyle name="Comma 2 3" xfId="1051" xr:uid="{00000000-0005-0000-0000-0000ED030000}"/>
    <cellStyle name="Comma 2 3 2" xfId="1052" xr:uid="{00000000-0005-0000-0000-0000EE030000}"/>
    <cellStyle name="Comma 2 3 2 2" xfId="1053" xr:uid="{00000000-0005-0000-0000-0000EF030000}"/>
    <cellStyle name="Comma 2 3 2 2 2" xfId="5043" xr:uid="{59C18215-107E-438D-A463-56DF9502244C}"/>
    <cellStyle name="Comma 2 3 2 3" xfId="5042" xr:uid="{7375947C-189E-4F70-9CEE-40731D1D3924}"/>
    <cellStyle name="Comma 2 3 3" xfId="1054" xr:uid="{00000000-0005-0000-0000-0000F0030000}"/>
    <cellStyle name="Comma 2 3 3 2" xfId="5044" xr:uid="{EC0606F0-4576-48A6-9297-7F57ABA58F06}"/>
    <cellStyle name="Comma 2 3 4" xfId="5041" xr:uid="{47EC9724-3B39-45A5-A194-7E2B23E62EC5}"/>
    <cellStyle name="Comma 2 4" xfId="1055" xr:uid="{00000000-0005-0000-0000-0000F1030000}"/>
    <cellStyle name="Comma 2 5" xfId="1056" xr:uid="{00000000-0005-0000-0000-0000F2030000}"/>
    <cellStyle name="Comma 20" xfId="1057" xr:uid="{00000000-0005-0000-0000-0000F3030000}"/>
    <cellStyle name="Comma 21" xfId="1058" xr:uid="{00000000-0005-0000-0000-0000F4030000}"/>
    <cellStyle name="Comma 22" xfId="1059" xr:uid="{00000000-0005-0000-0000-0000F5030000}"/>
    <cellStyle name="Comma 23" xfId="1060" xr:uid="{00000000-0005-0000-0000-0000F6030000}"/>
    <cellStyle name="Comma 24" xfId="1061" xr:uid="{00000000-0005-0000-0000-0000F7030000}"/>
    <cellStyle name="Comma 25" xfId="1062" xr:uid="{00000000-0005-0000-0000-0000F8030000}"/>
    <cellStyle name="Comma 26" xfId="1063" xr:uid="{00000000-0005-0000-0000-0000F9030000}"/>
    <cellStyle name="Comma 27" xfId="1064" xr:uid="{00000000-0005-0000-0000-0000FA030000}"/>
    <cellStyle name="Comma 28" xfId="1065" xr:uid="{00000000-0005-0000-0000-0000FB030000}"/>
    <cellStyle name="Comma 29" xfId="1066" xr:uid="{00000000-0005-0000-0000-0000FC030000}"/>
    <cellStyle name="Comma 3" xfId="83" xr:uid="{00000000-0005-0000-0000-0000FD030000}"/>
    <cellStyle name="Comma 3 2" xfId="1067" xr:uid="{00000000-0005-0000-0000-0000FE030000}"/>
    <cellStyle name="Comma 3 3" xfId="1068" xr:uid="{00000000-0005-0000-0000-0000FF030000}"/>
    <cellStyle name="Comma 3 3 2" xfId="1069" xr:uid="{00000000-0005-0000-0000-000000040000}"/>
    <cellStyle name="Comma 3 4" xfId="1070" xr:uid="{00000000-0005-0000-0000-000001040000}"/>
    <cellStyle name="Comma 3 5" xfId="4699" xr:uid="{51AB85C5-E0B7-4BC2-8465-990D56C01BAD}"/>
    <cellStyle name="Comma 30" xfId="1071" xr:uid="{00000000-0005-0000-0000-000002040000}"/>
    <cellStyle name="Comma 31" xfId="1072" xr:uid="{00000000-0005-0000-0000-000003040000}"/>
    <cellStyle name="Comma 32" xfId="1073" xr:uid="{00000000-0005-0000-0000-000004040000}"/>
    <cellStyle name="Comma 33" xfId="1074" xr:uid="{00000000-0005-0000-0000-000005040000}"/>
    <cellStyle name="Comma 34" xfId="1075" xr:uid="{00000000-0005-0000-0000-000006040000}"/>
    <cellStyle name="Comma 35" xfId="1076" xr:uid="{00000000-0005-0000-0000-000007040000}"/>
    <cellStyle name="Comma 36" xfId="1077" xr:uid="{00000000-0005-0000-0000-000008040000}"/>
    <cellStyle name="Comma 37" xfId="1078" xr:uid="{00000000-0005-0000-0000-000009040000}"/>
    <cellStyle name="Comma 38" xfId="1079" xr:uid="{00000000-0005-0000-0000-00000A040000}"/>
    <cellStyle name="Comma 39" xfId="1080" xr:uid="{00000000-0005-0000-0000-00000B040000}"/>
    <cellStyle name="Comma 4" xfId="84" xr:uid="{00000000-0005-0000-0000-00000C040000}"/>
    <cellStyle name="Comma 4 2" xfId="1081" xr:uid="{00000000-0005-0000-0000-00000D040000}"/>
    <cellStyle name="Comma 40" xfId="1082" xr:uid="{00000000-0005-0000-0000-00000E040000}"/>
    <cellStyle name="Comma 41" xfId="1083" xr:uid="{00000000-0005-0000-0000-00000F040000}"/>
    <cellStyle name="Comma 42" xfId="1084" xr:uid="{00000000-0005-0000-0000-000010040000}"/>
    <cellStyle name="Comma 43" xfId="1085" xr:uid="{00000000-0005-0000-0000-000011040000}"/>
    <cellStyle name="Comma 44" xfId="1086" xr:uid="{00000000-0005-0000-0000-000012040000}"/>
    <cellStyle name="Comma 45" xfId="1087" xr:uid="{00000000-0005-0000-0000-000013040000}"/>
    <cellStyle name="Comma 46" xfId="1088" xr:uid="{00000000-0005-0000-0000-000014040000}"/>
    <cellStyle name="Comma 47" xfId="1089" xr:uid="{00000000-0005-0000-0000-000015040000}"/>
    <cellStyle name="Comma 48" xfId="1090" xr:uid="{00000000-0005-0000-0000-000016040000}"/>
    <cellStyle name="Comma 49" xfId="1091" xr:uid="{00000000-0005-0000-0000-000017040000}"/>
    <cellStyle name="Comma 5" xfId="1092" xr:uid="{00000000-0005-0000-0000-000018040000}"/>
    <cellStyle name="Comma 5 2" xfId="1093" xr:uid="{00000000-0005-0000-0000-000019040000}"/>
    <cellStyle name="Comma 50" xfId="1094" xr:uid="{00000000-0005-0000-0000-00001A040000}"/>
    <cellStyle name="Comma 51" xfId="1095" xr:uid="{00000000-0005-0000-0000-00001B040000}"/>
    <cellStyle name="Comma 52" xfId="1096" xr:uid="{00000000-0005-0000-0000-00001C040000}"/>
    <cellStyle name="Comma 53" xfId="1097" xr:uid="{00000000-0005-0000-0000-00001D040000}"/>
    <cellStyle name="Comma 54" xfId="1098" xr:uid="{00000000-0005-0000-0000-00001E040000}"/>
    <cellStyle name="Comma 55" xfId="1099" xr:uid="{00000000-0005-0000-0000-00001F040000}"/>
    <cellStyle name="Comma 56" xfId="1100" xr:uid="{00000000-0005-0000-0000-000020040000}"/>
    <cellStyle name="Comma 57" xfId="1101" xr:uid="{00000000-0005-0000-0000-000021040000}"/>
    <cellStyle name="Comma 57 2" xfId="1102" xr:uid="{00000000-0005-0000-0000-000022040000}"/>
    <cellStyle name="Comma 58" xfId="1103" xr:uid="{00000000-0005-0000-0000-000023040000}"/>
    <cellStyle name="Comma 58 2" xfId="1104" xr:uid="{00000000-0005-0000-0000-000024040000}"/>
    <cellStyle name="Comma 59" xfId="1105" xr:uid="{00000000-0005-0000-0000-000025040000}"/>
    <cellStyle name="Comma 59 2" xfId="1106" xr:uid="{00000000-0005-0000-0000-000026040000}"/>
    <cellStyle name="Comma 6" xfId="1107" xr:uid="{00000000-0005-0000-0000-000027040000}"/>
    <cellStyle name="Comma 6 2" xfId="1108" xr:uid="{00000000-0005-0000-0000-000028040000}"/>
    <cellStyle name="Comma 6 3" xfId="4289" xr:uid="{00000000-0005-0000-0000-000029040000}"/>
    <cellStyle name="Comma 60" xfId="1109" xr:uid="{00000000-0005-0000-0000-00002A040000}"/>
    <cellStyle name="Comma 60 2" xfId="1110" xr:uid="{00000000-0005-0000-0000-00002B040000}"/>
    <cellStyle name="Comma 61" xfId="1111" xr:uid="{00000000-0005-0000-0000-00002C040000}"/>
    <cellStyle name="Comma 61 2" xfId="1112" xr:uid="{00000000-0005-0000-0000-00002D040000}"/>
    <cellStyle name="Comma 62" xfId="1113" xr:uid="{00000000-0005-0000-0000-00002E040000}"/>
    <cellStyle name="Comma 62 2" xfId="1114" xr:uid="{00000000-0005-0000-0000-00002F040000}"/>
    <cellStyle name="Comma 63" xfId="1115" xr:uid="{00000000-0005-0000-0000-000030040000}"/>
    <cellStyle name="Comma 63 2" xfId="1116" xr:uid="{00000000-0005-0000-0000-000031040000}"/>
    <cellStyle name="Comma 64" xfId="1117" xr:uid="{00000000-0005-0000-0000-000032040000}"/>
    <cellStyle name="Comma 64 2" xfId="1118" xr:uid="{00000000-0005-0000-0000-000033040000}"/>
    <cellStyle name="Comma 65" xfId="1119" xr:uid="{00000000-0005-0000-0000-000034040000}"/>
    <cellStyle name="Comma 65 2" xfId="1120" xr:uid="{00000000-0005-0000-0000-000035040000}"/>
    <cellStyle name="Comma 66" xfId="1121" xr:uid="{00000000-0005-0000-0000-000036040000}"/>
    <cellStyle name="Comma 66 2" xfId="1122" xr:uid="{00000000-0005-0000-0000-000037040000}"/>
    <cellStyle name="Comma 67" xfId="1123" xr:uid="{00000000-0005-0000-0000-000038040000}"/>
    <cellStyle name="Comma 67 2" xfId="1124" xr:uid="{00000000-0005-0000-0000-000039040000}"/>
    <cellStyle name="Comma 68" xfId="1125" xr:uid="{00000000-0005-0000-0000-00003A040000}"/>
    <cellStyle name="Comma 68 2" xfId="1126" xr:uid="{00000000-0005-0000-0000-00003B040000}"/>
    <cellStyle name="Comma 69" xfId="1127" xr:uid="{00000000-0005-0000-0000-00003C040000}"/>
    <cellStyle name="Comma 69 2" xfId="1128" xr:uid="{00000000-0005-0000-0000-00003D040000}"/>
    <cellStyle name="Comma 7" xfId="1129" xr:uid="{00000000-0005-0000-0000-00003E040000}"/>
    <cellStyle name="Comma 7 2" xfId="4290" xr:uid="{00000000-0005-0000-0000-00003F040000}"/>
    <cellStyle name="Comma 70" xfId="1130" xr:uid="{00000000-0005-0000-0000-000040040000}"/>
    <cellStyle name="Comma 70 2" xfId="1131" xr:uid="{00000000-0005-0000-0000-000041040000}"/>
    <cellStyle name="Comma 71" xfId="1132" xr:uid="{00000000-0005-0000-0000-000042040000}"/>
    <cellStyle name="Comma 71 2" xfId="1133" xr:uid="{00000000-0005-0000-0000-000043040000}"/>
    <cellStyle name="Comma 72" xfId="1134" xr:uid="{00000000-0005-0000-0000-000044040000}"/>
    <cellStyle name="Comma 72 2" xfId="1135" xr:uid="{00000000-0005-0000-0000-000045040000}"/>
    <cellStyle name="Comma 73" xfId="1136" xr:uid="{00000000-0005-0000-0000-000046040000}"/>
    <cellStyle name="Comma 73 2" xfId="1137" xr:uid="{00000000-0005-0000-0000-000047040000}"/>
    <cellStyle name="Comma 74" xfId="1138" xr:uid="{00000000-0005-0000-0000-000048040000}"/>
    <cellStyle name="Comma 74 2" xfId="1139" xr:uid="{00000000-0005-0000-0000-000049040000}"/>
    <cellStyle name="Comma 75" xfId="1140" xr:uid="{00000000-0005-0000-0000-00004A040000}"/>
    <cellStyle name="Comma 75 2" xfId="1141" xr:uid="{00000000-0005-0000-0000-00004B040000}"/>
    <cellStyle name="Comma 76" xfId="1142" xr:uid="{00000000-0005-0000-0000-00004C040000}"/>
    <cellStyle name="Comma 76 2" xfId="1143" xr:uid="{00000000-0005-0000-0000-00004D040000}"/>
    <cellStyle name="Comma 77" xfId="1144" xr:uid="{00000000-0005-0000-0000-00004E040000}"/>
    <cellStyle name="Comma 77 2" xfId="1145" xr:uid="{00000000-0005-0000-0000-00004F040000}"/>
    <cellStyle name="Comma 78" xfId="1146" xr:uid="{00000000-0005-0000-0000-000050040000}"/>
    <cellStyle name="Comma 78 2" xfId="1147" xr:uid="{00000000-0005-0000-0000-000051040000}"/>
    <cellStyle name="Comma 79" xfId="1148" xr:uid="{00000000-0005-0000-0000-000052040000}"/>
    <cellStyle name="Comma 79 2" xfId="1149" xr:uid="{00000000-0005-0000-0000-000053040000}"/>
    <cellStyle name="Comma 8" xfId="1150" xr:uid="{00000000-0005-0000-0000-000054040000}"/>
    <cellStyle name="Comma 8 2" xfId="4291" xr:uid="{00000000-0005-0000-0000-000055040000}"/>
    <cellStyle name="Comma 8 2 2" xfId="4500" xr:uid="{00000000-0005-0000-0000-000056040000}"/>
    <cellStyle name="Comma 8 2 3" xfId="4501" xr:uid="{00000000-0005-0000-0000-000057040000}"/>
    <cellStyle name="Comma 8 2 3 2" xfId="5087" xr:uid="{0D4F3AF0-64C9-4C9F-8BBA-16ABC58B6865}"/>
    <cellStyle name="Comma 8 2 4" xfId="4502" xr:uid="{00000000-0005-0000-0000-000058040000}"/>
    <cellStyle name="Comma 8 2 4 2" xfId="5088" xr:uid="{8BDB78ED-1621-4081-929D-CD9DDFCBE191}"/>
    <cellStyle name="Comma 8 2 5" xfId="4503" xr:uid="{00000000-0005-0000-0000-000059040000}"/>
    <cellStyle name="Comma 8 2 5 2" xfId="5089" xr:uid="{8B4B043B-A555-49C4-87F8-55FE499363AE}"/>
    <cellStyle name="Comma 8 3" xfId="4504" xr:uid="{00000000-0005-0000-0000-00005A040000}"/>
    <cellStyle name="Comma 8 4" xfId="4505" xr:uid="{00000000-0005-0000-0000-00005B040000}"/>
    <cellStyle name="Comma 8 4 2" xfId="5090" xr:uid="{83D07942-3930-4D0B-AA68-D6AEABBE117F}"/>
    <cellStyle name="Comma 8 5" xfId="4506" xr:uid="{00000000-0005-0000-0000-00005C040000}"/>
    <cellStyle name="Comma 8 5 2" xfId="5091" xr:uid="{AB66DD7A-8AAB-4A05-9ECE-27319193A3E6}"/>
    <cellStyle name="Comma 8 6" xfId="4507" xr:uid="{00000000-0005-0000-0000-00005D040000}"/>
    <cellStyle name="Comma 8 6 2" xfId="5092" xr:uid="{5B0CB201-FD1C-4020-81E6-C126AA1C3EEC}"/>
    <cellStyle name="Comma 80" xfId="1151" xr:uid="{00000000-0005-0000-0000-00005E040000}"/>
    <cellStyle name="Comma 80 2" xfId="1152" xr:uid="{00000000-0005-0000-0000-00005F040000}"/>
    <cellStyle name="Comma 81" xfId="1153" xr:uid="{00000000-0005-0000-0000-000060040000}"/>
    <cellStyle name="Comma 81 2" xfId="1154" xr:uid="{00000000-0005-0000-0000-000061040000}"/>
    <cellStyle name="Comma 82" xfId="1155" xr:uid="{00000000-0005-0000-0000-000062040000}"/>
    <cellStyle name="Comma 82 2" xfId="1156" xr:uid="{00000000-0005-0000-0000-000063040000}"/>
    <cellStyle name="Comma 83" xfId="1157" xr:uid="{00000000-0005-0000-0000-000064040000}"/>
    <cellStyle name="Comma 83 2" xfId="1158" xr:uid="{00000000-0005-0000-0000-000065040000}"/>
    <cellStyle name="Comma 84" xfId="1159" xr:uid="{00000000-0005-0000-0000-000066040000}"/>
    <cellStyle name="Comma 84 2" xfId="1160" xr:uid="{00000000-0005-0000-0000-000067040000}"/>
    <cellStyle name="Comma 85" xfId="1161" xr:uid="{00000000-0005-0000-0000-000068040000}"/>
    <cellStyle name="Comma 85 2" xfId="1162" xr:uid="{00000000-0005-0000-0000-000069040000}"/>
    <cellStyle name="Comma 86" xfId="1163" xr:uid="{00000000-0005-0000-0000-00006A040000}"/>
    <cellStyle name="Comma 86 2" xfId="1164" xr:uid="{00000000-0005-0000-0000-00006B040000}"/>
    <cellStyle name="Comma 87" xfId="1165" xr:uid="{00000000-0005-0000-0000-00006C040000}"/>
    <cellStyle name="Comma 87 2" xfId="1166" xr:uid="{00000000-0005-0000-0000-00006D040000}"/>
    <cellStyle name="Comma 88" xfId="1167" xr:uid="{00000000-0005-0000-0000-00006E040000}"/>
    <cellStyle name="Comma 88 2" xfId="1168" xr:uid="{00000000-0005-0000-0000-00006F040000}"/>
    <cellStyle name="Comma 89" xfId="1169" xr:uid="{00000000-0005-0000-0000-000070040000}"/>
    <cellStyle name="Comma 89 2" xfId="1170" xr:uid="{00000000-0005-0000-0000-000071040000}"/>
    <cellStyle name="Comma 9" xfId="1171" xr:uid="{00000000-0005-0000-0000-000072040000}"/>
    <cellStyle name="Comma 9 2" xfId="4508" xr:uid="{00000000-0005-0000-0000-000073040000}"/>
    <cellStyle name="Comma 90" xfId="1172" xr:uid="{00000000-0005-0000-0000-000074040000}"/>
    <cellStyle name="Comma 91" xfId="1173" xr:uid="{00000000-0005-0000-0000-000075040000}"/>
    <cellStyle name="Comma 92" xfId="1174" xr:uid="{00000000-0005-0000-0000-000076040000}"/>
    <cellStyle name="Comma 93" xfId="1175" xr:uid="{00000000-0005-0000-0000-000077040000}"/>
    <cellStyle name="Comma 94" xfId="1176" xr:uid="{00000000-0005-0000-0000-000078040000}"/>
    <cellStyle name="Comma 95" xfId="4472" xr:uid="{00000000-0005-0000-0000-000079040000}"/>
    <cellStyle name="Comma 95 2" xfId="5083" xr:uid="{D5D6F030-D78C-4FB5-9C69-0D11DD978E27}"/>
    <cellStyle name="Comma 96" xfId="4696" xr:uid="{B2BEB86B-46E3-411E-8261-E06CDF5055CF}"/>
    <cellStyle name="Comma Input" xfId="4509" xr:uid="{00000000-0005-0000-0000-00007A040000}"/>
    <cellStyle name="Comma(0)" xfId="4292" xr:uid="{00000000-0005-0000-0000-00007B040000}"/>
    <cellStyle name="Comma, No spaces" xfId="4293" xr:uid="{00000000-0005-0000-0000-00007C040000}"/>
    <cellStyle name="Comma0" xfId="4179" xr:uid="{00000000-0005-0000-0000-00007D040000}"/>
    <cellStyle name="Comma0 - Style1" xfId="85" xr:uid="{00000000-0005-0000-0000-00007E040000}"/>
    <cellStyle name="Comma0 - Style2" xfId="4294" xr:uid="{00000000-0005-0000-0000-00007F040000}"/>
    <cellStyle name="Comma0_currency data update to Oct" xfId="4295" xr:uid="{00000000-0005-0000-0000-000080040000}"/>
    <cellStyle name="Comma1" xfId="4296" xr:uid="{00000000-0005-0000-0000-000081040000}"/>
    <cellStyle name="Comma1 2" xfId="4297" xr:uid="{00000000-0005-0000-0000-000082040000}"/>
    <cellStyle name="Comma2" xfId="4298" xr:uid="{00000000-0005-0000-0000-000083040000}"/>
    <cellStyle name="Comma2 2" xfId="4299" xr:uid="{00000000-0005-0000-0000-000084040000}"/>
    <cellStyle name="Company Name" xfId="4180" xr:uid="{00000000-0005-0000-0000-000085040000}"/>
    <cellStyle name="Config Data" xfId="4181" xr:uid="{00000000-0005-0000-0000-000086040000}"/>
    <cellStyle name="ConvVer" xfId="4300" xr:uid="{00000000-0005-0000-0000-000087040000}"/>
    <cellStyle name="cost_per_kw" xfId="4301" xr:uid="{00000000-0005-0000-0000-000088040000}"/>
    <cellStyle name="Currency" xfId="1" builtinId="4"/>
    <cellStyle name="Currency [1]" xfId="4510" xr:uid="{00000000-0005-0000-0000-00008A040000}"/>
    <cellStyle name="Currency [2]" xfId="4302" xr:uid="{00000000-0005-0000-0000-00008B040000}"/>
    <cellStyle name="Currency [3]" xfId="4511" xr:uid="{00000000-0005-0000-0000-00008C040000}"/>
    <cellStyle name="Currency [4]" xfId="4303" xr:uid="{00000000-0005-0000-0000-00008D040000}"/>
    <cellStyle name="Currency 0.0" xfId="4182" xr:uid="{00000000-0005-0000-0000-00008E040000}"/>
    <cellStyle name="Currency 0.00" xfId="4183" xr:uid="{00000000-0005-0000-0000-00008F040000}"/>
    <cellStyle name="Currency 0.000" xfId="4184" xr:uid="{00000000-0005-0000-0000-000090040000}"/>
    <cellStyle name="Currency 0.0000" xfId="4185" xr:uid="{00000000-0005-0000-0000-000091040000}"/>
    <cellStyle name="Currency 10" xfId="1177" xr:uid="{00000000-0005-0000-0000-000092040000}"/>
    <cellStyle name="Currency 10 2" xfId="1178" xr:uid="{00000000-0005-0000-0000-000093040000}"/>
    <cellStyle name="Currency 10 2 2" xfId="1179" xr:uid="{00000000-0005-0000-0000-000094040000}"/>
    <cellStyle name="Currency 10 3" xfId="1180" xr:uid="{00000000-0005-0000-0000-000095040000}"/>
    <cellStyle name="Currency 10 3 2" xfId="1181" xr:uid="{00000000-0005-0000-0000-000096040000}"/>
    <cellStyle name="Currency 10 4" xfId="1182" xr:uid="{00000000-0005-0000-0000-000097040000}"/>
    <cellStyle name="Currency 10 4 2" xfId="1183" xr:uid="{00000000-0005-0000-0000-000098040000}"/>
    <cellStyle name="Currency 10 5" xfId="1184" xr:uid="{00000000-0005-0000-0000-000099040000}"/>
    <cellStyle name="Currency 10 5 2" xfId="1185" xr:uid="{00000000-0005-0000-0000-00009A040000}"/>
    <cellStyle name="Currency 10 6" xfId="1186" xr:uid="{00000000-0005-0000-0000-00009B040000}"/>
    <cellStyle name="Currency 11" xfId="1187" xr:uid="{00000000-0005-0000-0000-00009C040000}"/>
    <cellStyle name="Currency 11 2" xfId="1188" xr:uid="{00000000-0005-0000-0000-00009D040000}"/>
    <cellStyle name="Currency 11 2 2" xfId="1189" xr:uid="{00000000-0005-0000-0000-00009E040000}"/>
    <cellStyle name="Currency 11 3" xfId="1190" xr:uid="{00000000-0005-0000-0000-00009F040000}"/>
    <cellStyle name="Currency 11 3 2" xfId="1191" xr:uid="{00000000-0005-0000-0000-0000A0040000}"/>
    <cellStyle name="Currency 11 4" xfId="1192" xr:uid="{00000000-0005-0000-0000-0000A1040000}"/>
    <cellStyle name="Currency 11 4 2" xfId="1193" xr:uid="{00000000-0005-0000-0000-0000A2040000}"/>
    <cellStyle name="Currency 11 5" xfId="1194" xr:uid="{00000000-0005-0000-0000-0000A3040000}"/>
    <cellStyle name="Currency 11 5 2" xfId="1195" xr:uid="{00000000-0005-0000-0000-0000A4040000}"/>
    <cellStyle name="Currency 11 6" xfId="1196" xr:uid="{00000000-0005-0000-0000-0000A5040000}"/>
    <cellStyle name="Currency 12" xfId="1197" xr:uid="{00000000-0005-0000-0000-0000A6040000}"/>
    <cellStyle name="Currency 12 10" xfId="1198" xr:uid="{00000000-0005-0000-0000-0000A7040000}"/>
    <cellStyle name="Currency 12 10 2" xfId="1199" xr:uid="{00000000-0005-0000-0000-0000A8040000}"/>
    <cellStyle name="Currency 12 10 2 2" xfId="1200" xr:uid="{00000000-0005-0000-0000-0000A9040000}"/>
    <cellStyle name="Currency 12 10 3" xfId="1201" xr:uid="{00000000-0005-0000-0000-0000AA040000}"/>
    <cellStyle name="Currency 12 11" xfId="1202" xr:uid="{00000000-0005-0000-0000-0000AB040000}"/>
    <cellStyle name="Currency 12 11 2" xfId="1203" xr:uid="{00000000-0005-0000-0000-0000AC040000}"/>
    <cellStyle name="Currency 12 11 2 2" xfId="1204" xr:uid="{00000000-0005-0000-0000-0000AD040000}"/>
    <cellStyle name="Currency 12 11 3" xfId="1205" xr:uid="{00000000-0005-0000-0000-0000AE040000}"/>
    <cellStyle name="Currency 12 12" xfId="1206" xr:uid="{00000000-0005-0000-0000-0000AF040000}"/>
    <cellStyle name="Currency 12 12 2" xfId="1207" xr:uid="{00000000-0005-0000-0000-0000B0040000}"/>
    <cellStyle name="Currency 12 12 2 2" xfId="1208" xr:uid="{00000000-0005-0000-0000-0000B1040000}"/>
    <cellStyle name="Currency 12 12 3" xfId="1209" xr:uid="{00000000-0005-0000-0000-0000B2040000}"/>
    <cellStyle name="Currency 12 13" xfId="1210" xr:uid="{00000000-0005-0000-0000-0000B3040000}"/>
    <cellStyle name="Currency 12 13 2" xfId="1211" xr:uid="{00000000-0005-0000-0000-0000B4040000}"/>
    <cellStyle name="Currency 12 13 2 2" xfId="1212" xr:uid="{00000000-0005-0000-0000-0000B5040000}"/>
    <cellStyle name="Currency 12 13 3" xfId="1213" xr:uid="{00000000-0005-0000-0000-0000B6040000}"/>
    <cellStyle name="Currency 12 14" xfId="1214" xr:uid="{00000000-0005-0000-0000-0000B7040000}"/>
    <cellStyle name="Currency 12 14 2" xfId="1215" xr:uid="{00000000-0005-0000-0000-0000B8040000}"/>
    <cellStyle name="Currency 12 14 2 2" xfId="1216" xr:uid="{00000000-0005-0000-0000-0000B9040000}"/>
    <cellStyle name="Currency 12 14 3" xfId="1217" xr:uid="{00000000-0005-0000-0000-0000BA040000}"/>
    <cellStyle name="Currency 12 15" xfId="1218" xr:uid="{00000000-0005-0000-0000-0000BB040000}"/>
    <cellStyle name="Currency 12 15 2" xfId="1219" xr:uid="{00000000-0005-0000-0000-0000BC040000}"/>
    <cellStyle name="Currency 12 15 2 2" xfId="1220" xr:uid="{00000000-0005-0000-0000-0000BD040000}"/>
    <cellStyle name="Currency 12 15 3" xfId="1221" xr:uid="{00000000-0005-0000-0000-0000BE040000}"/>
    <cellStyle name="Currency 12 16" xfId="1222" xr:uid="{00000000-0005-0000-0000-0000BF040000}"/>
    <cellStyle name="Currency 12 16 2" xfId="1223" xr:uid="{00000000-0005-0000-0000-0000C0040000}"/>
    <cellStyle name="Currency 12 17" xfId="1224" xr:uid="{00000000-0005-0000-0000-0000C1040000}"/>
    <cellStyle name="Currency 12 17 2" xfId="1225" xr:uid="{00000000-0005-0000-0000-0000C2040000}"/>
    <cellStyle name="Currency 12 18" xfId="1226" xr:uid="{00000000-0005-0000-0000-0000C3040000}"/>
    <cellStyle name="Currency 12 2" xfId="1227" xr:uid="{00000000-0005-0000-0000-0000C4040000}"/>
    <cellStyle name="Currency 12 2 2" xfId="1228" xr:uid="{00000000-0005-0000-0000-0000C5040000}"/>
    <cellStyle name="Currency 12 2 2 2" xfId="1229" xr:uid="{00000000-0005-0000-0000-0000C6040000}"/>
    <cellStyle name="Currency 12 2 3" xfId="1230" xr:uid="{00000000-0005-0000-0000-0000C7040000}"/>
    <cellStyle name="Currency 12 3" xfId="1231" xr:uid="{00000000-0005-0000-0000-0000C8040000}"/>
    <cellStyle name="Currency 12 3 2" xfId="1232" xr:uid="{00000000-0005-0000-0000-0000C9040000}"/>
    <cellStyle name="Currency 12 3 2 2" xfId="1233" xr:uid="{00000000-0005-0000-0000-0000CA040000}"/>
    <cellStyle name="Currency 12 3 3" xfId="1234" xr:uid="{00000000-0005-0000-0000-0000CB040000}"/>
    <cellStyle name="Currency 12 4" xfId="1235" xr:uid="{00000000-0005-0000-0000-0000CC040000}"/>
    <cellStyle name="Currency 12 4 2" xfId="1236" xr:uid="{00000000-0005-0000-0000-0000CD040000}"/>
    <cellStyle name="Currency 12 4 2 2" xfId="1237" xr:uid="{00000000-0005-0000-0000-0000CE040000}"/>
    <cellStyle name="Currency 12 4 3" xfId="1238" xr:uid="{00000000-0005-0000-0000-0000CF040000}"/>
    <cellStyle name="Currency 12 5" xfId="1239" xr:uid="{00000000-0005-0000-0000-0000D0040000}"/>
    <cellStyle name="Currency 12 5 2" xfId="1240" xr:uid="{00000000-0005-0000-0000-0000D1040000}"/>
    <cellStyle name="Currency 12 5 2 2" xfId="1241" xr:uid="{00000000-0005-0000-0000-0000D2040000}"/>
    <cellStyle name="Currency 12 5 3" xfId="1242" xr:uid="{00000000-0005-0000-0000-0000D3040000}"/>
    <cellStyle name="Currency 12 6" xfId="1243" xr:uid="{00000000-0005-0000-0000-0000D4040000}"/>
    <cellStyle name="Currency 12 6 2" xfId="1244" xr:uid="{00000000-0005-0000-0000-0000D5040000}"/>
    <cellStyle name="Currency 12 6 2 2" xfId="1245" xr:uid="{00000000-0005-0000-0000-0000D6040000}"/>
    <cellStyle name="Currency 12 6 3" xfId="1246" xr:uid="{00000000-0005-0000-0000-0000D7040000}"/>
    <cellStyle name="Currency 12 7" xfId="1247" xr:uid="{00000000-0005-0000-0000-0000D8040000}"/>
    <cellStyle name="Currency 12 7 2" xfId="1248" xr:uid="{00000000-0005-0000-0000-0000D9040000}"/>
    <cellStyle name="Currency 12 7 2 2" xfId="1249" xr:uid="{00000000-0005-0000-0000-0000DA040000}"/>
    <cellStyle name="Currency 12 7 3" xfId="1250" xr:uid="{00000000-0005-0000-0000-0000DB040000}"/>
    <cellStyle name="Currency 12 8" xfId="1251" xr:uid="{00000000-0005-0000-0000-0000DC040000}"/>
    <cellStyle name="Currency 12 8 2" xfId="1252" xr:uid="{00000000-0005-0000-0000-0000DD040000}"/>
    <cellStyle name="Currency 12 8 2 2" xfId="1253" xr:uid="{00000000-0005-0000-0000-0000DE040000}"/>
    <cellStyle name="Currency 12 8 3" xfId="1254" xr:uid="{00000000-0005-0000-0000-0000DF040000}"/>
    <cellStyle name="Currency 12 9" xfId="1255" xr:uid="{00000000-0005-0000-0000-0000E0040000}"/>
    <cellStyle name="Currency 12 9 2" xfId="1256" xr:uid="{00000000-0005-0000-0000-0000E1040000}"/>
    <cellStyle name="Currency 12 9 2 2" xfId="1257" xr:uid="{00000000-0005-0000-0000-0000E2040000}"/>
    <cellStyle name="Currency 12 9 3" xfId="1258" xr:uid="{00000000-0005-0000-0000-0000E3040000}"/>
    <cellStyle name="Currency 13" xfId="4672" xr:uid="{00000000-0005-0000-0000-0000E4040000}"/>
    <cellStyle name="Currency 15" xfId="1259" xr:uid="{00000000-0005-0000-0000-0000E5040000}"/>
    <cellStyle name="Currency 15 10" xfId="1260" xr:uid="{00000000-0005-0000-0000-0000E6040000}"/>
    <cellStyle name="Currency 15 10 2" xfId="1261" xr:uid="{00000000-0005-0000-0000-0000E7040000}"/>
    <cellStyle name="Currency 15 10 2 2" xfId="1262" xr:uid="{00000000-0005-0000-0000-0000E8040000}"/>
    <cellStyle name="Currency 15 10 3" xfId="1263" xr:uid="{00000000-0005-0000-0000-0000E9040000}"/>
    <cellStyle name="Currency 15 11" xfId="1264" xr:uid="{00000000-0005-0000-0000-0000EA040000}"/>
    <cellStyle name="Currency 15 11 2" xfId="1265" xr:uid="{00000000-0005-0000-0000-0000EB040000}"/>
    <cellStyle name="Currency 15 11 2 2" xfId="1266" xr:uid="{00000000-0005-0000-0000-0000EC040000}"/>
    <cellStyle name="Currency 15 11 3" xfId="1267" xr:uid="{00000000-0005-0000-0000-0000ED040000}"/>
    <cellStyle name="Currency 15 12" xfId="1268" xr:uid="{00000000-0005-0000-0000-0000EE040000}"/>
    <cellStyle name="Currency 15 12 2" xfId="1269" xr:uid="{00000000-0005-0000-0000-0000EF040000}"/>
    <cellStyle name="Currency 15 12 2 2" xfId="1270" xr:uid="{00000000-0005-0000-0000-0000F0040000}"/>
    <cellStyle name="Currency 15 12 3" xfId="1271" xr:uid="{00000000-0005-0000-0000-0000F1040000}"/>
    <cellStyle name="Currency 15 13" xfId="1272" xr:uid="{00000000-0005-0000-0000-0000F2040000}"/>
    <cellStyle name="Currency 15 13 2" xfId="1273" xr:uid="{00000000-0005-0000-0000-0000F3040000}"/>
    <cellStyle name="Currency 15 13 2 2" xfId="1274" xr:uid="{00000000-0005-0000-0000-0000F4040000}"/>
    <cellStyle name="Currency 15 13 3" xfId="1275" xr:uid="{00000000-0005-0000-0000-0000F5040000}"/>
    <cellStyle name="Currency 15 14" xfId="1276" xr:uid="{00000000-0005-0000-0000-0000F6040000}"/>
    <cellStyle name="Currency 15 14 2" xfId="1277" xr:uid="{00000000-0005-0000-0000-0000F7040000}"/>
    <cellStyle name="Currency 15 14 2 2" xfId="1278" xr:uid="{00000000-0005-0000-0000-0000F8040000}"/>
    <cellStyle name="Currency 15 14 3" xfId="1279" xr:uid="{00000000-0005-0000-0000-0000F9040000}"/>
    <cellStyle name="Currency 15 15" xfId="1280" xr:uid="{00000000-0005-0000-0000-0000FA040000}"/>
    <cellStyle name="Currency 15 15 2" xfId="1281" xr:uid="{00000000-0005-0000-0000-0000FB040000}"/>
    <cellStyle name="Currency 15 15 2 2" xfId="1282" xr:uid="{00000000-0005-0000-0000-0000FC040000}"/>
    <cellStyle name="Currency 15 15 3" xfId="1283" xr:uid="{00000000-0005-0000-0000-0000FD040000}"/>
    <cellStyle name="Currency 15 16" xfId="1284" xr:uid="{00000000-0005-0000-0000-0000FE040000}"/>
    <cellStyle name="Currency 15 16 2" xfId="1285" xr:uid="{00000000-0005-0000-0000-0000FF040000}"/>
    <cellStyle name="Currency 15 17" xfId="1286" xr:uid="{00000000-0005-0000-0000-000000050000}"/>
    <cellStyle name="Currency 15 17 2" xfId="1287" xr:uid="{00000000-0005-0000-0000-000001050000}"/>
    <cellStyle name="Currency 15 18" xfId="1288" xr:uid="{00000000-0005-0000-0000-000002050000}"/>
    <cellStyle name="Currency 15 2" xfId="1289" xr:uid="{00000000-0005-0000-0000-000003050000}"/>
    <cellStyle name="Currency 15 2 2" xfId="1290" xr:uid="{00000000-0005-0000-0000-000004050000}"/>
    <cellStyle name="Currency 15 2 2 2" xfId="1291" xr:uid="{00000000-0005-0000-0000-000005050000}"/>
    <cellStyle name="Currency 15 2 3" xfId="1292" xr:uid="{00000000-0005-0000-0000-000006050000}"/>
    <cellStyle name="Currency 15 3" xfId="1293" xr:uid="{00000000-0005-0000-0000-000007050000}"/>
    <cellStyle name="Currency 15 3 2" xfId="1294" xr:uid="{00000000-0005-0000-0000-000008050000}"/>
    <cellStyle name="Currency 15 3 2 2" xfId="1295" xr:uid="{00000000-0005-0000-0000-000009050000}"/>
    <cellStyle name="Currency 15 3 3" xfId="1296" xr:uid="{00000000-0005-0000-0000-00000A050000}"/>
    <cellStyle name="Currency 15 4" xfId="1297" xr:uid="{00000000-0005-0000-0000-00000B050000}"/>
    <cellStyle name="Currency 15 4 2" xfId="1298" xr:uid="{00000000-0005-0000-0000-00000C050000}"/>
    <cellStyle name="Currency 15 4 2 2" xfId="1299" xr:uid="{00000000-0005-0000-0000-00000D050000}"/>
    <cellStyle name="Currency 15 4 3" xfId="1300" xr:uid="{00000000-0005-0000-0000-00000E050000}"/>
    <cellStyle name="Currency 15 5" xfId="1301" xr:uid="{00000000-0005-0000-0000-00000F050000}"/>
    <cellStyle name="Currency 15 5 2" xfId="1302" xr:uid="{00000000-0005-0000-0000-000010050000}"/>
    <cellStyle name="Currency 15 5 2 2" xfId="1303" xr:uid="{00000000-0005-0000-0000-000011050000}"/>
    <cellStyle name="Currency 15 5 3" xfId="1304" xr:uid="{00000000-0005-0000-0000-000012050000}"/>
    <cellStyle name="Currency 15 6" xfId="1305" xr:uid="{00000000-0005-0000-0000-000013050000}"/>
    <cellStyle name="Currency 15 6 2" xfId="1306" xr:uid="{00000000-0005-0000-0000-000014050000}"/>
    <cellStyle name="Currency 15 6 2 2" xfId="1307" xr:uid="{00000000-0005-0000-0000-000015050000}"/>
    <cellStyle name="Currency 15 6 3" xfId="1308" xr:uid="{00000000-0005-0000-0000-000016050000}"/>
    <cellStyle name="Currency 15 7" xfId="1309" xr:uid="{00000000-0005-0000-0000-000017050000}"/>
    <cellStyle name="Currency 15 7 2" xfId="1310" xr:uid="{00000000-0005-0000-0000-000018050000}"/>
    <cellStyle name="Currency 15 7 2 2" xfId="1311" xr:uid="{00000000-0005-0000-0000-000019050000}"/>
    <cellStyle name="Currency 15 7 3" xfId="1312" xr:uid="{00000000-0005-0000-0000-00001A050000}"/>
    <cellStyle name="Currency 15 8" xfId="1313" xr:uid="{00000000-0005-0000-0000-00001B050000}"/>
    <cellStyle name="Currency 15 8 2" xfId="1314" xr:uid="{00000000-0005-0000-0000-00001C050000}"/>
    <cellStyle name="Currency 15 8 2 2" xfId="1315" xr:uid="{00000000-0005-0000-0000-00001D050000}"/>
    <cellStyle name="Currency 15 8 3" xfId="1316" xr:uid="{00000000-0005-0000-0000-00001E050000}"/>
    <cellStyle name="Currency 15 9" xfId="1317" xr:uid="{00000000-0005-0000-0000-00001F050000}"/>
    <cellStyle name="Currency 15 9 2" xfId="1318" xr:uid="{00000000-0005-0000-0000-000020050000}"/>
    <cellStyle name="Currency 15 9 2 2" xfId="1319" xr:uid="{00000000-0005-0000-0000-000021050000}"/>
    <cellStyle name="Currency 15 9 3" xfId="1320" xr:uid="{00000000-0005-0000-0000-000022050000}"/>
    <cellStyle name="Currency 2" xfId="86" xr:uid="{00000000-0005-0000-0000-000023050000}"/>
    <cellStyle name="Currency 2 2" xfId="1321" xr:uid="{00000000-0005-0000-0000-000024050000}"/>
    <cellStyle name="Currency 2 2 2" xfId="1322" xr:uid="{00000000-0005-0000-0000-000025050000}"/>
    <cellStyle name="Currency 2 2 2 2" xfId="1323" xr:uid="{00000000-0005-0000-0000-000026050000}"/>
    <cellStyle name="Currency 2 2 3" xfId="1324" xr:uid="{00000000-0005-0000-0000-000027050000}"/>
    <cellStyle name="Currency 2 3" xfId="1325" xr:uid="{00000000-0005-0000-0000-000028050000}"/>
    <cellStyle name="Currency 2 3 2" xfId="1326" xr:uid="{00000000-0005-0000-0000-000029050000}"/>
    <cellStyle name="Currency 2 3 2 2" xfId="1327" xr:uid="{00000000-0005-0000-0000-00002A050000}"/>
    <cellStyle name="Currency 2 3 2 2 2" xfId="5046" xr:uid="{A71DFD24-9891-42FB-9765-5B79A0CEC672}"/>
    <cellStyle name="Currency 2 3 2 3" xfId="5045" xr:uid="{8C7DC6EB-83E4-4200-96CF-22E2D2BB3318}"/>
    <cellStyle name="Currency 2 3 3" xfId="1328" xr:uid="{00000000-0005-0000-0000-00002B050000}"/>
    <cellStyle name="Currency 2 3 3 2" xfId="1329" xr:uid="{00000000-0005-0000-0000-00002C050000}"/>
    <cellStyle name="Currency 2 3 3 2 2" xfId="5048" xr:uid="{7C08CB55-BFD9-424E-AA83-81B4407B6065}"/>
    <cellStyle name="Currency 2 3 3 3" xfId="5047" xr:uid="{00F51581-4063-4992-9CAA-D4E648176E6E}"/>
    <cellStyle name="Currency 2 3 4" xfId="1330" xr:uid="{00000000-0005-0000-0000-00002D050000}"/>
    <cellStyle name="Currency 2 4" xfId="1331" xr:uid="{00000000-0005-0000-0000-00002E050000}"/>
    <cellStyle name="Currency 3" xfId="1332" xr:uid="{00000000-0005-0000-0000-00002F050000}"/>
    <cellStyle name="Currency 3 2" xfId="1333" xr:uid="{00000000-0005-0000-0000-000030050000}"/>
    <cellStyle name="Currency 3 3" xfId="1334" xr:uid="{00000000-0005-0000-0000-000031050000}"/>
    <cellStyle name="Currency 34" xfId="1335" xr:uid="{00000000-0005-0000-0000-000032050000}"/>
    <cellStyle name="Currency 34 10" xfId="1336" xr:uid="{00000000-0005-0000-0000-000033050000}"/>
    <cellStyle name="Currency 34 10 2" xfId="1337" xr:uid="{00000000-0005-0000-0000-000034050000}"/>
    <cellStyle name="Currency 34 10 2 2" xfId="1338" xr:uid="{00000000-0005-0000-0000-000035050000}"/>
    <cellStyle name="Currency 34 10 3" xfId="1339" xr:uid="{00000000-0005-0000-0000-000036050000}"/>
    <cellStyle name="Currency 34 11" xfId="1340" xr:uid="{00000000-0005-0000-0000-000037050000}"/>
    <cellStyle name="Currency 34 11 2" xfId="1341" xr:uid="{00000000-0005-0000-0000-000038050000}"/>
    <cellStyle name="Currency 34 11 2 2" xfId="1342" xr:uid="{00000000-0005-0000-0000-000039050000}"/>
    <cellStyle name="Currency 34 11 3" xfId="1343" xr:uid="{00000000-0005-0000-0000-00003A050000}"/>
    <cellStyle name="Currency 34 12" xfId="1344" xr:uid="{00000000-0005-0000-0000-00003B050000}"/>
    <cellStyle name="Currency 34 12 2" xfId="1345" xr:uid="{00000000-0005-0000-0000-00003C050000}"/>
    <cellStyle name="Currency 34 12 2 2" xfId="1346" xr:uid="{00000000-0005-0000-0000-00003D050000}"/>
    <cellStyle name="Currency 34 12 3" xfId="1347" xr:uid="{00000000-0005-0000-0000-00003E050000}"/>
    <cellStyle name="Currency 34 13" xfId="1348" xr:uid="{00000000-0005-0000-0000-00003F050000}"/>
    <cellStyle name="Currency 34 13 2" xfId="1349" xr:uid="{00000000-0005-0000-0000-000040050000}"/>
    <cellStyle name="Currency 34 13 2 2" xfId="1350" xr:uid="{00000000-0005-0000-0000-000041050000}"/>
    <cellStyle name="Currency 34 13 3" xfId="1351" xr:uid="{00000000-0005-0000-0000-000042050000}"/>
    <cellStyle name="Currency 34 14" xfId="1352" xr:uid="{00000000-0005-0000-0000-000043050000}"/>
    <cellStyle name="Currency 34 14 2" xfId="1353" xr:uid="{00000000-0005-0000-0000-000044050000}"/>
    <cellStyle name="Currency 34 14 2 2" xfId="1354" xr:uid="{00000000-0005-0000-0000-000045050000}"/>
    <cellStyle name="Currency 34 14 3" xfId="1355" xr:uid="{00000000-0005-0000-0000-000046050000}"/>
    <cellStyle name="Currency 34 15" xfId="1356" xr:uid="{00000000-0005-0000-0000-000047050000}"/>
    <cellStyle name="Currency 34 15 2" xfId="1357" xr:uid="{00000000-0005-0000-0000-000048050000}"/>
    <cellStyle name="Currency 34 15 2 2" xfId="1358" xr:uid="{00000000-0005-0000-0000-000049050000}"/>
    <cellStyle name="Currency 34 15 3" xfId="1359" xr:uid="{00000000-0005-0000-0000-00004A050000}"/>
    <cellStyle name="Currency 34 16" xfId="1360" xr:uid="{00000000-0005-0000-0000-00004B050000}"/>
    <cellStyle name="Currency 34 16 2" xfId="1361" xr:uid="{00000000-0005-0000-0000-00004C050000}"/>
    <cellStyle name="Currency 34 17" xfId="1362" xr:uid="{00000000-0005-0000-0000-00004D050000}"/>
    <cellStyle name="Currency 34 17 2" xfId="1363" xr:uid="{00000000-0005-0000-0000-00004E050000}"/>
    <cellStyle name="Currency 34 18" xfId="1364" xr:uid="{00000000-0005-0000-0000-00004F050000}"/>
    <cellStyle name="Currency 34 2" xfId="1365" xr:uid="{00000000-0005-0000-0000-000050050000}"/>
    <cellStyle name="Currency 34 2 2" xfId="1366" xr:uid="{00000000-0005-0000-0000-000051050000}"/>
    <cellStyle name="Currency 34 2 2 2" xfId="1367" xr:uid="{00000000-0005-0000-0000-000052050000}"/>
    <cellStyle name="Currency 34 2 3" xfId="1368" xr:uid="{00000000-0005-0000-0000-000053050000}"/>
    <cellStyle name="Currency 34 3" xfId="1369" xr:uid="{00000000-0005-0000-0000-000054050000}"/>
    <cellStyle name="Currency 34 3 2" xfId="1370" xr:uid="{00000000-0005-0000-0000-000055050000}"/>
    <cellStyle name="Currency 34 3 2 2" xfId="1371" xr:uid="{00000000-0005-0000-0000-000056050000}"/>
    <cellStyle name="Currency 34 3 3" xfId="1372" xr:uid="{00000000-0005-0000-0000-000057050000}"/>
    <cellStyle name="Currency 34 4" xfId="1373" xr:uid="{00000000-0005-0000-0000-000058050000}"/>
    <cellStyle name="Currency 34 4 2" xfId="1374" xr:uid="{00000000-0005-0000-0000-000059050000}"/>
    <cellStyle name="Currency 34 4 2 2" xfId="1375" xr:uid="{00000000-0005-0000-0000-00005A050000}"/>
    <cellStyle name="Currency 34 4 3" xfId="1376" xr:uid="{00000000-0005-0000-0000-00005B050000}"/>
    <cellStyle name="Currency 34 5" xfId="1377" xr:uid="{00000000-0005-0000-0000-00005C050000}"/>
    <cellStyle name="Currency 34 5 2" xfId="1378" xr:uid="{00000000-0005-0000-0000-00005D050000}"/>
    <cellStyle name="Currency 34 5 2 2" xfId="1379" xr:uid="{00000000-0005-0000-0000-00005E050000}"/>
    <cellStyle name="Currency 34 5 3" xfId="1380" xr:uid="{00000000-0005-0000-0000-00005F050000}"/>
    <cellStyle name="Currency 34 6" xfId="1381" xr:uid="{00000000-0005-0000-0000-000060050000}"/>
    <cellStyle name="Currency 34 6 2" xfId="1382" xr:uid="{00000000-0005-0000-0000-000061050000}"/>
    <cellStyle name="Currency 34 6 2 2" xfId="1383" xr:uid="{00000000-0005-0000-0000-000062050000}"/>
    <cellStyle name="Currency 34 6 3" xfId="1384" xr:uid="{00000000-0005-0000-0000-000063050000}"/>
    <cellStyle name="Currency 34 7" xfId="1385" xr:uid="{00000000-0005-0000-0000-000064050000}"/>
    <cellStyle name="Currency 34 7 2" xfId="1386" xr:uid="{00000000-0005-0000-0000-000065050000}"/>
    <cellStyle name="Currency 34 7 2 2" xfId="1387" xr:uid="{00000000-0005-0000-0000-000066050000}"/>
    <cellStyle name="Currency 34 7 3" xfId="1388" xr:uid="{00000000-0005-0000-0000-000067050000}"/>
    <cellStyle name="Currency 34 8" xfId="1389" xr:uid="{00000000-0005-0000-0000-000068050000}"/>
    <cellStyle name="Currency 34 8 2" xfId="1390" xr:uid="{00000000-0005-0000-0000-000069050000}"/>
    <cellStyle name="Currency 34 8 2 2" xfId="1391" xr:uid="{00000000-0005-0000-0000-00006A050000}"/>
    <cellStyle name="Currency 34 8 3" xfId="1392" xr:uid="{00000000-0005-0000-0000-00006B050000}"/>
    <cellStyle name="Currency 34 9" xfId="1393" xr:uid="{00000000-0005-0000-0000-00006C050000}"/>
    <cellStyle name="Currency 34 9 2" xfId="1394" xr:uid="{00000000-0005-0000-0000-00006D050000}"/>
    <cellStyle name="Currency 34 9 2 2" xfId="1395" xr:uid="{00000000-0005-0000-0000-00006E050000}"/>
    <cellStyle name="Currency 34 9 3" xfId="1396" xr:uid="{00000000-0005-0000-0000-00006F050000}"/>
    <cellStyle name="Currency 4" xfId="1397" xr:uid="{00000000-0005-0000-0000-000070050000}"/>
    <cellStyle name="Currency 4 2" xfId="1398" xr:uid="{00000000-0005-0000-0000-000071050000}"/>
    <cellStyle name="Currency 49" xfId="1399" xr:uid="{00000000-0005-0000-0000-000072050000}"/>
    <cellStyle name="Currency 49 10" xfId="1400" xr:uid="{00000000-0005-0000-0000-000073050000}"/>
    <cellStyle name="Currency 49 10 2" xfId="1401" xr:uid="{00000000-0005-0000-0000-000074050000}"/>
    <cellStyle name="Currency 49 10 2 2" xfId="1402" xr:uid="{00000000-0005-0000-0000-000075050000}"/>
    <cellStyle name="Currency 49 10 3" xfId="1403" xr:uid="{00000000-0005-0000-0000-000076050000}"/>
    <cellStyle name="Currency 49 11" xfId="1404" xr:uid="{00000000-0005-0000-0000-000077050000}"/>
    <cellStyle name="Currency 49 11 2" xfId="1405" xr:uid="{00000000-0005-0000-0000-000078050000}"/>
    <cellStyle name="Currency 49 11 2 2" xfId="1406" xr:uid="{00000000-0005-0000-0000-000079050000}"/>
    <cellStyle name="Currency 49 11 3" xfId="1407" xr:uid="{00000000-0005-0000-0000-00007A050000}"/>
    <cellStyle name="Currency 49 12" xfId="1408" xr:uid="{00000000-0005-0000-0000-00007B050000}"/>
    <cellStyle name="Currency 49 12 2" xfId="1409" xr:uid="{00000000-0005-0000-0000-00007C050000}"/>
    <cellStyle name="Currency 49 12 2 2" xfId="1410" xr:uid="{00000000-0005-0000-0000-00007D050000}"/>
    <cellStyle name="Currency 49 12 3" xfId="1411" xr:uid="{00000000-0005-0000-0000-00007E050000}"/>
    <cellStyle name="Currency 49 13" xfId="1412" xr:uid="{00000000-0005-0000-0000-00007F050000}"/>
    <cellStyle name="Currency 49 13 2" xfId="1413" xr:uid="{00000000-0005-0000-0000-000080050000}"/>
    <cellStyle name="Currency 49 13 2 2" xfId="1414" xr:uid="{00000000-0005-0000-0000-000081050000}"/>
    <cellStyle name="Currency 49 13 3" xfId="1415" xr:uid="{00000000-0005-0000-0000-000082050000}"/>
    <cellStyle name="Currency 49 14" xfId="1416" xr:uid="{00000000-0005-0000-0000-000083050000}"/>
    <cellStyle name="Currency 49 14 2" xfId="1417" xr:uid="{00000000-0005-0000-0000-000084050000}"/>
    <cellStyle name="Currency 49 14 2 2" xfId="1418" xr:uid="{00000000-0005-0000-0000-000085050000}"/>
    <cellStyle name="Currency 49 14 3" xfId="1419" xr:uid="{00000000-0005-0000-0000-000086050000}"/>
    <cellStyle name="Currency 49 15" xfId="1420" xr:uid="{00000000-0005-0000-0000-000087050000}"/>
    <cellStyle name="Currency 49 15 2" xfId="1421" xr:uid="{00000000-0005-0000-0000-000088050000}"/>
    <cellStyle name="Currency 49 15 2 2" xfId="1422" xr:uid="{00000000-0005-0000-0000-000089050000}"/>
    <cellStyle name="Currency 49 15 3" xfId="1423" xr:uid="{00000000-0005-0000-0000-00008A050000}"/>
    <cellStyle name="Currency 49 16" xfId="1424" xr:uid="{00000000-0005-0000-0000-00008B050000}"/>
    <cellStyle name="Currency 49 16 2" xfId="1425" xr:uid="{00000000-0005-0000-0000-00008C050000}"/>
    <cellStyle name="Currency 49 17" xfId="1426" xr:uid="{00000000-0005-0000-0000-00008D050000}"/>
    <cellStyle name="Currency 49 17 2" xfId="1427" xr:uid="{00000000-0005-0000-0000-00008E050000}"/>
    <cellStyle name="Currency 49 18" xfId="1428" xr:uid="{00000000-0005-0000-0000-00008F050000}"/>
    <cellStyle name="Currency 49 2" xfId="1429" xr:uid="{00000000-0005-0000-0000-000090050000}"/>
    <cellStyle name="Currency 49 2 2" xfId="1430" xr:uid="{00000000-0005-0000-0000-000091050000}"/>
    <cellStyle name="Currency 49 2 2 2" xfId="1431" xr:uid="{00000000-0005-0000-0000-000092050000}"/>
    <cellStyle name="Currency 49 2 3" xfId="1432" xr:uid="{00000000-0005-0000-0000-000093050000}"/>
    <cellStyle name="Currency 49 3" xfId="1433" xr:uid="{00000000-0005-0000-0000-000094050000}"/>
    <cellStyle name="Currency 49 3 2" xfId="1434" xr:uid="{00000000-0005-0000-0000-000095050000}"/>
    <cellStyle name="Currency 49 3 2 2" xfId="1435" xr:uid="{00000000-0005-0000-0000-000096050000}"/>
    <cellStyle name="Currency 49 3 3" xfId="1436" xr:uid="{00000000-0005-0000-0000-000097050000}"/>
    <cellStyle name="Currency 49 4" xfId="1437" xr:uid="{00000000-0005-0000-0000-000098050000}"/>
    <cellStyle name="Currency 49 4 2" xfId="1438" xr:uid="{00000000-0005-0000-0000-000099050000}"/>
    <cellStyle name="Currency 49 4 2 2" xfId="1439" xr:uid="{00000000-0005-0000-0000-00009A050000}"/>
    <cellStyle name="Currency 49 4 3" xfId="1440" xr:uid="{00000000-0005-0000-0000-00009B050000}"/>
    <cellStyle name="Currency 49 5" xfId="1441" xr:uid="{00000000-0005-0000-0000-00009C050000}"/>
    <cellStyle name="Currency 49 5 2" xfId="1442" xr:uid="{00000000-0005-0000-0000-00009D050000}"/>
    <cellStyle name="Currency 49 5 2 2" xfId="1443" xr:uid="{00000000-0005-0000-0000-00009E050000}"/>
    <cellStyle name="Currency 49 5 3" xfId="1444" xr:uid="{00000000-0005-0000-0000-00009F050000}"/>
    <cellStyle name="Currency 49 6" xfId="1445" xr:uid="{00000000-0005-0000-0000-0000A0050000}"/>
    <cellStyle name="Currency 49 6 2" xfId="1446" xr:uid="{00000000-0005-0000-0000-0000A1050000}"/>
    <cellStyle name="Currency 49 6 2 2" xfId="1447" xr:uid="{00000000-0005-0000-0000-0000A2050000}"/>
    <cellStyle name="Currency 49 6 3" xfId="1448" xr:uid="{00000000-0005-0000-0000-0000A3050000}"/>
    <cellStyle name="Currency 49 7" xfId="1449" xr:uid="{00000000-0005-0000-0000-0000A4050000}"/>
    <cellStyle name="Currency 49 7 2" xfId="1450" xr:uid="{00000000-0005-0000-0000-0000A5050000}"/>
    <cellStyle name="Currency 49 7 2 2" xfId="1451" xr:uid="{00000000-0005-0000-0000-0000A6050000}"/>
    <cellStyle name="Currency 49 7 3" xfId="1452" xr:uid="{00000000-0005-0000-0000-0000A7050000}"/>
    <cellStyle name="Currency 49 8" xfId="1453" xr:uid="{00000000-0005-0000-0000-0000A8050000}"/>
    <cellStyle name="Currency 49 8 2" xfId="1454" xr:uid="{00000000-0005-0000-0000-0000A9050000}"/>
    <cellStyle name="Currency 49 8 2 2" xfId="1455" xr:uid="{00000000-0005-0000-0000-0000AA050000}"/>
    <cellStyle name="Currency 49 8 3" xfId="1456" xr:uid="{00000000-0005-0000-0000-0000AB050000}"/>
    <cellStyle name="Currency 49 9" xfId="1457" xr:uid="{00000000-0005-0000-0000-0000AC050000}"/>
    <cellStyle name="Currency 49 9 2" xfId="1458" xr:uid="{00000000-0005-0000-0000-0000AD050000}"/>
    <cellStyle name="Currency 49 9 2 2" xfId="1459" xr:uid="{00000000-0005-0000-0000-0000AE050000}"/>
    <cellStyle name="Currency 49 9 3" xfId="1460" xr:uid="{00000000-0005-0000-0000-0000AF050000}"/>
    <cellStyle name="Currency 5" xfId="1461" xr:uid="{00000000-0005-0000-0000-0000B0050000}"/>
    <cellStyle name="Currency 5 2" xfId="1462" xr:uid="{00000000-0005-0000-0000-0000B1050000}"/>
    <cellStyle name="Currency 5 3" xfId="1463" xr:uid="{00000000-0005-0000-0000-0000B2050000}"/>
    <cellStyle name="Currency 59 10" xfId="1464" xr:uid="{00000000-0005-0000-0000-0000B3050000}"/>
    <cellStyle name="Currency 59 10 2" xfId="1465" xr:uid="{00000000-0005-0000-0000-0000B4050000}"/>
    <cellStyle name="Currency 59 10 2 2" xfId="1466" xr:uid="{00000000-0005-0000-0000-0000B5050000}"/>
    <cellStyle name="Currency 59 10 3" xfId="1467" xr:uid="{00000000-0005-0000-0000-0000B6050000}"/>
    <cellStyle name="Currency 59 11" xfId="1468" xr:uid="{00000000-0005-0000-0000-0000B7050000}"/>
    <cellStyle name="Currency 59 11 2" xfId="1469" xr:uid="{00000000-0005-0000-0000-0000B8050000}"/>
    <cellStyle name="Currency 59 11 2 2" xfId="1470" xr:uid="{00000000-0005-0000-0000-0000B9050000}"/>
    <cellStyle name="Currency 59 11 3" xfId="1471" xr:uid="{00000000-0005-0000-0000-0000BA050000}"/>
    <cellStyle name="Currency 59 12" xfId="1472" xr:uid="{00000000-0005-0000-0000-0000BB050000}"/>
    <cellStyle name="Currency 59 12 2" xfId="1473" xr:uid="{00000000-0005-0000-0000-0000BC050000}"/>
    <cellStyle name="Currency 59 12 2 2" xfId="1474" xr:uid="{00000000-0005-0000-0000-0000BD050000}"/>
    <cellStyle name="Currency 59 12 3" xfId="1475" xr:uid="{00000000-0005-0000-0000-0000BE050000}"/>
    <cellStyle name="Currency 59 13" xfId="1476" xr:uid="{00000000-0005-0000-0000-0000BF050000}"/>
    <cellStyle name="Currency 59 13 2" xfId="1477" xr:uid="{00000000-0005-0000-0000-0000C0050000}"/>
    <cellStyle name="Currency 59 13 2 2" xfId="1478" xr:uid="{00000000-0005-0000-0000-0000C1050000}"/>
    <cellStyle name="Currency 59 13 3" xfId="1479" xr:uid="{00000000-0005-0000-0000-0000C2050000}"/>
    <cellStyle name="Currency 59 14" xfId="1480" xr:uid="{00000000-0005-0000-0000-0000C3050000}"/>
    <cellStyle name="Currency 59 14 10" xfId="1481" xr:uid="{00000000-0005-0000-0000-0000C4050000}"/>
    <cellStyle name="Currency 59 14 10 2" xfId="1482" xr:uid="{00000000-0005-0000-0000-0000C5050000}"/>
    <cellStyle name="Currency 59 14 11" xfId="1483" xr:uid="{00000000-0005-0000-0000-0000C6050000}"/>
    <cellStyle name="Currency 59 14 11 2" xfId="1484" xr:uid="{00000000-0005-0000-0000-0000C7050000}"/>
    <cellStyle name="Currency 59 14 12" xfId="1485" xr:uid="{00000000-0005-0000-0000-0000C8050000}"/>
    <cellStyle name="Currency 59 14 12 2" xfId="1486" xr:uid="{00000000-0005-0000-0000-0000C9050000}"/>
    <cellStyle name="Currency 59 14 13" xfId="1487" xr:uid="{00000000-0005-0000-0000-0000CA050000}"/>
    <cellStyle name="Currency 59 14 13 2" xfId="1488" xr:uid="{00000000-0005-0000-0000-0000CB050000}"/>
    <cellStyle name="Currency 59 14 14" xfId="1489" xr:uid="{00000000-0005-0000-0000-0000CC050000}"/>
    <cellStyle name="Currency 59 14 14 2" xfId="1490" xr:uid="{00000000-0005-0000-0000-0000CD050000}"/>
    <cellStyle name="Currency 59 14 15" xfId="1491" xr:uid="{00000000-0005-0000-0000-0000CE050000}"/>
    <cellStyle name="Currency 59 14 15 2" xfId="1492" xr:uid="{00000000-0005-0000-0000-0000CF050000}"/>
    <cellStyle name="Currency 59 14 16" xfId="1493" xr:uid="{00000000-0005-0000-0000-0000D0050000}"/>
    <cellStyle name="Currency 59 14 16 2" xfId="1494" xr:uid="{00000000-0005-0000-0000-0000D1050000}"/>
    <cellStyle name="Currency 59 14 17" xfId="1495" xr:uid="{00000000-0005-0000-0000-0000D2050000}"/>
    <cellStyle name="Currency 59 14 17 2" xfId="1496" xr:uid="{00000000-0005-0000-0000-0000D3050000}"/>
    <cellStyle name="Currency 59 14 18" xfId="1497" xr:uid="{00000000-0005-0000-0000-0000D4050000}"/>
    <cellStyle name="Currency 59 14 2" xfId="1498" xr:uid="{00000000-0005-0000-0000-0000D5050000}"/>
    <cellStyle name="Currency 59 14 2 2" xfId="1499" xr:uid="{00000000-0005-0000-0000-0000D6050000}"/>
    <cellStyle name="Currency 59 14 3" xfId="1500" xr:uid="{00000000-0005-0000-0000-0000D7050000}"/>
    <cellStyle name="Currency 59 14 3 2" xfId="1501" xr:uid="{00000000-0005-0000-0000-0000D8050000}"/>
    <cellStyle name="Currency 59 14 4" xfId="1502" xr:uid="{00000000-0005-0000-0000-0000D9050000}"/>
    <cellStyle name="Currency 59 14 4 2" xfId="1503" xr:uid="{00000000-0005-0000-0000-0000DA050000}"/>
    <cellStyle name="Currency 59 14 5" xfId="1504" xr:uid="{00000000-0005-0000-0000-0000DB050000}"/>
    <cellStyle name="Currency 59 14 5 2" xfId="1505" xr:uid="{00000000-0005-0000-0000-0000DC050000}"/>
    <cellStyle name="Currency 59 14 6" xfId="1506" xr:uid="{00000000-0005-0000-0000-0000DD050000}"/>
    <cellStyle name="Currency 59 14 6 2" xfId="1507" xr:uid="{00000000-0005-0000-0000-0000DE050000}"/>
    <cellStyle name="Currency 59 14 7" xfId="1508" xr:uid="{00000000-0005-0000-0000-0000DF050000}"/>
    <cellStyle name="Currency 59 14 7 2" xfId="1509" xr:uid="{00000000-0005-0000-0000-0000E0050000}"/>
    <cellStyle name="Currency 59 14 8" xfId="1510" xr:uid="{00000000-0005-0000-0000-0000E1050000}"/>
    <cellStyle name="Currency 59 14 8 2" xfId="1511" xr:uid="{00000000-0005-0000-0000-0000E2050000}"/>
    <cellStyle name="Currency 59 14 9" xfId="1512" xr:uid="{00000000-0005-0000-0000-0000E3050000}"/>
    <cellStyle name="Currency 59 14 9 2" xfId="1513" xr:uid="{00000000-0005-0000-0000-0000E4050000}"/>
    <cellStyle name="Currency 59 15" xfId="1514" xr:uid="{00000000-0005-0000-0000-0000E5050000}"/>
    <cellStyle name="Currency 59 15 2" xfId="1515" xr:uid="{00000000-0005-0000-0000-0000E6050000}"/>
    <cellStyle name="Currency 59 15 2 2" xfId="1516" xr:uid="{00000000-0005-0000-0000-0000E7050000}"/>
    <cellStyle name="Currency 59 15 3" xfId="1517" xr:uid="{00000000-0005-0000-0000-0000E8050000}"/>
    <cellStyle name="Currency 59 2" xfId="1518" xr:uid="{00000000-0005-0000-0000-0000E9050000}"/>
    <cellStyle name="Currency 59 2 2" xfId="1519" xr:uid="{00000000-0005-0000-0000-0000EA050000}"/>
    <cellStyle name="Currency 59 2 2 2" xfId="1520" xr:uid="{00000000-0005-0000-0000-0000EB050000}"/>
    <cellStyle name="Currency 59 2 3" xfId="1521" xr:uid="{00000000-0005-0000-0000-0000EC050000}"/>
    <cellStyle name="Currency 59 3" xfId="1522" xr:uid="{00000000-0005-0000-0000-0000ED050000}"/>
    <cellStyle name="Currency 59 3 2" xfId="1523" xr:uid="{00000000-0005-0000-0000-0000EE050000}"/>
    <cellStyle name="Currency 59 3 2 2" xfId="1524" xr:uid="{00000000-0005-0000-0000-0000EF050000}"/>
    <cellStyle name="Currency 59 3 3" xfId="1525" xr:uid="{00000000-0005-0000-0000-0000F0050000}"/>
    <cellStyle name="Currency 59 4" xfId="1526" xr:uid="{00000000-0005-0000-0000-0000F1050000}"/>
    <cellStyle name="Currency 59 4 2" xfId="1527" xr:uid="{00000000-0005-0000-0000-0000F2050000}"/>
    <cellStyle name="Currency 59 4 2 2" xfId="1528" xr:uid="{00000000-0005-0000-0000-0000F3050000}"/>
    <cellStyle name="Currency 59 4 3" xfId="1529" xr:uid="{00000000-0005-0000-0000-0000F4050000}"/>
    <cellStyle name="Currency 59 5" xfId="1530" xr:uid="{00000000-0005-0000-0000-0000F5050000}"/>
    <cellStyle name="Currency 59 5 2" xfId="1531" xr:uid="{00000000-0005-0000-0000-0000F6050000}"/>
    <cellStyle name="Currency 59 5 2 2" xfId="1532" xr:uid="{00000000-0005-0000-0000-0000F7050000}"/>
    <cellStyle name="Currency 59 5 3" xfId="1533" xr:uid="{00000000-0005-0000-0000-0000F8050000}"/>
    <cellStyle name="Currency 59 6" xfId="1534" xr:uid="{00000000-0005-0000-0000-0000F9050000}"/>
    <cellStyle name="Currency 59 6 2" xfId="1535" xr:uid="{00000000-0005-0000-0000-0000FA050000}"/>
    <cellStyle name="Currency 59 6 2 2" xfId="1536" xr:uid="{00000000-0005-0000-0000-0000FB050000}"/>
    <cellStyle name="Currency 59 6 3" xfId="1537" xr:uid="{00000000-0005-0000-0000-0000FC050000}"/>
    <cellStyle name="Currency 59 7" xfId="1538" xr:uid="{00000000-0005-0000-0000-0000FD050000}"/>
    <cellStyle name="Currency 59 7 2" xfId="1539" xr:uid="{00000000-0005-0000-0000-0000FE050000}"/>
    <cellStyle name="Currency 59 7 2 2" xfId="1540" xr:uid="{00000000-0005-0000-0000-0000FF050000}"/>
    <cellStyle name="Currency 59 7 3" xfId="1541" xr:uid="{00000000-0005-0000-0000-000000060000}"/>
    <cellStyle name="Currency 59 8" xfId="1542" xr:uid="{00000000-0005-0000-0000-000001060000}"/>
    <cellStyle name="Currency 59 8 2" xfId="1543" xr:uid="{00000000-0005-0000-0000-000002060000}"/>
    <cellStyle name="Currency 59 8 2 2" xfId="1544" xr:uid="{00000000-0005-0000-0000-000003060000}"/>
    <cellStyle name="Currency 59 8 3" xfId="1545" xr:uid="{00000000-0005-0000-0000-000004060000}"/>
    <cellStyle name="Currency 59 9" xfId="1546" xr:uid="{00000000-0005-0000-0000-000005060000}"/>
    <cellStyle name="Currency 59 9 2" xfId="1547" xr:uid="{00000000-0005-0000-0000-000006060000}"/>
    <cellStyle name="Currency 59 9 2 2" xfId="1548" xr:uid="{00000000-0005-0000-0000-000007060000}"/>
    <cellStyle name="Currency 59 9 3" xfId="1549" xr:uid="{00000000-0005-0000-0000-000008060000}"/>
    <cellStyle name="Currency 6" xfId="1550" xr:uid="{00000000-0005-0000-0000-000009060000}"/>
    <cellStyle name="Currency 60" xfId="1551" xr:uid="{00000000-0005-0000-0000-00000A060000}"/>
    <cellStyle name="Currency 60 10" xfId="1552" xr:uid="{00000000-0005-0000-0000-00000B060000}"/>
    <cellStyle name="Currency 60 10 2" xfId="1553" xr:uid="{00000000-0005-0000-0000-00000C060000}"/>
    <cellStyle name="Currency 60 10 2 2" xfId="1554" xr:uid="{00000000-0005-0000-0000-00000D060000}"/>
    <cellStyle name="Currency 60 10 3" xfId="1555" xr:uid="{00000000-0005-0000-0000-00000E060000}"/>
    <cellStyle name="Currency 60 11" xfId="1556" xr:uid="{00000000-0005-0000-0000-00000F060000}"/>
    <cellStyle name="Currency 60 11 2" xfId="1557" xr:uid="{00000000-0005-0000-0000-000010060000}"/>
    <cellStyle name="Currency 60 11 2 2" xfId="1558" xr:uid="{00000000-0005-0000-0000-000011060000}"/>
    <cellStyle name="Currency 60 11 3" xfId="1559" xr:uid="{00000000-0005-0000-0000-000012060000}"/>
    <cellStyle name="Currency 60 12" xfId="1560" xr:uid="{00000000-0005-0000-0000-000013060000}"/>
    <cellStyle name="Currency 60 12 2" xfId="1561" xr:uid="{00000000-0005-0000-0000-000014060000}"/>
    <cellStyle name="Currency 60 12 2 2" xfId="1562" xr:uid="{00000000-0005-0000-0000-000015060000}"/>
    <cellStyle name="Currency 60 12 3" xfId="1563" xr:uid="{00000000-0005-0000-0000-000016060000}"/>
    <cellStyle name="Currency 60 13" xfId="1564" xr:uid="{00000000-0005-0000-0000-000017060000}"/>
    <cellStyle name="Currency 60 13 2" xfId="1565" xr:uid="{00000000-0005-0000-0000-000018060000}"/>
    <cellStyle name="Currency 60 13 2 2" xfId="1566" xr:uid="{00000000-0005-0000-0000-000019060000}"/>
    <cellStyle name="Currency 60 13 3" xfId="1567" xr:uid="{00000000-0005-0000-0000-00001A060000}"/>
    <cellStyle name="Currency 60 14" xfId="1568" xr:uid="{00000000-0005-0000-0000-00001B060000}"/>
    <cellStyle name="Currency 60 14 2" xfId="1569" xr:uid="{00000000-0005-0000-0000-00001C060000}"/>
    <cellStyle name="Currency 60 14 2 2" xfId="1570" xr:uid="{00000000-0005-0000-0000-00001D060000}"/>
    <cellStyle name="Currency 60 14 3" xfId="1571" xr:uid="{00000000-0005-0000-0000-00001E060000}"/>
    <cellStyle name="Currency 60 15" xfId="1572" xr:uid="{00000000-0005-0000-0000-00001F060000}"/>
    <cellStyle name="Currency 60 15 2" xfId="1573" xr:uid="{00000000-0005-0000-0000-000020060000}"/>
    <cellStyle name="Currency 60 15 2 2" xfId="1574" xr:uid="{00000000-0005-0000-0000-000021060000}"/>
    <cellStyle name="Currency 60 15 3" xfId="1575" xr:uid="{00000000-0005-0000-0000-000022060000}"/>
    <cellStyle name="Currency 60 16" xfId="1576" xr:uid="{00000000-0005-0000-0000-000023060000}"/>
    <cellStyle name="Currency 60 16 2" xfId="1577" xr:uid="{00000000-0005-0000-0000-000024060000}"/>
    <cellStyle name="Currency 60 17" xfId="1578" xr:uid="{00000000-0005-0000-0000-000025060000}"/>
    <cellStyle name="Currency 60 17 2" xfId="1579" xr:uid="{00000000-0005-0000-0000-000026060000}"/>
    <cellStyle name="Currency 60 18" xfId="1580" xr:uid="{00000000-0005-0000-0000-000027060000}"/>
    <cellStyle name="Currency 60 18 2" xfId="1581" xr:uid="{00000000-0005-0000-0000-000028060000}"/>
    <cellStyle name="Currency 60 19" xfId="1582" xr:uid="{00000000-0005-0000-0000-000029060000}"/>
    <cellStyle name="Currency 60 19 2" xfId="1583" xr:uid="{00000000-0005-0000-0000-00002A060000}"/>
    <cellStyle name="Currency 60 2" xfId="1584" xr:uid="{00000000-0005-0000-0000-00002B060000}"/>
    <cellStyle name="Currency 60 2 2" xfId="1585" xr:uid="{00000000-0005-0000-0000-00002C060000}"/>
    <cellStyle name="Currency 60 2 2 2" xfId="1586" xr:uid="{00000000-0005-0000-0000-00002D060000}"/>
    <cellStyle name="Currency 60 2 3" xfId="1587" xr:uid="{00000000-0005-0000-0000-00002E060000}"/>
    <cellStyle name="Currency 60 20" xfId="1588" xr:uid="{00000000-0005-0000-0000-00002F060000}"/>
    <cellStyle name="Currency 60 20 2" xfId="1589" xr:uid="{00000000-0005-0000-0000-000030060000}"/>
    <cellStyle name="Currency 60 21" xfId="1590" xr:uid="{00000000-0005-0000-0000-000031060000}"/>
    <cellStyle name="Currency 60 21 2" xfId="1591" xr:uid="{00000000-0005-0000-0000-000032060000}"/>
    <cellStyle name="Currency 60 22" xfId="1592" xr:uid="{00000000-0005-0000-0000-000033060000}"/>
    <cellStyle name="Currency 60 22 2" xfId="1593" xr:uid="{00000000-0005-0000-0000-000034060000}"/>
    <cellStyle name="Currency 60 23" xfId="1594" xr:uid="{00000000-0005-0000-0000-000035060000}"/>
    <cellStyle name="Currency 60 23 2" xfId="1595" xr:uid="{00000000-0005-0000-0000-000036060000}"/>
    <cellStyle name="Currency 60 24" xfId="1596" xr:uid="{00000000-0005-0000-0000-000037060000}"/>
    <cellStyle name="Currency 60 24 2" xfId="1597" xr:uid="{00000000-0005-0000-0000-000038060000}"/>
    <cellStyle name="Currency 60 25" xfId="1598" xr:uid="{00000000-0005-0000-0000-000039060000}"/>
    <cellStyle name="Currency 60 25 2" xfId="1599" xr:uid="{00000000-0005-0000-0000-00003A060000}"/>
    <cellStyle name="Currency 60 26" xfId="1600" xr:uid="{00000000-0005-0000-0000-00003B060000}"/>
    <cellStyle name="Currency 60 26 2" xfId="1601" xr:uid="{00000000-0005-0000-0000-00003C060000}"/>
    <cellStyle name="Currency 60 27" xfId="1602" xr:uid="{00000000-0005-0000-0000-00003D060000}"/>
    <cellStyle name="Currency 60 27 2" xfId="1603" xr:uid="{00000000-0005-0000-0000-00003E060000}"/>
    <cellStyle name="Currency 60 28" xfId="1604" xr:uid="{00000000-0005-0000-0000-00003F060000}"/>
    <cellStyle name="Currency 60 28 2" xfId="1605" xr:uid="{00000000-0005-0000-0000-000040060000}"/>
    <cellStyle name="Currency 60 29" xfId="1606" xr:uid="{00000000-0005-0000-0000-000041060000}"/>
    <cellStyle name="Currency 60 29 2" xfId="1607" xr:uid="{00000000-0005-0000-0000-000042060000}"/>
    <cellStyle name="Currency 60 3" xfId="1608" xr:uid="{00000000-0005-0000-0000-000043060000}"/>
    <cellStyle name="Currency 60 3 2" xfId="1609" xr:uid="{00000000-0005-0000-0000-000044060000}"/>
    <cellStyle name="Currency 60 3 2 2" xfId="1610" xr:uid="{00000000-0005-0000-0000-000045060000}"/>
    <cellStyle name="Currency 60 3 3" xfId="1611" xr:uid="{00000000-0005-0000-0000-000046060000}"/>
    <cellStyle name="Currency 60 30" xfId="1612" xr:uid="{00000000-0005-0000-0000-000047060000}"/>
    <cellStyle name="Currency 60 30 2" xfId="1613" xr:uid="{00000000-0005-0000-0000-000048060000}"/>
    <cellStyle name="Currency 60 31" xfId="1614" xr:uid="{00000000-0005-0000-0000-000049060000}"/>
    <cellStyle name="Currency 60 31 2" xfId="1615" xr:uid="{00000000-0005-0000-0000-00004A060000}"/>
    <cellStyle name="Currency 60 32" xfId="1616" xr:uid="{00000000-0005-0000-0000-00004B060000}"/>
    <cellStyle name="Currency 60 4" xfId="1617" xr:uid="{00000000-0005-0000-0000-00004C060000}"/>
    <cellStyle name="Currency 60 4 2" xfId="1618" xr:uid="{00000000-0005-0000-0000-00004D060000}"/>
    <cellStyle name="Currency 60 4 2 2" xfId="1619" xr:uid="{00000000-0005-0000-0000-00004E060000}"/>
    <cellStyle name="Currency 60 4 3" xfId="1620" xr:uid="{00000000-0005-0000-0000-00004F060000}"/>
    <cellStyle name="Currency 60 5" xfId="1621" xr:uid="{00000000-0005-0000-0000-000050060000}"/>
    <cellStyle name="Currency 60 5 2" xfId="1622" xr:uid="{00000000-0005-0000-0000-000051060000}"/>
    <cellStyle name="Currency 60 5 2 2" xfId="1623" xr:uid="{00000000-0005-0000-0000-000052060000}"/>
    <cellStyle name="Currency 60 5 3" xfId="1624" xr:uid="{00000000-0005-0000-0000-000053060000}"/>
    <cellStyle name="Currency 60 6" xfId="1625" xr:uid="{00000000-0005-0000-0000-000054060000}"/>
    <cellStyle name="Currency 60 6 2" xfId="1626" xr:uid="{00000000-0005-0000-0000-000055060000}"/>
    <cellStyle name="Currency 60 6 2 2" xfId="1627" xr:uid="{00000000-0005-0000-0000-000056060000}"/>
    <cellStyle name="Currency 60 6 3" xfId="1628" xr:uid="{00000000-0005-0000-0000-000057060000}"/>
    <cellStyle name="Currency 60 7" xfId="1629" xr:uid="{00000000-0005-0000-0000-000058060000}"/>
    <cellStyle name="Currency 60 7 2" xfId="1630" xr:uid="{00000000-0005-0000-0000-000059060000}"/>
    <cellStyle name="Currency 60 7 2 2" xfId="1631" xr:uid="{00000000-0005-0000-0000-00005A060000}"/>
    <cellStyle name="Currency 60 7 3" xfId="1632" xr:uid="{00000000-0005-0000-0000-00005B060000}"/>
    <cellStyle name="Currency 60 8" xfId="1633" xr:uid="{00000000-0005-0000-0000-00005C060000}"/>
    <cellStyle name="Currency 60 8 2" xfId="1634" xr:uid="{00000000-0005-0000-0000-00005D060000}"/>
    <cellStyle name="Currency 60 8 2 2" xfId="1635" xr:uid="{00000000-0005-0000-0000-00005E060000}"/>
    <cellStyle name="Currency 60 8 3" xfId="1636" xr:uid="{00000000-0005-0000-0000-00005F060000}"/>
    <cellStyle name="Currency 60 9" xfId="1637" xr:uid="{00000000-0005-0000-0000-000060060000}"/>
    <cellStyle name="Currency 60 9 2" xfId="1638" xr:uid="{00000000-0005-0000-0000-000061060000}"/>
    <cellStyle name="Currency 60 9 2 2" xfId="1639" xr:uid="{00000000-0005-0000-0000-000062060000}"/>
    <cellStyle name="Currency 60 9 3" xfId="1640" xr:uid="{00000000-0005-0000-0000-000063060000}"/>
    <cellStyle name="Currency 62 10" xfId="1641" xr:uid="{00000000-0005-0000-0000-000064060000}"/>
    <cellStyle name="Currency 62 10 2" xfId="1642" xr:uid="{00000000-0005-0000-0000-000065060000}"/>
    <cellStyle name="Currency 62 10 2 2" xfId="1643" xr:uid="{00000000-0005-0000-0000-000066060000}"/>
    <cellStyle name="Currency 62 10 3" xfId="1644" xr:uid="{00000000-0005-0000-0000-000067060000}"/>
    <cellStyle name="Currency 62 11" xfId="1645" xr:uid="{00000000-0005-0000-0000-000068060000}"/>
    <cellStyle name="Currency 62 11 2" xfId="1646" xr:uid="{00000000-0005-0000-0000-000069060000}"/>
    <cellStyle name="Currency 62 11 2 2" xfId="1647" xr:uid="{00000000-0005-0000-0000-00006A060000}"/>
    <cellStyle name="Currency 62 11 3" xfId="1648" xr:uid="{00000000-0005-0000-0000-00006B060000}"/>
    <cellStyle name="Currency 62 12" xfId="1649" xr:uid="{00000000-0005-0000-0000-00006C060000}"/>
    <cellStyle name="Currency 62 12 2" xfId="1650" xr:uid="{00000000-0005-0000-0000-00006D060000}"/>
    <cellStyle name="Currency 62 12 2 2" xfId="1651" xr:uid="{00000000-0005-0000-0000-00006E060000}"/>
    <cellStyle name="Currency 62 12 3" xfId="1652" xr:uid="{00000000-0005-0000-0000-00006F060000}"/>
    <cellStyle name="Currency 62 13" xfId="1653" xr:uid="{00000000-0005-0000-0000-000070060000}"/>
    <cellStyle name="Currency 62 13 2" xfId="1654" xr:uid="{00000000-0005-0000-0000-000071060000}"/>
    <cellStyle name="Currency 62 13 2 2" xfId="1655" xr:uid="{00000000-0005-0000-0000-000072060000}"/>
    <cellStyle name="Currency 62 13 3" xfId="1656" xr:uid="{00000000-0005-0000-0000-000073060000}"/>
    <cellStyle name="Currency 62 14" xfId="1657" xr:uid="{00000000-0005-0000-0000-000074060000}"/>
    <cellStyle name="Currency 62 14 2" xfId="1658" xr:uid="{00000000-0005-0000-0000-000075060000}"/>
    <cellStyle name="Currency 62 14 2 2" xfId="1659" xr:uid="{00000000-0005-0000-0000-000076060000}"/>
    <cellStyle name="Currency 62 14 3" xfId="1660" xr:uid="{00000000-0005-0000-0000-000077060000}"/>
    <cellStyle name="Currency 62 14 3 2" xfId="1661" xr:uid="{00000000-0005-0000-0000-000078060000}"/>
    <cellStyle name="Currency 62 14 4" xfId="1662" xr:uid="{00000000-0005-0000-0000-000079060000}"/>
    <cellStyle name="Currency 62 15" xfId="1663" xr:uid="{00000000-0005-0000-0000-00007A060000}"/>
    <cellStyle name="Currency 62 15 2" xfId="1664" xr:uid="{00000000-0005-0000-0000-00007B060000}"/>
    <cellStyle name="Currency 62 15 2 2" xfId="1665" xr:uid="{00000000-0005-0000-0000-00007C060000}"/>
    <cellStyle name="Currency 62 15 3" xfId="1666" xr:uid="{00000000-0005-0000-0000-00007D060000}"/>
    <cellStyle name="Currency 62 2" xfId="1667" xr:uid="{00000000-0005-0000-0000-00007E060000}"/>
    <cellStyle name="Currency 62 2 2" xfId="1668" xr:uid="{00000000-0005-0000-0000-00007F060000}"/>
    <cellStyle name="Currency 62 2 2 2" xfId="1669" xr:uid="{00000000-0005-0000-0000-000080060000}"/>
    <cellStyle name="Currency 62 2 3" xfId="1670" xr:uid="{00000000-0005-0000-0000-000081060000}"/>
    <cellStyle name="Currency 62 3" xfId="1671" xr:uid="{00000000-0005-0000-0000-000082060000}"/>
    <cellStyle name="Currency 62 3 2" xfId="1672" xr:uid="{00000000-0005-0000-0000-000083060000}"/>
    <cellStyle name="Currency 62 3 2 2" xfId="1673" xr:uid="{00000000-0005-0000-0000-000084060000}"/>
    <cellStyle name="Currency 62 3 3" xfId="1674" xr:uid="{00000000-0005-0000-0000-000085060000}"/>
    <cellStyle name="Currency 62 4" xfId="1675" xr:uid="{00000000-0005-0000-0000-000086060000}"/>
    <cellStyle name="Currency 62 4 2" xfId="1676" xr:uid="{00000000-0005-0000-0000-000087060000}"/>
    <cellStyle name="Currency 62 4 2 2" xfId="1677" xr:uid="{00000000-0005-0000-0000-000088060000}"/>
    <cellStyle name="Currency 62 4 3" xfId="1678" xr:uid="{00000000-0005-0000-0000-000089060000}"/>
    <cellStyle name="Currency 62 5" xfId="1679" xr:uid="{00000000-0005-0000-0000-00008A060000}"/>
    <cellStyle name="Currency 62 5 2" xfId="1680" xr:uid="{00000000-0005-0000-0000-00008B060000}"/>
    <cellStyle name="Currency 62 5 2 2" xfId="1681" xr:uid="{00000000-0005-0000-0000-00008C060000}"/>
    <cellStyle name="Currency 62 5 3" xfId="1682" xr:uid="{00000000-0005-0000-0000-00008D060000}"/>
    <cellStyle name="Currency 62 6" xfId="1683" xr:uid="{00000000-0005-0000-0000-00008E060000}"/>
    <cellStyle name="Currency 62 6 2" xfId="1684" xr:uid="{00000000-0005-0000-0000-00008F060000}"/>
    <cellStyle name="Currency 62 6 2 2" xfId="1685" xr:uid="{00000000-0005-0000-0000-000090060000}"/>
    <cellStyle name="Currency 62 6 3" xfId="1686" xr:uid="{00000000-0005-0000-0000-000091060000}"/>
    <cellStyle name="Currency 62 7" xfId="1687" xr:uid="{00000000-0005-0000-0000-000092060000}"/>
    <cellStyle name="Currency 62 7 2" xfId="1688" xr:uid="{00000000-0005-0000-0000-000093060000}"/>
    <cellStyle name="Currency 62 7 2 2" xfId="1689" xr:uid="{00000000-0005-0000-0000-000094060000}"/>
    <cellStyle name="Currency 62 7 3" xfId="1690" xr:uid="{00000000-0005-0000-0000-000095060000}"/>
    <cellStyle name="Currency 62 8" xfId="1691" xr:uid="{00000000-0005-0000-0000-000096060000}"/>
    <cellStyle name="Currency 62 8 2" xfId="1692" xr:uid="{00000000-0005-0000-0000-000097060000}"/>
    <cellStyle name="Currency 62 8 2 2" xfId="1693" xr:uid="{00000000-0005-0000-0000-000098060000}"/>
    <cellStyle name="Currency 62 8 3" xfId="1694" xr:uid="{00000000-0005-0000-0000-000099060000}"/>
    <cellStyle name="Currency 62 9" xfId="1695" xr:uid="{00000000-0005-0000-0000-00009A060000}"/>
    <cellStyle name="Currency 62 9 2" xfId="1696" xr:uid="{00000000-0005-0000-0000-00009B060000}"/>
    <cellStyle name="Currency 62 9 2 2" xfId="1697" xr:uid="{00000000-0005-0000-0000-00009C060000}"/>
    <cellStyle name="Currency 62 9 3" xfId="1698" xr:uid="{00000000-0005-0000-0000-00009D060000}"/>
    <cellStyle name="Currency 64 10" xfId="1699" xr:uid="{00000000-0005-0000-0000-00009E060000}"/>
    <cellStyle name="Currency 64 10 2" xfId="1700" xr:uid="{00000000-0005-0000-0000-00009F060000}"/>
    <cellStyle name="Currency 64 10 2 2" xfId="1701" xr:uid="{00000000-0005-0000-0000-0000A0060000}"/>
    <cellStyle name="Currency 64 10 3" xfId="1702" xr:uid="{00000000-0005-0000-0000-0000A1060000}"/>
    <cellStyle name="Currency 64 11" xfId="1703" xr:uid="{00000000-0005-0000-0000-0000A2060000}"/>
    <cellStyle name="Currency 64 11 2" xfId="1704" xr:uid="{00000000-0005-0000-0000-0000A3060000}"/>
    <cellStyle name="Currency 64 11 2 2" xfId="1705" xr:uid="{00000000-0005-0000-0000-0000A4060000}"/>
    <cellStyle name="Currency 64 11 3" xfId="1706" xr:uid="{00000000-0005-0000-0000-0000A5060000}"/>
    <cellStyle name="Currency 64 12" xfId="1707" xr:uid="{00000000-0005-0000-0000-0000A6060000}"/>
    <cellStyle name="Currency 64 12 2" xfId="1708" xr:uid="{00000000-0005-0000-0000-0000A7060000}"/>
    <cellStyle name="Currency 64 12 2 2" xfId="1709" xr:uid="{00000000-0005-0000-0000-0000A8060000}"/>
    <cellStyle name="Currency 64 12 3" xfId="1710" xr:uid="{00000000-0005-0000-0000-0000A9060000}"/>
    <cellStyle name="Currency 64 13" xfId="1711" xr:uid="{00000000-0005-0000-0000-0000AA060000}"/>
    <cellStyle name="Currency 64 13 2" xfId="1712" xr:uid="{00000000-0005-0000-0000-0000AB060000}"/>
    <cellStyle name="Currency 64 13 2 2" xfId="1713" xr:uid="{00000000-0005-0000-0000-0000AC060000}"/>
    <cellStyle name="Currency 64 13 3" xfId="1714" xr:uid="{00000000-0005-0000-0000-0000AD060000}"/>
    <cellStyle name="Currency 64 14" xfId="1715" xr:uid="{00000000-0005-0000-0000-0000AE060000}"/>
    <cellStyle name="Currency 64 14 2" xfId="1716" xr:uid="{00000000-0005-0000-0000-0000AF060000}"/>
    <cellStyle name="Currency 64 14 2 2" xfId="1717" xr:uid="{00000000-0005-0000-0000-0000B0060000}"/>
    <cellStyle name="Currency 64 14 3" xfId="1718" xr:uid="{00000000-0005-0000-0000-0000B1060000}"/>
    <cellStyle name="Currency 64 15" xfId="1719" xr:uid="{00000000-0005-0000-0000-0000B2060000}"/>
    <cellStyle name="Currency 64 15 2" xfId="1720" xr:uid="{00000000-0005-0000-0000-0000B3060000}"/>
    <cellStyle name="Currency 64 15 2 2" xfId="1721" xr:uid="{00000000-0005-0000-0000-0000B4060000}"/>
    <cellStyle name="Currency 64 15 3" xfId="1722" xr:uid="{00000000-0005-0000-0000-0000B5060000}"/>
    <cellStyle name="Currency 64 15 3 2" xfId="1723" xr:uid="{00000000-0005-0000-0000-0000B6060000}"/>
    <cellStyle name="Currency 64 15 4" xfId="1724" xr:uid="{00000000-0005-0000-0000-0000B7060000}"/>
    <cellStyle name="Currency 64 2" xfId="1725" xr:uid="{00000000-0005-0000-0000-0000B8060000}"/>
    <cellStyle name="Currency 64 2 2" xfId="1726" xr:uid="{00000000-0005-0000-0000-0000B9060000}"/>
    <cellStyle name="Currency 64 2 2 2" xfId="1727" xr:uid="{00000000-0005-0000-0000-0000BA060000}"/>
    <cellStyle name="Currency 64 2 3" xfId="1728" xr:uid="{00000000-0005-0000-0000-0000BB060000}"/>
    <cellStyle name="Currency 64 3" xfId="1729" xr:uid="{00000000-0005-0000-0000-0000BC060000}"/>
    <cellStyle name="Currency 64 3 2" xfId="1730" xr:uid="{00000000-0005-0000-0000-0000BD060000}"/>
    <cellStyle name="Currency 64 3 2 2" xfId="1731" xr:uid="{00000000-0005-0000-0000-0000BE060000}"/>
    <cellStyle name="Currency 64 3 3" xfId="1732" xr:uid="{00000000-0005-0000-0000-0000BF060000}"/>
    <cellStyle name="Currency 64 4" xfId="1733" xr:uid="{00000000-0005-0000-0000-0000C0060000}"/>
    <cellStyle name="Currency 64 4 2" xfId="1734" xr:uid="{00000000-0005-0000-0000-0000C1060000}"/>
    <cellStyle name="Currency 64 4 2 2" xfId="1735" xr:uid="{00000000-0005-0000-0000-0000C2060000}"/>
    <cellStyle name="Currency 64 4 3" xfId="1736" xr:uid="{00000000-0005-0000-0000-0000C3060000}"/>
    <cellStyle name="Currency 64 5" xfId="1737" xr:uid="{00000000-0005-0000-0000-0000C4060000}"/>
    <cellStyle name="Currency 64 5 2" xfId="1738" xr:uid="{00000000-0005-0000-0000-0000C5060000}"/>
    <cellStyle name="Currency 64 5 2 2" xfId="1739" xr:uid="{00000000-0005-0000-0000-0000C6060000}"/>
    <cellStyle name="Currency 64 5 3" xfId="1740" xr:uid="{00000000-0005-0000-0000-0000C7060000}"/>
    <cellStyle name="Currency 64 6" xfId="1741" xr:uid="{00000000-0005-0000-0000-0000C8060000}"/>
    <cellStyle name="Currency 64 6 2" xfId="1742" xr:uid="{00000000-0005-0000-0000-0000C9060000}"/>
    <cellStyle name="Currency 64 6 2 2" xfId="1743" xr:uid="{00000000-0005-0000-0000-0000CA060000}"/>
    <cellStyle name="Currency 64 6 3" xfId="1744" xr:uid="{00000000-0005-0000-0000-0000CB060000}"/>
    <cellStyle name="Currency 64 7" xfId="1745" xr:uid="{00000000-0005-0000-0000-0000CC060000}"/>
    <cellStyle name="Currency 64 7 2" xfId="1746" xr:uid="{00000000-0005-0000-0000-0000CD060000}"/>
    <cellStyle name="Currency 64 7 2 2" xfId="1747" xr:uid="{00000000-0005-0000-0000-0000CE060000}"/>
    <cellStyle name="Currency 64 7 3" xfId="1748" xr:uid="{00000000-0005-0000-0000-0000CF060000}"/>
    <cellStyle name="Currency 64 8" xfId="1749" xr:uid="{00000000-0005-0000-0000-0000D0060000}"/>
    <cellStyle name="Currency 64 8 2" xfId="1750" xr:uid="{00000000-0005-0000-0000-0000D1060000}"/>
    <cellStyle name="Currency 64 8 2 2" xfId="1751" xr:uid="{00000000-0005-0000-0000-0000D2060000}"/>
    <cellStyle name="Currency 64 8 3" xfId="1752" xr:uid="{00000000-0005-0000-0000-0000D3060000}"/>
    <cellStyle name="Currency 64 9" xfId="1753" xr:uid="{00000000-0005-0000-0000-0000D4060000}"/>
    <cellStyle name="Currency 64 9 2" xfId="1754" xr:uid="{00000000-0005-0000-0000-0000D5060000}"/>
    <cellStyle name="Currency 64 9 2 2" xfId="1755" xr:uid="{00000000-0005-0000-0000-0000D6060000}"/>
    <cellStyle name="Currency 64 9 3" xfId="1756" xr:uid="{00000000-0005-0000-0000-0000D7060000}"/>
    <cellStyle name="Currency 7" xfId="1757" xr:uid="{00000000-0005-0000-0000-0000D8060000}"/>
    <cellStyle name="Currency 8" xfId="4304" xr:uid="{00000000-0005-0000-0000-0000D9060000}"/>
    <cellStyle name="Currency 82" xfId="1758" xr:uid="{00000000-0005-0000-0000-0000DA060000}"/>
    <cellStyle name="Currency 82 2" xfId="1759" xr:uid="{00000000-0005-0000-0000-0000DB060000}"/>
    <cellStyle name="Currency 82 2 2" xfId="1760" xr:uid="{00000000-0005-0000-0000-0000DC060000}"/>
    <cellStyle name="Currency 82 3" xfId="1761" xr:uid="{00000000-0005-0000-0000-0000DD060000}"/>
    <cellStyle name="Currency 9" xfId="4305" xr:uid="{00000000-0005-0000-0000-0000DE060000}"/>
    <cellStyle name="Currency 94" xfId="1762" xr:uid="{00000000-0005-0000-0000-0000DF060000}"/>
    <cellStyle name="Currency 94 2" xfId="1763" xr:uid="{00000000-0005-0000-0000-0000E0060000}"/>
    <cellStyle name="Currency 94 2 2" xfId="1764" xr:uid="{00000000-0005-0000-0000-0000E1060000}"/>
    <cellStyle name="Currency 94 3" xfId="1765" xr:uid="{00000000-0005-0000-0000-0000E2060000}"/>
    <cellStyle name="Currency 94 3 2" xfId="1766" xr:uid="{00000000-0005-0000-0000-0000E3060000}"/>
    <cellStyle name="Currency 94 4" xfId="1767" xr:uid="{00000000-0005-0000-0000-0000E4060000}"/>
    <cellStyle name="Currency 95" xfId="1768" xr:uid="{00000000-0005-0000-0000-0000E5060000}"/>
    <cellStyle name="Currency 95 2" xfId="1769" xr:uid="{00000000-0005-0000-0000-0000E6060000}"/>
    <cellStyle name="Currency 95 2 2" xfId="1770" xr:uid="{00000000-0005-0000-0000-0000E7060000}"/>
    <cellStyle name="Currency 95 3" xfId="1771" xr:uid="{00000000-0005-0000-0000-0000E8060000}"/>
    <cellStyle name="Currency 95 3 2" xfId="1772" xr:uid="{00000000-0005-0000-0000-0000E9060000}"/>
    <cellStyle name="Currency 95 4" xfId="1773" xr:uid="{00000000-0005-0000-0000-0000EA060000}"/>
    <cellStyle name="Currency Input" xfId="4512" xr:uid="{00000000-0005-0000-0000-0000EB060000}"/>
    <cellStyle name="Currency0" xfId="4186" xr:uid="{00000000-0005-0000-0000-0000EC060000}"/>
    <cellStyle name="d" xfId="4187" xr:uid="{00000000-0005-0000-0000-0000ED060000}"/>
    <cellStyle name="d," xfId="4188" xr:uid="{00000000-0005-0000-0000-0000EE060000}"/>
    <cellStyle name="d1" xfId="4189" xr:uid="{00000000-0005-0000-0000-0000EF060000}"/>
    <cellStyle name="d1," xfId="4190" xr:uid="{00000000-0005-0000-0000-0000F0060000}"/>
    <cellStyle name="d2" xfId="4191" xr:uid="{00000000-0005-0000-0000-0000F1060000}"/>
    <cellStyle name="d2," xfId="4192" xr:uid="{00000000-0005-0000-0000-0000F2060000}"/>
    <cellStyle name="d3" xfId="4193" xr:uid="{00000000-0005-0000-0000-0000F3060000}"/>
    <cellStyle name="Dash" xfId="4194" xr:uid="{00000000-0005-0000-0000-0000F4060000}"/>
    <cellStyle name="Date" xfId="87" xr:uid="{00000000-0005-0000-0000-0000F5060000}"/>
    <cellStyle name="Date [Abbreviated]" xfId="4513" xr:uid="{00000000-0005-0000-0000-0000F6060000}"/>
    <cellStyle name="Date [Long Europe]" xfId="4514" xr:uid="{00000000-0005-0000-0000-0000F7060000}"/>
    <cellStyle name="Date [Long U.S.]" xfId="4515" xr:uid="{00000000-0005-0000-0000-0000F8060000}"/>
    <cellStyle name="Date [Short Europe]" xfId="4516" xr:uid="{00000000-0005-0000-0000-0000F9060000}"/>
    <cellStyle name="Date [Short U.S.]" xfId="4517" xr:uid="{00000000-0005-0000-0000-0000FA060000}"/>
    <cellStyle name="Date_ITCM 2010 Template" xfId="4518" xr:uid="{00000000-0005-0000-0000-0000FB060000}"/>
    <cellStyle name="DateTime" xfId="4306" xr:uid="{00000000-0005-0000-0000-0000FC060000}"/>
    <cellStyle name="DateTime 2" xfId="4307" xr:uid="{00000000-0005-0000-0000-0000FD060000}"/>
    <cellStyle name="Define$0" xfId="4195" xr:uid="{00000000-0005-0000-0000-0000FE060000}"/>
    <cellStyle name="Define$1" xfId="4196" xr:uid="{00000000-0005-0000-0000-0000FF060000}"/>
    <cellStyle name="Define$2" xfId="4197" xr:uid="{00000000-0005-0000-0000-000000070000}"/>
    <cellStyle name="Define0" xfId="4198" xr:uid="{00000000-0005-0000-0000-000001070000}"/>
    <cellStyle name="Define1" xfId="4199" xr:uid="{00000000-0005-0000-0000-000002070000}"/>
    <cellStyle name="Define1x" xfId="4200" xr:uid="{00000000-0005-0000-0000-000003070000}"/>
    <cellStyle name="Define2" xfId="4201" xr:uid="{00000000-0005-0000-0000-000004070000}"/>
    <cellStyle name="Define2x" xfId="4202" xr:uid="{00000000-0005-0000-0000-000005070000}"/>
    <cellStyle name="d-mmm" xfId="4308" xr:uid="{00000000-0005-0000-0000-000006070000}"/>
    <cellStyle name="d-mmm-yy" xfId="4309" xr:uid="{00000000-0005-0000-0000-000007070000}"/>
    <cellStyle name="Dollar" xfId="4203" xr:uid="{00000000-0005-0000-0000-000008070000}"/>
    <cellStyle name="Dot" xfId="4310" xr:uid="{00000000-0005-0000-0000-000009070000}"/>
    <cellStyle name="e" xfId="4204" xr:uid="{00000000-0005-0000-0000-00000A070000}"/>
    <cellStyle name="e1" xfId="4205" xr:uid="{00000000-0005-0000-0000-00000B070000}"/>
    <cellStyle name="e2" xfId="4206" xr:uid="{00000000-0005-0000-0000-00000C070000}"/>
    <cellStyle name="Euro" xfId="88" xr:uid="{00000000-0005-0000-0000-00000D070000}"/>
    <cellStyle name="Explanatory Text 10" xfId="1774" xr:uid="{00000000-0005-0000-0000-00000E070000}"/>
    <cellStyle name="Explanatory Text 11" xfId="1775" xr:uid="{00000000-0005-0000-0000-00000F070000}"/>
    <cellStyle name="Explanatory Text 12" xfId="1776" xr:uid="{00000000-0005-0000-0000-000010070000}"/>
    <cellStyle name="Explanatory Text 13" xfId="1777" xr:uid="{00000000-0005-0000-0000-000011070000}"/>
    <cellStyle name="Explanatory Text 14" xfId="1778" xr:uid="{00000000-0005-0000-0000-000012070000}"/>
    <cellStyle name="Explanatory Text 15" xfId="1779" xr:uid="{00000000-0005-0000-0000-000013070000}"/>
    <cellStyle name="Explanatory Text 16" xfId="1780" xr:uid="{00000000-0005-0000-0000-000014070000}"/>
    <cellStyle name="Explanatory Text 17" xfId="1781" xr:uid="{00000000-0005-0000-0000-000015070000}"/>
    <cellStyle name="Explanatory Text 18" xfId="1782" xr:uid="{00000000-0005-0000-0000-000016070000}"/>
    <cellStyle name="Explanatory Text 2" xfId="89" xr:uid="{00000000-0005-0000-0000-000017070000}"/>
    <cellStyle name="Explanatory Text 2 2" xfId="1783" xr:uid="{00000000-0005-0000-0000-000018070000}"/>
    <cellStyle name="Explanatory Text 2 3" xfId="1784" xr:uid="{00000000-0005-0000-0000-000019070000}"/>
    <cellStyle name="Explanatory Text 2 4" xfId="1785" xr:uid="{00000000-0005-0000-0000-00001A070000}"/>
    <cellStyle name="Explanatory Text 2 5" xfId="1786" xr:uid="{00000000-0005-0000-0000-00001B070000}"/>
    <cellStyle name="Explanatory Text 3" xfId="1787" xr:uid="{00000000-0005-0000-0000-00001C070000}"/>
    <cellStyle name="Explanatory Text 4" xfId="1788" xr:uid="{00000000-0005-0000-0000-00001D070000}"/>
    <cellStyle name="Explanatory Text 5" xfId="1789" xr:uid="{00000000-0005-0000-0000-00001E070000}"/>
    <cellStyle name="Explanatory Text 6" xfId="1790" xr:uid="{00000000-0005-0000-0000-00001F070000}"/>
    <cellStyle name="Explanatory Text 7" xfId="1791" xr:uid="{00000000-0005-0000-0000-000020070000}"/>
    <cellStyle name="Explanatory Text 8" xfId="1792" xr:uid="{00000000-0005-0000-0000-000021070000}"/>
    <cellStyle name="Explanatory Text 9" xfId="1793" xr:uid="{00000000-0005-0000-0000-000022070000}"/>
    <cellStyle name="Fixed" xfId="90" xr:uid="{00000000-0005-0000-0000-000023070000}"/>
    <cellStyle name="Fixed 2" xfId="4311" xr:uid="{00000000-0005-0000-0000-000024070000}"/>
    <cellStyle name="Fixed 3" xfId="4312" xr:uid="{00000000-0005-0000-0000-000025070000}"/>
    <cellStyle name="Fixed1 - Style1" xfId="91" xr:uid="{00000000-0005-0000-0000-000026070000}"/>
    <cellStyle name="FOOTER - Style1" xfId="4519" xr:uid="{00000000-0005-0000-0000-000027070000}"/>
    <cellStyle name="g" xfId="4207" xr:uid="{00000000-0005-0000-0000-000028070000}"/>
    <cellStyle name="general" xfId="4208" xr:uid="{00000000-0005-0000-0000-000029070000}"/>
    <cellStyle name="General [C]" xfId="4520" xr:uid="{00000000-0005-0000-0000-00002A070000}"/>
    <cellStyle name="General [R]" xfId="4521" xr:uid="{00000000-0005-0000-0000-00002B070000}"/>
    <cellStyle name="Geneva 9" xfId="4313" xr:uid="{00000000-0005-0000-0000-00002C070000}"/>
    <cellStyle name="Gilsans" xfId="92" xr:uid="{00000000-0005-0000-0000-00002D070000}"/>
    <cellStyle name="Gilsansl" xfId="93" xr:uid="{00000000-0005-0000-0000-00002E070000}"/>
    <cellStyle name="Good 10" xfId="1794" xr:uid="{00000000-0005-0000-0000-00002F070000}"/>
    <cellStyle name="Good 11" xfId="1795" xr:uid="{00000000-0005-0000-0000-000030070000}"/>
    <cellStyle name="Good 12" xfId="1796" xr:uid="{00000000-0005-0000-0000-000031070000}"/>
    <cellStyle name="Good 13" xfId="1797" xr:uid="{00000000-0005-0000-0000-000032070000}"/>
    <cellStyle name="Good 14" xfId="1798" xr:uid="{00000000-0005-0000-0000-000033070000}"/>
    <cellStyle name="Good 15" xfId="1799" xr:uid="{00000000-0005-0000-0000-000034070000}"/>
    <cellStyle name="Good 16" xfId="1800" xr:uid="{00000000-0005-0000-0000-000035070000}"/>
    <cellStyle name="Good 17" xfId="1801" xr:uid="{00000000-0005-0000-0000-000036070000}"/>
    <cellStyle name="Good 18" xfId="1802" xr:uid="{00000000-0005-0000-0000-000037070000}"/>
    <cellStyle name="Good 2" xfId="94" xr:uid="{00000000-0005-0000-0000-000038070000}"/>
    <cellStyle name="Good 2 2" xfId="1803" xr:uid="{00000000-0005-0000-0000-000039070000}"/>
    <cellStyle name="Good 2 3" xfId="1804" xr:uid="{00000000-0005-0000-0000-00003A070000}"/>
    <cellStyle name="Good 2 4" xfId="1805" xr:uid="{00000000-0005-0000-0000-00003B070000}"/>
    <cellStyle name="Good 2 5" xfId="1806" xr:uid="{00000000-0005-0000-0000-00003C070000}"/>
    <cellStyle name="Good 3" xfId="1807" xr:uid="{00000000-0005-0000-0000-00003D070000}"/>
    <cellStyle name="Good 4" xfId="1808" xr:uid="{00000000-0005-0000-0000-00003E070000}"/>
    <cellStyle name="Good 5" xfId="1809" xr:uid="{00000000-0005-0000-0000-00003F070000}"/>
    <cellStyle name="Good 6" xfId="1810" xr:uid="{00000000-0005-0000-0000-000040070000}"/>
    <cellStyle name="Good 7" xfId="1811" xr:uid="{00000000-0005-0000-0000-000041070000}"/>
    <cellStyle name="Good 8" xfId="1812" xr:uid="{00000000-0005-0000-0000-000042070000}"/>
    <cellStyle name="Good 9" xfId="1813" xr:uid="{00000000-0005-0000-0000-000043070000}"/>
    <cellStyle name="Green" xfId="4209" xr:uid="{00000000-0005-0000-0000-000044070000}"/>
    <cellStyle name="Grey" xfId="95" xr:uid="{00000000-0005-0000-0000-000045070000}"/>
    <cellStyle name="Grey 2" xfId="4314" xr:uid="{00000000-0005-0000-0000-000046070000}"/>
    <cellStyle name="HEADER" xfId="96" xr:uid="{00000000-0005-0000-0000-000047070000}"/>
    <cellStyle name="Header1" xfId="97" xr:uid="{00000000-0005-0000-0000-000048070000}"/>
    <cellStyle name="Header2" xfId="98" xr:uid="{00000000-0005-0000-0000-000049070000}"/>
    <cellStyle name="Heading" xfId="99" xr:uid="{00000000-0005-0000-0000-00004A070000}"/>
    <cellStyle name="Heading 1 10" xfId="1814" xr:uid="{00000000-0005-0000-0000-00004B070000}"/>
    <cellStyle name="Heading 1 11" xfId="1815" xr:uid="{00000000-0005-0000-0000-00004C070000}"/>
    <cellStyle name="Heading 1 12" xfId="1816" xr:uid="{00000000-0005-0000-0000-00004D070000}"/>
    <cellStyle name="Heading 1 13" xfId="1817" xr:uid="{00000000-0005-0000-0000-00004E070000}"/>
    <cellStyle name="Heading 1 14" xfId="1818" xr:uid="{00000000-0005-0000-0000-00004F070000}"/>
    <cellStyle name="Heading 1 15" xfId="1819" xr:uid="{00000000-0005-0000-0000-000050070000}"/>
    <cellStyle name="Heading 1 16" xfId="1820" xr:uid="{00000000-0005-0000-0000-000051070000}"/>
    <cellStyle name="Heading 1 17" xfId="1821" xr:uid="{00000000-0005-0000-0000-000052070000}"/>
    <cellStyle name="Heading 1 18" xfId="1822" xr:uid="{00000000-0005-0000-0000-000053070000}"/>
    <cellStyle name="Heading 1 2" xfId="100" xr:uid="{00000000-0005-0000-0000-000054070000}"/>
    <cellStyle name="Heading 1 2 2" xfId="1823" xr:uid="{00000000-0005-0000-0000-000055070000}"/>
    <cellStyle name="Heading 1 2 3" xfId="1824" xr:uid="{00000000-0005-0000-0000-000056070000}"/>
    <cellStyle name="Heading 1 2 4" xfId="1825" xr:uid="{00000000-0005-0000-0000-000057070000}"/>
    <cellStyle name="Heading 1 2 5" xfId="1826" xr:uid="{00000000-0005-0000-0000-000058070000}"/>
    <cellStyle name="Heading 1 3" xfId="1827" xr:uid="{00000000-0005-0000-0000-000059070000}"/>
    <cellStyle name="Heading 1 4" xfId="1828" xr:uid="{00000000-0005-0000-0000-00005A070000}"/>
    <cellStyle name="Heading 1 5" xfId="1829" xr:uid="{00000000-0005-0000-0000-00005B070000}"/>
    <cellStyle name="Heading 1 6" xfId="1830" xr:uid="{00000000-0005-0000-0000-00005C070000}"/>
    <cellStyle name="Heading 1 7" xfId="1831" xr:uid="{00000000-0005-0000-0000-00005D070000}"/>
    <cellStyle name="Heading 1 8" xfId="1832" xr:uid="{00000000-0005-0000-0000-00005E070000}"/>
    <cellStyle name="Heading 1 9" xfId="1833" xr:uid="{00000000-0005-0000-0000-00005F070000}"/>
    <cellStyle name="Heading 2 10" xfId="1834" xr:uid="{00000000-0005-0000-0000-000060070000}"/>
    <cellStyle name="Heading 2 11" xfId="1835" xr:uid="{00000000-0005-0000-0000-000061070000}"/>
    <cellStyle name="Heading 2 12" xfId="1836" xr:uid="{00000000-0005-0000-0000-000062070000}"/>
    <cellStyle name="Heading 2 13" xfId="1837" xr:uid="{00000000-0005-0000-0000-000063070000}"/>
    <cellStyle name="Heading 2 14" xfId="1838" xr:uid="{00000000-0005-0000-0000-000064070000}"/>
    <cellStyle name="Heading 2 15" xfId="1839" xr:uid="{00000000-0005-0000-0000-000065070000}"/>
    <cellStyle name="Heading 2 16" xfId="1840" xr:uid="{00000000-0005-0000-0000-000066070000}"/>
    <cellStyle name="Heading 2 17" xfId="1841" xr:uid="{00000000-0005-0000-0000-000067070000}"/>
    <cellStyle name="Heading 2 18" xfId="1842" xr:uid="{00000000-0005-0000-0000-000068070000}"/>
    <cellStyle name="Heading 2 2" xfId="101" xr:uid="{00000000-0005-0000-0000-000069070000}"/>
    <cellStyle name="Heading 2 2 2" xfId="1843" xr:uid="{00000000-0005-0000-0000-00006A070000}"/>
    <cellStyle name="Heading 2 2 3" xfId="1844" xr:uid="{00000000-0005-0000-0000-00006B070000}"/>
    <cellStyle name="Heading 2 2 4" xfId="1845" xr:uid="{00000000-0005-0000-0000-00006C070000}"/>
    <cellStyle name="Heading 2 2 5" xfId="1846" xr:uid="{00000000-0005-0000-0000-00006D070000}"/>
    <cellStyle name="Heading 2 3" xfId="1847" xr:uid="{00000000-0005-0000-0000-00006E070000}"/>
    <cellStyle name="Heading 2 4" xfId="1848" xr:uid="{00000000-0005-0000-0000-00006F070000}"/>
    <cellStyle name="Heading 2 5" xfId="1849" xr:uid="{00000000-0005-0000-0000-000070070000}"/>
    <cellStyle name="Heading 2 6" xfId="1850" xr:uid="{00000000-0005-0000-0000-000071070000}"/>
    <cellStyle name="Heading 2 7" xfId="1851" xr:uid="{00000000-0005-0000-0000-000072070000}"/>
    <cellStyle name="Heading 2 8" xfId="1852" xr:uid="{00000000-0005-0000-0000-000073070000}"/>
    <cellStyle name="Heading 2 9" xfId="1853" xr:uid="{00000000-0005-0000-0000-000074070000}"/>
    <cellStyle name="Heading 3 10" xfId="1854" xr:uid="{00000000-0005-0000-0000-000075070000}"/>
    <cellStyle name="Heading 3 11" xfId="1855" xr:uid="{00000000-0005-0000-0000-000076070000}"/>
    <cellStyle name="Heading 3 12" xfId="1856" xr:uid="{00000000-0005-0000-0000-000077070000}"/>
    <cellStyle name="Heading 3 13" xfId="1857" xr:uid="{00000000-0005-0000-0000-000078070000}"/>
    <cellStyle name="Heading 3 14" xfId="1858" xr:uid="{00000000-0005-0000-0000-000079070000}"/>
    <cellStyle name="Heading 3 15" xfId="1859" xr:uid="{00000000-0005-0000-0000-00007A070000}"/>
    <cellStyle name="Heading 3 16" xfId="1860" xr:uid="{00000000-0005-0000-0000-00007B070000}"/>
    <cellStyle name="Heading 3 17" xfId="1861" xr:uid="{00000000-0005-0000-0000-00007C070000}"/>
    <cellStyle name="Heading 3 18" xfId="1862" xr:uid="{00000000-0005-0000-0000-00007D070000}"/>
    <cellStyle name="Heading 3 2" xfId="102" xr:uid="{00000000-0005-0000-0000-00007E070000}"/>
    <cellStyle name="Heading 3 2 2" xfId="1863" xr:uid="{00000000-0005-0000-0000-00007F070000}"/>
    <cellStyle name="Heading 3 2 3" xfId="1864" xr:uid="{00000000-0005-0000-0000-000080070000}"/>
    <cellStyle name="Heading 3 2 4" xfId="1865" xr:uid="{00000000-0005-0000-0000-000081070000}"/>
    <cellStyle name="Heading 3 2 5" xfId="1866" xr:uid="{00000000-0005-0000-0000-000082070000}"/>
    <cellStyle name="Heading 3 3" xfId="1867" xr:uid="{00000000-0005-0000-0000-000083070000}"/>
    <cellStyle name="Heading 3 4" xfId="1868" xr:uid="{00000000-0005-0000-0000-000084070000}"/>
    <cellStyle name="Heading 3 5" xfId="1869" xr:uid="{00000000-0005-0000-0000-000085070000}"/>
    <cellStyle name="Heading 3 6" xfId="1870" xr:uid="{00000000-0005-0000-0000-000086070000}"/>
    <cellStyle name="Heading 3 7" xfId="1871" xr:uid="{00000000-0005-0000-0000-000087070000}"/>
    <cellStyle name="Heading 3 8" xfId="1872" xr:uid="{00000000-0005-0000-0000-000088070000}"/>
    <cellStyle name="Heading 3 9" xfId="1873" xr:uid="{00000000-0005-0000-0000-000089070000}"/>
    <cellStyle name="Heading 4 10" xfId="1874" xr:uid="{00000000-0005-0000-0000-00008A070000}"/>
    <cellStyle name="Heading 4 11" xfId="1875" xr:uid="{00000000-0005-0000-0000-00008B070000}"/>
    <cellStyle name="Heading 4 12" xfId="1876" xr:uid="{00000000-0005-0000-0000-00008C070000}"/>
    <cellStyle name="Heading 4 13" xfId="1877" xr:uid="{00000000-0005-0000-0000-00008D070000}"/>
    <cellStyle name="Heading 4 14" xfId="1878" xr:uid="{00000000-0005-0000-0000-00008E070000}"/>
    <cellStyle name="Heading 4 15" xfId="1879" xr:uid="{00000000-0005-0000-0000-00008F070000}"/>
    <cellStyle name="Heading 4 16" xfId="1880" xr:uid="{00000000-0005-0000-0000-000090070000}"/>
    <cellStyle name="Heading 4 17" xfId="1881" xr:uid="{00000000-0005-0000-0000-000091070000}"/>
    <cellStyle name="Heading 4 18" xfId="1882" xr:uid="{00000000-0005-0000-0000-000092070000}"/>
    <cellStyle name="Heading 4 2" xfId="103" xr:uid="{00000000-0005-0000-0000-000093070000}"/>
    <cellStyle name="Heading 4 2 2" xfId="1883" xr:uid="{00000000-0005-0000-0000-000094070000}"/>
    <cellStyle name="Heading 4 2 3" xfId="1884" xr:uid="{00000000-0005-0000-0000-000095070000}"/>
    <cellStyle name="Heading 4 2 4" xfId="1885" xr:uid="{00000000-0005-0000-0000-000096070000}"/>
    <cellStyle name="Heading 4 2 5" xfId="1886" xr:uid="{00000000-0005-0000-0000-000097070000}"/>
    <cellStyle name="Heading 4 3" xfId="1887" xr:uid="{00000000-0005-0000-0000-000098070000}"/>
    <cellStyle name="Heading 4 4" xfId="1888" xr:uid="{00000000-0005-0000-0000-000099070000}"/>
    <cellStyle name="Heading 4 5" xfId="1889" xr:uid="{00000000-0005-0000-0000-00009A070000}"/>
    <cellStyle name="Heading 4 6" xfId="1890" xr:uid="{00000000-0005-0000-0000-00009B070000}"/>
    <cellStyle name="Heading 4 7" xfId="1891" xr:uid="{00000000-0005-0000-0000-00009C070000}"/>
    <cellStyle name="Heading 4 8" xfId="1892" xr:uid="{00000000-0005-0000-0000-00009D070000}"/>
    <cellStyle name="Heading 4 9" xfId="1893" xr:uid="{00000000-0005-0000-0000-00009E070000}"/>
    <cellStyle name="Heading No Underline" xfId="4210" xr:uid="{00000000-0005-0000-0000-00009F070000}"/>
    <cellStyle name="Heading With Underline" xfId="4211" xr:uid="{00000000-0005-0000-0000-0000A0070000}"/>
    <cellStyle name="Heading1" xfId="104" xr:uid="{00000000-0005-0000-0000-0000A1070000}"/>
    <cellStyle name="Heading1 2" xfId="4315" xr:uid="{00000000-0005-0000-0000-0000A2070000}"/>
    <cellStyle name="Heading1 3" xfId="4316" xr:uid="{00000000-0005-0000-0000-0000A3070000}"/>
    <cellStyle name="Heading2" xfId="105" xr:uid="{00000000-0005-0000-0000-0000A4070000}"/>
    <cellStyle name="Heading2 2" xfId="4317" xr:uid="{00000000-0005-0000-0000-0000A5070000}"/>
    <cellStyle name="Heading2 3" xfId="4318" xr:uid="{00000000-0005-0000-0000-0000A6070000}"/>
    <cellStyle name="Headline" xfId="4212" xr:uid="{00000000-0005-0000-0000-0000A7070000}"/>
    <cellStyle name="HIGHLIGHT" xfId="106" xr:uid="{00000000-0005-0000-0000-0000A8070000}"/>
    <cellStyle name="Hyperlink" xfId="4663" builtinId="8"/>
    <cellStyle name="Hyperlink 2" xfId="1894" xr:uid="{00000000-0005-0000-0000-0000AA070000}"/>
    <cellStyle name="Hyperlink 3" xfId="4474" xr:uid="{00000000-0005-0000-0000-0000AB070000}"/>
    <cellStyle name="in" xfId="4213" xr:uid="{00000000-0005-0000-0000-0000AC070000}"/>
    <cellStyle name="Indented [0]" xfId="4522" xr:uid="{00000000-0005-0000-0000-0000AD070000}"/>
    <cellStyle name="Indented [2]" xfId="4523" xr:uid="{00000000-0005-0000-0000-0000AE070000}"/>
    <cellStyle name="Indented [4]" xfId="4524" xr:uid="{00000000-0005-0000-0000-0000AF070000}"/>
    <cellStyle name="Indented [6]" xfId="4525" xr:uid="{00000000-0005-0000-0000-0000B0070000}"/>
    <cellStyle name="Input [yellow]" xfId="107" xr:uid="{00000000-0005-0000-0000-0000B1070000}"/>
    <cellStyle name="Input [yellow] 2" xfId="4319" xr:uid="{00000000-0005-0000-0000-0000B2070000}"/>
    <cellStyle name="Input 10" xfId="1895" xr:uid="{00000000-0005-0000-0000-0000B3070000}"/>
    <cellStyle name="Input 11" xfId="1896" xr:uid="{00000000-0005-0000-0000-0000B4070000}"/>
    <cellStyle name="Input 12" xfId="1897" xr:uid="{00000000-0005-0000-0000-0000B5070000}"/>
    <cellStyle name="Input 13" xfId="1898" xr:uid="{00000000-0005-0000-0000-0000B6070000}"/>
    <cellStyle name="Input 14" xfId="1899" xr:uid="{00000000-0005-0000-0000-0000B7070000}"/>
    <cellStyle name="Input 15" xfId="1900" xr:uid="{00000000-0005-0000-0000-0000B8070000}"/>
    <cellStyle name="Input 16" xfId="1901" xr:uid="{00000000-0005-0000-0000-0000B9070000}"/>
    <cellStyle name="Input 17" xfId="1902" xr:uid="{00000000-0005-0000-0000-0000BA070000}"/>
    <cellStyle name="Input 18" xfId="1903" xr:uid="{00000000-0005-0000-0000-0000BB070000}"/>
    <cellStyle name="Input 2" xfId="108" xr:uid="{00000000-0005-0000-0000-0000BC070000}"/>
    <cellStyle name="Input 2 2" xfId="1904" xr:uid="{00000000-0005-0000-0000-0000BD070000}"/>
    <cellStyle name="Input 2 3" xfId="1905" xr:uid="{00000000-0005-0000-0000-0000BE070000}"/>
    <cellStyle name="Input 2 4" xfId="1906" xr:uid="{00000000-0005-0000-0000-0000BF070000}"/>
    <cellStyle name="Input 2 5" xfId="1907" xr:uid="{00000000-0005-0000-0000-0000C0070000}"/>
    <cellStyle name="Input 3" xfId="1908" xr:uid="{00000000-0005-0000-0000-0000C1070000}"/>
    <cellStyle name="Input 4" xfId="1909" xr:uid="{00000000-0005-0000-0000-0000C2070000}"/>
    <cellStyle name="Input 5" xfId="1910" xr:uid="{00000000-0005-0000-0000-0000C3070000}"/>
    <cellStyle name="Input 6" xfId="1911" xr:uid="{00000000-0005-0000-0000-0000C4070000}"/>
    <cellStyle name="Input 7" xfId="1912" xr:uid="{00000000-0005-0000-0000-0000C5070000}"/>
    <cellStyle name="Input 8" xfId="1913" xr:uid="{00000000-0005-0000-0000-0000C6070000}"/>
    <cellStyle name="Input 9" xfId="1914" xr:uid="{00000000-0005-0000-0000-0000C7070000}"/>
    <cellStyle name="Input$0" xfId="4214" xr:uid="{00000000-0005-0000-0000-0000C8070000}"/>
    <cellStyle name="Input$1" xfId="4215" xr:uid="{00000000-0005-0000-0000-0000C9070000}"/>
    <cellStyle name="Input$2" xfId="4216" xr:uid="{00000000-0005-0000-0000-0000CA070000}"/>
    <cellStyle name="Input0" xfId="4217" xr:uid="{00000000-0005-0000-0000-0000CB070000}"/>
    <cellStyle name="Input1" xfId="4218" xr:uid="{00000000-0005-0000-0000-0000CC070000}"/>
    <cellStyle name="Input1x" xfId="4219" xr:uid="{00000000-0005-0000-0000-0000CD070000}"/>
    <cellStyle name="Input2" xfId="4220" xr:uid="{00000000-0005-0000-0000-0000CE070000}"/>
    <cellStyle name="Input2x" xfId="4221" xr:uid="{00000000-0005-0000-0000-0000CF070000}"/>
    <cellStyle name="kwh_centered" xfId="4320" xr:uid="{00000000-0005-0000-0000-0000D0070000}"/>
    <cellStyle name="lborder" xfId="4222" xr:uid="{00000000-0005-0000-0000-0000D1070000}"/>
    <cellStyle name="LeftSubtitle" xfId="4526" xr:uid="{00000000-0005-0000-0000-0000D2070000}"/>
    <cellStyle name="Lines" xfId="109" xr:uid="{00000000-0005-0000-0000-0000D3070000}"/>
    <cellStyle name="Linked Cell 10" xfId="1915" xr:uid="{00000000-0005-0000-0000-0000D4070000}"/>
    <cellStyle name="Linked Cell 11" xfId="1916" xr:uid="{00000000-0005-0000-0000-0000D5070000}"/>
    <cellStyle name="Linked Cell 12" xfId="1917" xr:uid="{00000000-0005-0000-0000-0000D6070000}"/>
    <cellStyle name="Linked Cell 13" xfId="1918" xr:uid="{00000000-0005-0000-0000-0000D7070000}"/>
    <cellStyle name="Linked Cell 14" xfId="1919" xr:uid="{00000000-0005-0000-0000-0000D8070000}"/>
    <cellStyle name="Linked Cell 15" xfId="1920" xr:uid="{00000000-0005-0000-0000-0000D9070000}"/>
    <cellStyle name="Linked Cell 16" xfId="1921" xr:uid="{00000000-0005-0000-0000-0000DA070000}"/>
    <cellStyle name="Linked Cell 17" xfId="1922" xr:uid="{00000000-0005-0000-0000-0000DB070000}"/>
    <cellStyle name="Linked Cell 18" xfId="1923" xr:uid="{00000000-0005-0000-0000-0000DC070000}"/>
    <cellStyle name="Linked Cell 2" xfId="110" xr:uid="{00000000-0005-0000-0000-0000DD070000}"/>
    <cellStyle name="Linked Cell 2 2" xfId="1924" xr:uid="{00000000-0005-0000-0000-0000DE070000}"/>
    <cellStyle name="Linked Cell 2 3" xfId="1925" xr:uid="{00000000-0005-0000-0000-0000DF070000}"/>
    <cellStyle name="Linked Cell 2 4" xfId="1926" xr:uid="{00000000-0005-0000-0000-0000E0070000}"/>
    <cellStyle name="Linked Cell 2 5" xfId="1927" xr:uid="{00000000-0005-0000-0000-0000E1070000}"/>
    <cellStyle name="Linked Cell 3" xfId="1928" xr:uid="{00000000-0005-0000-0000-0000E2070000}"/>
    <cellStyle name="Linked Cell 4" xfId="1929" xr:uid="{00000000-0005-0000-0000-0000E3070000}"/>
    <cellStyle name="Linked Cell 5" xfId="1930" xr:uid="{00000000-0005-0000-0000-0000E4070000}"/>
    <cellStyle name="Linked Cell 6" xfId="1931" xr:uid="{00000000-0005-0000-0000-0000E5070000}"/>
    <cellStyle name="Linked Cell 7" xfId="1932" xr:uid="{00000000-0005-0000-0000-0000E6070000}"/>
    <cellStyle name="Linked Cell 8" xfId="1933" xr:uid="{00000000-0005-0000-0000-0000E7070000}"/>
    <cellStyle name="Linked Cell 9" xfId="1934" xr:uid="{00000000-0005-0000-0000-0000E8070000}"/>
    <cellStyle name="m" xfId="4223" xr:uid="{00000000-0005-0000-0000-0000E9070000}"/>
    <cellStyle name="m1" xfId="4224" xr:uid="{00000000-0005-0000-0000-0000EA070000}"/>
    <cellStyle name="m2" xfId="4225" xr:uid="{00000000-0005-0000-0000-0000EB070000}"/>
    <cellStyle name="m3" xfId="4226" xr:uid="{00000000-0005-0000-0000-0000EC070000}"/>
    <cellStyle name="MEM SSN" xfId="111" xr:uid="{00000000-0005-0000-0000-0000ED070000}"/>
    <cellStyle name="Mine" xfId="112" xr:uid="{00000000-0005-0000-0000-0000EE070000}"/>
    <cellStyle name="mmm-yy" xfId="113" xr:uid="{00000000-0005-0000-0000-0000EF070000}"/>
    <cellStyle name="Moneda [0]_Mex-Braz-Arg" xfId="4321" xr:uid="{00000000-0005-0000-0000-0000F0070000}"/>
    <cellStyle name="Moneda_Mex-Braz-Arg" xfId="4322" xr:uid="{00000000-0005-0000-0000-0000F1070000}"/>
    <cellStyle name="Monétaire [0]_pldt" xfId="114" xr:uid="{00000000-0005-0000-0000-0000F2070000}"/>
    <cellStyle name="Monétaire_pldt" xfId="115" xr:uid="{00000000-0005-0000-0000-0000F3070000}"/>
    <cellStyle name="Multiple" xfId="4527" xr:uid="{00000000-0005-0000-0000-0000F4070000}"/>
    <cellStyle name="Negative" xfId="4227" xr:uid="{00000000-0005-0000-0000-0000F5070000}"/>
    <cellStyle name="Neutral 10" xfId="1935" xr:uid="{00000000-0005-0000-0000-0000F6070000}"/>
    <cellStyle name="Neutral 11" xfId="1936" xr:uid="{00000000-0005-0000-0000-0000F7070000}"/>
    <cellStyle name="Neutral 12" xfId="1937" xr:uid="{00000000-0005-0000-0000-0000F8070000}"/>
    <cellStyle name="Neutral 13" xfId="1938" xr:uid="{00000000-0005-0000-0000-0000F9070000}"/>
    <cellStyle name="Neutral 14" xfId="1939" xr:uid="{00000000-0005-0000-0000-0000FA070000}"/>
    <cellStyle name="Neutral 15" xfId="1940" xr:uid="{00000000-0005-0000-0000-0000FB070000}"/>
    <cellStyle name="Neutral 16" xfId="1941" xr:uid="{00000000-0005-0000-0000-0000FC070000}"/>
    <cellStyle name="Neutral 17" xfId="1942" xr:uid="{00000000-0005-0000-0000-0000FD070000}"/>
    <cellStyle name="Neutral 18" xfId="1943" xr:uid="{00000000-0005-0000-0000-0000FE070000}"/>
    <cellStyle name="Neutral 2" xfId="116" xr:uid="{00000000-0005-0000-0000-0000FF070000}"/>
    <cellStyle name="Neutral 2 2" xfId="1944" xr:uid="{00000000-0005-0000-0000-000000080000}"/>
    <cellStyle name="Neutral 2 3" xfId="1945" xr:uid="{00000000-0005-0000-0000-000001080000}"/>
    <cellStyle name="Neutral 2 4" xfId="1946" xr:uid="{00000000-0005-0000-0000-000002080000}"/>
    <cellStyle name="Neutral 2 5" xfId="1947" xr:uid="{00000000-0005-0000-0000-000003080000}"/>
    <cellStyle name="Neutral 3" xfId="1948" xr:uid="{00000000-0005-0000-0000-000004080000}"/>
    <cellStyle name="Neutral 4" xfId="1949" xr:uid="{00000000-0005-0000-0000-000005080000}"/>
    <cellStyle name="Neutral 5" xfId="1950" xr:uid="{00000000-0005-0000-0000-000006080000}"/>
    <cellStyle name="Neutral 6" xfId="1951" xr:uid="{00000000-0005-0000-0000-000007080000}"/>
    <cellStyle name="Neutral 7" xfId="1952" xr:uid="{00000000-0005-0000-0000-000008080000}"/>
    <cellStyle name="Neutral 8" xfId="1953" xr:uid="{00000000-0005-0000-0000-000009080000}"/>
    <cellStyle name="Neutral 9" xfId="1954" xr:uid="{00000000-0005-0000-0000-00000A080000}"/>
    <cellStyle name="New" xfId="117" xr:uid="{00000000-0005-0000-0000-00000B080000}"/>
    <cellStyle name="No Border" xfId="118" xr:uid="{00000000-0005-0000-0000-00000C080000}"/>
    <cellStyle name="no dec" xfId="119" xr:uid="{00000000-0005-0000-0000-00000D080000}"/>
    <cellStyle name="Normal" xfId="0" builtinId="0"/>
    <cellStyle name="Normal - Style1" xfId="120" xr:uid="{00000000-0005-0000-0000-00000F080000}"/>
    <cellStyle name="Normal - Style1 2" xfId="4323" xr:uid="{00000000-0005-0000-0000-000010080000}"/>
    <cellStyle name="Normal - Style2" xfId="4324" xr:uid="{00000000-0005-0000-0000-000011080000}"/>
    <cellStyle name="Normal 10" xfId="1955" xr:uid="{00000000-0005-0000-0000-000012080000}"/>
    <cellStyle name="Normal 10 10" xfId="1956" xr:uid="{00000000-0005-0000-0000-000013080000}"/>
    <cellStyle name="Normal 10 10 2" xfId="1957" xr:uid="{00000000-0005-0000-0000-000014080000}"/>
    <cellStyle name="Normal 10 10 2 2" xfId="1958" xr:uid="{00000000-0005-0000-0000-000015080000}"/>
    <cellStyle name="Normal 10 10 3" xfId="1959" xr:uid="{00000000-0005-0000-0000-000016080000}"/>
    <cellStyle name="Normal 10 11" xfId="1960" xr:uid="{00000000-0005-0000-0000-000017080000}"/>
    <cellStyle name="Normal 10 11 2" xfId="1961" xr:uid="{00000000-0005-0000-0000-000018080000}"/>
    <cellStyle name="Normal 10 11 2 2" xfId="1962" xr:uid="{00000000-0005-0000-0000-000019080000}"/>
    <cellStyle name="Normal 10 11 3" xfId="1963" xr:uid="{00000000-0005-0000-0000-00001A080000}"/>
    <cellStyle name="Normal 10 12" xfId="1964" xr:uid="{00000000-0005-0000-0000-00001B080000}"/>
    <cellStyle name="Normal 10 12 2" xfId="1965" xr:uid="{00000000-0005-0000-0000-00001C080000}"/>
    <cellStyle name="Normal 10 12 2 2" xfId="1966" xr:uid="{00000000-0005-0000-0000-00001D080000}"/>
    <cellStyle name="Normal 10 12 3" xfId="1967" xr:uid="{00000000-0005-0000-0000-00001E080000}"/>
    <cellStyle name="Normal 10 13" xfId="1968" xr:uid="{00000000-0005-0000-0000-00001F080000}"/>
    <cellStyle name="Normal 10 13 2" xfId="1969" xr:uid="{00000000-0005-0000-0000-000020080000}"/>
    <cellStyle name="Normal 10 13 2 2" xfId="1970" xr:uid="{00000000-0005-0000-0000-000021080000}"/>
    <cellStyle name="Normal 10 13 3" xfId="1971" xr:uid="{00000000-0005-0000-0000-000022080000}"/>
    <cellStyle name="Normal 10 14" xfId="1972" xr:uid="{00000000-0005-0000-0000-000023080000}"/>
    <cellStyle name="Normal 10 14 2" xfId="1973" xr:uid="{00000000-0005-0000-0000-000024080000}"/>
    <cellStyle name="Normal 10 14 2 2" xfId="1974" xr:uid="{00000000-0005-0000-0000-000025080000}"/>
    <cellStyle name="Normal 10 14 3" xfId="1975" xr:uid="{00000000-0005-0000-0000-000026080000}"/>
    <cellStyle name="Normal 10 15" xfId="1976" xr:uid="{00000000-0005-0000-0000-000027080000}"/>
    <cellStyle name="Normal 10 15 2" xfId="1977" xr:uid="{00000000-0005-0000-0000-000028080000}"/>
    <cellStyle name="Normal 10 15 2 2" xfId="1978" xr:uid="{00000000-0005-0000-0000-000029080000}"/>
    <cellStyle name="Normal 10 15 3" xfId="1979" xr:uid="{00000000-0005-0000-0000-00002A080000}"/>
    <cellStyle name="Normal 10 16" xfId="1980" xr:uid="{00000000-0005-0000-0000-00002B080000}"/>
    <cellStyle name="Normal 10 16 2" xfId="1981" xr:uid="{00000000-0005-0000-0000-00002C080000}"/>
    <cellStyle name="Normal 10 17" xfId="1982" xr:uid="{00000000-0005-0000-0000-00002D080000}"/>
    <cellStyle name="Normal 10 17 2" xfId="1983" xr:uid="{00000000-0005-0000-0000-00002E080000}"/>
    <cellStyle name="Normal 10 18" xfId="1984" xr:uid="{00000000-0005-0000-0000-00002F080000}"/>
    <cellStyle name="Normal 10 2" xfId="1985" xr:uid="{00000000-0005-0000-0000-000030080000}"/>
    <cellStyle name="Normal 10 2 2" xfId="1986" xr:uid="{00000000-0005-0000-0000-000031080000}"/>
    <cellStyle name="Normal 10 2 2 2" xfId="1987" xr:uid="{00000000-0005-0000-0000-000032080000}"/>
    <cellStyle name="Normal 10 2 3" xfId="1988" xr:uid="{00000000-0005-0000-0000-000033080000}"/>
    <cellStyle name="Normal 10 2 4" xfId="4528" xr:uid="{00000000-0005-0000-0000-000034080000}"/>
    <cellStyle name="Normal 10 2 4 2" xfId="5093" xr:uid="{D59D5DF9-A7CA-41D0-A1B3-46F0D7D485E5}"/>
    <cellStyle name="Normal 10 3" xfId="1989" xr:uid="{00000000-0005-0000-0000-000035080000}"/>
    <cellStyle name="Normal 10 3 2" xfId="1990" xr:uid="{00000000-0005-0000-0000-000036080000}"/>
    <cellStyle name="Normal 10 3 2 2" xfId="1991" xr:uid="{00000000-0005-0000-0000-000037080000}"/>
    <cellStyle name="Normal 10 3 3" xfId="1992" xr:uid="{00000000-0005-0000-0000-000038080000}"/>
    <cellStyle name="Normal 10 3 4" xfId="4676" xr:uid="{00000000-0005-0000-0000-000039080000}"/>
    <cellStyle name="Normal 10 4" xfId="1993" xr:uid="{00000000-0005-0000-0000-00003A080000}"/>
    <cellStyle name="Normal 10 4 2" xfId="1994" xr:uid="{00000000-0005-0000-0000-00003B080000}"/>
    <cellStyle name="Normal 10 4 2 2" xfId="1995" xr:uid="{00000000-0005-0000-0000-00003C080000}"/>
    <cellStyle name="Normal 10 4 3" xfId="1996" xr:uid="{00000000-0005-0000-0000-00003D080000}"/>
    <cellStyle name="Normal 10 4 4" xfId="4679" xr:uid="{00000000-0005-0000-0000-00003E080000}"/>
    <cellStyle name="Normal 10 5" xfId="1997" xr:uid="{00000000-0005-0000-0000-00003F080000}"/>
    <cellStyle name="Normal 10 5 2" xfId="1998" xr:uid="{00000000-0005-0000-0000-000040080000}"/>
    <cellStyle name="Normal 10 5 2 2" xfId="1999" xr:uid="{00000000-0005-0000-0000-000041080000}"/>
    <cellStyle name="Normal 10 5 3" xfId="2000" xr:uid="{00000000-0005-0000-0000-000042080000}"/>
    <cellStyle name="Normal 10 6" xfId="2001" xr:uid="{00000000-0005-0000-0000-000043080000}"/>
    <cellStyle name="Normal 10 6 2" xfId="2002" xr:uid="{00000000-0005-0000-0000-000044080000}"/>
    <cellStyle name="Normal 10 6 2 2" xfId="2003" xr:uid="{00000000-0005-0000-0000-000045080000}"/>
    <cellStyle name="Normal 10 6 3" xfId="2004" xr:uid="{00000000-0005-0000-0000-000046080000}"/>
    <cellStyle name="Normal 10 7" xfId="2005" xr:uid="{00000000-0005-0000-0000-000047080000}"/>
    <cellStyle name="Normal 10 7 2" xfId="2006" xr:uid="{00000000-0005-0000-0000-000048080000}"/>
    <cellStyle name="Normal 10 7 2 2" xfId="2007" xr:uid="{00000000-0005-0000-0000-000049080000}"/>
    <cellStyle name="Normal 10 7 3" xfId="2008" xr:uid="{00000000-0005-0000-0000-00004A080000}"/>
    <cellStyle name="Normal 10 8" xfId="2009" xr:uid="{00000000-0005-0000-0000-00004B080000}"/>
    <cellStyle name="Normal 10 8 2" xfId="2010" xr:uid="{00000000-0005-0000-0000-00004C080000}"/>
    <cellStyle name="Normal 10 8 2 2" xfId="2011" xr:uid="{00000000-0005-0000-0000-00004D080000}"/>
    <cellStyle name="Normal 10 8 3" xfId="2012" xr:uid="{00000000-0005-0000-0000-00004E080000}"/>
    <cellStyle name="Normal 10 9" xfId="2013" xr:uid="{00000000-0005-0000-0000-00004F080000}"/>
    <cellStyle name="Normal 10 9 2" xfId="2014" xr:uid="{00000000-0005-0000-0000-000050080000}"/>
    <cellStyle name="Normal 10 9 2 2" xfId="2015" xr:uid="{00000000-0005-0000-0000-000051080000}"/>
    <cellStyle name="Normal 10 9 3" xfId="2016" xr:uid="{00000000-0005-0000-0000-000052080000}"/>
    <cellStyle name="Normal 11" xfId="2017" xr:uid="{00000000-0005-0000-0000-000053080000}"/>
    <cellStyle name="Normal 11 10" xfId="2018" xr:uid="{00000000-0005-0000-0000-000054080000}"/>
    <cellStyle name="Normal 11 10 2" xfId="2019" xr:uid="{00000000-0005-0000-0000-000055080000}"/>
    <cellStyle name="Normal 11 10 2 2" xfId="2020" xr:uid="{00000000-0005-0000-0000-000056080000}"/>
    <cellStyle name="Normal 11 10 3" xfId="2021" xr:uid="{00000000-0005-0000-0000-000057080000}"/>
    <cellStyle name="Normal 11 11" xfId="2022" xr:uid="{00000000-0005-0000-0000-000058080000}"/>
    <cellStyle name="Normal 11 11 2" xfId="2023" xr:uid="{00000000-0005-0000-0000-000059080000}"/>
    <cellStyle name="Normal 11 11 2 2" xfId="2024" xr:uid="{00000000-0005-0000-0000-00005A080000}"/>
    <cellStyle name="Normal 11 11 3" xfId="2025" xr:uid="{00000000-0005-0000-0000-00005B080000}"/>
    <cellStyle name="Normal 11 12" xfId="2026" xr:uid="{00000000-0005-0000-0000-00005C080000}"/>
    <cellStyle name="Normal 11 12 2" xfId="2027" xr:uid="{00000000-0005-0000-0000-00005D080000}"/>
    <cellStyle name="Normal 11 12 2 2" xfId="2028" xr:uid="{00000000-0005-0000-0000-00005E080000}"/>
    <cellStyle name="Normal 11 12 3" xfId="2029" xr:uid="{00000000-0005-0000-0000-00005F080000}"/>
    <cellStyle name="Normal 11 13" xfId="2030" xr:uid="{00000000-0005-0000-0000-000060080000}"/>
    <cellStyle name="Normal 11 13 2" xfId="2031" xr:uid="{00000000-0005-0000-0000-000061080000}"/>
    <cellStyle name="Normal 11 13 2 2" xfId="2032" xr:uid="{00000000-0005-0000-0000-000062080000}"/>
    <cellStyle name="Normal 11 13 3" xfId="2033" xr:uid="{00000000-0005-0000-0000-000063080000}"/>
    <cellStyle name="Normal 11 14" xfId="2034" xr:uid="{00000000-0005-0000-0000-000064080000}"/>
    <cellStyle name="Normal 11 14 2" xfId="2035" xr:uid="{00000000-0005-0000-0000-000065080000}"/>
    <cellStyle name="Normal 11 14 2 2" xfId="2036" xr:uid="{00000000-0005-0000-0000-000066080000}"/>
    <cellStyle name="Normal 11 14 3" xfId="2037" xr:uid="{00000000-0005-0000-0000-000067080000}"/>
    <cellStyle name="Normal 11 15" xfId="2038" xr:uid="{00000000-0005-0000-0000-000068080000}"/>
    <cellStyle name="Normal 11 15 2" xfId="2039" xr:uid="{00000000-0005-0000-0000-000069080000}"/>
    <cellStyle name="Normal 11 15 2 2" xfId="2040" xr:uid="{00000000-0005-0000-0000-00006A080000}"/>
    <cellStyle name="Normal 11 15 3" xfId="2041" xr:uid="{00000000-0005-0000-0000-00006B080000}"/>
    <cellStyle name="Normal 11 16" xfId="2042" xr:uid="{00000000-0005-0000-0000-00006C080000}"/>
    <cellStyle name="Normal 11 16 2" xfId="2043" xr:uid="{00000000-0005-0000-0000-00006D080000}"/>
    <cellStyle name="Normal 11 17" xfId="2044" xr:uid="{00000000-0005-0000-0000-00006E080000}"/>
    <cellStyle name="Normal 11 2" xfId="2045" xr:uid="{00000000-0005-0000-0000-00006F080000}"/>
    <cellStyle name="Normal 11 2 2" xfId="2046" xr:uid="{00000000-0005-0000-0000-000070080000}"/>
    <cellStyle name="Normal 11 2 2 2" xfId="2047" xr:uid="{00000000-0005-0000-0000-000071080000}"/>
    <cellStyle name="Normal 11 2 3" xfId="2048" xr:uid="{00000000-0005-0000-0000-000072080000}"/>
    <cellStyle name="Normal 11 3" xfId="2049" xr:uid="{00000000-0005-0000-0000-000073080000}"/>
    <cellStyle name="Normal 11 3 2" xfId="2050" xr:uid="{00000000-0005-0000-0000-000074080000}"/>
    <cellStyle name="Normal 11 3 2 2" xfId="2051" xr:uid="{00000000-0005-0000-0000-000075080000}"/>
    <cellStyle name="Normal 11 3 3" xfId="2052" xr:uid="{00000000-0005-0000-0000-000076080000}"/>
    <cellStyle name="Normal 11 4" xfId="2053" xr:uid="{00000000-0005-0000-0000-000077080000}"/>
    <cellStyle name="Normal 11 4 2" xfId="2054" xr:uid="{00000000-0005-0000-0000-000078080000}"/>
    <cellStyle name="Normal 11 4 2 2" xfId="2055" xr:uid="{00000000-0005-0000-0000-000079080000}"/>
    <cellStyle name="Normal 11 4 3" xfId="2056" xr:uid="{00000000-0005-0000-0000-00007A080000}"/>
    <cellStyle name="Normal 11 5" xfId="2057" xr:uid="{00000000-0005-0000-0000-00007B080000}"/>
    <cellStyle name="Normal 11 5 2" xfId="2058" xr:uid="{00000000-0005-0000-0000-00007C080000}"/>
    <cellStyle name="Normal 11 5 2 2" xfId="2059" xr:uid="{00000000-0005-0000-0000-00007D080000}"/>
    <cellStyle name="Normal 11 5 3" xfId="2060" xr:uid="{00000000-0005-0000-0000-00007E080000}"/>
    <cellStyle name="Normal 11 6" xfId="2061" xr:uid="{00000000-0005-0000-0000-00007F080000}"/>
    <cellStyle name="Normal 11 6 2" xfId="2062" xr:uid="{00000000-0005-0000-0000-000080080000}"/>
    <cellStyle name="Normal 11 6 2 2" xfId="2063" xr:uid="{00000000-0005-0000-0000-000081080000}"/>
    <cellStyle name="Normal 11 6 3" xfId="2064" xr:uid="{00000000-0005-0000-0000-000082080000}"/>
    <cellStyle name="Normal 11 7" xfId="2065" xr:uid="{00000000-0005-0000-0000-000083080000}"/>
    <cellStyle name="Normal 11 7 2" xfId="2066" xr:uid="{00000000-0005-0000-0000-000084080000}"/>
    <cellStyle name="Normal 11 7 2 2" xfId="2067" xr:uid="{00000000-0005-0000-0000-000085080000}"/>
    <cellStyle name="Normal 11 7 3" xfId="2068" xr:uid="{00000000-0005-0000-0000-000086080000}"/>
    <cellStyle name="Normal 11 8" xfId="2069" xr:uid="{00000000-0005-0000-0000-000087080000}"/>
    <cellStyle name="Normal 11 8 2" xfId="2070" xr:uid="{00000000-0005-0000-0000-000088080000}"/>
    <cellStyle name="Normal 11 8 2 2" xfId="2071" xr:uid="{00000000-0005-0000-0000-000089080000}"/>
    <cellStyle name="Normal 11 8 3" xfId="2072" xr:uid="{00000000-0005-0000-0000-00008A080000}"/>
    <cellStyle name="Normal 11 9" xfId="2073" xr:uid="{00000000-0005-0000-0000-00008B080000}"/>
    <cellStyle name="Normal 11 9 2" xfId="2074" xr:uid="{00000000-0005-0000-0000-00008C080000}"/>
    <cellStyle name="Normal 11 9 2 2" xfId="2075" xr:uid="{00000000-0005-0000-0000-00008D080000}"/>
    <cellStyle name="Normal 11 9 3" xfId="2076" xr:uid="{00000000-0005-0000-0000-00008E080000}"/>
    <cellStyle name="Normal 115 2" xfId="4674" xr:uid="{00000000-0005-0000-0000-00008F080000}"/>
    <cellStyle name="Normal 12" xfId="2077" xr:uid="{00000000-0005-0000-0000-000090080000}"/>
    <cellStyle name="Normal 12 10" xfId="2078" xr:uid="{00000000-0005-0000-0000-000091080000}"/>
    <cellStyle name="Normal 12 10 2" xfId="2079" xr:uid="{00000000-0005-0000-0000-000092080000}"/>
    <cellStyle name="Normal 12 10 2 2" xfId="2080" xr:uid="{00000000-0005-0000-0000-000093080000}"/>
    <cellStyle name="Normal 12 10 3" xfId="2081" xr:uid="{00000000-0005-0000-0000-000094080000}"/>
    <cellStyle name="Normal 12 11" xfId="2082" xr:uid="{00000000-0005-0000-0000-000095080000}"/>
    <cellStyle name="Normal 12 11 2" xfId="2083" xr:uid="{00000000-0005-0000-0000-000096080000}"/>
    <cellStyle name="Normal 12 11 2 2" xfId="2084" xr:uid="{00000000-0005-0000-0000-000097080000}"/>
    <cellStyle name="Normal 12 11 3" xfId="2085" xr:uid="{00000000-0005-0000-0000-000098080000}"/>
    <cellStyle name="Normal 12 12" xfId="2086" xr:uid="{00000000-0005-0000-0000-000099080000}"/>
    <cellStyle name="Normal 12 12 2" xfId="2087" xr:uid="{00000000-0005-0000-0000-00009A080000}"/>
    <cellStyle name="Normal 12 12 2 2" xfId="2088" xr:uid="{00000000-0005-0000-0000-00009B080000}"/>
    <cellStyle name="Normal 12 12 3" xfId="2089" xr:uid="{00000000-0005-0000-0000-00009C080000}"/>
    <cellStyle name="Normal 12 13" xfId="2090" xr:uid="{00000000-0005-0000-0000-00009D080000}"/>
    <cellStyle name="Normal 12 13 2" xfId="2091" xr:uid="{00000000-0005-0000-0000-00009E080000}"/>
    <cellStyle name="Normal 12 13 2 2" xfId="2092" xr:uid="{00000000-0005-0000-0000-00009F080000}"/>
    <cellStyle name="Normal 12 13 3" xfId="2093" xr:uid="{00000000-0005-0000-0000-0000A0080000}"/>
    <cellStyle name="Normal 12 14" xfId="2094" xr:uid="{00000000-0005-0000-0000-0000A1080000}"/>
    <cellStyle name="Normal 12 14 2" xfId="2095" xr:uid="{00000000-0005-0000-0000-0000A2080000}"/>
    <cellStyle name="Normal 12 14 2 2" xfId="2096" xr:uid="{00000000-0005-0000-0000-0000A3080000}"/>
    <cellStyle name="Normal 12 14 3" xfId="2097" xr:uid="{00000000-0005-0000-0000-0000A4080000}"/>
    <cellStyle name="Normal 12 14 3 2" xfId="2098" xr:uid="{00000000-0005-0000-0000-0000A5080000}"/>
    <cellStyle name="Normal 12 14 4" xfId="2099" xr:uid="{00000000-0005-0000-0000-0000A6080000}"/>
    <cellStyle name="Normal 12 15" xfId="2100" xr:uid="{00000000-0005-0000-0000-0000A7080000}"/>
    <cellStyle name="Normal 12 15 2" xfId="2101" xr:uid="{00000000-0005-0000-0000-0000A8080000}"/>
    <cellStyle name="Normal 12 15 2 2" xfId="2102" xr:uid="{00000000-0005-0000-0000-0000A9080000}"/>
    <cellStyle name="Normal 12 15 3" xfId="2103" xr:uid="{00000000-0005-0000-0000-0000AA080000}"/>
    <cellStyle name="Normal 12 2" xfId="2104" xr:uid="{00000000-0005-0000-0000-0000AB080000}"/>
    <cellStyle name="Normal 12 2 2" xfId="2105" xr:uid="{00000000-0005-0000-0000-0000AC080000}"/>
    <cellStyle name="Normal 12 2 2 2" xfId="2106" xr:uid="{00000000-0005-0000-0000-0000AD080000}"/>
    <cellStyle name="Normal 12 2 3" xfId="2107" xr:uid="{00000000-0005-0000-0000-0000AE080000}"/>
    <cellStyle name="Normal 12 2 4" xfId="4675" xr:uid="{00000000-0005-0000-0000-0000AF080000}"/>
    <cellStyle name="Normal 12 2 4 2" xfId="4693" xr:uid="{00000000-0005-0000-0000-0000B0080000}"/>
    <cellStyle name="Normal 12 2 4 2 2" xfId="5180" xr:uid="{A4AEB430-C94B-4385-9614-1AF9F1EF5FFD}"/>
    <cellStyle name="Normal 12 2 4 3" xfId="5164" xr:uid="{11E64244-2206-4519-A875-AD27DA0B545D}"/>
    <cellStyle name="Normal 12 3" xfId="2108" xr:uid="{00000000-0005-0000-0000-0000B1080000}"/>
    <cellStyle name="Normal 12 3 2" xfId="2109" xr:uid="{00000000-0005-0000-0000-0000B2080000}"/>
    <cellStyle name="Normal 12 3 2 2" xfId="2110" xr:uid="{00000000-0005-0000-0000-0000B3080000}"/>
    <cellStyle name="Normal 12 3 3" xfId="2111" xr:uid="{00000000-0005-0000-0000-0000B4080000}"/>
    <cellStyle name="Normal 12 4" xfId="2112" xr:uid="{00000000-0005-0000-0000-0000B5080000}"/>
    <cellStyle name="Normal 12 4 2" xfId="2113" xr:uid="{00000000-0005-0000-0000-0000B6080000}"/>
    <cellStyle name="Normal 12 4 2 2" xfId="2114" xr:uid="{00000000-0005-0000-0000-0000B7080000}"/>
    <cellStyle name="Normal 12 4 3" xfId="2115" xr:uid="{00000000-0005-0000-0000-0000B8080000}"/>
    <cellStyle name="Normal 12 5" xfId="2116" xr:uid="{00000000-0005-0000-0000-0000B9080000}"/>
    <cellStyle name="Normal 12 5 2" xfId="2117" xr:uid="{00000000-0005-0000-0000-0000BA080000}"/>
    <cellStyle name="Normal 12 5 2 2" xfId="2118" xr:uid="{00000000-0005-0000-0000-0000BB080000}"/>
    <cellStyle name="Normal 12 5 3" xfId="2119" xr:uid="{00000000-0005-0000-0000-0000BC080000}"/>
    <cellStyle name="Normal 12 6" xfId="2120" xr:uid="{00000000-0005-0000-0000-0000BD080000}"/>
    <cellStyle name="Normal 12 6 2" xfId="2121" xr:uid="{00000000-0005-0000-0000-0000BE080000}"/>
    <cellStyle name="Normal 12 6 2 2" xfId="2122" xr:uid="{00000000-0005-0000-0000-0000BF080000}"/>
    <cellStyle name="Normal 12 6 3" xfId="2123" xr:uid="{00000000-0005-0000-0000-0000C0080000}"/>
    <cellStyle name="Normal 12 7" xfId="2124" xr:uid="{00000000-0005-0000-0000-0000C1080000}"/>
    <cellStyle name="Normal 12 7 2" xfId="2125" xr:uid="{00000000-0005-0000-0000-0000C2080000}"/>
    <cellStyle name="Normal 12 7 2 2" xfId="2126" xr:uid="{00000000-0005-0000-0000-0000C3080000}"/>
    <cellStyle name="Normal 12 7 3" xfId="2127" xr:uid="{00000000-0005-0000-0000-0000C4080000}"/>
    <cellStyle name="Normal 12 8" xfId="2128" xr:uid="{00000000-0005-0000-0000-0000C5080000}"/>
    <cellStyle name="Normal 12 8 2" xfId="2129" xr:uid="{00000000-0005-0000-0000-0000C6080000}"/>
    <cellStyle name="Normal 12 8 2 2" xfId="2130" xr:uid="{00000000-0005-0000-0000-0000C7080000}"/>
    <cellStyle name="Normal 12 8 3" xfId="2131" xr:uid="{00000000-0005-0000-0000-0000C8080000}"/>
    <cellStyle name="Normal 12 9" xfId="2132" xr:uid="{00000000-0005-0000-0000-0000C9080000}"/>
    <cellStyle name="Normal 12 9 2" xfId="2133" xr:uid="{00000000-0005-0000-0000-0000CA080000}"/>
    <cellStyle name="Normal 12 9 2 2" xfId="2134" xr:uid="{00000000-0005-0000-0000-0000CB080000}"/>
    <cellStyle name="Normal 12 9 3" xfId="2135" xr:uid="{00000000-0005-0000-0000-0000CC080000}"/>
    <cellStyle name="Normal 13" xfId="2136" xr:uid="{00000000-0005-0000-0000-0000CD080000}"/>
    <cellStyle name="Normal 13 2" xfId="2137" xr:uid="{00000000-0005-0000-0000-0000CE080000}"/>
    <cellStyle name="Normal 13 2 2" xfId="4680" xr:uid="{00000000-0005-0000-0000-0000CF080000}"/>
    <cellStyle name="Normal 13 2 2 2" xfId="4690" xr:uid="{00000000-0005-0000-0000-0000D0080000}"/>
    <cellStyle name="Normal 13 2 2 2 2" xfId="5177" xr:uid="{3E7D9401-5AD1-45EA-BF47-0C5EBC363D7F}"/>
    <cellStyle name="Normal 13 2 2 3" xfId="5167" xr:uid="{20B3B542-E38F-4B73-A1C7-3D53EB95B620}"/>
    <cellStyle name="Normal 13 3" xfId="4325" xr:uid="{00000000-0005-0000-0000-0000D1080000}"/>
    <cellStyle name="Normal 14" xfId="2138" xr:uid="{00000000-0005-0000-0000-0000D2080000}"/>
    <cellStyle name="Normal 14 10" xfId="2139" xr:uid="{00000000-0005-0000-0000-0000D3080000}"/>
    <cellStyle name="Normal 14 10 2" xfId="2140" xr:uid="{00000000-0005-0000-0000-0000D4080000}"/>
    <cellStyle name="Normal 14 10 2 2" xfId="2141" xr:uid="{00000000-0005-0000-0000-0000D5080000}"/>
    <cellStyle name="Normal 14 10 3" xfId="2142" xr:uid="{00000000-0005-0000-0000-0000D6080000}"/>
    <cellStyle name="Normal 14 11" xfId="2143" xr:uid="{00000000-0005-0000-0000-0000D7080000}"/>
    <cellStyle name="Normal 14 11 2" xfId="2144" xr:uid="{00000000-0005-0000-0000-0000D8080000}"/>
    <cellStyle name="Normal 14 11 2 2" xfId="2145" xr:uid="{00000000-0005-0000-0000-0000D9080000}"/>
    <cellStyle name="Normal 14 11 3" xfId="2146" xr:uid="{00000000-0005-0000-0000-0000DA080000}"/>
    <cellStyle name="Normal 14 12" xfId="2147" xr:uid="{00000000-0005-0000-0000-0000DB080000}"/>
    <cellStyle name="Normal 14 12 2" xfId="2148" xr:uid="{00000000-0005-0000-0000-0000DC080000}"/>
    <cellStyle name="Normal 14 12 2 2" xfId="2149" xr:uid="{00000000-0005-0000-0000-0000DD080000}"/>
    <cellStyle name="Normal 14 12 3" xfId="2150" xr:uid="{00000000-0005-0000-0000-0000DE080000}"/>
    <cellStyle name="Normal 14 13" xfId="2151" xr:uid="{00000000-0005-0000-0000-0000DF080000}"/>
    <cellStyle name="Normal 14 13 2" xfId="2152" xr:uid="{00000000-0005-0000-0000-0000E0080000}"/>
    <cellStyle name="Normal 14 13 2 2" xfId="2153" xr:uid="{00000000-0005-0000-0000-0000E1080000}"/>
    <cellStyle name="Normal 14 13 3" xfId="2154" xr:uid="{00000000-0005-0000-0000-0000E2080000}"/>
    <cellStyle name="Normal 14 14" xfId="2155" xr:uid="{00000000-0005-0000-0000-0000E3080000}"/>
    <cellStyle name="Normal 14 14 2" xfId="2156" xr:uid="{00000000-0005-0000-0000-0000E4080000}"/>
    <cellStyle name="Normal 14 14 2 2" xfId="2157" xr:uid="{00000000-0005-0000-0000-0000E5080000}"/>
    <cellStyle name="Normal 14 14 3" xfId="2158" xr:uid="{00000000-0005-0000-0000-0000E6080000}"/>
    <cellStyle name="Normal 14 15" xfId="2159" xr:uid="{00000000-0005-0000-0000-0000E7080000}"/>
    <cellStyle name="Normal 14 15 2" xfId="2160" xr:uid="{00000000-0005-0000-0000-0000E8080000}"/>
    <cellStyle name="Normal 14 15 2 2" xfId="2161" xr:uid="{00000000-0005-0000-0000-0000E9080000}"/>
    <cellStyle name="Normal 14 15 3" xfId="2162" xr:uid="{00000000-0005-0000-0000-0000EA080000}"/>
    <cellStyle name="Normal 14 15 3 2" xfId="2163" xr:uid="{00000000-0005-0000-0000-0000EB080000}"/>
    <cellStyle name="Normal 14 15 4" xfId="2164" xr:uid="{00000000-0005-0000-0000-0000EC080000}"/>
    <cellStyle name="Normal 14 16" xfId="2165" xr:uid="{00000000-0005-0000-0000-0000ED080000}"/>
    <cellStyle name="Normal 14 16 2" xfId="2166" xr:uid="{00000000-0005-0000-0000-0000EE080000}"/>
    <cellStyle name="Normal 14 17" xfId="2167" xr:uid="{00000000-0005-0000-0000-0000EF080000}"/>
    <cellStyle name="Normal 14 17 2" xfId="2168" xr:uid="{00000000-0005-0000-0000-0000F0080000}"/>
    <cellStyle name="Normal 14 18" xfId="2169" xr:uid="{00000000-0005-0000-0000-0000F1080000}"/>
    <cellStyle name="Normal 14 18 2" xfId="2170" xr:uid="{00000000-0005-0000-0000-0000F2080000}"/>
    <cellStyle name="Normal 14 19" xfId="2171" xr:uid="{00000000-0005-0000-0000-0000F3080000}"/>
    <cellStyle name="Normal 14 19 2" xfId="2172" xr:uid="{00000000-0005-0000-0000-0000F4080000}"/>
    <cellStyle name="Normal 14 2" xfId="2173" xr:uid="{00000000-0005-0000-0000-0000F5080000}"/>
    <cellStyle name="Normal 14 2 2" xfId="2174" xr:uid="{00000000-0005-0000-0000-0000F6080000}"/>
    <cellStyle name="Normal 14 2 2 2" xfId="2175" xr:uid="{00000000-0005-0000-0000-0000F7080000}"/>
    <cellStyle name="Normal 14 2 3" xfId="2176" xr:uid="{00000000-0005-0000-0000-0000F8080000}"/>
    <cellStyle name="Normal 14 20" xfId="2177" xr:uid="{00000000-0005-0000-0000-0000F9080000}"/>
    <cellStyle name="Normal 14 3" xfId="2178" xr:uid="{00000000-0005-0000-0000-0000FA080000}"/>
    <cellStyle name="Normal 14 3 2" xfId="2179" xr:uid="{00000000-0005-0000-0000-0000FB080000}"/>
    <cellStyle name="Normal 14 3 2 2" xfId="2180" xr:uid="{00000000-0005-0000-0000-0000FC080000}"/>
    <cellStyle name="Normal 14 3 3" xfId="2181" xr:uid="{00000000-0005-0000-0000-0000FD080000}"/>
    <cellStyle name="Normal 14 4" xfId="2182" xr:uid="{00000000-0005-0000-0000-0000FE080000}"/>
    <cellStyle name="Normal 14 4 2" xfId="2183" xr:uid="{00000000-0005-0000-0000-0000FF080000}"/>
    <cellStyle name="Normal 14 4 2 2" xfId="2184" xr:uid="{00000000-0005-0000-0000-000000090000}"/>
    <cellStyle name="Normal 14 4 3" xfId="2185" xr:uid="{00000000-0005-0000-0000-000001090000}"/>
    <cellStyle name="Normal 14 5" xfId="2186" xr:uid="{00000000-0005-0000-0000-000002090000}"/>
    <cellStyle name="Normal 14 5 2" xfId="2187" xr:uid="{00000000-0005-0000-0000-000003090000}"/>
    <cellStyle name="Normal 14 5 2 2" xfId="2188" xr:uid="{00000000-0005-0000-0000-000004090000}"/>
    <cellStyle name="Normal 14 5 3" xfId="2189" xr:uid="{00000000-0005-0000-0000-000005090000}"/>
    <cellStyle name="Normal 14 6" xfId="2190" xr:uid="{00000000-0005-0000-0000-000006090000}"/>
    <cellStyle name="Normal 14 6 2" xfId="2191" xr:uid="{00000000-0005-0000-0000-000007090000}"/>
    <cellStyle name="Normal 14 6 2 2" xfId="2192" xr:uid="{00000000-0005-0000-0000-000008090000}"/>
    <cellStyle name="Normal 14 6 3" xfId="2193" xr:uid="{00000000-0005-0000-0000-000009090000}"/>
    <cellStyle name="Normal 14 7" xfId="2194" xr:uid="{00000000-0005-0000-0000-00000A090000}"/>
    <cellStyle name="Normal 14 7 2" xfId="2195" xr:uid="{00000000-0005-0000-0000-00000B090000}"/>
    <cellStyle name="Normal 14 7 2 2" xfId="2196" xr:uid="{00000000-0005-0000-0000-00000C090000}"/>
    <cellStyle name="Normal 14 7 3" xfId="2197" xr:uid="{00000000-0005-0000-0000-00000D090000}"/>
    <cellStyle name="Normal 14 8" xfId="2198" xr:uid="{00000000-0005-0000-0000-00000E090000}"/>
    <cellStyle name="Normal 14 8 2" xfId="2199" xr:uid="{00000000-0005-0000-0000-00000F090000}"/>
    <cellStyle name="Normal 14 8 2 2" xfId="2200" xr:uid="{00000000-0005-0000-0000-000010090000}"/>
    <cellStyle name="Normal 14 8 3" xfId="2201" xr:uid="{00000000-0005-0000-0000-000011090000}"/>
    <cellStyle name="Normal 14 9" xfId="2202" xr:uid="{00000000-0005-0000-0000-000012090000}"/>
    <cellStyle name="Normal 14 9 2" xfId="2203" xr:uid="{00000000-0005-0000-0000-000013090000}"/>
    <cellStyle name="Normal 14 9 2 2" xfId="2204" xr:uid="{00000000-0005-0000-0000-000014090000}"/>
    <cellStyle name="Normal 14 9 3" xfId="2205" xr:uid="{00000000-0005-0000-0000-000015090000}"/>
    <cellStyle name="Normal 15" xfId="2206" xr:uid="{00000000-0005-0000-0000-000016090000}"/>
    <cellStyle name="Normal 15 2" xfId="4686" xr:uid="{00000000-0005-0000-0000-000017090000}"/>
    <cellStyle name="Normal 15 2 2" xfId="4687" xr:uid="{00000000-0005-0000-0000-000018090000}"/>
    <cellStyle name="Normal 15 2 2 2" xfId="5174" xr:uid="{B0E940D8-4A72-4864-B7D9-E89BCFF72612}"/>
    <cellStyle name="Normal 15 2 3" xfId="5173" xr:uid="{8456F47C-3D28-4EE3-B8BF-B724B8B6089D}"/>
    <cellStyle name="Normal 16" xfId="2207" xr:uid="{00000000-0005-0000-0000-000019090000}"/>
    <cellStyle name="Normal 16 10" xfId="2208" xr:uid="{00000000-0005-0000-0000-00001A090000}"/>
    <cellStyle name="Normal 16 10 2" xfId="2209" xr:uid="{00000000-0005-0000-0000-00001B090000}"/>
    <cellStyle name="Normal 16 10 2 2" xfId="2210" xr:uid="{00000000-0005-0000-0000-00001C090000}"/>
    <cellStyle name="Normal 16 10 3" xfId="2211" xr:uid="{00000000-0005-0000-0000-00001D090000}"/>
    <cellStyle name="Normal 16 11" xfId="2212" xr:uid="{00000000-0005-0000-0000-00001E090000}"/>
    <cellStyle name="Normal 16 11 2" xfId="2213" xr:uid="{00000000-0005-0000-0000-00001F090000}"/>
    <cellStyle name="Normal 16 11 2 2" xfId="2214" xr:uid="{00000000-0005-0000-0000-000020090000}"/>
    <cellStyle name="Normal 16 11 3" xfId="2215" xr:uid="{00000000-0005-0000-0000-000021090000}"/>
    <cellStyle name="Normal 16 12" xfId="2216" xr:uid="{00000000-0005-0000-0000-000022090000}"/>
    <cellStyle name="Normal 16 12 2" xfId="2217" xr:uid="{00000000-0005-0000-0000-000023090000}"/>
    <cellStyle name="Normal 16 12 2 2" xfId="2218" xr:uid="{00000000-0005-0000-0000-000024090000}"/>
    <cellStyle name="Normal 16 12 3" xfId="2219" xr:uid="{00000000-0005-0000-0000-000025090000}"/>
    <cellStyle name="Normal 16 13" xfId="2220" xr:uid="{00000000-0005-0000-0000-000026090000}"/>
    <cellStyle name="Normal 16 13 2" xfId="2221" xr:uid="{00000000-0005-0000-0000-000027090000}"/>
    <cellStyle name="Normal 16 13 2 2" xfId="2222" xr:uid="{00000000-0005-0000-0000-000028090000}"/>
    <cellStyle name="Normal 16 13 3" xfId="2223" xr:uid="{00000000-0005-0000-0000-000029090000}"/>
    <cellStyle name="Normal 16 14" xfId="2224" xr:uid="{00000000-0005-0000-0000-00002A090000}"/>
    <cellStyle name="Normal 16 14 2" xfId="2225" xr:uid="{00000000-0005-0000-0000-00002B090000}"/>
    <cellStyle name="Normal 16 14 2 2" xfId="2226" xr:uid="{00000000-0005-0000-0000-00002C090000}"/>
    <cellStyle name="Normal 16 14 3" xfId="2227" xr:uid="{00000000-0005-0000-0000-00002D090000}"/>
    <cellStyle name="Normal 16 15" xfId="2228" xr:uid="{00000000-0005-0000-0000-00002E090000}"/>
    <cellStyle name="Normal 16 15 2" xfId="2229" xr:uid="{00000000-0005-0000-0000-00002F090000}"/>
    <cellStyle name="Normal 16 15 2 2" xfId="2230" xr:uid="{00000000-0005-0000-0000-000030090000}"/>
    <cellStyle name="Normal 16 15 3" xfId="2231" xr:uid="{00000000-0005-0000-0000-000031090000}"/>
    <cellStyle name="Normal 16 16" xfId="2232" xr:uid="{00000000-0005-0000-0000-000032090000}"/>
    <cellStyle name="Normal 16 16 2" xfId="2233" xr:uid="{00000000-0005-0000-0000-000033090000}"/>
    <cellStyle name="Normal 16 17" xfId="2234" xr:uid="{00000000-0005-0000-0000-000034090000}"/>
    <cellStyle name="Normal 16 17 2" xfId="2235" xr:uid="{00000000-0005-0000-0000-000035090000}"/>
    <cellStyle name="Normal 16 18" xfId="2236" xr:uid="{00000000-0005-0000-0000-000036090000}"/>
    <cellStyle name="Normal 16 18 2" xfId="2237" xr:uid="{00000000-0005-0000-0000-000037090000}"/>
    <cellStyle name="Normal 16 19" xfId="2238" xr:uid="{00000000-0005-0000-0000-000038090000}"/>
    <cellStyle name="Normal 16 19 2" xfId="2239" xr:uid="{00000000-0005-0000-0000-000039090000}"/>
    <cellStyle name="Normal 16 2" xfId="2240" xr:uid="{00000000-0005-0000-0000-00003A090000}"/>
    <cellStyle name="Normal 16 2 2" xfId="2241" xr:uid="{00000000-0005-0000-0000-00003B090000}"/>
    <cellStyle name="Normal 16 2 2 2" xfId="2242" xr:uid="{00000000-0005-0000-0000-00003C090000}"/>
    <cellStyle name="Normal 16 2 3" xfId="2243" xr:uid="{00000000-0005-0000-0000-00003D090000}"/>
    <cellStyle name="Normal 16 20" xfId="2244" xr:uid="{00000000-0005-0000-0000-00003E090000}"/>
    <cellStyle name="Normal 16 20 2" xfId="2245" xr:uid="{00000000-0005-0000-0000-00003F090000}"/>
    <cellStyle name="Normal 16 21" xfId="2246" xr:uid="{00000000-0005-0000-0000-000040090000}"/>
    <cellStyle name="Normal 16 21 2" xfId="2247" xr:uid="{00000000-0005-0000-0000-000041090000}"/>
    <cellStyle name="Normal 16 22" xfId="2248" xr:uid="{00000000-0005-0000-0000-000042090000}"/>
    <cellStyle name="Normal 16 22 2" xfId="2249" xr:uid="{00000000-0005-0000-0000-000043090000}"/>
    <cellStyle name="Normal 16 23" xfId="2250" xr:uid="{00000000-0005-0000-0000-000044090000}"/>
    <cellStyle name="Normal 16 3" xfId="2251" xr:uid="{00000000-0005-0000-0000-000045090000}"/>
    <cellStyle name="Normal 16 3 2" xfId="2252" xr:uid="{00000000-0005-0000-0000-000046090000}"/>
    <cellStyle name="Normal 16 3 2 2" xfId="2253" xr:uid="{00000000-0005-0000-0000-000047090000}"/>
    <cellStyle name="Normal 16 3 3" xfId="2254" xr:uid="{00000000-0005-0000-0000-000048090000}"/>
    <cellStyle name="Normal 16 4" xfId="2255" xr:uid="{00000000-0005-0000-0000-000049090000}"/>
    <cellStyle name="Normal 16 4 2" xfId="2256" xr:uid="{00000000-0005-0000-0000-00004A090000}"/>
    <cellStyle name="Normal 16 4 2 2" xfId="2257" xr:uid="{00000000-0005-0000-0000-00004B090000}"/>
    <cellStyle name="Normal 16 4 3" xfId="2258" xr:uid="{00000000-0005-0000-0000-00004C090000}"/>
    <cellStyle name="Normal 16 5" xfId="2259" xr:uid="{00000000-0005-0000-0000-00004D090000}"/>
    <cellStyle name="Normal 16 5 2" xfId="2260" xr:uid="{00000000-0005-0000-0000-00004E090000}"/>
    <cellStyle name="Normal 16 5 2 2" xfId="2261" xr:uid="{00000000-0005-0000-0000-00004F090000}"/>
    <cellStyle name="Normal 16 5 3" xfId="2262" xr:uid="{00000000-0005-0000-0000-000050090000}"/>
    <cellStyle name="Normal 16 6" xfId="2263" xr:uid="{00000000-0005-0000-0000-000051090000}"/>
    <cellStyle name="Normal 16 6 2" xfId="2264" xr:uid="{00000000-0005-0000-0000-000052090000}"/>
    <cellStyle name="Normal 16 6 2 2" xfId="2265" xr:uid="{00000000-0005-0000-0000-000053090000}"/>
    <cellStyle name="Normal 16 6 3" xfId="2266" xr:uid="{00000000-0005-0000-0000-000054090000}"/>
    <cellStyle name="Normal 16 7" xfId="2267" xr:uid="{00000000-0005-0000-0000-000055090000}"/>
    <cellStyle name="Normal 16 7 2" xfId="2268" xr:uid="{00000000-0005-0000-0000-000056090000}"/>
    <cellStyle name="Normal 16 7 2 2" xfId="2269" xr:uid="{00000000-0005-0000-0000-000057090000}"/>
    <cellStyle name="Normal 16 7 3" xfId="2270" xr:uid="{00000000-0005-0000-0000-000058090000}"/>
    <cellStyle name="Normal 16 8" xfId="2271" xr:uid="{00000000-0005-0000-0000-000059090000}"/>
    <cellStyle name="Normal 16 8 2" xfId="2272" xr:uid="{00000000-0005-0000-0000-00005A090000}"/>
    <cellStyle name="Normal 16 8 2 2" xfId="2273" xr:uid="{00000000-0005-0000-0000-00005B090000}"/>
    <cellStyle name="Normal 16 8 3" xfId="2274" xr:uid="{00000000-0005-0000-0000-00005C090000}"/>
    <cellStyle name="Normal 16 9" xfId="2275" xr:uid="{00000000-0005-0000-0000-00005D090000}"/>
    <cellStyle name="Normal 16 9 2" xfId="2276" xr:uid="{00000000-0005-0000-0000-00005E090000}"/>
    <cellStyle name="Normal 16 9 2 2" xfId="2277" xr:uid="{00000000-0005-0000-0000-00005F090000}"/>
    <cellStyle name="Normal 16 9 3" xfId="2278" xr:uid="{00000000-0005-0000-0000-000060090000}"/>
    <cellStyle name="Normal 160 3 2" xfId="4694" xr:uid="{00000000-0005-0000-0000-000061090000}"/>
    <cellStyle name="Normal 160 3 2 2" xfId="5181" xr:uid="{0FB5ED95-902D-4DA0-848F-EE679994DEF1}"/>
    <cellStyle name="Normal 17" xfId="2279" xr:uid="{00000000-0005-0000-0000-000062090000}"/>
    <cellStyle name="Normal 17 2" xfId="2280" xr:uid="{00000000-0005-0000-0000-000063090000}"/>
    <cellStyle name="Normal 17 2 2" xfId="2281" xr:uid="{00000000-0005-0000-0000-000064090000}"/>
    <cellStyle name="Normal 17 2 2 2" xfId="2282" xr:uid="{00000000-0005-0000-0000-000065090000}"/>
    <cellStyle name="Normal 17 2 2 2 2" xfId="2283" xr:uid="{00000000-0005-0000-0000-000066090000}"/>
    <cellStyle name="Normal 17 2 2 2 2 2" xfId="5052" xr:uid="{2402406A-6384-43BE-B78B-1E207D4E6F41}"/>
    <cellStyle name="Normal 17 2 2 2 3" xfId="5051" xr:uid="{53F77FDD-0BA0-4177-AB04-B932219235A7}"/>
    <cellStyle name="Normal 17 2 2 3" xfId="2284" xr:uid="{00000000-0005-0000-0000-000067090000}"/>
    <cellStyle name="Normal 17 2 2 3 2" xfId="5053" xr:uid="{68C8D1A3-A9B8-4957-A9CF-9AA50CEB9765}"/>
    <cellStyle name="Normal 17 2 2 4" xfId="5050" xr:uid="{1853EC32-E894-4712-BB98-14471A85D851}"/>
    <cellStyle name="Normal 17 2 3" xfId="2285" xr:uid="{00000000-0005-0000-0000-000068090000}"/>
    <cellStyle name="Normal 17 2 3 2" xfId="2286" xr:uid="{00000000-0005-0000-0000-000069090000}"/>
    <cellStyle name="Normal 17 2 3 2 2" xfId="2287" xr:uid="{00000000-0005-0000-0000-00006A090000}"/>
    <cellStyle name="Normal 17 2 3 2 2 2" xfId="5056" xr:uid="{1324C5ED-CEAA-4599-B9F5-DFA8439E743B}"/>
    <cellStyle name="Normal 17 2 3 2 3" xfId="5055" xr:uid="{733053E1-F3B5-4BC8-AFD8-3774D8494D3F}"/>
    <cellStyle name="Normal 17 2 3 3" xfId="2288" xr:uid="{00000000-0005-0000-0000-00006B090000}"/>
    <cellStyle name="Normal 17 2 3 3 2" xfId="5057" xr:uid="{05B180E3-9E62-47CE-B28A-ED649A778C4A}"/>
    <cellStyle name="Normal 17 2 3 4" xfId="5054" xr:uid="{79D089CE-759F-44AA-9964-7518A3968AEE}"/>
    <cellStyle name="Normal 17 2 4" xfId="2289" xr:uid="{00000000-0005-0000-0000-00006C090000}"/>
    <cellStyle name="Normal 17 2 4 2" xfId="2290" xr:uid="{00000000-0005-0000-0000-00006D090000}"/>
    <cellStyle name="Normal 17 2 4 2 2" xfId="5059" xr:uid="{8F856DF1-7555-4DB3-B681-DB30C90519B2}"/>
    <cellStyle name="Normal 17 2 4 3" xfId="5058" xr:uid="{B8F0135C-7ACD-418A-81E0-3C5F84226F09}"/>
    <cellStyle name="Normal 17 2 5" xfId="2291" xr:uid="{00000000-0005-0000-0000-00006E090000}"/>
    <cellStyle name="Normal 17 2 5 2" xfId="5060" xr:uid="{A226B494-39A3-4D67-824D-7CE94AF6D39F}"/>
    <cellStyle name="Normal 17 2 6" xfId="5049" xr:uid="{98B4F5AF-EB43-42CE-A681-F5AE8D40C9AA}"/>
    <cellStyle name="Normal 17 3" xfId="2292" xr:uid="{00000000-0005-0000-0000-00006F090000}"/>
    <cellStyle name="Normal 17 3 2" xfId="2293" xr:uid="{00000000-0005-0000-0000-000070090000}"/>
    <cellStyle name="Normal 17 4" xfId="2294" xr:uid="{00000000-0005-0000-0000-000071090000}"/>
    <cellStyle name="Normal 17 4 2" xfId="2295" xr:uid="{00000000-0005-0000-0000-000072090000}"/>
    <cellStyle name="Normal 17 5" xfId="2296" xr:uid="{00000000-0005-0000-0000-000073090000}"/>
    <cellStyle name="Normal 17 5 2" xfId="2297" xr:uid="{00000000-0005-0000-0000-000074090000}"/>
    <cellStyle name="Normal 17 6" xfId="2298" xr:uid="{00000000-0005-0000-0000-000075090000}"/>
    <cellStyle name="Normal 17 6 2" xfId="2299" xr:uid="{00000000-0005-0000-0000-000076090000}"/>
    <cellStyle name="Normal 17 7" xfId="2300" xr:uid="{00000000-0005-0000-0000-000077090000}"/>
    <cellStyle name="Normal 18" xfId="2301" xr:uid="{00000000-0005-0000-0000-000078090000}"/>
    <cellStyle name="Normal 18 10" xfId="2302" xr:uid="{00000000-0005-0000-0000-000079090000}"/>
    <cellStyle name="Normal 18 10 2" xfId="2303" xr:uid="{00000000-0005-0000-0000-00007A090000}"/>
    <cellStyle name="Normal 18 10 2 2" xfId="2304" xr:uid="{00000000-0005-0000-0000-00007B090000}"/>
    <cellStyle name="Normal 18 10 3" xfId="2305" xr:uid="{00000000-0005-0000-0000-00007C090000}"/>
    <cellStyle name="Normal 18 11" xfId="2306" xr:uid="{00000000-0005-0000-0000-00007D090000}"/>
    <cellStyle name="Normal 18 11 2" xfId="2307" xr:uid="{00000000-0005-0000-0000-00007E090000}"/>
    <cellStyle name="Normal 18 11 2 2" xfId="2308" xr:uid="{00000000-0005-0000-0000-00007F090000}"/>
    <cellStyle name="Normal 18 11 3" xfId="2309" xr:uid="{00000000-0005-0000-0000-000080090000}"/>
    <cellStyle name="Normal 18 12" xfId="2310" xr:uid="{00000000-0005-0000-0000-000081090000}"/>
    <cellStyle name="Normal 18 12 2" xfId="2311" xr:uid="{00000000-0005-0000-0000-000082090000}"/>
    <cellStyle name="Normal 18 12 2 2" xfId="2312" xr:uid="{00000000-0005-0000-0000-000083090000}"/>
    <cellStyle name="Normal 18 12 3" xfId="2313" xr:uid="{00000000-0005-0000-0000-000084090000}"/>
    <cellStyle name="Normal 18 13" xfId="2314" xr:uid="{00000000-0005-0000-0000-000085090000}"/>
    <cellStyle name="Normal 18 13 2" xfId="2315" xr:uid="{00000000-0005-0000-0000-000086090000}"/>
    <cellStyle name="Normal 18 13 2 2" xfId="2316" xr:uid="{00000000-0005-0000-0000-000087090000}"/>
    <cellStyle name="Normal 18 13 3" xfId="2317" xr:uid="{00000000-0005-0000-0000-000088090000}"/>
    <cellStyle name="Normal 18 14" xfId="2318" xr:uid="{00000000-0005-0000-0000-000089090000}"/>
    <cellStyle name="Normal 18 14 2" xfId="2319" xr:uid="{00000000-0005-0000-0000-00008A090000}"/>
    <cellStyle name="Normal 18 14 2 2" xfId="2320" xr:uid="{00000000-0005-0000-0000-00008B090000}"/>
    <cellStyle name="Normal 18 14 3" xfId="2321" xr:uid="{00000000-0005-0000-0000-00008C090000}"/>
    <cellStyle name="Normal 18 15" xfId="2322" xr:uid="{00000000-0005-0000-0000-00008D090000}"/>
    <cellStyle name="Normal 18 15 2" xfId="2323" xr:uid="{00000000-0005-0000-0000-00008E090000}"/>
    <cellStyle name="Normal 18 15 2 2" xfId="2324" xr:uid="{00000000-0005-0000-0000-00008F090000}"/>
    <cellStyle name="Normal 18 15 3" xfId="2325" xr:uid="{00000000-0005-0000-0000-000090090000}"/>
    <cellStyle name="Normal 18 16" xfId="2326" xr:uid="{00000000-0005-0000-0000-000091090000}"/>
    <cellStyle name="Normal 18 16 2" xfId="2327" xr:uid="{00000000-0005-0000-0000-000092090000}"/>
    <cellStyle name="Normal 18 17" xfId="2328" xr:uid="{00000000-0005-0000-0000-000093090000}"/>
    <cellStyle name="Normal 18 17 2" xfId="2329" xr:uid="{00000000-0005-0000-0000-000094090000}"/>
    <cellStyle name="Normal 18 18" xfId="2330" xr:uid="{00000000-0005-0000-0000-000095090000}"/>
    <cellStyle name="Normal 18 18 2" xfId="2331" xr:uid="{00000000-0005-0000-0000-000096090000}"/>
    <cellStyle name="Normal 18 19" xfId="2332" xr:uid="{00000000-0005-0000-0000-000097090000}"/>
    <cellStyle name="Normal 18 19 2" xfId="2333" xr:uid="{00000000-0005-0000-0000-000098090000}"/>
    <cellStyle name="Normal 18 2" xfId="2334" xr:uid="{00000000-0005-0000-0000-000099090000}"/>
    <cellStyle name="Normal 18 2 2" xfId="2335" xr:uid="{00000000-0005-0000-0000-00009A090000}"/>
    <cellStyle name="Normal 18 2 2 2" xfId="2336" xr:uid="{00000000-0005-0000-0000-00009B090000}"/>
    <cellStyle name="Normal 18 2 3" xfId="2337" xr:uid="{00000000-0005-0000-0000-00009C090000}"/>
    <cellStyle name="Normal 18 20" xfId="2338" xr:uid="{00000000-0005-0000-0000-00009D090000}"/>
    <cellStyle name="Normal 18 20 2" xfId="2339" xr:uid="{00000000-0005-0000-0000-00009E090000}"/>
    <cellStyle name="Normal 18 21" xfId="2340" xr:uid="{00000000-0005-0000-0000-00009F090000}"/>
    <cellStyle name="Normal 18 21 2" xfId="2341" xr:uid="{00000000-0005-0000-0000-0000A0090000}"/>
    <cellStyle name="Normal 18 22" xfId="2342" xr:uid="{00000000-0005-0000-0000-0000A1090000}"/>
    <cellStyle name="Normal 18 3" xfId="2343" xr:uid="{00000000-0005-0000-0000-0000A2090000}"/>
    <cellStyle name="Normal 18 3 2" xfId="2344" xr:uid="{00000000-0005-0000-0000-0000A3090000}"/>
    <cellStyle name="Normal 18 3 2 2" xfId="2345" xr:uid="{00000000-0005-0000-0000-0000A4090000}"/>
    <cellStyle name="Normal 18 3 3" xfId="2346" xr:uid="{00000000-0005-0000-0000-0000A5090000}"/>
    <cellStyle name="Normal 18 4" xfId="2347" xr:uid="{00000000-0005-0000-0000-0000A6090000}"/>
    <cellStyle name="Normal 18 4 2" xfId="2348" xr:uid="{00000000-0005-0000-0000-0000A7090000}"/>
    <cellStyle name="Normal 18 4 2 2" xfId="2349" xr:uid="{00000000-0005-0000-0000-0000A8090000}"/>
    <cellStyle name="Normal 18 4 3" xfId="2350" xr:uid="{00000000-0005-0000-0000-0000A9090000}"/>
    <cellStyle name="Normal 18 5" xfId="2351" xr:uid="{00000000-0005-0000-0000-0000AA090000}"/>
    <cellStyle name="Normal 18 5 2" xfId="2352" xr:uid="{00000000-0005-0000-0000-0000AB090000}"/>
    <cellStyle name="Normal 18 5 2 2" xfId="2353" xr:uid="{00000000-0005-0000-0000-0000AC090000}"/>
    <cellStyle name="Normal 18 5 3" xfId="2354" xr:uid="{00000000-0005-0000-0000-0000AD090000}"/>
    <cellStyle name="Normal 18 6" xfId="2355" xr:uid="{00000000-0005-0000-0000-0000AE090000}"/>
    <cellStyle name="Normal 18 6 2" xfId="2356" xr:uid="{00000000-0005-0000-0000-0000AF090000}"/>
    <cellStyle name="Normal 18 6 2 2" xfId="2357" xr:uid="{00000000-0005-0000-0000-0000B0090000}"/>
    <cellStyle name="Normal 18 6 3" xfId="2358" xr:uid="{00000000-0005-0000-0000-0000B1090000}"/>
    <cellStyle name="Normal 18 7" xfId="2359" xr:uid="{00000000-0005-0000-0000-0000B2090000}"/>
    <cellStyle name="Normal 18 7 2" xfId="2360" xr:uid="{00000000-0005-0000-0000-0000B3090000}"/>
    <cellStyle name="Normal 18 7 2 2" xfId="2361" xr:uid="{00000000-0005-0000-0000-0000B4090000}"/>
    <cellStyle name="Normal 18 7 3" xfId="2362" xr:uid="{00000000-0005-0000-0000-0000B5090000}"/>
    <cellStyle name="Normal 18 8" xfId="2363" xr:uid="{00000000-0005-0000-0000-0000B6090000}"/>
    <cellStyle name="Normal 18 8 2" xfId="2364" xr:uid="{00000000-0005-0000-0000-0000B7090000}"/>
    <cellStyle name="Normal 18 8 2 2" xfId="2365" xr:uid="{00000000-0005-0000-0000-0000B8090000}"/>
    <cellStyle name="Normal 18 8 3" xfId="2366" xr:uid="{00000000-0005-0000-0000-0000B9090000}"/>
    <cellStyle name="Normal 18 9" xfId="2367" xr:uid="{00000000-0005-0000-0000-0000BA090000}"/>
    <cellStyle name="Normal 18 9 2" xfId="2368" xr:uid="{00000000-0005-0000-0000-0000BB090000}"/>
    <cellStyle name="Normal 18 9 2 2" xfId="2369" xr:uid="{00000000-0005-0000-0000-0000BC090000}"/>
    <cellStyle name="Normal 18 9 3" xfId="2370" xr:uid="{00000000-0005-0000-0000-0000BD090000}"/>
    <cellStyle name="Normal 19" xfId="2371" xr:uid="{00000000-0005-0000-0000-0000BE090000}"/>
    <cellStyle name="Normal 19 10" xfId="2372" xr:uid="{00000000-0005-0000-0000-0000BF090000}"/>
    <cellStyle name="Normal 19 10 2" xfId="2373" xr:uid="{00000000-0005-0000-0000-0000C0090000}"/>
    <cellStyle name="Normal 19 10 2 2" xfId="2374" xr:uid="{00000000-0005-0000-0000-0000C1090000}"/>
    <cellStyle name="Normal 19 10 3" xfId="2375" xr:uid="{00000000-0005-0000-0000-0000C2090000}"/>
    <cellStyle name="Normal 19 11" xfId="2376" xr:uid="{00000000-0005-0000-0000-0000C3090000}"/>
    <cellStyle name="Normal 19 11 2" xfId="2377" xr:uid="{00000000-0005-0000-0000-0000C4090000}"/>
    <cellStyle name="Normal 19 11 2 2" xfId="2378" xr:uid="{00000000-0005-0000-0000-0000C5090000}"/>
    <cellStyle name="Normal 19 11 3" xfId="2379" xr:uid="{00000000-0005-0000-0000-0000C6090000}"/>
    <cellStyle name="Normal 19 12" xfId="2380" xr:uid="{00000000-0005-0000-0000-0000C7090000}"/>
    <cellStyle name="Normal 19 12 2" xfId="2381" xr:uid="{00000000-0005-0000-0000-0000C8090000}"/>
    <cellStyle name="Normal 19 12 2 2" xfId="2382" xr:uid="{00000000-0005-0000-0000-0000C9090000}"/>
    <cellStyle name="Normal 19 12 3" xfId="2383" xr:uid="{00000000-0005-0000-0000-0000CA090000}"/>
    <cellStyle name="Normal 19 13" xfId="2384" xr:uid="{00000000-0005-0000-0000-0000CB090000}"/>
    <cellStyle name="Normal 19 13 2" xfId="2385" xr:uid="{00000000-0005-0000-0000-0000CC090000}"/>
    <cellStyle name="Normal 19 13 2 2" xfId="2386" xr:uid="{00000000-0005-0000-0000-0000CD090000}"/>
    <cellStyle name="Normal 19 13 3" xfId="2387" xr:uid="{00000000-0005-0000-0000-0000CE090000}"/>
    <cellStyle name="Normal 19 14" xfId="2388" xr:uid="{00000000-0005-0000-0000-0000CF090000}"/>
    <cellStyle name="Normal 19 14 2" xfId="2389" xr:uid="{00000000-0005-0000-0000-0000D0090000}"/>
    <cellStyle name="Normal 19 14 2 2" xfId="2390" xr:uid="{00000000-0005-0000-0000-0000D1090000}"/>
    <cellStyle name="Normal 19 14 3" xfId="2391" xr:uid="{00000000-0005-0000-0000-0000D2090000}"/>
    <cellStyle name="Normal 19 15" xfId="2392" xr:uid="{00000000-0005-0000-0000-0000D3090000}"/>
    <cellStyle name="Normal 19 15 2" xfId="2393" xr:uid="{00000000-0005-0000-0000-0000D4090000}"/>
    <cellStyle name="Normal 19 15 2 2" xfId="2394" xr:uid="{00000000-0005-0000-0000-0000D5090000}"/>
    <cellStyle name="Normal 19 15 3" xfId="2395" xr:uid="{00000000-0005-0000-0000-0000D6090000}"/>
    <cellStyle name="Normal 19 16" xfId="2396" xr:uid="{00000000-0005-0000-0000-0000D7090000}"/>
    <cellStyle name="Normal 19 16 2" xfId="2397" xr:uid="{00000000-0005-0000-0000-0000D8090000}"/>
    <cellStyle name="Normal 19 17" xfId="2398" xr:uid="{00000000-0005-0000-0000-0000D9090000}"/>
    <cellStyle name="Normal 19 17 2" xfId="2399" xr:uid="{00000000-0005-0000-0000-0000DA090000}"/>
    <cellStyle name="Normal 19 18" xfId="2400" xr:uid="{00000000-0005-0000-0000-0000DB090000}"/>
    <cellStyle name="Normal 19 18 2" xfId="2401" xr:uid="{00000000-0005-0000-0000-0000DC090000}"/>
    <cellStyle name="Normal 19 19" xfId="2402" xr:uid="{00000000-0005-0000-0000-0000DD090000}"/>
    <cellStyle name="Normal 19 19 2" xfId="2403" xr:uid="{00000000-0005-0000-0000-0000DE090000}"/>
    <cellStyle name="Normal 19 2" xfId="2404" xr:uid="{00000000-0005-0000-0000-0000DF090000}"/>
    <cellStyle name="Normal 19 2 2" xfId="2405" xr:uid="{00000000-0005-0000-0000-0000E0090000}"/>
    <cellStyle name="Normal 19 2 2 2" xfId="2406" xr:uid="{00000000-0005-0000-0000-0000E1090000}"/>
    <cellStyle name="Normal 19 2 3" xfId="2407" xr:uid="{00000000-0005-0000-0000-0000E2090000}"/>
    <cellStyle name="Normal 19 20" xfId="2408" xr:uid="{00000000-0005-0000-0000-0000E3090000}"/>
    <cellStyle name="Normal 19 20 2" xfId="2409" xr:uid="{00000000-0005-0000-0000-0000E4090000}"/>
    <cellStyle name="Normal 19 21" xfId="2410" xr:uid="{00000000-0005-0000-0000-0000E5090000}"/>
    <cellStyle name="Normal 19 21 2" xfId="2411" xr:uid="{00000000-0005-0000-0000-0000E6090000}"/>
    <cellStyle name="Normal 19 22" xfId="2412" xr:uid="{00000000-0005-0000-0000-0000E7090000}"/>
    <cellStyle name="Normal 19 3" xfId="2413" xr:uid="{00000000-0005-0000-0000-0000E8090000}"/>
    <cellStyle name="Normal 19 3 2" xfId="2414" xr:uid="{00000000-0005-0000-0000-0000E9090000}"/>
    <cellStyle name="Normal 19 3 2 2" xfId="2415" xr:uid="{00000000-0005-0000-0000-0000EA090000}"/>
    <cellStyle name="Normal 19 3 3" xfId="2416" xr:uid="{00000000-0005-0000-0000-0000EB090000}"/>
    <cellStyle name="Normal 19 4" xfId="2417" xr:uid="{00000000-0005-0000-0000-0000EC090000}"/>
    <cellStyle name="Normal 19 4 2" xfId="2418" xr:uid="{00000000-0005-0000-0000-0000ED090000}"/>
    <cellStyle name="Normal 19 4 2 2" xfId="2419" xr:uid="{00000000-0005-0000-0000-0000EE090000}"/>
    <cellStyle name="Normal 19 4 3" xfId="2420" xr:uid="{00000000-0005-0000-0000-0000EF090000}"/>
    <cellStyle name="Normal 19 5" xfId="2421" xr:uid="{00000000-0005-0000-0000-0000F0090000}"/>
    <cellStyle name="Normal 19 5 2" xfId="2422" xr:uid="{00000000-0005-0000-0000-0000F1090000}"/>
    <cellStyle name="Normal 19 5 2 2" xfId="2423" xr:uid="{00000000-0005-0000-0000-0000F2090000}"/>
    <cellStyle name="Normal 19 5 3" xfId="2424" xr:uid="{00000000-0005-0000-0000-0000F3090000}"/>
    <cellStyle name="Normal 19 6" xfId="2425" xr:uid="{00000000-0005-0000-0000-0000F4090000}"/>
    <cellStyle name="Normal 19 6 2" xfId="2426" xr:uid="{00000000-0005-0000-0000-0000F5090000}"/>
    <cellStyle name="Normal 19 6 2 2" xfId="2427" xr:uid="{00000000-0005-0000-0000-0000F6090000}"/>
    <cellStyle name="Normal 19 6 3" xfId="2428" xr:uid="{00000000-0005-0000-0000-0000F7090000}"/>
    <cellStyle name="Normal 19 7" xfId="2429" xr:uid="{00000000-0005-0000-0000-0000F8090000}"/>
    <cellStyle name="Normal 19 7 2" xfId="2430" xr:uid="{00000000-0005-0000-0000-0000F9090000}"/>
    <cellStyle name="Normal 19 7 2 2" xfId="2431" xr:uid="{00000000-0005-0000-0000-0000FA090000}"/>
    <cellStyle name="Normal 19 7 3" xfId="2432" xr:uid="{00000000-0005-0000-0000-0000FB090000}"/>
    <cellStyle name="Normal 19 8" xfId="2433" xr:uid="{00000000-0005-0000-0000-0000FC090000}"/>
    <cellStyle name="Normal 19 8 2" xfId="2434" xr:uid="{00000000-0005-0000-0000-0000FD090000}"/>
    <cellStyle name="Normal 19 8 2 2" xfId="2435" xr:uid="{00000000-0005-0000-0000-0000FE090000}"/>
    <cellStyle name="Normal 19 8 3" xfId="2436" xr:uid="{00000000-0005-0000-0000-0000FF090000}"/>
    <cellStyle name="Normal 19 9" xfId="2437" xr:uid="{00000000-0005-0000-0000-0000000A0000}"/>
    <cellStyle name="Normal 19 9 2" xfId="2438" xr:uid="{00000000-0005-0000-0000-0000010A0000}"/>
    <cellStyle name="Normal 19 9 2 2" xfId="2439" xr:uid="{00000000-0005-0000-0000-0000020A0000}"/>
    <cellStyle name="Normal 19 9 3" xfId="2440" xr:uid="{00000000-0005-0000-0000-0000030A0000}"/>
    <cellStyle name="Normal 2" xfId="121" xr:uid="{00000000-0005-0000-0000-0000040A0000}"/>
    <cellStyle name="Normal 2 10" xfId="2441" xr:uid="{00000000-0005-0000-0000-0000050A0000}"/>
    <cellStyle name="Normal 2 10 2" xfId="2442" xr:uid="{00000000-0005-0000-0000-0000060A0000}"/>
    <cellStyle name="Normal 2 10 2 2" xfId="2443" xr:uid="{00000000-0005-0000-0000-0000070A0000}"/>
    <cellStyle name="Normal 2 10 3" xfId="2444" xr:uid="{00000000-0005-0000-0000-0000080A0000}"/>
    <cellStyle name="Normal 2 11" xfId="2445" xr:uid="{00000000-0005-0000-0000-0000090A0000}"/>
    <cellStyle name="Normal 2 11 2" xfId="2446" xr:uid="{00000000-0005-0000-0000-00000A0A0000}"/>
    <cellStyle name="Normal 2 11 2 2" xfId="2447" xr:uid="{00000000-0005-0000-0000-00000B0A0000}"/>
    <cellStyle name="Normal 2 11 3" xfId="2448" xr:uid="{00000000-0005-0000-0000-00000C0A0000}"/>
    <cellStyle name="Normal 2 12" xfId="2449" xr:uid="{00000000-0005-0000-0000-00000D0A0000}"/>
    <cellStyle name="Normal 2 12 2" xfId="2450" xr:uid="{00000000-0005-0000-0000-00000E0A0000}"/>
    <cellStyle name="Normal 2 12 2 2" xfId="2451" xr:uid="{00000000-0005-0000-0000-00000F0A0000}"/>
    <cellStyle name="Normal 2 12 3" xfId="2452" xr:uid="{00000000-0005-0000-0000-0000100A0000}"/>
    <cellStyle name="Normal 2 13" xfId="2453" xr:uid="{00000000-0005-0000-0000-0000110A0000}"/>
    <cellStyle name="Normal 2 13 2" xfId="2454" xr:uid="{00000000-0005-0000-0000-0000120A0000}"/>
    <cellStyle name="Normal 2 13 2 2" xfId="2455" xr:uid="{00000000-0005-0000-0000-0000130A0000}"/>
    <cellStyle name="Normal 2 13 3" xfId="2456" xr:uid="{00000000-0005-0000-0000-0000140A0000}"/>
    <cellStyle name="Normal 2 14" xfId="2457" xr:uid="{00000000-0005-0000-0000-0000150A0000}"/>
    <cellStyle name="Normal 2 14 2" xfId="2458" xr:uid="{00000000-0005-0000-0000-0000160A0000}"/>
    <cellStyle name="Normal 2 14 2 2" xfId="2459" xr:uid="{00000000-0005-0000-0000-0000170A0000}"/>
    <cellStyle name="Normal 2 14 3" xfId="2460" xr:uid="{00000000-0005-0000-0000-0000180A0000}"/>
    <cellStyle name="Normal 2 15" xfId="2461" xr:uid="{00000000-0005-0000-0000-0000190A0000}"/>
    <cellStyle name="Normal 2 15 2" xfId="2462" xr:uid="{00000000-0005-0000-0000-00001A0A0000}"/>
    <cellStyle name="Normal 2 15 2 2" xfId="2463" xr:uid="{00000000-0005-0000-0000-00001B0A0000}"/>
    <cellStyle name="Normal 2 15 3" xfId="2464" xr:uid="{00000000-0005-0000-0000-00001C0A0000}"/>
    <cellStyle name="Normal 2 16" xfId="2465" xr:uid="{00000000-0005-0000-0000-00001D0A0000}"/>
    <cellStyle name="Normal 2 16 2" xfId="2466" xr:uid="{00000000-0005-0000-0000-00001E0A0000}"/>
    <cellStyle name="Normal 2 17" xfId="2467" xr:uid="{00000000-0005-0000-0000-00001F0A0000}"/>
    <cellStyle name="Normal 2 17 2" xfId="2468" xr:uid="{00000000-0005-0000-0000-0000200A0000}"/>
    <cellStyle name="Normal 2 18" xfId="2469" xr:uid="{00000000-0005-0000-0000-0000210A0000}"/>
    <cellStyle name="Normal 2 18 2" xfId="2470" xr:uid="{00000000-0005-0000-0000-0000220A0000}"/>
    <cellStyle name="Normal 2 19" xfId="2471" xr:uid="{00000000-0005-0000-0000-0000230A0000}"/>
    <cellStyle name="Normal 2 19 2" xfId="2472" xr:uid="{00000000-0005-0000-0000-0000240A0000}"/>
    <cellStyle name="Normal 2 19 2 2" xfId="2473" xr:uid="{00000000-0005-0000-0000-0000250A0000}"/>
    <cellStyle name="Normal 2 19 2 2 2" xfId="5063" xr:uid="{858EBCEF-87A7-4762-9D17-D9B34ED4C914}"/>
    <cellStyle name="Normal 2 19 2 3" xfId="5062" xr:uid="{56791E47-9F36-4913-97AA-DF38A755061F}"/>
    <cellStyle name="Normal 2 19 3" xfId="2474" xr:uid="{00000000-0005-0000-0000-0000260A0000}"/>
    <cellStyle name="Normal 2 19 3 2" xfId="5064" xr:uid="{A8B056BD-C9AE-473B-8DC5-3688C11DCF39}"/>
    <cellStyle name="Normal 2 19 4" xfId="5061" xr:uid="{17A17744-AC2B-492C-A1C9-83E9D73E4432}"/>
    <cellStyle name="Normal 2 2" xfId="122" xr:uid="{00000000-0005-0000-0000-0000270A0000}"/>
    <cellStyle name="Normal 2 2 10" xfId="2475" xr:uid="{00000000-0005-0000-0000-0000280A0000}"/>
    <cellStyle name="Normal 2 2 2" xfId="2476" xr:uid="{00000000-0005-0000-0000-0000290A0000}"/>
    <cellStyle name="Normal 2 2 2 2" xfId="2477" xr:uid="{00000000-0005-0000-0000-00002A0A0000}"/>
    <cellStyle name="Normal 2 2 3" xfId="2478" xr:uid="{00000000-0005-0000-0000-00002B0A0000}"/>
    <cellStyle name="Normal 2 2 3 2" xfId="2479" xr:uid="{00000000-0005-0000-0000-00002C0A0000}"/>
    <cellStyle name="Normal 2 2 4" xfId="2480" xr:uid="{00000000-0005-0000-0000-00002D0A0000}"/>
    <cellStyle name="Normal 2 2 4 2" xfId="2481" xr:uid="{00000000-0005-0000-0000-00002E0A0000}"/>
    <cellStyle name="Normal 2 2 5" xfId="2482" xr:uid="{00000000-0005-0000-0000-00002F0A0000}"/>
    <cellStyle name="Normal 2 2 5 2" xfId="2483" xr:uid="{00000000-0005-0000-0000-0000300A0000}"/>
    <cellStyle name="Normal 2 2 6" xfId="2484" xr:uid="{00000000-0005-0000-0000-0000310A0000}"/>
    <cellStyle name="Normal 2 2 6 2" xfId="2485" xr:uid="{00000000-0005-0000-0000-0000320A0000}"/>
    <cellStyle name="Normal 2 2 7" xfId="2486" xr:uid="{00000000-0005-0000-0000-0000330A0000}"/>
    <cellStyle name="Normal 2 2 7 2" xfId="2487" xr:uid="{00000000-0005-0000-0000-0000340A0000}"/>
    <cellStyle name="Normal 2 2 8" xfId="2488" xr:uid="{00000000-0005-0000-0000-0000350A0000}"/>
    <cellStyle name="Normal 2 2 8 2" xfId="2489" xr:uid="{00000000-0005-0000-0000-0000360A0000}"/>
    <cellStyle name="Normal 2 2 9" xfId="2490" xr:uid="{00000000-0005-0000-0000-0000370A0000}"/>
    <cellStyle name="Normal 2 20" xfId="2491" xr:uid="{00000000-0005-0000-0000-0000380A0000}"/>
    <cellStyle name="Normal 2 21" xfId="2492" xr:uid="{00000000-0005-0000-0000-0000390A0000}"/>
    <cellStyle name="Normal 2 22" xfId="2493" xr:uid="{00000000-0005-0000-0000-00003A0A0000}"/>
    <cellStyle name="Normal 2 23" xfId="4698" xr:uid="{6D9FFB6E-ADA0-49EE-ADE4-D5FCF1067DFF}"/>
    <cellStyle name="Normal 2 3" xfId="2494" xr:uid="{00000000-0005-0000-0000-00003B0A0000}"/>
    <cellStyle name="Normal 2 3 2" xfId="2495" xr:uid="{00000000-0005-0000-0000-00003C0A0000}"/>
    <cellStyle name="Normal 2 3 2 2" xfId="2496" xr:uid="{00000000-0005-0000-0000-00003D0A0000}"/>
    <cellStyle name="Normal 2 3 3" xfId="2497" xr:uid="{00000000-0005-0000-0000-00003E0A0000}"/>
    <cellStyle name="Normal 2 4" xfId="2498" xr:uid="{00000000-0005-0000-0000-00003F0A0000}"/>
    <cellStyle name="Normal 2 4 2" xfId="2499" xr:uid="{00000000-0005-0000-0000-0000400A0000}"/>
    <cellStyle name="Normal 2 4 2 2" xfId="2500" xr:uid="{00000000-0005-0000-0000-0000410A0000}"/>
    <cellStyle name="Normal 2 4 3" xfId="2501" xr:uid="{00000000-0005-0000-0000-0000420A0000}"/>
    <cellStyle name="Normal 2 5" xfId="2502" xr:uid="{00000000-0005-0000-0000-0000430A0000}"/>
    <cellStyle name="Normal 2 5 2" xfId="2503" xr:uid="{00000000-0005-0000-0000-0000440A0000}"/>
    <cellStyle name="Normal 2 5 2 2" xfId="2504" xr:uid="{00000000-0005-0000-0000-0000450A0000}"/>
    <cellStyle name="Normal 2 5 3" xfId="2505" xr:uid="{00000000-0005-0000-0000-0000460A0000}"/>
    <cellStyle name="Normal 2 6" xfId="2506" xr:uid="{00000000-0005-0000-0000-0000470A0000}"/>
    <cellStyle name="Normal 2 6 2" xfId="2507" xr:uid="{00000000-0005-0000-0000-0000480A0000}"/>
    <cellStyle name="Normal 2 6 2 2" xfId="2508" xr:uid="{00000000-0005-0000-0000-0000490A0000}"/>
    <cellStyle name="Normal 2 6 3" xfId="2509" xr:uid="{00000000-0005-0000-0000-00004A0A0000}"/>
    <cellStyle name="Normal 2 7" xfId="2510" xr:uid="{00000000-0005-0000-0000-00004B0A0000}"/>
    <cellStyle name="Normal 2 7 2" xfId="2511" xr:uid="{00000000-0005-0000-0000-00004C0A0000}"/>
    <cellStyle name="Normal 2 7 2 2" xfId="2512" xr:uid="{00000000-0005-0000-0000-00004D0A0000}"/>
    <cellStyle name="Normal 2 7 3" xfId="2513" xr:uid="{00000000-0005-0000-0000-00004E0A0000}"/>
    <cellStyle name="Normal 2 8" xfId="2514" xr:uid="{00000000-0005-0000-0000-00004F0A0000}"/>
    <cellStyle name="Normal 2 8 2" xfId="2515" xr:uid="{00000000-0005-0000-0000-0000500A0000}"/>
    <cellStyle name="Normal 2 8 2 2" xfId="2516" xr:uid="{00000000-0005-0000-0000-0000510A0000}"/>
    <cellStyle name="Normal 2 8 3" xfId="2517" xr:uid="{00000000-0005-0000-0000-0000520A0000}"/>
    <cellStyle name="Normal 2 9" xfId="2518" xr:uid="{00000000-0005-0000-0000-0000530A0000}"/>
    <cellStyle name="Normal 2 9 2" xfId="2519" xr:uid="{00000000-0005-0000-0000-0000540A0000}"/>
    <cellStyle name="Normal 2 9 2 2" xfId="2520" xr:uid="{00000000-0005-0000-0000-0000550A0000}"/>
    <cellStyle name="Normal 2 9 3" xfId="2521" xr:uid="{00000000-0005-0000-0000-0000560A0000}"/>
    <cellStyle name="Normal 20" xfId="2522" xr:uid="{00000000-0005-0000-0000-0000570A0000}"/>
    <cellStyle name="Normal 20 10" xfId="2523" xr:uid="{00000000-0005-0000-0000-0000580A0000}"/>
    <cellStyle name="Normal 20 10 2" xfId="2524" xr:uid="{00000000-0005-0000-0000-0000590A0000}"/>
    <cellStyle name="Normal 20 10 2 2" xfId="2525" xr:uid="{00000000-0005-0000-0000-00005A0A0000}"/>
    <cellStyle name="Normal 20 10 3" xfId="2526" xr:uid="{00000000-0005-0000-0000-00005B0A0000}"/>
    <cellStyle name="Normal 20 10 3 2" xfId="2527" xr:uid="{00000000-0005-0000-0000-00005C0A0000}"/>
    <cellStyle name="Normal 20 10 4" xfId="2528" xr:uid="{00000000-0005-0000-0000-00005D0A0000}"/>
    <cellStyle name="Normal 20 11" xfId="2529" xr:uid="{00000000-0005-0000-0000-00005E0A0000}"/>
    <cellStyle name="Normal 20 11 2" xfId="2530" xr:uid="{00000000-0005-0000-0000-00005F0A0000}"/>
    <cellStyle name="Normal 20 11 2 2" xfId="2531" xr:uid="{00000000-0005-0000-0000-0000600A0000}"/>
    <cellStyle name="Normal 20 11 3" xfId="2532" xr:uid="{00000000-0005-0000-0000-0000610A0000}"/>
    <cellStyle name="Normal 20 12" xfId="2533" xr:uid="{00000000-0005-0000-0000-0000620A0000}"/>
    <cellStyle name="Normal 20 12 2" xfId="2534" xr:uid="{00000000-0005-0000-0000-0000630A0000}"/>
    <cellStyle name="Normal 20 12 2 2" xfId="2535" xr:uid="{00000000-0005-0000-0000-0000640A0000}"/>
    <cellStyle name="Normal 20 12 3" xfId="2536" xr:uid="{00000000-0005-0000-0000-0000650A0000}"/>
    <cellStyle name="Normal 20 13" xfId="2537" xr:uid="{00000000-0005-0000-0000-0000660A0000}"/>
    <cellStyle name="Normal 20 13 2" xfId="2538" xr:uid="{00000000-0005-0000-0000-0000670A0000}"/>
    <cellStyle name="Normal 20 13 2 2" xfId="2539" xr:uid="{00000000-0005-0000-0000-0000680A0000}"/>
    <cellStyle name="Normal 20 13 3" xfId="2540" xr:uid="{00000000-0005-0000-0000-0000690A0000}"/>
    <cellStyle name="Normal 20 14" xfId="2541" xr:uid="{00000000-0005-0000-0000-00006A0A0000}"/>
    <cellStyle name="Normal 20 14 2" xfId="2542" xr:uid="{00000000-0005-0000-0000-00006B0A0000}"/>
    <cellStyle name="Normal 20 14 2 2" xfId="2543" xr:uid="{00000000-0005-0000-0000-00006C0A0000}"/>
    <cellStyle name="Normal 20 14 3" xfId="2544" xr:uid="{00000000-0005-0000-0000-00006D0A0000}"/>
    <cellStyle name="Normal 20 15" xfId="2545" xr:uid="{00000000-0005-0000-0000-00006E0A0000}"/>
    <cellStyle name="Normal 20 15 2" xfId="2546" xr:uid="{00000000-0005-0000-0000-00006F0A0000}"/>
    <cellStyle name="Normal 20 15 2 2" xfId="2547" xr:uid="{00000000-0005-0000-0000-0000700A0000}"/>
    <cellStyle name="Normal 20 15 3" xfId="2548" xr:uid="{00000000-0005-0000-0000-0000710A0000}"/>
    <cellStyle name="Normal 20 16" xfId="2549" xr:uid="{00000000-0005-0000-0000-0000720A0000}"/>
    <cellStyle name="Normal 20 16 2" xfId="2550" xr:uid="{00000000-0005-0000-0000-0000730A0000}"/>
    <cellStyle name="Normal 20 17" xfId="2551" xr:uid="{00000000-0005-0000-0000-0000740A0000}"/>
    <cellStyle name="Normal 20 17 2" xfId="2552" xr:uid="{00000000-0005-0000-0000-0000750A0000}"/>
    <cellStyle name="Normal 20 18" xfId="2553" xr:uid="{00000000-0005-0000-0000-0000760A0000}"/>
    <cellStyle name="Normal 20 18 2" xfId="2554" xr:uid="{00000000-0005-0000-0000-0000770A0000}"/>
    <cellStyle name="Normal 20 19" xfId="2555" xr:uid="{00000000-0005-0000-0000-0000780A0000}"/>
    <cellStyle name="Normal 20 19 2" xfId="2556" xr:uid="{00000000-0005-0000-0000-0000790A0000}"/>
    <cellStyle name="Normal 20 2" xfId="2557" xr:uid="{00000000-0005-0000-0000-00007A0A0000}"/>
    <cellStyle name="Normal 20 2 2" xfId="2558" xr:uid="{00000000-0005-0000-0000-00007B0A0000}"/>
    <cellStyle name="Normal 20 2 2 2" xfId="2559" xr:uid="{00000000-0005-0000-0000-00007C0A0000}"/>
    <cellStyle name="Normal 20 2 3" xfId="2560" xr:uid="{00000000-0005-0000-0000-00007D0A0000}"/>
    <cellStyle name="Normal 20 20" xfId="2561" xr:uid="{00000000-0005-0000-0000-00007E0A0000}"/>
    <cellStyle name="Normal 20 20 2" xfId="2562" xr:uid="{00000000-0005-0000-0000-00007F0A0000}"/>
    <cellStyle name="Normal 20 21" xfId="2563" xr:uid="{00000000-0005-0000-0000-0000800A0000}"/>
    <cellStyle name="Normal 20 3" xfId="2564" xr:uid="{00000000-0005-0000-0000-0000810A0000}"/>
    <cellStyle name="Normal 20 3 2" xfId="2565" xr:uid="{00000000-0005-0000-0000-0000820A0000}"/>
    <cellStyle name="Normal 20 3 2 2" xfId="2566" xr:uid="{00000000-0005-0000-0000-0000830A0000}"/>
    <cellStyle name="Normal 20 3 3" xfId="2567" xr:uid="{00000000-0005-0000-0000-0000840A0000}"/>
    <cellStyle name="Normal 20 4" xfId="2568" xr:uid="{00000000-0005-0000-0000-0000850A0000}"/>
    <cellStyle name="Normal 20 4 2" xfId="2569" xr:uid="{00000000-0005-0000-0000-0000860A0000}"/>
    <cellStyle name="Normal 20 4 2 2" xfId="2570" xr:uid="{00000000-0005-0000-0000-0000870A0000}"/>
    <cellStyle name="Normal 20 4 3" xfId="2571" xr:uid="{00000000-0005-0000-0000-0000880A0000}"/>
    <cellStyle name="Normal 20 5" xfId="2572" xr:uid="{00000000-0005-0000-0000-0000890A0000}"/>
    <cellStyle name="Normal 20 5 2" xfId="2573" xr:uid="{00000000-0005-0000-0000-00008A0A0000}"/>
    <cellStyle name="Normal 20 5 2 2" xfId="2574" xr:uid="{00000000-0005-0000-0000-00008B0A0000}"/>
    <cellStyle name="Normal 20 5 3" xfId="2575" xr:uid="{00000000-0005-0000-0000-00008C0A0000}"/>
    <cellStyle name="Normal 20 6" xfId="2576" xr:uid="{00000000-0005-0000-0000-00008D0A0000}"/>
    <cellStyle name="Normal 20 6 2" xfId="2577" xr:uid="{00000000-0005-0000-0000-00008E0A0000}"/>
    <cellStyle name="Normal 20 6 2 2" xfId="2578" xr:uid="{00000000-0005-0000-0000-00008F0A0000}"/>
    <cellStyle name="Normal 20 6 3" xfId="2579" xr:uid="{00000000-0005-0000-0000-0000900A0000}"/>
    <cellStyle name="Normal 20 7" xfId="2580" xr:uid="{00000000-0005-0000-0000-0000910A0000}"/>
    <cellStyle name="Normal 20 7 2" xfId="2581" xr:uid="{00000000-0005-0000-0000-0000920A0000}"/>
    <cellStyle name="Normal 20 7 2 2" xfId="2582" xr:uid="{00000000-0005-0000-0000-0000930A0000}"/>
    <cellStyle name="Normal 20 7 3" xfId="2583" xr:uid="{00000000-0005-0000-0000-0000940A0000}"/>
    <cellStyle name="Normal 20 8" xfId="2584" xr:uid="{00000000-0005-0000-0000-0000950A0000}"/>
    <cellStyle name="Normal 20 8 2" xfId="2585" xr:uid="{00000000-0005-0000-0000-0000960A0000}"/>
    <cellStyle name="Normal 20 8 2 2" xfId="2586" xr:uid="{00000000-0005-0000-0000-0000970A0000}"/>
    <cellStyle name="Normal 20 8 3" xfId="2587" xr:uid="{00000000-0005-0000-0000-0000980A0000}"/>
    <cellStyle name="Normal 20 9" xfId="2588" xr:uid="{00000000-0005-0000-0000-0000990A0000}"/>
    <cellStyle name="Normal 20 9 2" xfId="2589" xr:uid="{00000000-0005-0000-0000-00009A0A0000}"/>
    <cellStyle name="Normal 20 9 2 2" xfId="2590" xr:uid="{00000000-0005-0000-0000-00009B0A0000}"/>
    <cellStyle name="Normal 20 9 3" xfId="2591" xr:uid="{00000000-0005-0000-0000-00009C0A0000}"/>
    <cellStyle name="Normal 21" xfId="2592" xr:uid="{00000000-0005-0000-0000-00009D0A0000}"/>
    <cellStyle name="Normal 21 10" xfId="2593" xr:uid="{00000000-0005-0000-0000-00009E0A0000}"/>
    <cellStyle name="Normal 21 10 2" xfId="2594" xr:uid="{00000000-0005-0000-0000-00009F0A0000}"/>
    <cellStyle name="Normal 21 10 2 2" xfId="2595" xr:uid="{00000000-0005-0000-0000-0000A00A0000}"/>
    <cellStyle name="Normal 21 10 3" xfId="2596" xr:uid="{00000000-0005-0000-0000-0000A10A0000}"/>
    <cellStyle name="Normal 21 11" xfId="2597" xr:uid="{00000000-0005-0000-0000-0000A20A0000}"/>
    <cellStyle name="Normal 21 11 2" xfId="2598" xr:uid="{00000000-0005-0000-0000-0000A30A0000}"/>
    <cellStyle name="Normal 21 11 2 2" xfId="2599" xr:uid="{00000000-0005-0000-0000-0000A40A0000}"/>
    <cellStyle name="Normal 21 11 3" xfId="2600" xr:uid="{00000000-0005-0000-0000-0000A50A0000}"/>
    <cellStyle name="Normal 21 12" xfId="2601" xr:uid="{00000000-0005-0000-0000-0000A60A0000}"/>
    <cellStyle name="Normal 21 12 2" xfId="2602" xr:uid="{00000000-0005-0000-0000-0000A70A0000}"/>
    <cellStyle name="Normal 21 12 2 2" xfId="2603" xr:uid="{00000000-0005-0000-0000-0000A80A0000}"/>
    <cellStyle name="Normal 21 12 3" xfId="2604" xr:uid="{00000000-0005-0000-0000-0000A90A0000}"/>
    <cellStyle name="Normal 21 13" xfId="2605" xr:uid="{00000000-0005-0000-0000-0000AA0A0000}"/>
    <cellStyle name="Normal 21 13 2" xfId="2606" xr:uid="{00000000-0005-0000-0000-0000AB0A0000}"/>
    <cellStyle name="Normal 21 13 2 2" xfId="2607" xr:uid="{00000000-0005-0000-0000-0000AC0A0000}"/>
    <cellStyle name="Normal 21 13 3" xfId="2608" xr:uid="{00000000-0005-0000-0000-0000AD0A0000}"/>
    <cellStyle name="Normal 21 14" xfId="2609" xr:uid="{00000000-0005-0000-0000-0000AE0A0000}"/>
    <cellStyle name="Normal 21 14 2" xfId="2610" xr:uid="{00000000-0005-0000-0000-0000AF0A0000}"/>
    <cellStyle name="Normal 21 14 2 2" xfId="2611" xr:uid="{00000000-0005-0000-0000-0000B00A0000}"/>
    <cellStyle name="Normal 21 14 3" xfId="2612" xr:uid="{00000000-0005-0000-0000-0000B10A0000}"/>
    <cellStyle name="Normal 21 15" xfId="2613" xr:uid="{00000000-0005-0000-0000-0000B20A0000}"/>
    <cellStyle name="Normal 21 15 2" xfId="2614" xr:uid="{00000000-0005-0000-0000-0000B30A0000}"/>
    <cellStyle name="Normal 21 15 2 2" xfId="2615" xr:uid="{00000000-0005-0000-0000-0000B40A0000}"/>
    <cellStyle name="Normal 21 15 3" xfId="2616" xr:uid="{00000000-0005-0000-0000-0000B50A0000}"/>
    <cellStyle name="Normal 21 16" xfId="2617" xr:uid="{00000000-0005-0000-0000-0000B60A0000}"/>
    <cellStyle name="Normal 21 16 2" xfId="2618" xr:uid="{00000000-0005-0000-0000-0000B70A0000}"/>
    <cellStyle name="Normal 21 17" xfId="2619" xr:uid="{00000000-0005-0000-0000-0000B80A0000}"/>
    <cellStyle name="Normal 21 2" xfId="2620" xr:uid="{00000000-0005-0000-0000-0000B90A0000}"/>
    <cellStyle name="Normal 21 2 2" xfId="2621" xr:uid="{00000000-0005-0000-0000-0000BA0A0000}"/>
    <cellStyle name="Normal 21 2 2 2" xfId="2622" xr:uid="{00000000-0005-0000-0000-0000BB0A0000}"/>
    <cellStyle name="Normal 21 2 3" xfId="2623" xr:uid="{00000000-0005-0000-0000-0000BC0A0000}"/>
    <cellStyle name="Normal 21 3" xfId="2624" xr:uid="{00000000-0005-0000-0000-0000BD0A0000}"/>
    <cellStyle name="Normal 21 3 2" xfId="2625" xr:uid="{00000000-0005-0000-0000-0000BE0A0000}"/>
    <cellStyle name="Normal 21 3 2 2" xfId="2626" xr:uid="{00000000-0005-0000-0000-0000BF0A0000}"/>
    <cellStyle name="Normal 21 3 3" xfId="2627" xr:uid="{00000000-0005-0000-0000-0000C00A0000}"/>
    <cellStyle name="Normal 21 4" xfId="2628" xr:uid="{00000000-0005-0000-0000-0000C10A0000}"/>
    <cellStyle name="Normal 21 4 2" xfId="2629" xr:uid="{00000000-0005-0000-0000-0000C20A0000}"/>
    <cellStyle name="Normal 21 4 2 2" xfId="2630" xr:uid="{00000000-0005-0000-0000-0000C30A0000}"/>
    <cellStyle name="Normal 21 4 3" xfId="2631" xr:uid="{00000000-0005-0000-0000-0000C40A0000}"/>
    <cellStyle name="Normal 21 5" xfId="2632" xr:uid="{00000000-0005-0000-0000-0000C50A0000}"/>
    <cellStyle name="Normal 21 5 2" xfId="2633" xr:uid="{00000000-0005-0000-0000-0000C60A0000}"/>
    <cellStyle name="Normal 21 5 2 2" xfId="2634" xr:uid="{00000000-0005-0000-0000-0000C70A0000}"/>
    <cellStyle name="Normal 21 5 3" xfId="2635" xr:uid="{00000000-0005-0000-0000-0000C80A0000}"/>
    <cellStyle name="Normal 21 6" xfId="2636" xr:uid="{00000000-0005-0000-0000-0000C90A0000}"/>
    <cellStyle name="Normal 21 6 2" xfId="2637" xr:uid="{00000000-0005-0000-0000-0000CA0A0000}"/>
    <cellStyle name="Normal 21 6 2 2" xfId="2638" xr:uid="{00000000-0005-0000-0000-0000CB0A0000}"/>
    <cellStyle name="Normal 21 6 3" xfId="2639" xr:uid="{00000000-0005-0000-0000-0000CC0A0000}"/>
    <cellStyle name="Normal 21 7" xfId="2640" xr:uid="{00000000-0005-0000-0000-0000CD0A0000}"/>
    <cellStyle name="Normal 21 7 2" xfId="2641" xr:uid="{00000000-0005-0000-0000-0000CE0A0000}"/>
    <cellStyle name="Normal 21 7 2 2" xfId="2642" xr:uid="{00000000-0005-0000-0000-0000CF0A0000}"/>
    <cellStyle name="Normal 21 7 3" xfId="2643" xr:uid="{00000000-0005-0000-0000-0000D00A0000}"/>
    <cellStyle name="Normal 21 8" xfId="2644" xr:uid="{00000000-0005-0000-0000-0000D10A0000}"/>
    <cellStyle name="Normal 21 8 2" xfId="2645" xr:uid="{00000000-0005-0000-0000-0000D20A0000}"/>
    <cellStyle name="Normal 21 8 2 2" xfId="2646" xr:uid="{00000000-0005-0000-0000-0000D30A0000}"/>
    <cellStyle name="Normal 21 8 3" xfId="2647" xr:uid="{00000000-0005-0000-0000-0000D40A0000}"/>
    <cellStyle name="Normal 21 9" xfId="2648" xr:uid="{00000000-0005-0000-0000-0000D50A0000}"/>
    <cellStyle name="Normal 21 9 2" xfId="2649" xr:uid="{00000000-0005-0000-0000-0000D60A0000}"/>
    <cellStyle name="Normal 21 9 2 2" xfId="2650" xr:uid="{00000000-0005-0000-0000-0000D70A0000}"/>
    <cellStyle name="Normal 21 9 3" xfId="2651" xr:uid="{00000000-0005-0000-0000-0000D80A0000}"/>
    <cellStyle name="Normal 22" xfId="2652" xr:uid="{00000000-0005-0000-0000-0000D90A0000}"/>
    <cellStyle name="Normal 22 10" xfId="2653" xr:uid="{00000000-0005-0000-0000-0000DA0A0000}"/>
    <cellStyle name="Normal 22 10 2" xfId="2654" xr:uid="{00000000-0005-0000-0000-0000DB0A0000}"/>
    <cellStyle name="Normal 22 10 2 2" xfId="2655" xr:uid="{00000000-0005-0000-0000-0000DC0A0000}"/>
    <cellStyle name="Normal 22 10 3" xfId="2656" xr:uid="{00000000-0005-0000-0000-0000DD0A0000}"/>
    <cellStyle name="Normal 22 11" xfId="2657" xr:uid="{00000000-0005-0000-0000-0000DE0A0000}"/>
    <cellStyle name="Normal 22 11 2" xfId="2658" xr:uid="{00000000-0005-0000-0000-0000DF0A0000}"/>
    <cellStyle name="Normal 22 11 2 2" xfId="2659" xr:uid="{00000000-0005-0000-0000-0000E00A0000}"/>
    <cellStyle name="Normal 22 11 3" xfId="2660" xr:uid="{00000000-0005-0000-0000-0000E10A0000}"/>
    <cellStyle name="Normal 22 12" xfId="2661" xr:uid="{00000000-0005-0000-0000-0000E20A0000}"/>
    <cellStyle name="Normal 22 12 2" xfId="2662" xr:uid="{00000000-0005-0000-0000-0000E30A0000}"/>
    <cellStyle name="Normal 22 12 2 2" xfId="2663" xr:uid="{00000000-0005-0000-0000-0000E40A0000}"/>
    <cellStyle name="Normal 22 12 3" xfId="2664" xr:uid="{00000000-0005-0000-0000-0000E50A0000}"/>
    <cellStyle name="Normal 22 13" xfId="2665" xr:uid="{00000000-0005-0000-0000-0000E60A0000}"/>
    <cellStyle name="Normal 22 13 2" xfId="2666" xr:uid="{00000000-0005-0000-0000-0000E70A0000}"/>
    <cellStyle name="Normal 22 13 2 2" xfId="2667" xr:uid="{00000000-0005-0000-0000-0000E80A0000}"/>
    <cellStyle name="Normal 22 13 3" xfId="2668" xr:uid="{00000000-0005-0000-0000-0000E90A0000}"/>
    <cellStyle name="Normal 22 14" xfId="2669" xr:uid="{00000000-0005-0000-0000-0000EA0A0000}"/>
    <cellStyle name="Normal 22 14 2" xfId="2670" xr:uid="{00000000-0005-0000-0000-0000EB0A0000}"/>
    <cellStyle name="Normal 22 14 2 2" xfId="2671" xr:uid="{00000000-0005-0000-0000-0000EC0A0000}"/>
    <cellStyle name="Normal 22 14 3" xfId="2672" xr:uid="{00000000-0005-0000-0000-0000ED0A0000}"/>
    <cellStyle name="Normal 22 15" xfId="2673" xr:uid="{00000000-0005-0000-0000-0000EE0A0000}"/>
    <cellStyle name="Normal 22 15 2" xfId="2674" xr:uid="{00000000-0005-0000-0000-0000EF0A0000}"/>
    <cellStyle name="Normal 22 15 2 2" xfId="2675" xr:uid="{00000000-0005-0000-0000-0000F00A0000}"/>
    <cellStyle name="Normal 22 15 3" xfId="2676" xr:uid="{00000000-0005-0000-0000-0000F10A0000}"/>
    <cellStyle name="Normal 22 16" xfId="2677" xr:uid="{00000000-0005-0000-0000-0000F20A0000}"/>
    <cellStyle name="Normal 22 16 2" xfId="2678" xr:uid="{00000000-0005-0000-0000-0000F30A0000}"/>
    <cellStyle name="Normal 22 17" xfId="2679" xr:uid="{00000000-0005-0000-0000-0000F40A0000}"/>
    <cellStyle name="Normal 22 2" xfId="2680" xr:uid="{00000000-0005-0000-0000-0000F50A0000}"/>
    <cellStyle name="Normal 22 2 2" xfId="2681" xr:uid="{00000000-0005-0000-0000-0000F60A0000}"/>
    <cellStyle name="Normal 22 2 2 2" xfId="2682" xr:uid="{00000000-0005-0000-0000-0000F70A0000}"/>
    <cellStyle name="Normal 22 2 3" xfId="2683" xr:uid="{00000000-0005-0000-0000-0000F80A0000}"/>
    <cellStyle name="Normal 22 3" xfId="2684" xr:uid="{00000000-0005-0000-0000-0000F90A0000}"/>
    <cellStyle name="Normal 22 3 2" xfId="2685" xr:uid="{00000000-0005-0000-0000-0000FA0A0000}"/>
    <cellStyle name="Normal 22 3 2 2" xfId="2686" xr:uid="{00000000-0005-0000-0000-0000FB0A0000}"/>
    <cellStyle name="Normal 22 3 3" xfId="2687" xr:uid="{00000000-0005-0000-0000-0000FC0A0000}"/>
    <cellStyle name="Normal 22 4" xfId="2688" xr:uid="{00000000-0005-0000-0000-0000FD0A0000}"/>
    <cellStyle name="Normal 22 4 2" xfId="2689" xr:uid="{00000000-0005-0000-0000-0000FE0A0000}"/>
    <cellStyle name="Normal 22 4 2 2" xfId="2690" xr:uid="{00000000-0005-0000-0000-0000FF0A0000}"/>
    <cellStyle name="Normal 22 4 3" xfId="2691" xr:uid="{00000000-0005-0000-0000-0000000B0000}"/>
    <cellStyle name="Normal 22 5" xfId="2692" xr:uid="{00000000-0005-0000-0000-0000010B0000}"/>
    <cellStyle name="Normal 22 5 2" xfId="2693" xr:uid="{00000000-0005-0000-0000-0000020B0000}"/>
    <cellStyle name="Normal 22 5 2 2" xfId="2694" xr:uid="{00000000-0005-0000-0000-0000030B0000}"/>
    <cellStyle name="Normal 22 5 3" xfId="2695" xr:uid="{00000000-0005-0000-0000-0000040B0000}"/>
    <cellStyle name="Normal 22 6" xfId="2696" xr:uid="{00000000-0005-0000-0000-0000050B0000}"/>
    <cellStyle name="Normal 22 6 2" xfId="2697" xr:uid="{00000000-0005-0000-0000-0000060B0000}"/>
    <cellStyle name="Normal 22 6 2 2" xfId="2698" xr:uid="{00000000-0005-0000-0000-0000070B0000}"/>
    <cellStyle name="Normal 22 6 3" xfId="2699" xr:uid="{00000000-0005-0000-0000-0000080B0000}"/>
    <cellStyle name="Normal 22 7" xfId="2700" xr:uid="{00000000-0005-0000-0000-0000090B0000}"/>
    <cellStyle name="Normal 22 7 2" xfId="2701" xr:uid="{00000000-0005-0000-0000-00000A0B0000}"/>
    <cellStyle name="Normal 22 7 2 2" xfId="2702" xr:uid="{00000000-0005-0000-0000-00000B0B0000}"/>
    <cellStyle name="Normal 22 7 3" xfId="2703" xr:uid="{00000000-0005-0000-0000-00000C0B0000}"/>
    <cellStyle name="Normal 22 8" xfId="2704" xr:uid="{00000000-0005-0000-0000-00000D0B0000}"/>
    <cellStyle name="Normal 22 8 2" xfId="2705" xr:uid="{00000000-0005-0000-0000-00000E0B0000}"/>
    <cellStyle name="Normal 22 8 2 2" xfId="2706" xr:uid="{00000000-0005-0000-0000-00000F0B0000}"/>
    <cellStyle name="Normal 22 8 3" xfId="2707" xr:uid="{00000000-0005-0000-0000-0000100B0000}"/>
    <cellStyle name="Normal 22 9" xfId="2708" xr:uid="{00000000-0005-0000-0000-0000110B0000}"/>
    <cellStyle name="Normal 22 9 2" xfId="2709" xr:uid="{00000000-0005-0000-0000-0000120B0000}"/>
    <cellStyle name="Normal 22 9 2 2" xfId="2710" xr:uid="{00000000-0005-0000-0000-0000130B0000}"/>
    <cellStyle name="Normal 22 9 3" xfId="2711" xr:uid="{00000000-0005-0000-0000-0000140B0000}"/>
    <cellStyle name="Normal 23" xfId="2712" xr:uid="{00000000-0005-0000-0000-0000150B0000}"/>
    <cellStyle name="Normal 23 10" xfId="2713" xr:uid="{00000000-0005-0000-0000-0000160B0000}"/>
    <cellStyle name="Normal 23 10 2" xfId="2714" xr:uid="{00000000-0005-0000-0000-0000170B0000}"/>
    <cellStyle name="Normal 23 10 2 2" xfId="2715" xr:uid="{00000000-0005-0000-0000-0000180B0000}"/>
    <cellStyle name="Normal 23 10 3" xfId="2716" xr:uid="{00000000-0005-0000-0000-0000190B0000}"/>
    <cellStyle name="Normal 23 11" xfId="2717" xr:uid="{00000000-0005-0000-0000-00001A0B0000}"/>
    <cellStyle name="Normal 23 11 2" xfId="2718" xr:uid="{00000000-0005-0000-0000-00001B0B0000}"/>
    <cellStyle name="Normal 23 11 2 2" xfId="2719" xr:uid="{00000000-0005-0000-0000-00001C0B0000}"/>
    <cellStyle name="Normal 23 11 3" xfId="2720" xr:uid="{00000000-0005-0000-0000-00001D0B0000}"/>
    <cellStyle name="Normal 23 12" xfId="2721" xr:uid="{00000000-0005-0000-0000-00001E0B0000}"/>
    <cellStyle name="Normal 23 12 2" xfId="2722" xr:uid="{00000000-0005-0000-0000-00001F0B0000}"/>
    <cellStyle name="Normal 23 12 2 2" xfId="2723" xr:uid="{00000000-0005-0000-0000-0000200B0000}"/>
    <cellStyle name="Normal 23 12 3" xfId="2724" xr:uid="{00000000-0005-0000-0000-0000210B0000}"/>
    <cellStyle name="Normal 23 13" xfId="2725" xr:uid="{00000000-0005-0000-0000-0000220B0000}"/>
    <cellStyle name="Normal 23 13 2" xfId="2726" xr:uid="{00000000-0005-0000-0000-0000230B0000}"/>
    <cellStyle name="Normal 23 13 2 2" xfId="2727" xr:uid="{00000000-0005-0000-0000-0000240B0000}"/>
    <cellStyle name="Normal 23 13 3" xfId="2728" xr:uid="{00000000-0005-0000-0000-0000250B0000}"/>
    <cellStyle name="Normal 23 14" xfId="2729" xr:uid="{00000000-0005-0000-0000-0000260B0000}"/>
    <cellStyle name="Normal 23 14 2" xfId="2730" xr:uid="{00000000-0005-0000-0000-0000270B0000}"/>
    <cellStyle name="Normal 23 14 2 2" xfId="2731" xr:uid="{00000000-0005-0000-0000-0000280B0000}"/>
    <cellStyle name="Normal 23 14 3" xfId="2732" xr:uid="{00000000-0005-0000-0000-0000290B0000}"/>
    <cellStyle name="Normal 23 15" xfId="2733" xr:uid="{00000000-0005-0000-0000-00002A0B0000}"/>
    <cellStyle name="Normal 23 15 2" xfId="2734" xr:uid="{00000000-0005-0000-0000-00002B0B0000}"/>
    <cellStyle name="Normal 23 15 2 2" xfId="2735" xr:uid="{00000000-0005-0000-0000-00002C0B0000}"/>
    <cellStyle name="Normal 23 15 3" xfId="2736" xr:uid="{00000000-0005-0000-0000-00002D0B0000}"/>
    <cellStyle name="Normal 23 16" xfId="2737" xr:uid="{00000000-0005-0000-0000-00002E0B0000}"/>
    <cellStyle name="Normal 23 16 2" xfId="2738" xr:uid="{00000000-0005-0000-0000-00002F0B0000}"/>
    <cellStyle name="Normal 23 17" xfId="2739" xr:uid="{00000000-0005-0000-0000-0000300B0000}"/>
    <cellStyle name="Normal 23 2" xfId="2740" xr:uid="{00000000-0005-0000-0000-0000310B0000}"/>
    <cellStyle name="Normal 23 2 2" xfId="2741" xr:uid="{00000000-0005-0000-0000-0000320B0000}"/>
    <cellStyle name="Normal 23 2 2 2" xfId="2742" xr:uid="{00000000-0005-0000-0000-0000330B0000}"/>
    <cellStyle name="Normal 23 2 3" xfId="2743" xr:uid="{00000000-0005-0000-0000-0000340B0000}"/>
    <cellStyle name="Normal 23 3" xfId="2744" xr:uid="{00000000-0005-0000-0000-0000350B0000}"/>
    <cellStyle name="Normal 23 3 2" xfId="2745" xr:uid="{00000000-0005-0000-0000-0000360B0000}"/>
    <cellStyle name="Normal 23 3 2 2" xfId="2746" xr:uid="{00000000-0005-0000-0000-0000370B0000}"/>
    <cellStyle name="Normal 23 3 3" xfId="2747" xr:uid="{00000000-0005-0000-0000-0000380B0000}"/>
    <cellStyle name="Normal 23 4" xfId="2748" xr:uid="{00000000-0005-0000-0000-0000390B0000}"/>
    <cellStyle name="Normal 23 4 2" xfId="2749" xr:uid="{00000000-0005-0000-0000-00003A0B0000}"/>
    <cellStyle name="Normal 23 4 2 2" xfId="2750" xr:uid="{00000000-0005-0000-0000-00003B0B0000}"/>
    <cellStyle name="Normal 23 4 3" xfId="2751" xr:uid="{00000000-0005-0000-0000-00003C0B0000}"/>
    <cellStyle name="Normal 23 5" xfId="2752" xr:uid="{00000000-0005-0000-0000-00003D0B0000}"/>
    <cellStyle name="Normal 23 5 2" xfId="2753" xr:uid="{00000000-0005-0000-0000-00003E0B0000}"/>
    <cellStyle name="Normal 23 5 2 2" xfId="2754" xr:uid="{00000000-0005-0000-0000-00003F0B0000}"/>
    <cellStyle name="Normal 23 5 3" xfId="2755" xr:uid="{00000000-0005-0000-0000-0000400B0000}"/>
    <cellStyle name="Normal 23 6" xfId="2756" xr:uid="{00000000-0005-0000-0000-0000410B0000}"/>
    <cellStyle name="Normal 23 6 2" xfId="2757" xr:uid="{00000000-0005-0000-0000-0000420B0000}"/>
    <cellStyle name="Normal 23 6 2 2" xfId="2758" xr:uid="{00000000-0005-0000-0000-0000430B0000}"/>
    <cellStyle name="Normal 23 6 3" xfId="2759" xr:uid="{00000000-0005-0000-0000-0000440B0000}"/>
    <cellStyle name="Normal 23 7" xfId="2760" xr:uid="{00000000-0005-0000-0000-0000450B0000}"/>
    <cellStyle name="Normal 23 7 2" xfId="2761" xr:uid="{00000000-0005-0000-0000-0000460B0000}"/>
    <cellStyle name="Normal 23 7 2 2" xfId="2762" xr:uid="{00000000-0005-0000-0000-0000470B0000}"/>
    <cellStyle name="Normal 23 7 3" xfId="2763" xr:uid="{00000000-0005-0000-0000-0000480B0000}"/>
    <cellStyle name="Normal 23 8" xfId="2764" xr:uid="{00000000-0005-0000-0000-0000490B0000}"/>
    <cellStyle name="Normal 23 8 2" xfId="2765" xr:uid="{00000000-0005-0000-0000-00004A0B0000}"/>
    <cellStyle name="Normal 23 8 2 2" xfId="2766" xr:uid="{00000000-0005-0000-0000-00004B0B0000}"/>
    <cellStyle name="Normal 23 8 3" xfId="2767" xr:uid="{00000000-0005-0000-0000-00004C0B0000}"/>
    <cellStyle name="Normal 23 9" xfId="2768" xr:uid="{00000000-0005-0000-0000-00004D0B0000}"/>
    <cellStyle name="Normal 23 9 2" xfId="2769" xr:uid="{00000000-0005-0000-0000-00004E0B0000}"/>
    <cellStyle name="Normal 23 9 2 2" xfId="2770" xr:uid="{00000000-0005-0000-0000-00004F0B0000}"/>
    <cellStyle name="Normal 23 9 3" xfId="2771" xr:uid="{00000000-0005-0000-0000-0000500B0000}"/>
    <cellStyle name="Normal 24" xfId="2772" xr:uid="{00000000-0005-0000-0000-0000510B0000}"/>
    <cellStyle name="Normal 24 10" xfId="2773" xr:uid="{00000000-0005-0000-0000-0000520B0000}"/>
    <cellStyle name="Normal 24 10 2" xfId="2774" xr:uid="{00000000-0005-0000-0000-0000530B0000}"/>
    <cellStyle name="Normal 24 10 2 2" xfId="2775" xr:uid="{00000000-0005-0000-0000-0000540B0000}"/>
    <cellStyle name="Normal 24 10 3" xfId="2776" xr:uid="{00000000-0005-0000-0000-0000550B0000}"/>
    <cellStyle name="Normal 24 11" xfId="2777" xr:uid="{00000000-0005-0000-0000-0000560B0000}"/>
    <cellStyle name="Normal 24 11 2" xfId="2778" xr:uid="{00000000-0005-0000-0000-0000570B0000}"/>
    <cellStyle name="Normal 24 11 2 2" xfId="2779" xr:uid="{00000000-0005-0000-0000-0000580B0000}"/>
    <cellStyle name="Normal 24 11 3" xfId="2780" xr:uid="{00000000-0005-0000-0000-0000590B0000}"/>
    <cellStyle name="Normal 24 12" xfId="2781" xr:uid="{00000000-0005-0000-0000-00005A0B0000}"/>
    <cellStyle name="Normal 24 12 2" xfId="2782" xr:uid="{00000000-0005-0000-0000-00005B0B0000}"/>
    <cellStyle name="Normal 24 12 2 2" xfId="2783" xr:uid="{00000000-0005-0000-0000-00005C0B0000}"/>
    <cellStyle name="Normal 24 12 3" xfId="2784" xr:uid="{00000000-0005-0000-0000-00005D0B0000}"/>
    <cellStyle name="Normal 24 13" xfId="2785" xr:uid="{00000000-0005-0000-0000-00005E0B0000}"/>
    <cellStyle name="Normal 24 13 2" xfId="2786" xr:uid="{00000000-0005-0000-0000-00005F0B0000}"/>
    <cellStyle name="Normal 24 13 2 2" xfId="2787" xr:uid="{00000000-0005-0000-0000-0000600B0000}"/>
    <cellStyle name="Normal 24 13 3" xfId="2788" xr:uid="{00000000-0005-0000-0000-0000610B0000}"/>
    <cellStyle name="Normal 24 14" xfId="2789" xr:uid="{00000000-0005-0000-0000-0000620B0000}"/>
    <cellStyle name="Normal 24 14 2" xfId="2790" xr:uid="{00000000-0005-0000-0000-0000630B0000}"/>
    <cellStyle name="Normal 24 14 2 2" xfId="2791" xr:uid="{00000000-0005-0000-0000-0000640B0000}"/>
    <cellStyle name="Normal 24 14 3" xfId="2792" xr:uid="{00000000-0005-0000-0000-0000650B0000}"/>
    <cellStyle name="Normal 24 15" xfId="2793" xr:uid="{00000000-0005-0000-0000-0000660B0000}"/>
    <cellStyle name="Normal 24 15 2" xfId="2794" xr:uid="{00000000-0005-0000-0000-0000670B0000}"/>
    <cellStyle name="Normal 24 15 2 2" xfId="2795" xr:uid="{00000000-0005-0000-0000-0000680B0000}"/>
    <cellStyle name="Normal 24 15 3" xfId="2796" xr:uid="{00000000-0005-0000-0000-0000690B0000}"/>
    <cellStyle name="Normal 24 16" xfId="2797" xr:uid="{00000000-0005-0000-0000-00006A0B0000}"/>
    <cellStyle name="Normal 24 16 2" xfId="2798" xr:uid="{00000000-0005-0000-0000-00006B0B0000}"/>
    <cellStyle name="Normal 24 17" xfId="2799" xr:uid="{00000000-0005-0000-0000-00006C0B0000}"/>
    <cellStyle name="Normal 24 17 2" xfId="2800" xr:uid="{00000000-0005-0000-0000-00006D0B0000}"/>
    <cellStyle name="Normal 24 18" xfId="2801" xr:uid="{00000000-0005-0000-0000-00006E0B0000}"/>
    <cellStyle name="Normal 24 18 2" xfId="2802" xr:uid="{00000000-0005-0000-0000-00006F0B0000}"/>
    <cellStyle name="Normal 24 19" xfId="2803" xr:uid="{00000000-0005-0000-0000-0000700B0000}"/>
    <cellStyle name="Normal 24 19 2" xfId="2804" xr:uid="{00000000-0005-0000-0000-0000710B0000}"/>
    <cellStyle name="Normal 24 2" xfId="2805" xr:uid="{00000000-0005-0000-0000-0000720B0000}"/>
    <cellStyle name="Normal 24 2 2" xfId="2806" xr:uid="{00000000-0005-0000-0000-0000730B0000}"/>
    <cellStyle name="Normal 24 2 2 2" xfId="2807" xr:uid="{00000000-0005-0000-0000-0000740B0000}"/>
    <cellStyle name="Normal 24 2 3" xfId="2808" xr:uid="{00000000-0005-0000-0000-0000750B0000}"/>
    <cellStyle name="Normal 24 20" xfId="2809" xr:uid="{00000000-0005-0000-0000-0000760B0000}"/>
    <cellStyle name="Normal 24 20 2" xfId="2810" xr:uid="{00000000-0005-0000-0000-0000770B0000}"/>
    <cellStyle name="Normal 24 21" xfId="2811" xr:uid="{00000000-0005-0000-0000-0000780B0000}"/>
    <cellStyle name="Normal 24 21 2" xfId="2812" xr:uid="{00000000-0005-0000-0000-0000790B0000}"/>
    <cellStyle name="Normal 24 22" xfId="2813" xr:uid="{00000000-0005-0000-0000-00007A0B0000}"/>
    <cellStyle name="Normal 24 3" xfId="2814" xr:uid="{00000000-0005-0000-0000-00007B0B0000}"/>
    <cellStyle name="Normal 24 3 2" xfId="2815" xr:uid="{00000000-0005-0000-0000-00007C0B0000}"/>
    <cellStyle name="Normal 24 3 2 2" xfId="2816" xr:uid="{00000000-0005-0000-0000-00007D0B0000}"/>
    <cellStyle name="Normal 24 3 3" xfId="2817" xr:uid="{00000000-0005-0000-0000-00007E0B0000}"/>
    <cellStyle name="Normal 24 4" xfId="2818" xr:uid="{00000000-0005-0000-0000-00007F0B0000}"/>
    <cellStyle name="Normal 24 4 2" xfId="2819" xr:uid="{00000000-0005-0000-0000-0000800B0000}"/>
    <cellStyle name="Normal 24 4 2 2" xfId="2820" xr:uid="{00000000-0005-0000-0000-0000810B0000}"/>
    <cellStyle name="Normal 24 4 3" xfId="2821" xr:uid="{00000000-0005-0000-0000-0000820B0000}"/>
    <cellStyle name="Normal 24 5" xfId="2822" xr:uid="{00000000-0005-0000-0000-0000830B0000}"/>
    <cellStyle name="Normal 24 5 2" xfId="2823" xr:uid="{00000000-0005-0000-0000-0000840B0000}"/>
    <cellStyle name="Normal 24 5 2 2" xfId="2824" xr:uid="{00000000-0005-0000-0000-0000850B0000}"/>
    <cellStyle name="Normal 24 5 3" xfId="2825" xr:uid="{00000000-0005-0000-0000-0000860B0000}"/>
    <cellStyle name="Normal 24 6" xfId="2826" xr:uid="{00000000-0005-0000-0000-0000870B0000}"/>
    <cellStyle name="Normal 24 6 2" xfId="2827" xr:uid="{00000000-0005-0000-0000-0000880B0000}"/>
    <cellStyle name="Normal 24 6 2 2" xfId="2828" xr:uid="{00000000-0005-0000-0000-0000890B0000}"/>
    <cellStyle name="Normal 24 6 3" xfId="2829" xr:uid="{00000000-0005-0000-0000-00008A0B0000}"/>
    <cellStyle name="Normal 24 7" xfId="2830" xr:uid="{00000000-0005-0000-0000-00008B0B0000}"/>
    <cellStyle name="Normal 24 7 2" xfId="2831" xr:uid="{00000000-0005-0000-0000-00008C0B0000}"/>
    <cellStyle name="Normal 24 7 2 2" xfId="2832" xr:uid="{00000000-0005-0000-0000-00008D0B0000}"/>
    <cellStyle name="Normal 24 7 3" xfId="2833" xr:uid="{00000000-0005-0000-0000-00008E0B0000}"/>
    <cellStyle name="Normal 24 8" xfId="2834" xr:uid="{00000000-0005-0000-0000-00008F0B0000}"/>
    <cellStyle name="Normal 24 8 2" xfId="2835" xr:uid="{00000000-0005-0000-0000-0000900B0000}"/>
    <cellStyle name="Normal 24 8 2 2" xfId="2836" xr:uid="{00000000-0005-0000-0000-0000910B0000}"/>
    <cellStyle name="Normal 24 8 3" xfId="2837" xr:uid="{00000000-0005-0000-0000-0000920B0000}"/>
    <cellStyle name="Normal 24 9" xfId="2838" xr:uid="{00000000-0005-0000-0000-0000930B0000}"/>
    <cellStyle name="Normal 24 9 2" xfId="2839" xr:uid="{00000000-0005-0000-0000-0000940B0000}"/>
    <cellStyle name="Normal 24 9 2 2" xfId="2840" xr:uid="{00000000-0005-0000-0000-0000950B0000}"/>
    <cellStyle name="Normal 24 9 3" xfId="2841" xr:uid="{00000000-0005-0000-0000-0000960B0000}"/>
    <cellStyle name="Normal 25" xfId="2842" xr:uid="{00000000-0005-0000-0000-0000970B0000}"/>
    <cellStyle name="Normal 25 10" xfId="2843" xr:uid="{00000000-0005-0000-0000-0000980B0000}"/>
    <cellStyle name="Normal 25 10 2" xfId="2844" xr:uid="{00000000-0005-0000-0000-0000990B0000}"/>
    <cellStyle name="Normal 25 10 2 2" xfId="2845" xr:uid="{00000000-0005-0000-0000-00009A0B0000}"/>
    <cellStyle name="Normal 25 10 3" xfId="2846" xr:uid="{00000000-0005-0000-0000-00009B0B0000}"/>
    <cellStyle name="Normal 25 11" xfId="2847" xr:uid="{00000000-0005-0000-0000-00009C0B0000}"/>
    <cellStyle name="Normal 25 11 2" xfId="2848" xr:uid="{00000000-0005-0000-0000-00009D0B0000}"/>
    <cellStyle name="Normal 25 11 2 2" xfId="2849" xr:uid="{00000000-0005-0000-0000-00009E0B0000}"/>
    <cellStyle name="Normal 25 11 3" xfId="2850" xr:uid="{00000000-0005-0000-0000-00009F0B0000}"/>
    <cellStyle name="Normal 25 12" xfId="2851" xr:uid="{00000000-0005-0000-0000-0000A00B0000}"/>
    <cellStyle name="Normal 25 12 2" xfId="2852" xr:uid="{00000000-0005-0000-0000-0000A10B0000}"/>
    <cellStyle name="Normal 25 12 2 2" xfId="2853" xr:uid="{00000000-0005-0000-0000-0000A20B0000}"/>
    <cellStyle name="Normal 25 12 3" xfId="2854" xr:uid="{00000000-0005-0000-0000-0000A30B0000}"/>
    <cellStyle name="Normal 25 13" xfId="2855" xr:uid="{00000000-0005-0000-0000-0000A40B0000}"/>
    <cellStyle name="Normal 25 13 2" xfId="2856" xr:uid="{00000000-0005-0000-0000-0000A50B0000}"/>
    <cellStyle name="Normal 25 13 2 2" xfId="2857" xr:uid="{00000000-0005-0000-0000-0000A60B0000}"/>
    <cellStyle name="Normal 25 13 3" xfId="2858" xr:uid="{00000000-0005-0000-0000-0000A70B0000}"/>
    <cellStyle name="Normal 25 14" xfId="2859" xr:uid="{00000000-0005-0000-0000-0000A80B0000}"/>
    <cellStyle name="Normal 25 14 2" xfId="2860" xr:uid="{00000000-0005-0000-0000-0000A90B0000}"/>
    <cellStyle name="Normal 25 14 2 2" xfId="2861" xr:uid="{00000000-0005-0000-0000-0000AA0B0000}"/>
    <cellStyle name="Normal 25 14 3" xfId="2862" xr:uid="{00000000-0005-0000-0000-0000AB0B0000}"/>
    <cellStyle name="Normal 25 15" xfId="2863" xr:uid="{00000000-0005-0000-0000-0000AC0B0000}"/>
    <cellStyle name="Normal 25 15 2" xfId="2864" xr:uid="{00000000-0005-0000-0000-0000AD0B0000}"/>
    <cellStyle name="Normal 25 15 2 2" xfId="2865" xr:uid="{00000000-0005-0000-0000-0000AE0B0000}"/>
    <cellStyle name="Normal 25 15 3" xfId="2866" xr:uid="{00000000-0005-0000-0000-0000AF0B0000}"/>
    <cellStyle name="Normal 25 16" xfId="2867" xr:uid="{00000000-0005-0000-0000-0000B00B0000}"/>
    <cellStyle name="Normal 25 16 2" xfId="2868" xr:uid="{00000000-0005-0000-0000-0000B10B0000}"/>
    <cellStyle name="Normal 25 17" xfId="2869" xr:uid="{00000000-0005-0000-0000-0000B20B0000}"/>
    <cellStyle name="Normal 25 17 2" xfId="2870" xr:uid="{00000000-0005-0000-0000-0000B30B0000}"/>
    <cellStyle name="Normal 25 18" xfId="2871" xr:uid="{00000000-0005-0000-0000-0000B40B0000}"/>
    <cellStyle name="Normal 25 18 2" xfId="2872" xr:uid="{00000000-0005-0000-0000-0000B50B0000}"/>
    <cellStyle name="Normal 25 19" xfId="2873" xr:uid="{00000000-0005-0000-0000-0000B60B0000}"/>
    <cellStyle name="Normal 25 19 2" xfId="2874" xr:uid="{00000000-0005-0000-0000-0000B70B0000}"/>
    <cellStyle name="Normal 25 2" xfId="2875" xr:uid="{00000000-0005-0000-0000-0000B80B0000}"/>
    <cellStyle name="Normal 25 2 2" xfId="2876" xr:uid="{00000000-0005-0000-0000-0000B90B0000}"/>
    <cellStyle name="Normal 25 2 2 2" xfId="2877" xr:uid="{00000000-0005-0000-0000-0000BA0B0000}"/>
    <cellStyle name="Normal 25 2 3" xfId="2878" xr:uid="{00000000-0005-0000-0000-0000BB0B0000}"/>
    <cellStyle name="Normal 25 20" xfId="2879" xr:uid="{00000000-0005-0000-0000-0000BC0B0000}"/>
    <cellStyle name="Normal 25 20 2" xfId="2880" xr:uid="{00000000-0005-0000-0000-0000BD0B0000}"/>
    <cellStyle name="Normal 25 21" xfId="2881" xr:uid="{00000000-0005-0000-0000-0000BE0B0000}"/>
    <cellStyle name="Normal 25 21 2" xfId="2882" xr:uid="{00000000-0005-0000-0000-0000BF0B0000}"/>
    <cellStyle name="Normal 25 22" xfId="2883" xr:uid="{00000000-0005-0000-0000-0000C00B0000}"/>
    <cellStyle name="Normal 25 3" xfId="2884" xr:uid="{00000000-0005-0000-0000-0000C10B0000}"/>
    <cellStyle name="Normal 25 3 2" xfId="2885" xr:uid="{00000000-0005-0000-0000-0000C20B0000}"/>
    <cellStyle name="Normal 25 3 2 2" xfId="2886" xr:uid="{00000000-0005-0000-0000-0000C30B0000}"/>
    <cellStyle name="Normal 25 3 3" xfId="2887" xr:uid="{00000000-0005-0000-0000-0000C40B0000}"/>
    <cellStyle name="Normal 25 4" xfId="2888" xr:uid="{00000000-0005-0000-0000-0000C50B0000}"/>
    <cellStyle name="Normal 25 4 2" xfId="2889" xr:uid="{00000000-0005-0000-0000-0000C60B0000}"/>
    <cellStyle name="Normal 25 4 2 2" xfId="2890" xr:uid="{00000000-0005-0000-0000-0000C70B0000}"/>
    <cellStyle name="Normal 25 4 3" xfId="2891" xr:uid="{00000000-0005-0000-0000-0000C80B0000}"/>
    <cellStyle name="Normal 25 5" xfId="2892" xr:uid="{00000000-0005-0000-0000-0000C90B0000}"/>
    <cellStyle name="Normal 25 5 2" xfId="2893" xr:uid="{00000000-0005-0000-0000-0000CA0B0000}"/>
    <cellStyle name="Normal 25 5 2 2" xfId="2894" xr:uid="{00000000-0005-0000-0000-0000CB0B0000}"/>
    <cellStyle name="Normal 25 5 3" xfId="2895" xr:uid="{00000000-0005-0000-0000-0000CC0B0000}"/>
    <cellStyle name="Normal 25 6" xfId="2896" xr:uid="{00000000-0005-0000-0000-0000CD0B0000}"/>
    <cellStyle name="Normal 25 6 2" xfId="2897" xr:uid="{00000000-0005-0000-0000-0000CE0B0000}"/>
    <cellStyle name="Normal 25 6 2 2" xfId="2898" xr:uid="{00000000-0005-0000-0000-0000CF0B0000}"/>
    <cellStyle name="Normal 25 6 3" xfId="2899" xr:uid="{00000000-0005-0000-0000-0000D00B0000}"/>
    <cellStyle name="Normal 25 7" xfId="2900" xr:uid="{00000000-0005-0000-0000-0000D10B0000}"/>
    <cellStyle name="Normal 25 7 2" xfId="2901" xr:uid="{00000000-0005-0000-0000-0000D20B0000}"/>
    <cellStyle name="Normal 25 7 2 2" xfId="2902" xr:uid="{00000000-0005-0000-0000-0000D30B0000}"/>
    <cellStyle name="Normal 25 7 3" xfId="2903" xr:uid="{00000000-0005-0000-0000-0000D40B0000}"/>
    <cellStyle name="Normal 25 8" xfId="2904" xr:uid="{00000000-0005-0000-0000-0000D50B0000}"/>
    <cellStyle name="Normal 25 8 2" xfId="2905" xr:uid="{00000000-0005-0000-0000-0000D60B0000}"/>
    <cellStyle name="Normal 25 8 2 2" xfId="2906" xr:uid="{00000000-0005-0000-0000-0000D70B0000}"/>
    <cellStyle name="Normal 25 8 3" xfId="2907" xr:uid="{00000000-0005-0000-0000-0000D80B0000}"/>
    <cellStyle name="Normal 25 9" xfId="2908" xr:uid="{00000000-0005-0000-0000-0000D90B0000}"/>
    <cellStyle name="Normal 25 9 2" xfId="2909" xr:uid="{00000000-0005-0000-0000-0000DA0B0000}"/>
    <cellStyle name="Normal 25 9 2 2" xfId="2910" xr:uid="{00000000-0005-0000-0000-0000DB0B0000}"/>
    <cellStyle name="Normal 25 9 3" xfId="2911" xr:uid="{00000000-0005-0000-0000-0000DC0B0000}"/>
    <cellStyle name="Normal 26" xfId="2912" xr:uid="{00000000-0005-0000-0000-0000DD0B0000}"/>
    <cellStyle name="Normal 26 10" xfId="2913" xr:uid="{00000000-0005-0000-0000-0000DE0B0000}"/>
    <cellStyle name="Normal 26 10 2" xfId="2914" xr:uid="{00000000-0005-0000-0000-0000DF0B0000}"/>
    <cellStyle name="Normal 26 10 2 2" xfId="2915" xr:uid="{00000000-0005-0000-0000-0000E00B0000}"/>
    <cellStyle name="Normal 26 10 3" xfId="2916" xr:uid="{00000000-0005-0000-0000-0000E10B0000}"/>
    <cellStyle name="Normal 26 11" xfId="2917" xr:uid="{00000000-0005-0000-0000-0000E20B0000}"/>
    <cellStyle name="Normal 26 11 2" xfId="2918" xr:uid="{00000000-0005-0000-0000-0000E30B0000}"/>
    <cellStyle name="Normal 26 11 2 2" xfId="2919" xr:uid="{00000000-0005-0000-0000-0000E40B0000}"/>
    <cellStyle name="Normal 26 11 3" xfId="2920" xr:uid="{00000000-0005-0000-0000-0000E50B0000}"/>
    <cellStyle name="Normal 26 12" xfId="2921" xr:uid="{00000000-0005-0000-0000-0000E60B0000}"/>
    <cellStyle name="Normal 26 12 2" xfId="2922" xr:uid="{00000000-0005-0000-0000-0000E70B0000}"/>
    <cellStyle name="Normal 26 12 2 2" xfId="2923" xr:uid="{00000000-0005-0000-0000-0000E80B0000}"/>
    <cellStyle name="Normal 26 12 3" xfId="2924" xr:uid="{00000000-0005-0000-0000-0000E90B0000}"/>
    <cellStyle name="Normal 26 13" xfId="2925" xr:uid="{00000000-0005-0000-0000-0000EA0B0000}"/>
    <cellStyle name="Normal 26 13 2" xfId="2926" xr:uid="{00000000-0005-0000-0000-0000EB0B0000}"/>
    <cellStyle name="Normal 26 13 2 2" xfId="2927" xr:uid="{00000000-0005-0000-0000-0000EC0B0000}"/>
    <cellStyle name="Normal 26 13 3" xfId="2928" xr:uid="{00000000-0005-0000-0000-0000ED0B0000}"/>
    <cellStyle name="Normal 26 14" xfId="2929" xr:uid="{00000000-0005-0000-0000-0000EE0B0000}"/>
    <cellStyle name="Normal 26 14 2" xfId="2930" xr:uid="{00000000-0005-0000-0000-0000EF0B0000}"/>
    <cellStyle name="Normal 26 14 2 2" xfId="2931" xr:uid="{00000000-0005-0000-0000-0000F00B0000}"/>
    <cellStyle name="Normal 26 14 3" xfId="2932" xr:uid="{00000000-0005-0000-0000-0000F10B0000}"/>
    <cellStyle name="Normal 26 15" xfId="2933" xr:uid="{00000000-0005-0000-0000-0000F20B0000}"/>
    <cellStyle name="Normal 26 15 2" xfId="2934" xr:uid="{00000000-0005-0000-0000-0000F30B0000}"/>
    <cellStyle name="Normal 26 15 2 2" xfId="2935" xr:uid="{00000000-0005-0000-0000-0000F40B0000}"/>
    <cellStyle name="Normal 26 15 3" xfId="2936" xr:uid="{00000000-0005-0000-0000-0000F50B0000}"/>
    <cellStyle name="Normal 26 16" xfId="2937" xr:uid="{00000000-0005-0000-0000-0000F60B0000}"/>
    <cellStyle name="Normal 26 16 2" xfId="2938" xr:uid="{00000000-0005-0000-0000-0000F70B0000}"/>
    <cellStyle name="Normal 26 17" xfId="2939" xr:uid="{00000000-0005-0000-0000-0000F80B0000}"/>
    <cellStyle name="Normal 26 2" xfId="2940" xr:uid="{00000000-0005-0000-0000-0000F90B0000}"/>
    <cellStyle name="Normal 26 2 2" xfId="2941" xr:uid="{00000000-0005-0000-0000-0000FA0B0000}"/>
    <cellStyle name="Normal 26 2 2 2" xfId="2942" xr:uid="{00000000-0005-0000-0000-0000FB0B0000}"/>
    <cellStyle name="Normal 26 2 3" xfId="2943" xr:uid="{00000000-0005-0000-0000-0000FC0B0000}"/>
    <cellStyle name="Normal 26 3" xfId="2944" xr:uid="{00000000-0005-0000-0000-0000FD0B0000}"/>
    <cellStyle name="Normal 26 3 2" xfId="2945" xr:uid="{00000000-0005-0000-0000-0000FE0B0000}"/>
    <cellStyle name="Normal 26 3 2 2" xfId="2946" xr:uid="{00000000-0005-0000-0000-0000FF0B0000}"/>
    <cellStyle name="Normal 26 3 3" xfId="2947" xr:uid="{00000000-0005-0000-0000-0000000C0000}"/>
    <cellStyle name="Normal 26 4" xfId="2948" xr:uid="{00000000-0005-0000-0000-0000010C0000}"/>
    <cellStyle name="Normal 26 4 2" xfId="2949" xr:uid="{00000000-0005-0000-0000-0000020C0000}"/>
    <cellStyle name="Normal 26 4 2 2" xfId="2950" xr:uid="{00000000-0005-0000-0000-0000030C0000}"/>
    <cellStyle name="Normal 26 4 3" xfId="2951" xr:uid="{00000000-0005-0000-0000-0000040C0000}"/>
    <cellStyle name="Normal 26 5" xfId="2952" xr:uid="{00000000-0005-0000-0000-0000050C0000}"/>
    <cellStyle name="Normal 26 5 2" xfId="2953" xr:uid="{00000000-0005-0000-0000-0000060C0000}"/>
    <cellStyle name="Normal 26 5 2 2" xfId="2954" xr:uid="{00000000-0005-0000-0000-0000070C0000}"/>
    <cellStyle name="Normal 26 5 3" xfId="2955" xr:uid="{00000000-0005-0000-0000-0000080C0000}"/>
    <cellStyle name="Normal 26 6" xfId="2956" xr:uid="{00000000-0005-0000-0000-0000090C0000}"/>
    <cellStyle name="Normal 26 6 2" xfId="2957" xr:uid="{00000000-0005-0000-0000-00000A0C0000}"/>
    <cellStyle name="Normal 26 6 2 2" xfId="2958" xr:uid="{00000000-0005-0000-0000-00000B0C0000}"/>
    <cellStyle name="Normal 26 6 3" xfId="2959" xr:uid="{00000000-0005-0000-0000-00000C0C0000}"/>
    <cellStyle name="Normal 26 7" xfId="2960" xr:uid="{00000000-0005-0000-0000-00000D0C0000}"/>
    <cellStyle name="Normal 26 7 2" xfId="2961" xr:uid="{00000000-0005-0000-0000-00000E0C0000}"/>
    <cellStyle name="Normal 26 7 2 2" xfId="2962" xr:uid="{00000000-0005-0000-0000-00000F0C0000}"/>
    <cellStyle name="Normal 26 7 3" xfId="2963" xr:uid="{00000000-0005-0000-0000-0000100C0000}"/>
    <cellStyle name="Normal 26 8" xfId="2964" xr:uid="{00000000-0005-0000-0000-0000110C0000}"/>
    <cellStyle name="Normal 26 8 2" xfId="2965" xr:uid="{00000000-0005-0000-0000-0000120C0000}"/>
    <cellStyle name="Normal 26 8 2 2" xfId="2966" xr:uid="{00000000-0005-0000-0000-0000130C0000}"/>
    <cellStyle name="Normal 26 8 3" xfId="2967" xr:uid="{00000000-0005-0000-0000-0000140C0000}"/>
    <cellStyle name="Normal 26 9" xfId="2968" xr:uid="{00000000-0005-0000-0000-0000150C0000}"/>
    <cellStyle name="Normal 26 9 2" xfId="2969" xr:uid="{00000000-0005-0000-0000-0000160C0000}"/>
    <cellStyle name="Normal 26 9 2 2" xfId="2970" xr:uid="{00000000-0005-0000-0000-0000170C0000}"/>
    <cellStyle name="Normal 26 9 3" xfId="2971" xr:uid="{00000000-0005-0000-0000-0000180C0000}"/>
    <cellStyle name="Normal 27" xfId="2972" xr:uid="{00000000-0005-0000-0000-0000190C0000}"/>
    <cellStyle name="Normal 27 10" xfId="2973" xr:uid="{00000000-0005-0000-0000-00001A0C0000}"/>
    <cellStyle name="Normal 27 10 2" xfId="2974" xr:uid="{00000000-0005-0000-0000-00001B0C0000}"/>
    <cellStyle name="Normal 27 10 2 2" xfId="2975" xr:uid="{00000000-0005-0000-0000-00001C0C0000}"/>
    <cellStyle name="Normal 27 10 3" xfId="2976" xr:uid="{00000000-0005-0000-0000-00001D0C0000}"/>
    <cellStyle name="Normal 27 11" xfId="2977" xr:uid="{00000000-0005-0000-0000-00001E0C0000}"/>
    <cellStyle name="Normal 27 11 2" xfId="2978" xr:uid="{00000000-0005-0000-0000-00001F0C0000}"/>
    <cellStyle name="Normal 27 11 2 2" xfId="2979" xr:uid="{00000000-0005-0000-0000-0000200C0000}"/>
    <cellStyle name="Normal 27 11 3" xfId="2980" xr:uid="{00000000-0005-0000-0000-0000210C0000}"/>
    <cellStyle name="Normal 27 12" xfId="2981" xr:uid="{00000000-0005-0000-0000-0000220C0000}"/>
    <cellStyle name="Normal 27 12 2" xfId="2982" xr:uid="{00000000-0005-0000-0000-0000230C0000}"/>
    <cellStyle name="Normal 27 12 2 2" xfId="2983" xr:uid="{00000000-0005-0000-0000-0000240C0000}"/>
    <cellStyle name="Normal 27 12 3" xfId="2984" xr:uid="{00000000-0005-0000-0000-0000250C0000}"/>
    <cellStyle name="Normal 27 13" xfId="2985" xr:uid="{00000000-0005-0000-0000-0000260C0000}"/>
    <cellStyle name="Normal 27 13 2" xfId="2986" xr:uid="{00000000-0005-0000-0000-0000270C0000}"/>
    <cellStyle name="Normal 27 13 2 2" xfId="2987" xr:uid="{00000000-0005-0000-0000-0000280C0000}"/>
    <cellStyle name="Normal 27 13 3" xfId="2988" xr:uid="{00000000-0005-0000-0000-0000290C0000}"/>
    <cellStyle name="Normal 27 14" xfId="2989" xr:uid="{00000000-0005-0000-0000-00002A0C0000}"/>
    <cellStyle name="Normal 27 14 2" xfId="2990" xr:uid="{00000000-0005-0000-0000-00002B0C0000}"/>
    <cellStyle name="Normal 27 14 2 2" xfId="2991" xr:uid="{00000000-0005-0000-0000-00002C0C0000}"/>
    <cellStyle name="Normal 27 14 3" xfId="2992" xr:uid="{00000000-0005-0000-0000-00002D0C0000}"/>
    <cellStyle name="Normal 27 15" xfId="2993" xr:uid="{00000000-0005-0000-0000-00002E0C0000}"/>
    <cellStyle name="Normal 27 15 2" xfId="2994" xr:uid="{00000000-0005-0000-0000-00002F0C0000}"/>
    <cellStyle name="Normal 27 15 2 2" xfId="2995" xr:uid="{00000000-0005-0000-0000-0000300C0000}"/>
    <cellStyle name="Normal 27 15 3" xfId="2996" xr:uid="{00000000-0005-0000-0000-0000310C0000}"/>
    <cellStyle name="Normal 27 16" xfId="2997" xr:uid="{00000000-0005-0000-0000-0000320C0000}"/>
    <cellStyle name="Normal 27 16 2" xfId="2998" xr:uid="{00000000-0005-0000-0000-0000330C0000}"/>
    <cellStyle name="Normal 27 17" xfId="2999" xr:uid="{00000000-0005-0000-0000-0000340C0000}"/>
    <cellStyle name="Normal 27 17 2" xfId="3000" xr:uid="{00000000-0005-0000-0000-0000350C0000}"/>
    <cellStyle name="Normal 27 18" xfId="3001" xr:uid="{00000000-0005-0000-0000-0000360C0000}"/>
    <cellStyle name="Normal 27 18 2" xfId="3002" xr:uid="{00000000-0005-0000-0000-0000370C0000}"/>
    <cellStyle name="Normal 27 19" xfId="3003" xr:uid="{00000000-0005-0000-0000-0000380C0000}"/>
    <cellStyle name="Normal 27 19 2" xfId="3004" xr:uid="{00000000-0005-0000-0000-0000390C0000}"/>
    <cellStyle name="Normal 27 2" xfId="3005" xr:uid="{00000000-0005-0000-0000-00003A0C0000}"/>
    <cellStyle name="Normal 27 2 2" xfId="3006" xr:uid="{00000000-0005-0000-0000-00003B0C0000}"/>
    <cellStyle name="Normal 27 2 2 2" xfId="3007" xr:uid="{00000000-0005-0000-0000-00003C0C0000}"/>
    <cellStyle name="Normal 27 2 3" xfId="3008" xr:uid="{00000000-0005-0000-0000-00003D0C0000}"/>
    <cellStyle name="Normal 27 20" xfId="3009" xr:uid="{00000000-0005-0000-0000-00003E0C0000}"/>
    <cellStyle name="Normal 27 20 2" xfId="3010" xr:uid="{00000000-0005-0000-0000-00003F0C0000}"/>
    <cellStyle name="Normal 27 21" xfId="3011" xr:uid="{00000000-0005-0000-0000-0000400C0000}"/>
    <cellStyle name="Normal 27 21 2" xfId="3012" xr:uid="{00000000-0005-0000-0000-0000410C0000}"/>
    <cellStyle name="Normal 27 22" xfId="3013" xr:uid="{00000000-0005-0000-0000-0000420C0000}"/>
    <cellStyle name="Normal 27 3" xfId="3014" xr:uid="{00000000-0005-0000-0000-0000430C0000}"/>
    <cellStyle name="Normal 27 3 2" xfId="3015" xr:uid="{00000000-0005-0000-0000-0000440C0000}"/>
    <cellStyle name="Normal 27 3 2 2" xfId="3016" xr:uid="{00000000-0005-0000-0000-0000450C0000}"/>
    <cellStyle name="Normal 27 3 3" xfId="3017" xr:uid="{00000000-0005-0000-0000-0000460C0000}"/>
    <cellStyle name="Normal 27 4" xfId="3018" xr:uid="{00000000-0005-0000-0000-0000470C0000}"/>
    <cellStyle name="Normal 27 4 2" xfId="3019" xr:uid="{00000000-0005-0000-0000-0000480C0000}"/>
    <cellStyle name="Normal 27 4 2 2" xfId="3020" xr:uid="{00000000-0005-0000-0000-0000490C0000}"/>
    <cellStyle name="Normal 27 4 3" xfId="3021" xr:uid="{00000000-0005-0000-0000-00004A0C0000}"/>
    <cellStyle name="Normal 27 5" xfId="3022" xr:uid="{00000000-0005-0000-0000-00004B0C0000}"/>
    <cellStyle name="Normal 27 5 2" xfId="3023" xr:uid="{00000000-0005-0000-0000-00004C0C0000}"/>
    <cellStyle name="Normal 27 5 2 2" xfId="3024" xr:uid="{00000000-0005-0000-0000-00004D0C0000}"/>
    <cellStyle name="Normal 27 5 3" xfId="3025" xr:uid="{00000000-0005-0000-0000-00004E0C0000}"/>
    <cellStyle name="Normal 27 6" xfId="3026" xr:uid="{00000000-0005-0000-0000-00004F0C0000}"/>
    <cellStyle name="Normal 27 6 2" xfId="3027" xr:uid="{00000000-0005-0000-0000-0000500C0000}"/>
    <cellStyle name="Normal 27 6 2 2" xfId="3028" xr:uid="{00000000-0005-0000-0000-0000510C0000}"/>
    <cellStyle name="Normal 27 6 3" xfId="3029" xr:uid="{00000000-0005-0000-0000-0000520C0000}"/>
    <cellStyle name="Normal 27 7" xfId="3030" xr:uid="{00000000-0005-0000-0000-0000530C0000}"/>
    <cellStyle name="Normal 27 7 2" xfId="3031" xr:uid="{00000000-0005-0000-0000-0000540C0000}"/>
    <cellStyle name="Normal 27 7 2 2" xfId="3032" xr:uid="{00000000-0005-0000-0000-0000550C0000}"/>
    <cellStyle name="Normal 27 7 3" xfId="3033" xr:uid="{00000000-0005-0000-0000-0000560C0000}"/>
    <cellStyle name="Normal 27 8" xfId="3034" xr:uid="{00000000-0005-0000-0000-0000570C0000}"/>
    <cellStyle name="Normal 27 8 2" xfId="3035" xr:uid="{00000000-0005-0000-0000-0000580C0000}"/>
    <cellStyle name="Normal 27 8 2 2" xfId="3036" xr:uid="{00000000-0005-0000-0000-0000590C0000}"/>
    <cellStyle name="Normal 27 8 3" xfId="3037" xr:uid="{00000000-0005-0000-0000-00005A0C0000}"/>
    <cellStyle name="Normal 27 9" xfId="3038" xr:uid="{00000000-0005-0000-0000-00005B0C0000}"/>
    <cellStyle name="Normal 27 9 2" xfId="3039" xr:uid="{00000000-0005-0000-0000-00005C0C0000}"/>
    <cellStyle name="Normal 27 9 2 2" xfId="3040" xr:uid="{00000000-0005-0000-0000-00005D0C0000}"/>
    <cellStyle name="Normal 27 9 3" xfId="3041" xr:uid="{00000000-0005-0000-0000-00005E0C0000}"/>
    <cellStyle name="Normal 28" xfId="3042" xr:uid="{00000000-0005-0000-0000-00005F0C0000}"/>
    <cellStyle name="Normal 28 10" xfId="3043" xr:uid="{00000000-0005-0000-0000-0000600C0000}"/>
    <cellStyle name="Normal 28 10 2" xfId="3044" xr:uid="{00000000-0005-0000-0000-0000610C0000}"/>
    <cellStyle name="Normal 28 10 2 2" xfId="3045" xr:uid="{00000000-0005-0000-0000-0000620C0000}"/>
    <cellStyle name="Normal 28 10 3" xfId="3046" xr:uid="{00000000-0005-0000-0000-0000630C0000}"/>
    <cellStyle name="Normal 28 11" xfId="3047" xr:uid="{00000000-0005-0000-0000-0000640C0000}"/>
    <cellStyle name="Normal 28 11 2" xfId="3048" xr:uid="{00000000-0005-0000-0000-0000650C0000}"/>
    <cellStyle name="Normal 28 11 2 2" xfId="3049" xr:uid="{00000000-0005-0000-0000-0000660C0000}"/>
    <cellStyle name="Normal 28 11 3" xfId="3050" xr:uid="{00000000-0005-0000-0000-0000670C0000}"/>
    <cellStyle name="Normal 28 12" xfId="3051" xr:uid="{00000000-0005-0000-0000-0000680C0000}"/>
    <cellStyle name="Normal 28 12 2" xfId="3052" xr:uid="{00000000-0005-0000-0000-0000690C0000}"/>
    <cellStyle name="Normal 28 12 2 2" xfId="3053" xr:uid="{00000000-0005-0000-0000-00006A0C0000}"/>
    <cellStyle name="Normal 28 12 3" xfId="3054" xr:uid="{00000000-0005-0000-0000-00006B0C0000}"/>
    <cellStyle name="Normal 28 13" xfId="3055" xr:uid="{00000000-0005-0000-0000-00006C0C0000}"/>
    <cellStyle name="Normal 28 13 2" xfId="3056" xr:uid="{00000000-0005-0000-0000-00006D0C0000}"/>
    <cellStyle name="Normal 28 13 2 2" xfId="3057" xr:uid="{00000000-0005-0000-0000-00006E0C0000}"/>
    <cellStyle name="Normal 28 13 3" xfId="3058" xr:uid="{00000000-0005-0000-0000-00006F0C0000}"/>
    <cellStyle name="Normal 28 14" xfId="3059" xr:uid="{00000000-0005-0000-0000-0000700C0000}"/>
    <cellStyle name="Normal 28 14 2" xfId="3060" xr:uid="{00000000-0005-0000-0000-0000710C0000}"/>
    <cellStyle name="Normal 28 14 2 2" xfId="3061" xr:uid="{00000000-0005-0000-0000-0000720C0000}"/>
    <cellStyle name="Normal 28 14 3" xfId="3062" xr:uid="{00000000-0005-0000-0000-0000730C0000}"/>
    <cellStyle name="Normal 28 15" xfId="3063" xr:uid="{00000000-0005-0000-0000-0000740C0000}"/>
    <cellStyle name="Normal 28 15 2" xfId="3064" xr:uid="{00000000-0005-0000-0000-0000750C0000}"/>
    <cellStyle name="Normal 28 15 2 2" xfId="3065" xr:uid="{00000000-0005-0000-0000-0000760C0000}"/>
    <cellStyle name="Normal 28 15 3" xfId="3066" xr:uid="{00000000-0005-0000-0000-0000770C0000}"/>
    <cellStyle name="Normal 28 16" xfId="3067" xr:uid="{00000000-0005-0000-0000-0000780C0000}"/>
    <cellStyle name="Normal 28 16 2" xfId="3068" xr:uid="{00000000-0005-0000-0000-0000790C0000}"/>
    <cellStyle name="Normal 28 17" xfId="3069" xr:uid="{00000000-0005-0000-0000-00007A0C0000}"/>
    <cellStyle name="Normal 28 2" xfId="3070" xr:uid="{00000000-0005-0000-0000-00007B0C0000}"/>
    <cellStyle name="Normal 28 2 2" xfId="3071" xr:uid="{00000000-0005-0000-0000-00007C0C0000}"/>
    <cellStyle name="Normal 28 2 2 2" xfId="3072" xr:uid="{00000000-0005-0000-0000-00007D0C0000}"/>
    <cellStyle name="Normal 28 2 3" xfId="3073" xr:uid="{00000000-0005-0000-0000-00007E0C0000}"/>
    <cellStyle name="Normal 28 3" xfId="3074" xr:uid="{00000000-0005-0000-0000-00007F0C0000}"/>
    <cellStyle name="Normal 28 3 2" xfId="3075" xr:uid="{00000000-0005-0000-0000-0000800C0000}"/>
    <cellStyle name="Normal 28 3 2 2" xfId="3076" xr:uid="{00000000-0005-0000-0000-0000810C0000}"/>
    <cellStyle name="Normal 28 3 3" xfId="3077" xr:uid="{00000000-0005-0000-0000-0000820C0000}"/>
    <cellStyle name="Normal 28 4" xfId="3078" xr:uid="{00000000-0005-0000-0000-0000830C0000}"/>
    <cellStyle name="Normal 28 4 2" xfId="3079" xr:uid="{00000000-0005-0000-0000-0000840C0000}"/>
    <cellStyle name="Normal 28 4 2 2" xfId="3080" xr:uid="{00000000-0005-0000-0000-0000850C0000}"/>
    <cellStyle name="Normal 28 4 3" xfId="3081" xr:uid="{00000000-0005-0000-0000-0000860C0000}"/>
    <cellStyle name="Normal 28 5" xfId="3082" xr:uid="{00000000-0005-0000-0000-0000870C0000}"/>
    <cellStyle name="Normal 28 5 2" xfId="3083" xr:uid="{00000000-0005-0000-0000-0000880C0000}"/>
    <cellStyle name="Normal 28 5 2 2" xfId="3084" xr:uid="{00000000-0005-0000-0000-0000890C0000}"/>
    <cellStyle name="Normal 28 5 3" xfId="3085" xr:uid="{00000000-0005-0000-0000-00008A0C0000}"/>
    <cellStyle name="Normal 28 6" xfId="3086" xr:uid="{00000000-0005-0000-0000-00008B0C0000}"/>
    <cellStyle name="Normal 28 6 2" xfId="3087" xr:uid="{00000000-0005-0000-0000-00008C0C0000}"/>
    <cellStyle name="Normal 28 6 2 2" xfId="3088" xr:uid="{00000000-0005-0000-0000-00008D0C0000}"/>
    <cellStyle name="Normal 28 6 3" xfId="3089" xr:uid="{00000000-0005-0000-0000-00008E0C0000}"/>
    <cellStyle name="Normal 28 7" xfId="3090" xr:uid="{00000000-0005-0000-0000-00008F0C0000}"/>
    <cellStyle name="Normal 28 7 2" xfId="3091" xr:uid="{00000000-0005-0000-0000-0000900C0000}"/>
    <cellStyle name="Normal 28 7 2 2" xfId="3092" xr:uid="{00000000-0005-0000-0000-0000910C0000}"/>
    <cellStyle name="Normal 28 7 3" xfId="3093" xr:uid="{00000000-0005-0000-0000-0000920C0000}"/>
    <cellStyle name="Normal 28 8" xfId="3094" xr:uid="{00000000-0005-0000-0000-0000930C0000}"/>
    <cellStyle name="Normal 28 8 2" xfId="3095" xr:uid="{00000000-0005-0000-0000-0000940C0000}"/>
    <cellStyle name="Normal 28 8 2 2" xfId="3096" xr:uid="{00000000-0005-0000-0000-0000950C0000}"/>
    <cellStyle name="Normal 28 8 3" xfId="3097" xr:uid="{00000000-0005-0000-0000-0000960C0000}"/>
    <cellStyle name="Normal 28 9" xfId="3098" xr:uid="{00000000-0005-0000-0000-0000970C0000}"/>
    <cellStyle name="Normal 28 9 2" xfId="3099" xr:uid="{00000000-0005-0000-0000-0000980C0000}"/>
    <cellStyle name="Normal 28 9 2 2" xfId="3100" xr:uid="{00000000-0005-0000-0000-0000990C0000}"/>
    <cellStyle name="Normal 28 9 3" xfId="3101" xr:uid="{00000000-0005-0000-0000-00009A0C0000}"/>
    <cellStyle name="Normal 29" xfId="3102" xr:uid="{00000000-0005-0000-0000-00009B0C0000}"/>
    <cellStyle name="Normal 29 10" xfId="3103" xr:uid="{00000000-0005-0000-0000-00009C0C0000}"/>
    <cellStyle name="Normal 29 10 2" xfId="3104" xr:uid="{00000000-0005-0000-0000-00009D0C0000}"/>
    <cellStyle name="Normal 29 10 2 2" xfId="3105" xr:uid="{00000000-0005-0000-0000-00009E0C0000}"/>
    <cellStyle name="Normal 29 10 3" xfId="3106" xr:uid="{00000000-0005-0000-0000-00009F0C0000}"/>
    <cellStyle name="Normal 29 11" xfId="3107" xr:uid="{00000000-0005-0000-0000-0000A00C0000}"/>
    <cellStyle name="Normal 29 11 2" xfId="3108" xr:uid="{00000000-0005-0000-0000-0000A10C0000}"/>
    <cellStyle name="Normal 29 11 2 2" xfId="3109" xr:uid="{00000000-0005-0000-0000-0000A20C0000}"/>
    <cellStyle name="Normal 29 11 3" xfId="3110" xr:uid="{00000000-0005-0000-0000-0000A30C0000}"/>
    <cellStyle name="Normal 29 12" xfId="3111" xr:uid="{00000000-0005-0000-0000-0000A40C0000}"/>
    <cellStyle name="Normal 29 12 2" xfId="3112" xr:uid="{00000000-0005-0000-0000-0000A50C0000}"/>
    <cellStyle name="Normal 29 12 2 2" xfId="3113" xr:uid="{00000000-0005-0000-0000-0000A60C0000}"/>
    <cellStyle name="Normal 29 12 3" xfId="3114" xr:uid="{00000000-0005-0000-0000-0000A70C0000}"/>
    <cellStyle name="Normal 29 13" xfId="3115" xr:uid="{00000000-0005-0000-0000-0000A80C0000}"/>
    <cellStyle name="Normal 29 13 2" xfId="3116" xr:uid="{00000000-0005-0000-0000-0000A90C0000}"/>
    <cellStyle name="Normal 29 13 2 2" xfId="3117" xr:uid="{00000000-0005-0000-0000-0000AA0C0000}"/>
    <cellStyle name="Normal 29 13 3" xfId="3118" xr:uid="{00000000-0005-0000-0000-0000AB0C0000}"/>
    <cellStyle name="Normal 29 14" xfId="3119" xr:uid="{00000000-0005-0000-0000-0000AC0C0000}"/>
    <cellStyle name="Normal 29 14 2" xfId="3120" xr:uid="{00000000-0005-0000-0000-0000AD0C0000}"/>
    <cellStyle name="Normal 29 14 2 2" xfId="3121" xr:uid="{00000000-0005-0000-0000-0000AE0C0000}"/>
    <cellStyle name="Normal 29 14 3" xfId="3122" xr:uid="{00000000-0005-0000-0000-0000AF0C0000}"/>
    <cellStyle name="Normal 29 15" xfId="3123" xr:uid="{00000000-0005-0000-0000-0000B00C0000}"/>
    <cellStyle name="Normal 29 15 2" xfId="3124" xr:uid="{00000000-0005-0000-0000-0000B10C0000}"/>
    <cellStyle name="Normal 29 15 2 2" xfId="3125" xr:uid="{00000000-0005-0000-0000-0000B20C0000}"/>
    <cellStyle name="Normal 29 15 3" xfId="3126" xr:uid="{00000000-0005-0000-0000-0000B30C0000}"/>
    <cellStyle name="Normal 29 16" xfId="3127" xr:uid="{00000000-0005-0000-0000-0000B40C0000}"/>
    <cellStyle name="Normal 29 16 2" xfId="3128" xr:uid="{00000000-0005-0000-0000-0000B50C0000}"/>
    <cellStyle name="Normal 29 17" xfId="3129" xr:uid="{00000000-0005-0000-0000-0000B60C0000}"/>
    <cellStyle name="Normal 29 2" xfId="3130" xr:uid="{00000000-0005-0000-0000-0000B70C0000}"/>
    <cellStyle name="Normal 29 2 2" xfId="3131" xr:uid="{00000000-0005-0000-0000-0000B80C0000}"/>
    <cellStyle name="Normal 29 2 2 2" xfId="3132" xr:uid="{00000000-0005-0000-0000-0000B90C0000}"/>
    <cellStyle name="Normal 29 2 3" xfId="3133" xr:uid="{00000000-0005-0000-0000-0000BA0C0000}"/>
    <cellStyle name="Normal 29 3" xfId="3134" xr:uid="{00000000-0005-0000-0000-0000BB0C0000}"/>
    <cellStyle name="Normal 29 3 2" xfId="3135" xr:uid="{00000000-0005-0000-0000-0000BC0C0000}"/>
    <cellStyle name="Normal 29 3 2 2" xfId="3136" xr:uid="{00000000-0005-0000-0000-0000BD0C0000}"/>
    <cellStyle name="Normal 29 3 3" xfId="3137" xr:uid="{00000000-0005-0000-0000-0000BE0C0000}"/>
    <cellStyle name="Normal 29 4" xfId="3138" xr:uid="{00000000-0005-0000-0000-0000BF0C0000}"/>
    <cellStyle name="Normal 29 4 2" xfId="3139" xr:uid="{00000000-0005-0000-0000-0000C00C0000}"/>
    <cellStyle name="Normal 29 4 2 2" xfId="3140" xr:uid="{00000000-0005-0000-0000-0000C10C0000}"/>
    <cellStyle name="Normal 29 4 3" xfId="3141" xr:uid="{00000000-0005-0000-0000-0000C20C0000}"/>
    <cellStyle name="Normal 29 5" xfId="3142" xr:uid="{00000000-0005-0000-0000-0000C30C0000}"/>
    <cellStyle name="Normal 29 5 2" xfId="3143" xr:uid="{00000000-0005-0000-0000-0000C40C0000}"/>
    <cellStyle name="Normal 29 5 2 2" xfId="3144" xr:uid="{00000000-0005-0000-0000-0000C50C0000}"/>
    <cellStyle name="Normal 29 5 3" xfId="3145" xr:uid="{00000000-0005-0000-0000-0000C60C0000}"/>
    <cellStyle name="Normal 29 6" xfId="3146" xr:uid="{00000000-0005-0000-0000-0000C70C0000}"/>
    <cellStyle name="Normal 29 6 2" xfId="3147" xr:uid="{00000000-0005-0000-0000-0000C80C0000}"/>
    <cellStyle name="Normal 29 6 2 2" xfId="3148" xr:uid="{00000000-0005-0000-0000-0000C90C0000}"/>
    <cellStyle name="Normal 29 6 3" xfId="3149" xr:uid="{00000000-0005-0000-0000-0000CA0C0000}"/>
    <cellStyle name="Normal 29 7" xfId="3150" xr:uid="{00000000-0005-0000-0000-0000CB0C0000}"/>
    <cellStyle name="Normal 29 7 2" xfId="3151" xr:uid="{00000000-0005-0000-0000-0000CC0C0000}"/>
    <cellStyle name="Normal 29 7 2 2" xfId="3152" xr:uid="{00000000-0005-0000-0000-0000CD0C0000}"/>
    <cellStyle name="Normal 29 7 3" xfId="3153" xr:uid="{00000000-0005-0000-0000-0000CE0C0000}"/>
    <cellStyle name="Normal 29 8" xfId="3154" xr:uid="{00000000-0005-0000-0000-0000CF0C0000}"/>
    <cellStyle name="Normal 29 8 2" xfId="3155" xr:uid="{00000000-0005-0000-0000-0000D00C0000}"/>
    <cellStyle name="Normal 29 8 2 2" xfId="3156" xr:uid="{00000000-0005-0000-0000-0000D10C0000}"/>
    <cellStyle name="Normal 29 8 3" xfId="3157" xr:uid="{00000000-0005-0000-0000-0000D20C0000}"/>
    <cellStyle name="Normal 29 9" xfId="3158" xr:uid="{00000000-0005-0000-0000-0000D30C0000}"/>
    <cellStyle name="Normal 29 9 2" xfId="3159" xr:uid="{00000000-0005-0000-0000-0000D40C0000}"/>
    <cellStyle name="Normal 29 9 2 2" xfId="3160" xr:uid="{00000000-0005-0000-0000-0000D50C0000}"/>
    <cellStyle name="Normal 29 9 3" xfId="3161" xr:uid="{00000000-0005-0000-0000-0000D60C0000}"/>
    <cellStyle name="Normal 3" xfId="123" xr:uid="{00000000-0005-0000-0000-0000D70C0000}"/>
    <cellStyle name="Normal 3 2" xfId="124" xr:uid="{00000000-0005-0000-0000-0000D80C0000}"/>
    <cellStyle name="Normal 3 2 2" xfId="3162" xr:uid="{00000000-0005-0000-0000-0000D90C0000}"/>
    <cellStyle name="Normal 3 2 3" xfId="3163" xr:uid="{00000000-0005-0000-0000-0000DA0C0000}"/>
    <cellStyle name="Normal 3 2 4" xfId="4157" xr:uid="{00000000-0005-0000-0000-0000DB0C0000}"/>
    <cellStyle name="Normal 3 3" xfId="3164" xr:uid="{00000000-0005-0000-0000-0000DC0C0000}"/>
    <cellStyle name="Normal 3 3 2" xfId="3165" xr:uid="{00000000-0005-0000-0000-0000DD0C0000}"/>
    <cellStyle name="Normal 3 4" xfId="3166" xr:uid="{00000000-0005-0000-0000-0000DE0C0000}"/>
    <cellStyle name="Normal 3 4 2" xfId="3167" xr:uid="{00000000-0005-0000-0000-0000DF0C0000}"/>
    <cellStyle name="Normal 3 5" xfId="3168" xr:uid="{00000000-0005-0000-0000-0000E00C0000}"/>
    <cellStyle name="Normal 3 5 2" xfId="3169" xr:uid="{00000000-0005-0000-0000-0000E10C0000}"/>
    <cellStyle name="Normal 3 6" xfId="3170" xr:uid="{00000000-0005-0000-0000-0000E20C0000}"/>
    <cellStyle name="Normal 3 6 2" xfId="3171" xr:uid="{00000000-0005-0000-0000-0000E30C0000}"/>
    <cellStyle name="Normal 3 7" xfId="3172" xr:uid="{00000000-0005-0000-0000-0000E40C0000}"/>
    <cellStyle name="Normal 3 8" xfId="4700" xr:uid="{B7B5E00B-0624-49AF-B41F-C75AB166E125}"/>
    <cellStyle name="Normal 3_Attach O, GG, Support -New Method 2-14-11" xfId="4228" xr:uid="{00000000-0005-0000-0000-0000E50C0000}"/>
    <cellStyle name="Normal 30" xfId="3173" xr:uid="{00000000-0005-0000-0000-0000E60C0000}"/>
    <cellStyle name="Normal 30 10" xfId="3174" xr:uid="{00000000-0005-0000-0000-0000E70C0000}"/>
    <cellStyle name="Normal 30 10 2" xfId="3175" xr:uid="{00000000-0005-0000-0000-0000E80C0000}"/>
    <cellStyle name="Normal 30 10 2 2" xfId="3176" xr:uid="{00000000-0005-0000-0000-0000E90C0000}"/>
    <cellStyle name="Normal 30 10 3" xfId="3177" xr:uid="{00000000-0005-0000-0000-0000EA0C0000}"/>
    <cellStyle name="Normal 30 11" xfId="3178" xr:uid="{00000000-0005-0000-0000-0000EB0C0000}"/>
    <cellStyle name="Normal 30 11 2" xfId="3179" xr:uid="{00000000-0005-0000-0000-0000EC0C0000}"/>
    <cellStyle name="Normal 30 11 2 2" xfId="3180" xr:uid="{00000000-0005-0000-0000-0000ED0C0000}"/>
    <cellStyle name="Normal 30 11 3" xfId="3181" xr:uid="{00000000-0005-0000-0000-0000EE0C0000}"/>
    <cellStyle name="Normal 30 12" xfId="3182" xr:uid="{00000000-0005-0000-0000-0000EF0C0000}"/>
    <cellStyle name="Normal 30 12 2" xfId="3183" xr:uid="{00000000-0005-0000-0000-0000F00C0000}"/>
    <cellStyle name="Normal 30 12 2 2" xfId="3184" xr:uid="{00000000-0005-0000-0000-0000F10C0000}"/>
    <cellStyle name="Normal 30 12 3" xfId="3185" xr:uid="{00000000-0005-0000-0000-0000F20C0000}"/>
    <cellStyle name="Normal 30 13" xfId="3186" xr:uid="{00000000-0005-0000-0000-0000F30C0000}"/>
    <cellStyle name="Normal 30 13 2" xfId="3187" xr:uid="{00000000-0005-0000-0000-0000F40C0000}"/>
    <cellStyle name="Normal 30 13 2 2" xfId="3188" xr:uid="{00000000-0005-0000-0000-0000F50C0000}"/>
    <cellStyle name="Normal 30 13 3" xfId="3189" xr:uid="{00000000-0005-0000-0000-0000F60C0000}"/>
    <cellStyle name="Normal 30 14" xfId="3190" xr:uid="{00000000-0005-0000-0000-0000F70C0000}"/>
    <cellStyle name="Normal 30 14 2" xfId="3191" xr:uid="{00000000-0005-0000-0000-0000F80C0000}"/>
    <cellStyle name="Normal 30 14 2 2" xfId="3192" xr:uid="{00000000-0005-0000-0000-0000F90C0000}"/>
    <cellStyle name="Normal 30 14 3" xfId="3193" xr:uid="{00000000-0005-0000-0000-0000FA0C0000}"/>
    <cellStyle name="Normal 30 15" xfId="3194" xr:uid="{00000000-0005-0000-0000-0000FB0C0000}"/>
    <cellStyle name="Normal 30 15 2" xfId="3195" xr:uid="{00000000-0005-0000-0000-0000FC0C0000}"/>
    <cellStyle name="Normal 30 15 2 2" xfId="3196" xr:uid="{00000000-0005-0000-0000-0000FD0C0000}"/>
    <cellStyle name="Normal 30 15 3" xfId="3197" xr:uid="{00000000-0005-0000-0000-0000FE0C0000}"/>
    <cellStyle name="Normal 30 16" xfId="3198" xr:uid="{00000000-0005-0000-0000-0000FF0C0000}"/>
    <cellStyle name="Normal 30 16 2" xfId="3199" xr:uid="{00000000-0005-0000-0000-0000000D0000}"/>
    <cellStyle name="Normal 30 17" xfId="3200" xr:uid="{00000000-0005-0000-0000-0000010D0000}"/>
    <cellStyle name="Normal 30 17 2" xfId="3201" xr:uid="{00000000-0005-0000-0000-0000020D0000}"/>
    <cellStyle name="Normal 30 18" xfId="3202" xr:uid="{00000000-0005-0000-0000-0000030D0000}"/>
    <cellStyle name="Normal 30 18 2" xfId="3203" xr:uid="{00000000-0005-0000-0000-0000040D0000}"/>
    <cellStyle name="Normal 30 19" xfId="3204" xr:uid="{00000000-0005-0000-0000-0000050D0000}"/>
    <cellStyle name="Normal 30 19 2" xfId="3205" xr:uid="{00000000-0005-0000-0000-0000060D0000}"/>
    <cellStyle name="Normal 30 2" xfId="3206" xr:uid="{00000000-0005-0000-0000-0000070D0000}"/>
    <cellStyle name="Normal 30 2 2" xfId="3207" xr:uid="{00000000-0005-0000-0000-0000080D0000}"/>
    <cellStyle name="Normal 30 2 2 2" xfId="3208" xr:uid="{00000000-0005-0000-0000-0000090D0000}"/>
    <cellStyle name="Normal 30 2 3" xfId="3209" xr:uid="{00000000-0005-0000-0000-00000A0D0000}"/>
    <cellStyle name="Normal 30 20" xfId="3210" xr:uid="{00000000-0005-0000-0000-00000B0D0000}"/>
    <cellStyle name="Normal 30 20 2" xfId="3211" xr:uid="{00000000-0005-0000-0000-00000C0D0000}"/>
    <cellStyle name="Normal 30 21" xfId="3212" xr:uid="{00000000-0005-0000-0000-00000D0D0000}"/>
    <cellStyle name="Normal 30 21 2" xfId="3213" xr:uid="{00000000-0005-0000-0000-00000E0D0000}"/>
    <cellStyle name="Normal 30 22" xfId="3214" xr:uid="{00000000-0005-0000-0000-00000F0D0000}"/>
    <cellStyle name="Normal 30 3" xfId="3215" xr:uid="{00000000-0005-0000-0000-0000100D0000}"/>
    <cellStyle name="Normal 30 3 2" xfId="3216" xr:uid="{00000000-0005-0000-0000-0000110D0000}"/>
    <cellStyle name="Normal 30 3 2 2" xfId="3217" xr:uid="{00000000-0005-0000-0000-0000120D0000}"/>
    <cellStyle name="Normal 30 3 3" xfId="3218" xr:uid="{00000000-0005-0000-0000-0000130D0000}"/>
    <cellStyle name="Normal 30 4" xfId="3219" xr:uid="{00000000-0005-0000-0000-0000140D0000}"/>
    <cellStyle name="Normal 30 4 2" xfId="3220" xr:uid="{00000000-0005-0000-0000-0000150D0000}"/>
    <cellStyle name="Normal 30 4 2 2" xfId="3221" xr:uid="{00000000-0005-0000-0000-0000160D0000}"/>
    <cellStyle name="Normal 30 4 3" xfId="3222" xr:uid="{00000000-0005-0000-0000-0000170D0000}"/>
    <cellStyle name="Normal 30 5" xfId="3223" xr:uid="{00000000-0005-0000-0000-0000180D0000}"/>
    <cellStyle name="Normal 30 5 2" xfId="3224" xr:uid="{00000000-0005-0000-0000-0000190D0000}"/>
    <cellStyle name="Normal 30 5 2 2" xfId="3225" xr:uid="{00000000-0005-0000-0000-00001A0D0000}"/>
    <cellStyle name="Normal 30 5 3" xfId="3226" xr:uid="{00000000-0005-0000-0000-00001B0D0000}"/>
    <cellStyle name="Normal 30 6" xfId="3227" xr:uid="{00000000-0005-0000-0000-00001C0D0000}"/>
    <cellStyle name="Normal 30 6 2" xfId="3228" xr:uid="{00000000-0005-0000-0000-00001D0D0000}"/>
    <cellStyle name="Normal 30 6 2 2" xfId="3229" xr:uid="{00000000-0005-0000-0000-00001E0D0000}"/>
    <cellStyle name="Normal 30 6 3" xfId="3230" xr:uid="{00000000-0005-0000-0000-00001F0D0000}"/>
    <cellStyle name="Normal 30 7" xfId="3231" xr:uid="{00000000-0005-0000-0000-0000200D0000}"/>
    <cellStyle name="Normal 30 7 2" xfId="3232" xr:uid="{00000000-0005-0000-0000-0000210D0000}"/>
    <cellStyle name="Normal 30 7 2 2" xfId="3233" xr:uid="{00000000-0005-0000-0000-0000220D0000}"/>
    <cellStyle name="Normal 30 7 3" xfId="3234" xr:uid="{00000000-0005-0000-0000-0000230D0000}"/>
    <cellStyle name="Normal 30 8" xfId="3235" xr:uid="{00000000-0005-0000-0000-0000240D0000}"/>
    <cellStyle name="Normal 30 8 2" xfId="3236" xr:uid="{00000000-0005-0000-0000-0000250D0000}"/>
    <cellStyle name="Normal 30 8 2 2" xfId="3237" xr:uid="{00000000-0005-0000-0000-0000260D0000}"/>
    <cellStyle name="Normal 30 8 3" xfId="3238" xr:uid="{00000000-0005-0000-0000-0000270D0000}"/>
    <cellStyle name="Normal 30 9" xfId="3239" xr:uid="{00000000-0005-0000-0000-0000280D0000}"/>
    <cellStyle name="Normal 30 9 2" xfId="3240" xr:uid="{00000000-0005-0000-0000-0000290D0000}"/>
    <cellStyle name="Normal 30 9 2 2" xfId="3241" xr:uid="{00000000-0005-0000-0000-00002A0D0000}"/>
    <cellStyle name="Normal 30 9 3" xfId="3242" xr:uid="{00000000-0005-0000-0000-00002B0D0000}"/>
    <cellStyle name="Normal 31" xfId="3243" xr:uid="{00000000-0005-0000-0000-00002C0D0000}"/>
    <cellStyle name="Normal 31 10" xfId="3244" xr:uid="{00000000-0005-0000-0000-00002D0D0000}"/>
    <cellStyle name="Normal 31 10 2" xfId="3245" xr:uid="{00000000-0005-0000-0000-00002E0D0000}"/>
    <cellStyle name="Normal 31 10 2 2" xfId="3246" xr:uid="{00000000-0005-0000-0000-00002F0D0000}"/>
    <cellStyle name="Normal 31 10 3" xfId="3247" xr:uid="{00000000-0005-0000-0000-0000300D0000}"/>
    <cellStyle name="Normal 31 10 3 2" xfId="3248" xr:uid="{00000000-0005-0000-0000-0000310D0000}"/>
    <cellStyle name="Normal 31 10 4" xfId="3249" xr:uid="{00000000-0005-0000-0000-0000320D0000}"/>
    <cellStyle name="Normal 31 11" xfId="3250" xr:uid="{00000000-0005-0000-0000-0000330D0000}"/>
    <cellStyle name="Normal 31 11 2" xfId="3251" xr:uid="{00000000-0005-0000-0000-0000340D0000}"/>
    <cellStyle name="Normal 31 11 2 2" xfId="3252" xr:uid="{00000000-0005-0000-0000-0000350D0000}"/>
    <cellStyle name="Normal 31 11 3" xfId="3253" xr:uid="{00000000-0005-0000-0000-0000360D0000}"/>
    <cellStyle name="Normal 31 12" xfId="3254" xr:uid="{00000000-0005-0000-0000-0000370D0000}"/>
    <cellStyle name="Normal 31 12 2" xfId="3255" xr:uid="{00000000-0005-0000-0000-0000380D0000}"/>
    <cellStyle name="Normal 31 12 2 2" xfId="3256" xr:uid="{00000000-0005-0000-0000-0000390D0000}"/>
    <cellStyle name="Normal 31 12 3" xfId="3257" xr:uid="{00000000-0005-0000-0000-00003A0D0000}"/>
    <cellStyle name="Normal 31 13" xfId="3258" xr:uid="{00000000-0005-0000-0000-00003B0D0000}"/>
    <cellStyle name="Normal 31 13 2" xfId="3259" xr:uid="{00000000-0005-0000-0000-00003C0D0000}"/>
    <cellStyle name="Normal 31 13 2 2" xfId="3260" xr:uid="{00000000-0005-0000-0000-00003D0D0000}"/>
    <cellStyle name="Normal 31 13 3" xfId="3261" xr:uid="{00000000-0005-0000-0000-00003E0D0000}"/>
    <cellStyle name="Normal 31 14" xfId="3262" xr:uid="{00000000-0005-0000-0000-00003F0D0000}"/>
    <cellStyle name="Normal 31 14 2" xfId="3263" xr:uid="{00000000-0005-0000-0000-0000400D0000}"/>
    <cellStyle name="Normal 31 14 2 2" xfId="3264" xr:uid="{00000000-0005-0000-0000-0000410D0000}"/>
    <cellStyle name="Normal 31 14 3" xfId="3265" xr:uid="{00000000-0005-0000-0000-0000420D0000}"/>
    <cellStyle name="Normal 31 15" xfId="3266" xr:uid="{00000000-0005-0000-0000-0000430D0000}"/>
    <cellStyle name="Normal 31 15 2" xfId="3267" xr:uid="{00000000-0005-0000-0000-0000440D0000}"/>
    <cellStyle name="Normal 31 15 2 2" xfId="3268" xr:uid="{00000000-0005-0000-0000-0000450D0000}"/>
    <cellStyle name="Normal 31 15 3" xfId="3269" xr:uid="{00000000-0005-0000-0000-0000460D0000}"/>
    <cellStyle name="Normal 31 16" xfId="3270" xr:uid="{00000000-0005-0000-0000-0000470D0000}"/>
    <cellStyle name="Normal 31 16 2" xfId="3271" xr:uid="{00000000-0005-0000-0000-0000480D0000}"/>
    <cellStyle name="Normal 31 17" xfId="3272" xr:uid="{00000000-0005-0000-0000-0000490D0000}"/>
    <cellStyle name="Normal 31 17 2" xfId="3273" xr:uid="{00000000-0005-0000-0000-00004A0D0000}"/>
    <cellStyle name="Normal 31 2" xfId="3274" xr:uid="{00000000-0005-0000-0000-00004B0D0000}"/>
    <cellStyle name="Normal 31 2 2" xfId="3275" xr:uid="{00000000-0005-0000-0000-00004C0D0000}"/>
    <cellStyle name="Normal 31 2 2 2" xfId="3276" xr:uid="{00000000-0005-0000-0000-00004D0D0000}"/>
    <cellStyle name="Normal 31 2 3" xfId="3277" xr:uid="{00000000-0005-0000-0000-00004E0D0000}"/>
    <cellStyle name="Normal 31 3" xfId="3278" xr:uid="{00000000-0005-0000-0000-00004F0D0000}"/>
    <cellStyle name="Normal 31 3 2" xfId="3279" xr:uid="{00000000-0005-0000-0000-0000500D0000}"/>
    <cellStyle name="Normal 31 3 2 2" xfId="3280" xr:uid="{00000000-0005-0000-0000-0000510D0000}"/>
    <cellStyle name="Normal 31 3 3" xfId="3281" xr:uid="{00000000-0005-0000-0000-0000520D0000}"/>
    <cellStyle name="Normal 31 4" xfId="3282" xr:uid="{00000000-0005-0000-0000-0000530D0000}"/>
    <cellStyle name="Normal 31 4 2" xfId="3283" xr:uid="{00000000-0005-0000-0000-0000540D0000}"/>
    <cellStyle name="Normal 31 4 2 2" xfId="3284" xr:uid="{00000000-0005-0000-0000-0000550D0000}"/>
    <cellStyle name="Normal 31 4 3" xfId="3285" xr:uid="{00000000-0005-0000-0000-0000560D0000}"/>
    <cellStyle name="Normal 31 5" xfId="3286" xr:uid="{00000000-0005-0000-0000-0000570D0000}"/>
    <cellStyle name="Normal 31 5 2" xfId="3287" xr:uid="{00000000-0005-0000-0000-0000580D0000}"/>
    <cellStyle name="Normal 31 5 2 2" xfId="3288" xr:uid="{00000000-0005-0000-0000-0000590D0000}"/>
    <cellStyle name="Normal 31 5 3" xfId="3289" xr:uid="{00000000-0005-0000-0000-00005A0D0000}"/>
    <cellStyle name="Normal 31 6" xfId="3290" xr:uid="{00000000-0005-0000-0000-00005B0D0000}"/>
    <cellStyle name="Normal 31 6 2" xfId="3291" xr:uid="{00000000-0005-0000-0000-00005C0D0000}"/>
    <cellStyle name="Normal 31 6 2 2" xfId="3292" xr:uid="{00000000-0005-0000-0000-00005D0D0000}"/>
    <cellStyle name="Normal 31 6 3" xfId="3293" xr:uid="{00000000-0005-0000-0000-00005E0D0000}"/>
    <cellStyle name="Normal 31 7" xfId="3294" xr:uid="{00000000-0005-0000-0000-00005F0D0000}"/>
    <cellStyle name="Normal 31 7 2" xfId="3295" xr:uid="{00000000-0005-0000-0000-0000600D0000}"/>
    <cellStyle name="Normal 31 7 2 2" xfId="3296" xr:uid="{00000000-0005-0000-0000-0000610D0000}"/>
    <cellStyle name="Normal 31 7 3" xfId="3297" xr:uid="{00000000-0005-0000-0000-0000620D0000}"/>
    <cellStyle name="Normal 31 8" xfId="3298" xr:uid="{00000000-0005-0000-0000-0000630D0000}"/>
    <cellStyle name="Normal 31 8 2" xfId="3299" xr:uid="{00000000-0005-0000-0000-0000640D0000}"/>
    <cellStyle name="Normal 31 8 2 2" xfId="3300" xr:uid="{00000000-0005-0000-0000-0000650D0000}"/>
    <cellStyle name="Normal 31 8 3" xfId="3301" xr:uid="{00000000-0005-0000-0000-0000660D0000}"/>
    <cellStyle name="Normal 31 9" xfId="3302" xr:uid="{00000000-0005-0000-0000-0000670D0000}"/>
    <cellStyle name="Normal 31 9 2" xfId="3303" xr:uid="{00000000-0005-0000-0000-0000680D0000}"/>
    <cellStyle name="Normal 31 9 2 2" xfId="3304" xr:uid="{00000000-0005-0000-0000-0000690D0000}"/>
    <cellStyle name="Normal 31 9 3" xfId="3305" xr:uid="{00000000-0005-0000-0000-00006A0D0000}"/>
    <cellStyle name="Normal 32" xfId="3306" xr:uid="{00000000-0005-0000-0000-00006B0D0000}"/>
    <cellStyle name="Normal 32 10" xfId="3307" xr:uid="{00000000-0005-0000-0000-00006C0D0000}"/>
    <cellStyle name="Normal 32 10 2" xfId="3308" xr:uid="{00000000-0005-0000-0000-00006D0D0000}"/>
    <cellStyle name="Normal 32 10 2 2" xfId="3309" xr:uid="{00000000-0005-0000-0000-00006E0D0000}"/>
    <cellStyle name="Normal 32 10 3" xfId="3310" xr:uid="{00000000-0005-0000-0000-00006F0D0000}"/>
    <cellStyle name="Normal 32 10 3 2" xfId="3311" xr:uid="{00000000-0005-0000-0000-0000700D0000}"/>
    <cellStyle name="Normal 32 10 4" xfId="3312" xr:uid="{00000000-0005-0000-0000-0000710D0000}"/>
    <cellStyle name="Normal 32 11" xfId="3313" xr:uid="{00000000-0005-0000-0000-0000720D0000}"/>
    <cellStyle name="Normal 32 11 2" xfId="3314" xr:uid="{00000000-0005-0000-0000-0000730D0000}"/>
    <cellStyle name="Normal 32 11 2 2" xfId="3315" xr:uid="{00000000-0005-0000-0000-0000740D0000}"/>
    <cellStyle name="Normal 32 11 3" xfId="3316" xr:uid="{00000000-0005-0000-0000-0000750D0000}"/>
    <cellStyle name="Normal 32 12" xfId="3317" xr:uid="{00000000-0005-0000-0000-0000760D0000}"/>
    <cellStyle name="Normal 32 12 2" xfId="3318" xr:uid="{00000000-0005-0000-0000-0000770D0000}"/>
    <cellStyle name="Normal 32 12 2 2" xfId="3319" xr:uid="{00000000-0005-0000-0000-0000780D0000}"/>
    <cellStyle name="Normal 32 12 3" xfId="3320" xr:uid="{00000000-0005-0000-0000-0000790D0000}"/>
    <cellStyle name="Normal 32 13" xfId="3321" xr:uid="{00000000-0005-0000-0000-00007A0D0000}"/>
    <cellStyle name="Normal 32 13 2" xfId="3322" xr:uid="{00000000-0005-0000-0000-00007B0D0000}"/>
    <cellStyle name="Normal 32 13 2 2" xfId="3323" xr:uid="{00000000-0005-0000-0000-00007C0D0000}"/>
    <cellStyle name="Normal 32 13 3" xfId="3324" xr:uid="{00000000-0005-0000-0000-00007D0D0000}"/>
    <cellStyle name="Normal 32 14" xfId="3325" xr:uid="{00000000-0005-0000-0000-00007E0D0000}"/>
    <cellStyle name="Normal 32 14 2" xfId="3326" xr:uid="{00000000-0005-0000-0000-00007F0D0000}"/>
    <cellStyle name="Normal 32 14 2 2" xfId="3327" xr:uid="{00000000-0005-0000-0000-0000800D0000}"/>
    <cellStyle name="Normal 32 14 3" xfId="3328" xr:uid="{00000000-0005-0000-0000-0000810D0000}"/>
    <cellStyle name="Normal 32 15" xfId="3329" xr:uid="{00000000-0005-0000-0000-0000820D0000}"/>
    <cellStyle name="Normal 32 15 2" xfId="3330" xr:uid="{00000000-0005-0000-0000-0000830D0000}"/>
    <cellStyle name="Normal 32 15 2 2" xfId="3331" xr:uid="{00000000-0005-0000-0000-0000840D0000}"/>
    <cellStyle name="Normal 32 15 3" xfId="3332" xr:uid="{00000000-0005-0000-0000-0000850D0000}"/>
    <cellStyle name="Normal 32 16" xfId="3333" xr:uid="{00000000-0005-0000-0000-0000860D0000}"/>
    <cellStyle name="Normal 32 16 2" xfId="3334" xr:uid="{00000000-0005-0000-0000-0000870D0000}"/>
    <cellStyle name="Normal 32 2" xfId="3335" xr:uid="{00000000-0005-0000-0000-0000880D0000}"/>
    <cellStyle name="Normal 32 2 2" xfId="3336" xr:uid="{00000000-0005-0000-0000-0000890D0000}"/>
    <cellStyle name="Normal 32 2 2 2" xfId="3337" xr:uid="{00000000-0005-0000-0000-00008A0D0000}"/>
    <cellStyle name="Normal 32 2 3" xfId="3338" xr:uid="{00000000-0005-0000-0000-00008B0D0000}"/>
    <cellStyle name="Normal 32 3" xfId="3339" xr:uid="{00000000-0005-0000-0000-00008C0D0000}"/>
    <cellStyle name="Normal 32 3 2" xfId="3340" xr:uid="{00000000-0005-0000-0000-00008D0D0000}"/>
    <cellStyle name="Normal 32 3 2 2" xfId="3341" xr:uid="{00000000-0005-0000-0000-00008E0D0000}"/>
    <cellStyle name="Normal 32 3 3" xfId="3342" xr:uid="{00000000-0005-0000-0000-00008F0D0000}"/>
    <cellStyle name="Normal 32 4" xfId="3343" xr:uid="{00000000-0005-0000-0000-0000900D0000}"/>
    <cellStyle name="Normal 32 4 2" xfId="3344" xr:uid="{00000000-0005-0000-0000-0000910D0000}"/>
    <cellStyle name="Normal 32 4 2 2" xfId="3345" xr:uid="{00000000-0005-0000-0000-0000920D0000}"/>
    <cellStyle name="Normal 32 4 3" xfId="3346" xr:uid="{00000000-0005-0000-0000-0000930D0000}"/>
    <cellStyle name="Normal 32 5" xfId="3347" xr:uid="{00000000-0005-0000-0000-0000940D0000}"/>
    <cellStyle name="Normal 32 5 2" xfId="3348" xr:uid="{00000000-0005-0000-0000-0000950D0000}"/>
    <cellStyle name="Normal 32 5 2 2" xfId="3349" xr:uid="{00000000-0005-0000-0000-0000960D0000}"/>
    <cellStyle name="Normal 32 5 3" xfId="3350" xr:uid="{00000000-0005-0000-0000-0000970D0000}"/>
    <cellStyle name="Normal 32 6" xfId="3351" xr:uid="{00000000-0005-0000-0000-0000980D0000}"/>
    <cellStyle name="Normal 32 6 2" xfId="3352" xr:uid="{00000000-0005-0000-0000-0000990D0000}"/>
    <cellStyle name="Normal 32 6 2 2" xfId="3353" xr:uid="{00000000-0005-0000-0000-00009A0D0000}"/>
    <cellStyle name="Normal 32 6 3" xfId="3354" xr:uid="{00000000-0005-0000-0000-00009B0D0000}"/>
    <cellStyle name="Normal 32 7" xfId="3355" xr:uid="{00000000-0005-0000-0000-00009C0D0000}"/>
    <cellStyle name="Normal 32 7 2" xfId="3356" xr:uid="{00000000-0005-0000-0000-00009D0D0000}"/>
    <cellStyle name="Normal 32 7 2 2" xfId="3357" xr:uid="{00000000-0005-0000-0000-00009E0D0000}"/>
    <cellStyle name="Normal 32 7 3" xfId="3358" xr:uid="{00000000-0005-0000-0000-00009F0D0000}"/>
    <cellStyle name="Normal 32 8" xfId="3359" xr:uid="{00000000-0005-0000-0000-0000A00D0000}"/>
    <cellStyle name="Normal 32 8 2" xfId="3360" xr:uid="{00000000-0005-0000-0000-0000A10D0000}"/>
    <cellStyle name="Normal 32 8 2 2" xfId="3361" xr:uid="{00000000-0005-0000-0000-0000A20D0000}"/>
    <cellStyle name="Normal 32 8 3" xfId="3362" xr:uid="{00000000-0005-0000-0000-0000A30D0000}"/>
    <cellStyle name="Normal 32 9" xfId="3363" xr:uid="{00000000-0005-0000-0000-0000A40D0000}"/>
    <cellStyle name="Normal 32 9 2" xfId="3364" xr:uid="{00000000-0005-0000-0000-0000A50D0000}"/>
    <cellStyle name="Normal 32 9 2 2" xfId="3365" xr:uid="{00000000-0005-0000-0000-0000A60D0000}"/>
    <cellStyle name="Normal 32 9 3" xfId="3366" xr:uid="{00000000-0005-0000-0000-0000A70D0000}"/>
    <cellStyle name="Normal 33" xfId="3367" xr:uid="{00000000-0005-0000-0000-0000A80D0000}"/>
    <cellStyle name="Normal 33 2" xfId="3368" xr:uid="{00000000-0005-0000-0000-0000A90D0000}"/>
    <cellStyle name="Normal 33 2 2" xfId="3369" xr:uid="{00000000-0005-0000-0000-0000AA0D0000}"/>
    <cellStyle name="Normal 33 3" xfId="3370" xr:uid="{00000000-0005-0000-0000-0000AB0D0000}"/>
    <cellStyle name="Normal 33 3 2" xfId="3371" xr:uid="{00000000-0005-0000-0000-0000AC0D0000}"/>
    <cellStyle name="Normal 33 4" xfId="3372" xr:uid="{00000000-0005-0000-0000-0000AD0D0000}"/>
    <cellStyle name="Normal 33 4 2" xfId="3373" xr:uid="{00000000-0005-0000-0000-0000AE0D0000}"/>
    <cellStyle name="Normal 33 5" xfId="3374" xr:uid="{00000000-0005-0000-0000-0000AF0D0000}"/>
    <cellStyle name="Normal 33 5 2" xfId="3375" xr:uid="{00000000-0005-0000-0000-0000B00D0000}"/>
    <cellStyle name="Normal 33 6" xfId="3376" xr:uid="{00000000-0005-0000-0000-0000B10D0000}"/>
    <cellStyle name="Normal 33 6 2" xfId="3377" xr:uid="{00000000-0005-0000-0000-0000B20D0000}"/>
    <cellStyle name="Normal 33 7" xfId="3378" xr:uid="{00000000-0005-0000-0000-0000B30D0000}"/>
    <cellStyle name="Normal 33 7 2" xfId="3379" xr:uid="{00000000-0005-0000-0000-0000B40D0000}"/>
    <cellStyle name="Normal 33 8" xfId="3380" xr:uid="{00000000-0005-0000-0000-0000B50D0000}"/>
    <cellStyle name="Normal 34" xfId="3381" xr:uid="{00000000-0005-0000-0000-0000B60D0000}"/>
    <cellStyle name="Normal 34 2" xfId="3382" xr:uid="{00000000-0005-0000-0000-0000B70D0000}"/>
    <cellStyle name="Normal 34 2 2" xfId="3383" xr:uid="{00000000-0005-0000-0000-0000B80D0000}"/>
    <cellStyle name="Normal 34 3" xfId="3384" xr:uid="{00000000-0005-0000-0000-0000B90D0000}"/>
    <cellStyle name="Normal 34 3 2" xfId="3385" xr:uid="{00000000-0005-0000-0000-0000BA0D0000}"/>
    <cellStyle name="Normal 34 4" xfId="3386" xr:uid="{00000000-0005-0000-0000-0000BB0D0000}"/>
    <cellStyle name="Normal 34 4 2" xfId="3387" xr:uid="{00000000-0005-0000-0000-0000BC0D0000}"/>
    <cellStyle name="Normal 34 5" xfId="3388" xr:uid="{00000000-0005-0000-0000-0000BD0D0000}"/>
    <cellStyle name="Normal 34 5 2" xfId="3389" xr:uid="{00000000-0005-0000-0000-0000BE0D0000}"/>
    <cellStyle name="Normal 34 6" xfId="3390" xr:uid="{00000000-0005-0000-0000-0000BF0D0000}"/>
    <cellStyle name="Normal 34 6 2" xfId="3391" xr:uid="{00000000-0005-0000-0000-0000C00D0000}"/>
    <cellStyle name="Normal 34 7" xfId="3392" xr:uid="{00000000-0005-0000-0000-0000C10D0000}"/>
    <cellStyle name="Normal 34 7 2" xfId="3393" xr:uid="{00000000-0005-0000-0000-0000C20D0000}"/>
    <cellStyle name="Normal 34 8" xfId="3394" xr:uid="{00000000-0005-0000-0000-0000C30D0000}"/>
    <cellStyle name="Normal 35" xfId="3395" xr:uid="{00000000-0005-0000-0000-0000C40D0000}"/>
    <cellStyle name="Normal 35 2" xfId="3396" xr:uid="{00000000-0005-0000-0000-0000C50D0000}"/>
    <cellStyle name="Normal 35 2 2" xfId="3397" xr:uid="{00000000-0005-0000-0000-0000C60D0000}"/>
    <cellStyle name="Normal 35 3" xfId="3398" xr:uid="{00000000-0005-0000-0000-0000C70D0000}"/>
    <cellStyle name="Normal 35 3 2" xfId="3399" xr:uid="{00000000-0005-0000-0000-0000C80D0000}"/>
    <cellStyle name="Normal 35 4" xfId="3400" xr:uid="{00000000-0005-0000-0000-0000C90D0000}"/>
    <cellStyle name="Normal 36" xfId="3401" xr:uid="{00000000-0005-0000-0000-0000CA0D0000}"/>
    <cellStyle name="Normal 36 2" xfId="3402" xr:uid="{00000000-0005-0000-0000-0000CB0D0000}"/>
    <cellStyle name="Normal 36 2 2" xfId="3403" xr:uid="{00000000-0005-0000-0000-0000CC0D0000}"/>
    <cellStyle name="Normal 36 3" xfId="3404" xr:uid="{00000000-0005-0000-0000-0000CD0D0000}"/>
    <cellStyle name="Normal 37" xfId="3405" xr:uid="{00000000-0005-0000-0000-0000CE0D0000}"/>
    <cellStyle name="Normal 37 2" xfId="3406" xr:uid="{00000000-0005-0000-0000-0000CF0D0000}"/>
    <cellStyle name="Normal 37 2 2" xfId="3407" xr:uid="{00000000-0005-0000-0000-0000D00D0000}"/>
    <cellStyle name="Normal 37 3" xfId="3408" xr:uid="{00000000-0005-0000-0000-0000D10D0000}"/>
    <cellStyle name="Normal 37 3 2" xfId="3409" xr:uid="{00000000-0005-0000-0000-0000D20D0000}"/>
    <cellStyle name="Normal 37 4" xfId="3410" xr:uid="{00000000-0005-0000-0000-0000D30D0000}"/>
    <cellStyle name="Normal 37 4 2" xfId="3411" xr:uid="{00000000-0005-0000-0000-0000D40D0000}"/>
    <cellStyle name="Normal 37 5" xfId="3412" xr:uid="{00000000-0005-0000-0000-0000D50D0000}"/>
    <cellStyle name="Normal 37 5 2" xfId="3413" xr:uid="{00000000-0005-0000-0000-0000D60D0000}"/>
    <cellStyle name="Normal 37 6" xfId="3414" xr:uid="{00000000-0005-0000-0000-0000D70D0000}"/>
    <cellStyle name="Normal 37 6 2" xfId="3415" xr:uid="{00000000-0005-0000-0000-0000D80D0000}"/>
    <cellStyle name="Normal 37 7" xfId="3416" xr:uid="{00000000-0005-0000-0000-0000D90D0000}"/>
    <cellStyle name="Normal 37 7 2" xfId="3417" xr:uid="{00000000-0005-0000-0000-0000DA0D0000}"/>
    <cellStyle name="Normal 37 8" xfId="3418" xr:uid="{00000000-0005-0000-0000-0000DB0D0000}"/>
    <cellStyle name="Normal 38" xfId="3419" xr:uid="{00000000-0005-0000-0000-0000DC0D0000}"/>
    <cellStyle name="Normal 38 2" xfId="3420" xr:uid="{00000000-0005-0000-0000-0000DD0D0000}"/>
    <cellStyle name="Normal 38 2 2" xfId="3421" xr:uid="{00000000-0005-0000-0000-0000DE0D0000}"/>
    <cellStyle name="Normal 38 3" xfId="3422" xr:uid="{00000000-0005-0000-0000-0000DF0D0000}"/>
    <cellStyle name="Normal 38 3 2" xfId="3423" xr:uid="{00000000-0005-0000-0000-0000E00D0000}"/>
    <cellStyle name="Normal 39" xfId="3424" xr:uid="{00000000-0005-0000-0000-0000E10D0000}"/>
    <cellStyle name="Normal 39 2" xfId="3425" xr:uid="{00000000-0005-0000-0000-0000E20D0000}"/>
    <cellStyle name="Normal 39 2 2" xfId="3426" xr:uid="{00000000-0005-0000-0000-0000E30D0000}"/>
    <cellStyle name="Normal 39 3" xfId="3427" xr:uid="{00000000-0005-0000-0000-0000E40D0000}"/>
    <cellStyle name="Normal 39 3 2" xfId="3428" xr:uid="{00000000-0005-0000-0000-0000E50D0000}"/>
    <cellStyle name="Normal 39 4" xfId="3429" xr:uid="{00000000-0005-0000-0000-0000E60D0000}"/>
    <cellStyle name="Normal 39 4 2" xfId="3430" xr:uid="{00000000-0005-0000-0000-0000E70D0000}"/>
    <cellStyle name="Normal 39 5" xfId="3431" xr:uid="{00000000-0005-0000-0000-0000E80D0000}"/>
    <cellStyle name="Normal 39 5 2" xfId="3432" xr:uid="{00000000-0005-0000-0000-0000E90D0000}"/>
    <cellStyle name="Normal 39 6" xfId="3433" xr:uid="{00000000-0005-0000-0000-0000EA0D0000}"/>
    <cellStyle name="Normal 39 6 2" xfId="3434" xr:uid="{00000000-0005-0000-0000-0000EB0D0000}"/>
    <cellStyle name="Normal 39 7" xfId="3435" xr:uid="{00000000-0005-0000-0000-0000EC0D0000}"/>
    <cellStyle name="Normal 39 7 2" xfId="3436" xr:uid="{00000000-0005-0000-0000-0000ED0D0000}"/>
    <cellStyle name="Normal 39 8" xfId="3437" xr:uid="{00000000-0005-0000-0000-0000EE0D0000}"/>
    <cellStyle name="Normal 4" xfId="3438" xr:uid="{00000000-0005-0000-0000-0000EF0D0000}"/>
    <cellStyle name="Normal 4 10" xfId="3439" xr:uid="{00000000-0005-0000-0000-0000F00D0000}"/>
    <cellStyle name="Normal 4 10 2" xfId="3440" xr:uid="{00000000-0005-0000-0000-0000F10D0000}"/>
    <cellStyle name="Normal 4 10 2 2" xfId="3441" xr:uid="{00000000-0005-0000-0000-0000F20D0000}"/>
    <cellStyle name="Normal 4 10 3" xfId="3442" xr:uid="{00000000-0005-0000-0000-0000F30D0000}"/>
    <cellStyle name="Normal 4 11" xfId="3443" xr:uid="{00000000-0005-0000-0000-0000F40D0000}"/>
    <cellStyle name="Normal 4 11 2" xfId="3444" xr:uid="{00000000-0005-0000-0000-0000F50D0000}"/>
    <cellStyle name="Normal 4 11 2 2" xfId="3445" xr:uid="{00000000-0005-0000-0000-0000F60D0000}"/>
    <cellStyle name="Normal 4 11 3" xfId="3446" xr:uid="{00000000-0005-0000-0000-0000F70D0000}"/>
    <cellStyle name="Normal 4 12" xfId="3447" xr:uid="{00000000-0005-0000-0000-0000F80D0000}"/>
    <cellStyle name="Normal 4 12 2" xfId="3448" xr:uid="{00000000-0005-0000-0000-0000F90D0000}"/>
    <cellStyle name="Normal 4 12 2 2" xfId="3449" xr:uid="{00000000-0005-0000-0000-0000FA0D0000}"/>
    <cellStyle name="Normal 4 12 3" xfId="3450" xr:uid="{00000000-0005-0000-0000-0000FB0D0000}"/>
    <cellStyle name="Normal 4 13" xfId="3451" xr:uid="{00000000-0005-0000-0000-0000FC0D0000}"/>
    <cellStyle name="Normal 4 13 2" xfId="3452" xr:uid="{00000000-0005-0000-0000-0000FD0D0000}"/>
    <cellStyle name="Normal 4 13 2 2" xfId="3453" xr:uid="{00000000-0005-0000-0000-0000FE0D0000}"/>
    <cellStyle name="Normal 4 13 3" xfId="3454" xr:uid="{00000000-0005-0000-0000-0000FF0D0000}"/>
    <cellStyle name="Normal 4 14" xfId="3455" xr:uid="{00000000-0005-0000-0000-0000000E0000}"/>
    <cellStyle name="Normal 4 14 2" xfId="3456" xr:uid="{00000000-0005-0000-0000-0000010E0000}"/>
    <cellStyle name="Normal 4 14 2 2" xfId="3457" xr:uid="{00000000-0005-0000-0000-0000020E0000}"/>
    <cellStyle name="Normal 4 14 3" xfId="3458" xr:uid="{00000000-0005-0000-0000-0000030E0000}"/>
    <cellStyle name="Normal 4 15" xfId="3459" xr:uid="{00000000-0005-0000-0000-0000040E0000}"/>
    <cellStyle name="Normal 4 15 2" xfId="3460" xr:uid="{00000000-0005-0000-0000-0000050E0000}"/>
    <cellStyle name="Normal 4 15 2 2" xfId="3461" xr:uid="{00000000-0005-0000-0000-0000060E0000}"/>
    <cellStyle name="Normal 4 15 3" xfId="3462" xr:uid="{00000000-0005-0000-0000-0000070E0000}"/>
    <cellStyle name="Normal 4 16" xfId="3463" xr:uid="{00000000-0005-0000-0000-0000080E0000}"/>
    <cellStyle name="Normal 4 16 2" xfId="3464" xr:uid="{00000000-0005-0000-0000-0000090E0000}"/>
    <cellStyle name="Normal 4 17" xfId="3465" xr:uid="{00000000-0005-0000-0000-00000A0E0000}"/>
    <cellStyle name="Normal 4 17 2" xfId="3466" xr:uid="{00000000-0005-0000-0000-00000B0E0000}"/>
    <cellStyle name="Normal 4 18" xfId="3467" xr:uid="{00000000-0005-0000-0000-00000C0E0000}"/>
    <cellStyle name="Normal 4 19" xfId="3468" xr:uid="{00000000-0005-0000-0000-00000D0E0000}"/>
    <cellStyle name="Normal 4 2" xfId="3469" xr:uid="{00000000-0005-0000-0000-00000E0E0000}"/>
    <cellStyle name="Normal 4 2 2" xfId="3470" xr:uid="{00000000-0005-0000-0000-00000F0E0000}"/>
    <cellStyle name="Normal 4 2 2 2" xfId="3471" xr:uid="{00000000-0005-0000-0000-0000100E0000}"/>
    <cellStyle name="Normal 4 2 3" xfId="3472" xr:uid="{00000000-0005-0000-0000-0000110E0000}"/>
    <cellStyle name="Normal 4 2 4" xfId="3473" xr:uid="{00000000-0005-0000-0000-0000120E0000}"/>
    <cellStyle name="Normal 4 3" xfId="3474" xr:uid="{00000000-0005-0000-0000-0000130E0000}"/>
    <cellStyle name="Normal 4 3 2" xfId="3475" xr:uid="{00000000-0005-0000-0000-0000140E0000}"/>
    <cellStyle name="Normal 4 3 2 2" xfId="3476" xr:uid="{00000000-0005-0000-0000-0000150E0000}"/>
    <cellStyle name="Normal 4 3 3" xfId="3477" xr:uid="{00000000-0005-0000-0000-0000160E0000}"/>
    <cellStyle name="Normal 4 4" xfId="3478" xr:uid="{00000000-0005-0000-0000-0000170E0000}"/>
    <cellStyle name="Normal 4 4 2" xfId="3479" xr:uid="{00000000-0005-0000-0000-0000180E0000}"/>
    <cellStyle name="Normal 4 4 2 2" xfId="3480" xr:uid="{00000000-0005-0000-0000-0000190E0000}"/>
    <cellStyle name="Normal 4 4 3" xfId="3481" xr:uid="{00000000-0005-0000-0000-00001A0E0000}"/>
    <cellStyle name="Normal 4 5" xfId="3482" xr:uid="{00000000-0005-0000-0000-00001B0E0000}"/>
    <cellStyle name="Normal 4 5 2" xfId="3483" xr:uid="{00000000-0005-0000-0000-00001C0E0000}"/>
    <cellStyle name="Normal 4 5 2 2" xfId="3484" xr:uid="{00000000-0005-0000-0000-00001D0E0000}"/>
    <cellStyle name="Normal 4 5 3" xfId="3485" xr:uid="{00000000-0005-0000-0000-00001E0E0000}"/>
    <cellStyle name="Normal 4 6" xfId="3486" xr:uid="{00000000-0005-0000-0000-00001F0E0000}"/>
    <cellStyle name="Normal 4 6 2" xfId="3487" xr:uid="{00000000-0005-0000-0000-0000200E0000}"/>
    <cellStyle name="Normal 4 6 2 2" xfId="3488" xr:uid="{00000000-0005-0000-0000-0000210E0000}"/>
    <cellStyle name="Normal 4 6 3" xfId="3489" xr:uid="{00000000-0005-0000-0000-0000220E0000}"/>
    <cellStyle name="Normal 4 7" xfId="3490" xr:uid="{00000000-0005-0000-0000-0000230E0000}"/>
    <cellStyle name="Normal 4 7 2" xfId="3491" xr:uid="{00000000-0005-0000-0000-0000240E0000}"/>
    <cellStyle name="Normal 4 7 2 2" xfId="3492" xr:uid="{00000000-0005-0000-0000-0000250E0000}"/>
    <cellStyle name="Normal 4 7 3" xfId="3493" xr:uid="{00000000-0005-0000-0000-0000260E0000}"/>
    <cellStyle name="Normal 4 8" xfId="3494" xr:uid="{00000000-0005-0000-0000-0000270E0000}"/>
    <cellStyle name="Normal 4 8 2" xfId="3495" xr:uid="{00000000-0005-0000-0000-0000280E0000}"/>
    <cellStyle name="Normal 4 8 2 2" xfId="3496" xr:uid="{00000000-0005-0000-0000-0000290E0000}"/>
    <cellStyle name="Normal 4 8 3" xfId="3497" xr:uid="{00000000-0005-0000-0000-00002A0E0000}"/>
    <cellStyle name="Normal 4 9" xfId="3498" xr:uid="{00000000-0005-0000-0000-00002B0E0000}"/>
    <cellStyle name="Normal 4 9 2" xfId="3499" xr:uid="{00000000-0005-0000-0000-00002C0E0000}"/>
    <cellStyle name="Normal 4 9 2 2" xfId="3500" xr:uid="{00000000-0005-0000-0000-00002D0E0000}"/>
    <cellStyle name="Normal 4 9 3" xfId="3501" xr:uid="{00000000-0005-0000-0000-00002E0E0000}"/>
    <cellStyle name="Normal 4_Attach O, GG, Support -New Method 2-14-11" xfId="4529" xr:uid="{00000000-0005-0000-0000-00002F0E0000}"/>
    <cellStyle name="Normal 40" xfId="3502" xr:uid="{00000000-0005-0000-0000-0000300E0000}"/>
    <cellStyle name="Normal 40 2" xfId="3503" xr:uid="{00000000-0005-0000-0000-0000310E0000}"/>
    <cellStyle name="Normal 40 2 2" xfId="3504" xr:uid="{00000000-0005-0000-0000-0000320E0000}"/>
    <cellStyle name="Normal 40 3" xfId="3505" xr:uid="{00000000-0005-0000-0000-0000330E0000}"/>
    <cellStyle name="Normal 41" xfId="3506" xr:uid="{00000000-0005-0000-0000-0000340E0000}"/>
    <cellStyle name="Normal 41 2" xfId="3507" xr:uid="{00000000-0005-0000-0000-0000350E0000}"/>
    <cellStyle name="Normal 41 2 2" xfId="3508" xr:uid="{00000000-0005-0000-0000-0000360E0000}"/>
    <cellStyle name="Normal 41 3" xfId="3509" xr:uid="{00000000-0005-0000-0000-0000370E0000}"/>
    <cellStyle name="Normal 41 3 2" xfId="3510" xr:uid="{00000000-0005-0000-0000-0000380E0000}"/>
    <cellStyle name="Normal 41 4" xfId="3511" xr:uid="{00000000-0005-0000-0000-0000390E0000}"/>
    <cellStyle name="Normal 42" xfId="3512" xr:uid="{00000000-0005-0000-0000-00003A0E0000}"/>
    <cellStyle name="Normal 42 2" xfId="3513" xr:uid="{00000000-0005-0000-0000-00003B0E0000}"/>
    <cellStyle name="Normal 42 2 2" xfId="3514" xr:uid="{00000000-0005-0000-0000-00003C0E0000}"/>
    <cellStyle name="Normal 42 3" xfId="3515" xr:uid="{00000000-0005-0000-0000-00003D0E0000}"/>
    <cellStyle name="Normal 42 3 2" xfId="3516" xr:uid="{00000000-0005-0000-0000-00003E0E0000}"/>
    <cellStyle name="Normal 43" xfId="3517" xr:uid="{00000000-0005-0000-0000-00003F0E0000}"/>
    <cellStyle name="Normal 43 2" xfId="3518" xr:uid="{00000000-0005-0000-0000-0000400E0000}"/>
    <cellStyle name="Normal 43 2 2" xfId="3519" xr:uid="{00000000-0005-0000-0000-0000410E0000}"/>
    <cellStyle name="Normal 43 3" xfId="3520" xr:uid="{00000000-0005-0000-0000-0000420E0000}"/>
    <cellStyle name="Normal 43 3 2" xfId="3521" xr:uid="{00000000-0005-0000-0000-0000430E0000}"/>
    <cellStyle name="Normal 43 4" xfId="3522" xr:uid="{00000000-0005-0000-0000-0000440E0000}"/>
    <cellStyle name="Normal 43 4 2" xfId="3523" xr:uid="{00000000-0005-0000-0000-0000450E0000}"/>
    <cellStyle name="Normal 43 5" xfId="3524" xr:uid="{00000000-0005-0000-0000-0000460E0000}"/>
    <cellStyle name="Normal 43 5 2" xfId="3525" xr:uid="{00000000-0005-0000-0000-0000470E0000}"/>
    <cellStyle name="Normal 43 6" xfId="3526" xr:uid="{00000000-0005-0000-0000-0000480E0000}"/>
    <cellStyle name="Normal 44" xfId="3527" xr:uid="{00000000-0005-0000-0000-0000490E0000}"/>
    <cellStyle name="Normal 44 2" xfId="3528" xr:uid="{00000000-0005-0000-0000-00004A0E0000}"/>
    <cellStyle name="Normal 45" xfId="3529" xr:uid="{00000000-0005-0000-0000-00004B0E0000}"/>
    <cellStyle name="Normal 45 2" xfId="3530" xr:uid="{00000000-0005-0000-0000-00004C0E0000}"/>
    <cellStyle name="Normal 46" xfId="3531" xr:uid="{00000000-0005-0000-0000-00004D0E0000}"/>
    <cellStyle name="Normal 47" xfId="3532" xr:uid="{00000000-0005-0000-0000-00004E0E0000}"/>
    <cellStyle name="Normal 47 2" xfId="3533" xr:uid="{00000000-0005-0000-0000-00004F0E0000}"/>
    <cellStyle name="Normal 47 2 2" xfId="3534" xr:uid="{00000000-0005-0000-0000-0000500E0000}"/>
    <cellStyle name="Normal 47 3" xfId="3535" xr:uid="{00000000-0005-0000-0000-0000510E0000}"/>
    <cellStyle name="Normal 47 3 2" xfId="3536" xr:uid="{00000000-0005-0000-0000-0000520E0000}"/>
    <cellStyle name="Normal 47 4" xfId="3537" xr:uid="{00000000-0005-0000-0000-0000530E0000}"/>
    <cellStyle name="Normal 47 4 2" xfId="3538" xr:uid="{00000000-0005-0000-0000-0000540E0000}"/>
    <cellStyle name="Normal 47 5" xfId="3539" xr:uid="{00000000-0005-0000-0000-0000550E0000}"/>
    <cellStyle name="Normal 47 5 2" xfId="3540" xr:uid="{00000000-0005-0000-0000-0000560E0000}"/>
    <cellStyle name="Normal 47 6" xfId="3541" xr:uid="{00000000-0005-0000-0000-0000570E0000}"/>
    <cellStyle name="Normal 48" xfId="3542" xr:uid="{00000000-0005-0000-0000-0000580E0000}"/>
    <cellStyle name="Normal 48 2" xfId="3543" xr:uid="{00000000-0005-0000-0000-0000590E0000}"/>
    <cellStyle name="Normal 48 2 2" xfId="3544" xr:uid="{00000000-0005-0000-0000-00005A0E0000}"/>
    <cellStyle name="Normal 48 3" xfId="3545" xr:uid="{00000000-0005-0000-0000-00005B0E0000}"/>
    <cellStyle name="Normal 48 3 2" xfId="3546" xr:uid="{00000000-0005-0000-0000-00005C0E0000}"/>
    <cellStyle name="Normal 48 4" xfId="3547" xr:uid="{00000000-0005-0000-0000-00005D0E0000}"/>
    <cellStyle name="Normal 48 4 2" xfId="3548" xr:uid="{00000000-0005-0000-0000-00005E0E0000}"/>
    <cellStyle name="Normal 48 5" xfId="3549" xr:uid="{00000000-0005-0000-0000-00005F0E0000}"/>
    <cellStyle name="Normal 48 5 2" xfId="3550" xr:uid="{00000000-0005-0000-0000-0000600E0000}"/>
    <cellStyle name="Normal 48 6" xfId="3551" xr:uid="{00000000-0005-0000-0000-0000610E0000}"/>
    <cellStyle name="Normal 49" xfId="4326" xr:uid="{00000000-0005-0000-0000-0000620E0000}"/>
    <cellStyle name="Normal 49 2" xfId="5067" xr:uid="{565ECC3F-4913-47C2-A909-398F18051E9A}"/>
    <cellStyle name="Normal 5" xfId="3552" xr:uid="{00000000-0005-0000-0000-0000630E0000}"/>
    <cellStyle name="Normal 5 10" xfId="3553" xr:uid="{00000000-0005-0000-0000-0000640E0000}"/>
    <cellStyle name="Normal 5 10 2" xfId="3554" xr:uid="{00000000-0005-0000-0000-0000650E0000}"/>
    <cellStyle name="Normal 5 10 2 2" xfId="3555" xr:uid="{00000000-0005-0000-0000-0000660E0000}"/>
    <cellStyle name="Normal 5 10 3" xfId="3556" xr:uid="{00000000-0005-0000-0000-0000670E0000}"/>
    <cellStyle name="Normal 5 11" xfId="3557" xr:uid="{00000000-0005-0000-0000-0000680E0000}"/>
    <cellStyle name="Normal 5 11 2" xfId="3558" xr:uid="{00000000-0005-0000-0000-0000690E0000}"/>
    <cellStyle name="Normal 5 11 2 2" xfId="3559" xr:uid="{00000000-0005-0000-0000-00006A0E0000}"/>
    <cellStyle name="Normal 5 11 3" xfId="3560" xr:uid="{00000000-0005-0000-0000-00006B0E0000}"/>
    <cellStyle name="Normal 5 12" xfId="3561" xr:uid="{00000000-0005-0000-0000-00006C0E0000}"/>
    <cellStyle name="Normal 5 12 2" xfId="3562" xr:uid="{00000000-0005-0000-0000-00006D0E0000}"/>
    <cellStyle name="Normal 5 12 2 2" xfId="3563" xr:uid="{00000000-0005-0000-0000-00006E0E0000}"/>
    <cellStyle name="Normal 5 12 3" xfId="3564" xr:uid="{00000000-0005-0000-0000-00006F0E0000}"/>
    <cellStyle name="Normal 5 13" xfId="3565" xr:uid="{00000000-0005-0000-0000-0000700E0000}"/>
    <cellStyle name="Normal 5 13 2" xfId="3566" xr:uid="{00000000-0005-0000-0000-0000710E0000}"/>
    <cellStyle name="Normal 5 13 2 2" xfId="3567" xr:uid="{00000000-0005-0000-0000-0000720E0000}"/>
    <cellStyle name="Normal 5 13 3" xfId="3568" xr:uid="{00000000-0005-0000-0000-0000730E0000}"/>
    <cellStyle name="Normal 5 14" xfId="3569" xr:uid="{00000000-0005-0000-0000-0000740E0000}"/>
    <cellStyle name="Normal 5 14 2" xfId="3570" xr:uid="{00000000-0005-0000-0000-0000750E0000}"/>
    <cellStyle name="Normal 5 14 2 2" xfId="3571" xr:uid="{00000000-0005-0000-0000-0000760E0000}"/>
    <cellStyle name="Normal 5 14 3" xfId="3572" xr:uid="{00000000-0005-0000-0000-0000770E0000}"/>
    <cellStyle name="Normal 5 15" xfId="3573" xr:uid="{00000000-0005-0000-0000-0000780E0000}"/>
    <cellStyle name="Normal 5 15 2" xfId="3574" xr:uid="{00000000-0005-0000-0000-0000790E0000}"/>
    <cellStyle name="Normal 5 15 2 2" xfId="3575" xr:uid="{00000000-0005-0000-0000-00007A0E0000}"/>
    <cellStyle name="Normal 5 15 3" xfId="3576" xr:uid="{00000000-0005-0000-0000-00007B0E0000}"/>
    <cellStyle name="Normal 5 16" xfId="3577" xr:uid="{00000000-0005-0000-0000-00007C0E0000}"/>
    <cellStyle name="Normal 5 16 2" xfId="3578" xr:uid="{00000000-0005-0000-0000-00007D0E0000}"/>
    <cellStyle name="Normal 5 17" xfId="3579" xr:uid="{00000000-0005-0000-0000-00007E0E0000}"/>
    <cellStyle name="Normal 5 17 2" xfId="3580" xr:uid="{00000000-0005-0000-0000-00007F0E0000}"/>
    <cellStyle name="Normal 5 18" xfId="3581" xr:uid="{00000000-0005-0000-0000-0000800E0000}"/>
    <cellStyle name="Normal 5 19" xfId="3582" xr:uid="{00000000-0005-0000-0000-0000810E0000}"/>
    <cellStyle name="Normal 5 2" xfId="3583" xr:uid="{00000000-0005-0000-0000-0000820E0000}"/>
    <cellStyle name="Normal 5 2 2" xfId="3584" xr:uid="{00000000-0005-0000-0000-0000830E0000}"/>
    <cellStyle name="Normal 5 2 2 2" xfId="3585" xr:uid="{00000000-0005-0000-0000-0000840E0000}"/>
    <cellStyle name="Normal 5 2 3" xfId="3586" xr:uid="{00000000-0005-0000-0000-0000850E0000}"/>
    <cellStyle name="Normal 5 2 4" xfId="3587" xr:uid="{00000000-0005-0000-0000-0000860E0000}"/>
    <cellStyle name="Normal 5 2 5" xfId="4156" xr:uid="{00000000-0005-0000-0000-0000870E0000}"/>
    <cellStyle name="Normal 5 3" xfId="3588" xr:uid="{00000000-0005-0000-0000-0000880E0000}"/>
    <cellStyle name="Normal 5 3 2" xfId="3589" xr:uid="{00000000-0005-0000-0000-0000890E0000}"/>
    <cellStyle name="Normal 5 3 2 2" xfId="3590" xr:uid="{00000000-0005-0000-0000-00008A0E0000}"/>
    <cellStyle name="Normal 5 3 3" xfId="3591" xr:uid="{00000000-0005-0000-0000-00008B0E0000}"/>
    <cellStyle name="Normal 5 4" xfId="3592" xr:uid="{00000000-0005-0000-0000-00008C0E0000}"/>
    <cellStyle name="Normal 5 4 2" xfId="3593" xr:uid="{00000000-0005-0000-0000-00008D0E0000}"/>
    <cellStyle name="Normal 5 4 2 2" xfId="3594" xr:uid="{00000000-0005-0000-0000-00008E0E0000}"/>
    <cellStyle name="Normal 5 4 3" xfId="3595" xr:uid="{00000000-0005-0000-0000-00008F0E0000}"/>
    <cellStyle name="Normal 5 5" xfId="3596" xr:uid="{00000000-0005-0000-0000-0000900E0000}"/>
    <cellStyle name="Normal 5 5 2" xfId="3597" xr:uid="{00000000-0005-0000-0000-0000910E0000}"/>
    <cellStyle name="Normal 5 5 2 2" xfId="3598" xr:uid="{00000000-0005-0000-0000-0000920E0000}"/>
    <cellStyle name="Normal 5 5 3" xfId="3599" xr:uid="{00000000-0005-0000-0000-0000930E0000}"/>
    <cellStyle name="Normal 5 6" xfId="3600" xr:uid="{00000000-0005-0000-0000-0000940E0000}"/>
    <cellStyle name="Normal 5 6 2" xfId="3601" xr:uid="{00000000-0005-0000-0000-0000950E0000}"/>
    <cellStyle name="Normal 5 6 2 2" xfId="3602" xr:uid="{00000000-0005-0000-0000-0000960E0000}"/>
    <cellStyle name="Normal 5 6 3" xfId="3603" xr:uid="{00000000-0005-0000-0000-0000970E0000}"/>
    <cellStyle name="Normal 5 7" xfId="3604" xr:uid="{00000000-0005-0000-0000-0000980E0000}"/>
    <cellStyle name="Normal 5 7 2" xfId="3605" xr:uid="{00000000-0005-0000-0000-0000990E0000}"/>
    <cellStyle name="Normal 5 7 2 2" xfId="3606" xr:uid="{00000000-0005-0000-0000-00009A0E0000}"/>
    <cellStyle name="Normal 5 7 3" xfId="3607" xr:uid="{00000000-0005-0000-0000-00009B0E0000}"/>
    <cellStyle name="Normal 5 8" xfId="3608" xr:uid="{00000000-0005-0000-0000-00009C0E0000}"/>
    <cellStyle name="Normal 5 8 2" xfId="3609" xr:uid="{00000000-0005-0000-0000-00009D0E0000}"/>
    <cellStyle name="Normal 5 8 2 2" xfId="3610" xr:uid="{00000000-0005-0000-0000-00009E0E0000}"/>
    <cellStyle name="Normal 5 8 3" xfId="3611" xr:uid="{00000000-0005-0000-0000-00009F0E0000}"/>
    <cellStyle name="Normal 5 9" xfId="3612" xr:uid="{00000000-0005-0000-0000-0000A00E0000}"/>
    <cellStyle name="Normal 5 9 2" xfId="3613" xr:uid="{00000000-0005-0000-0000-0000A10E0000}"/>
    <cellStyle name="Normal 5 9 2 2" xfId="3614" xr:uid="{00000000-0005-0000-0000-0000A20E0000}"/>
    <cellStyle name="Normal 5 9 3" xfId="3615" xr:uid="{00000000-0005-0000-0000-0000A30E0000}"/>
    <cellStyle name="Normal 50" xfId="4327" xr:uid="{00000000-0005-0000-0000-0000A40E0000}"/>
    <cellStyle name="Normal 50 2" xfId="5068" xr:uid="{8F1F7B5E-A239-4BF4-9539-CFA1FBB9CD3D}"/>
    <cellStyle name="Normal 51" xfId="4328" xr:uid="{00000000-0005-0000-0000-0000A50E0000}"/>
    <cellStyle name="Normal 51 2" xfId="5069" xr:uid="{8E5018A5-E88F-49E7-99D3-48224AB78C8D}"/>
    <cellStyle name="Normal 52" xfId="4329" xr:uid="{00000000-0005-0000-0000-0000A60E0000}"/>
    <cellStyle name="Normal 52 2" xfId="5070" xr:uid="{27DBF479-D1BF-40ED-8150-5E75B5C758D6}"/>
    <cellStyle name="Normal 53" xfId="4330" xr:uid="{00000000-0005-0000-0000-0000A70E0000}"/>
    <cellStyle name="Normal 53 2" xfId="5071" xr:uid="{1C1D47CD-52D1-4BF7-85A7-B5C8BBE3A19F}"/>
    <cellStyle name="Normal 54" xfId="4331" xr:uid="{00000000-0005-0000-0000-0000A80E0000}"/>
    <cellStyle name="Normal 54 2" xfId="4332" xr:uid="{00000000-0005-0000-0000-0000A90E0000}"/>
    <cellStyle name="Normal 55" xfId="4333" xr:uid="{00000000-0005-0000-0000-0000AA0E0000}"/>
    <cellStyle name="Normal 55 2" xfId="4334" xr:uid="{00000000-0005-0000-0000-0000AB0E0000}"/>
    <cellStyle name="Normal 56" xfId="4335" xr:uid="{00000000-0005-0000-0000-0000AC0E0000}"/>
    <cellStyle name="Normal 57" xfId="4336" xr:uid="{00000000-0005-0000-0000-0000AD0E0000}"/>
    <cellStyle name="Normal 58" xfId="4337" xr:uid="{00000000-0005-0000-0000-0000AE0E0000}"/>
    <cellStyle name="Normal 58 2" xfId="5072" xr:uid="{122879A6-E174-4F03-BA68-AF6E6E5D61E3}"/>
    <cellStyle name="Normal 59" xfId="4338" xr:uid="{00000000-0005-0000-0000-0000AF0E0000}"/>
    <cellStyle name="Normal 59 2" xfId="5073" xr:uid="{BCF2D897-13F8-4A78-848D-A26BD05EE49D}"/>
    <cellStyle name="Normal 6" xfId="3616" xr:uid="{00000000-0005-0000-0000-0000B00E0000}"/>
    <cellStyle name="Normal 6 2" xfId="3617" xr:uid="{00000000-0005-0000-0000-0000B10E0000}"/>
    <cellStyle name="Normal 6 2 2" xfId="3618" xr:uid="{00000000-0005-0000-0000-0000B20E0000}"/>
    <cellStyle name="Normal 6 2 2 2" xfId="4530" xr:uid="{00000000-0005-0000-0000-0000B30E0000}"/>
    <cellStyle name="Normal 6 2 2 2 2" xfId="4531" xr:uid="{00000000-0005-0000-0000-0000B40E0000}"/>
    <cellStyle name="Normal 6 2 2 2 2 2" xfId="4532" xr:uid="{00000000-0005-0000-0000-0000B50E0000}"/>
    <cellStyle name="Normal 6 2 2 2 2 2 2" xfId="5096" xr:uid="{A139D8E8-8E8A-4F43-B8F3-F852AEF91F3F}"/>
    <cellStyle name="Normal 6 2 2 2 2 3" xfId="4533" xr:uid="{00000000-0005-0000-0000-0000B60E0000}"/>
    <cellStyle name="Normal 6 2 2 2 2 3 2" xfId="5097" xr:uid="{A0D66392-C25B-4A73-8925-699CFD9F6FD7}"/>
    <cellStyle name="Normal 6 2 2 2 2 4" xfId="4534" xr:uid="{00000000-0005-0000-0000-0000B70E0000}"/>
    <cellStyle name="Normal 6 2 2 2 2 4 2" xfId="5098" xr:uid="{96E5249B-E54F-477A-9A4A-102F6FE397AC}"/>
    <cellStyle name="Normal 6 2 2 2 2 5" xfId="5095" xr:uid="{A190DB5C-7669-4674-B4BE-961E9965C2A7}"/>
    <cellStyle name="Normal 6 2 2 2 3" xfId="4535" xr:uid="{00000000-0005-0000-0000-0000B80E0000}"/>
    <cellStyle name="Normal 6 2 2 2 3 2" xfId="5099" xr:uid="{24F89F79-A812-4A3D-9131-A9D612D7AFE0}"/>
    <cellStyle name="Normal 6 2 2 2 4" xfId="4536" xr:uid="{00000000-0005-0000-0000-0000B90E0000}"/>
    <cellStyle name="Normal 6 2 2 2 4 2" xfId="5100" xr:uid="{BFDF50DF-E44F-41CB-8986-C8612BC899A6}"/>
    <cellStyle name="Normal 6 2 2 2 5" xfId="4537" xr:uid="{00000000-0005-0000-0000-0000BA0E0000}"/>
    <cellStyle name="Normal 6 2 2 2 5 2" xfId="5101" xr:uid="{0049B3F0-461D-486D-9C9D-47A0F59E5DC8}"/>
    <cellStyle name="Normal 6 2 2 2 6" xfId="5094" xr:uid="{01B2AD52-5D5C-4FC6-B439-77C2B08DB18C}"/>
    <cellStyle name="Normal 6 2 2 3" xfId="4538" xr:uid="{00000000-0005-0000-0000-0000BB0E0000}"/>
    <cellStyle name="Normal 6 2 2 3 2" xfId="4539" xr:uid="{00000000-0005-0000-0000-0000BC0E0000}"/>
    <cellStyle name="Normal 6 2 2 3 2 2" xfId="5103" xr:uid="{589CBC5E-C4A7-4089-9A48-31C53352D7C5}"/>
    <cellStyle name="Normal 6 2 2 3 3" xfId="4540" xr:uid="{00000000-0005-0000-0000-0000BD0E0000}"/>
    <cellStyle name="Normal 6 2 2 3 3 2" xfId="5104" xr:uid="{E7F357CE-CC90-4465-B01C-1649BC471A6B}"/>
    <cellStyle name="Normal 6 2 2 3 4" xfId="4541" xr:uid="{00000000-0005-0000-0000-0000BE0E0000}"/>
    <cellStyle name="Normal 6 2 2 3 4 2" xfId="5105" xr:uid="{607DD675-10EF-43C1-B7C0-616BBF42E4F3}"/>
    <cellStyle name="Normal 6 2 2 3 5" xfId="5102" xr:uid="{34880083-4821-4A5D-AECD-AA0FD7E78C26}"/>
    <cellStyle name="Normal 6 2 2 4" xfId="4542" xr:uid="{00000000-0005-0000-0000-0000BF0E0000}"/>
    <cellStyle name="Normal 6 2 2 4 2" xfId="5106" xr:uid="{C5CE98D1-052C-480B-8B39-F45E4B7E7940}"/>
    <cellStyle name="Normal 6 2 2 5" xfId="4543" xr:uid="{00000000-0005-0000-0000-0000C00E0000}"/>
    <cellStyle name="Normal 6 2 2 5 2" xfId="5107" xr:uid="{A2A4CEB1-3F3A-4385-AAFB-C0DD4BE29CDA}"/>
    <cellStyle name="Normal 6 2 2 6" xfId="4544" xr:uid="{00000000-0005-0000-0000-0000C10E0000}"/>
    <cellStyle name="Normal 6 2 2 6 2" xfId="5108" xr:uid="{2C763247-DAA8-45DA-A699-AE6E44A2B821}"/>
    <cellStyle name="Normal 6 2 3" xfId="4545" xr:uid="{00000000-0005-0000-0000-0000C20E0000}"/>
    <cellStyle name="Normal 6 2 3 2" xfId="4546" xr:uid="{00000000-0005-0000-0000-0000C30E0000}"/>
    <cellStyle name="Normal 6 2 3 2 2" xfId="4547" xr:uid="{00000000-0005-0000-0000-0000C40E0000}"/>
    <cellStyle name="Normal 6 2 3 2 2 2" xfId="5111" xr:uid="{0E2EDEFE-D7EB-42F1-8D04-DA08A849BF34}"/>
    <cellStyle name="Normal 6 2 3 2 3" xfId="4548" xr:uid="{00000000-0005-0000-0000-0000C50E0000}"/>
    <cellStyle name="Normal 6 2 3 2 3 2" xfId="5112" xr:uid="{9175A98A-935E-43E4-9B41-4083229D1110}"/>
    <cellStyle name="Normal 6 2 3 2 4" xfId="4549" xr:uid="{00000000-0005-0000-0000-0000C60E0000}"/>
    <cellStyle name="Normal 6 2 3 2 4 2" xfId="5113" xr:uid="{62A5D183-0F2E-4BD2-954E-D293E91F03FE}"/>
    <cellStyle name="Normal 6 2 3 2 5" xfId="5110" xr:uid="{2185C36D-7F1A-4C9F-BA37-3B82D7892E1C}"/>
    <cellStyle name="Normal 6 2 3 3" xfId="4550" xr:uid="{00000000-0005-0000-0000-0000C70E0000}"/>
    <cellStyle name="Normal 6 2 3 3 2" xfId="5114" xr:uid="{EF39BC97-1F2C-407F-BE3F-24AB28E9882F}"/>
    <cellStyle name="Normal 6 2 3 4" xfId="4551" xr:uid="{00000000-0005-0000-0000-0000C80E0000}"/>
    <cellStyle name="Normal 6 2 3 4 2" xfId="5115" xr:uid="{82509D33-2F4D-4FBB-A4BA-2971743D6B39}"/>
    <cellStyle name="Normal 6 2 3 5" xfId="4552" xr:uid="{00000000-0005-0000-0000-0000C90E0000}"/>
    <cellStyle name="Normal 6 2 3 5 2" xfId="5116" xr:uid="{1074A8D7-EA4B-4738-A90B-FE1A25D0ED6D}"/>
    <cellStyle name="Normal 6 2 3 6" xfId="5109" xr:uid="{34FB5891-EE69-45CE-9729-FA783BE0A440}"/>
    <cellStyle name="Normal 6 2 4" xfId="4553" xr:uid="{00000000-0005-0000-0000-0000CA0E0000}"/>
    <cellStyle name="Normal 6 2 4 2" xfId="4554" xr:uid="{00000000-0005-0000-0000-0000CB0E0000}"/>
    <cellStyle name="Normal 6 2 4 2 2" xfId="5118" xr:uid="{F3E31FAA-DCF6-4838-8384-63DA3CBD0484}"/>
    <cellStyle name="Normal 6 2 4 3" xfId="4555" xr:uid="{00000000-0005-0000-0000-0000CC0E0000}"/>
    <cellStyle name="Normal 6 2 4 3 2" xfId="5119" xr:uid="{1159348A-D355-4620-BECB-DA586F6B023F}"/>
    <cellStyle name="Normal 6 2 4 4" xfId="4556" xr:uid="{00000000-0005-0000-0000-0000CD0E0000}"/>
    <cellStyle name="Normal 6 2 4 4 2" xfId="5120" xr:uid="{98F409C4-78F3-4F55-8416-C7AE612B4050}"/>
    <cellStyle name="Normal 6 2 4 5" xfId="5117" xr:uid="{7B860257-793F-48EC-8333-96B4ADE99933}"/>
    <cellStyle name="Normal 6 2 5" xfId="4557" xr:uid="{00000000-0005-0000-0000-0000CE0E0000}"/>
    <cellStyle name="Normal 6 2 5 2" xfId="5121" xr:uid="{D9805B58-0288-421E-BDE1-F031ADC00F81}"/>
    <cellStyle name="Normal 6 2 6" xfId="4558" xr:uid="{00000000-0005-0000-0000-0000CF0E0000}"/>
    <cellStyle name="Normal 6 2 6 2" xfId="5122" xr:uid="{B460AC98-B586-4694-9C97-F7CA5AEB3428}"/>
    <cellStyle name="Normal 6 2 7" xfId="4559" xr:uid="{00000000-0005-0000-0000-0000D00E0000}"/>
    <cellStyle name="Normal 6 2 7 2" xfId="5123" xr:uid="{5BF3EE63-859A-4562-8D27-B6936EAE4B96}"/>
    <cellStyle name="Normal 6 3" xfId="3619" xr:uid="{00000000-0005-0000-0000-0000D10E0000}"/>
    <cellStyle name="Normal 6 3 2" xfId="3620" xr:uid="{00000000-0005-0000-0000-0000D20E0000}"/>
    <cellStyle name="Normal 6 3 2 2" xfId="4560" xr:uid="{00000000-0005-0000-0000-0000D30E0000}"/>
    <cellStyle name="Normal 6 3 2 2 2" xfId="4561" xr:uid="{00000000-0005-0000-0000-0000D40E0000}"/>
    <cellStyle name="Normal 6 3 2 2 2 2" xfId="5125" xr:uid="{F7514508-EE2E-4F52-84D0-CDDE4095EC46}"/>
    <cellStyle name="Normal 6 3 2 2 3" xfId="4562" xr:uid="{00000000-0005-0000-0000-0000D50E0000}"/>
    <cellStyle name="Normal 6 3 2 2 3 2" xfId="5126" xr:uid="{8F02485D-6076-400A-922D-4024D0A51D6F}"/>
    <cellStyle name="Normal 6 3 2 2 4" xfId="4563" xr:uid="{00000000-0005-0000-0000-0000D60E0000}"/>
    <cellStyle name="Normal 6 3 2 2 4 2" xfId="5127" xr:uid="{4BC357A4-9AAE-46A9-9737-B9C3DACF08C2}"/>
    <cellStyle name="Normal 6 3 2 2 5" xfId="5124" xr:uid="{6D264E45-97F5-462E-8351-14A3081C4835}"/>
    <cellStyle name="Normal 6 3 2 3" xfId="4564" xr:uid="{00000000-0005-0000-0000-0000D70E0000}"/>
    <cellStyle name="Normal 6 3 2 3 2" xfId="5128" xr:uid="{1B35964C-67E7-4028-8D4A-1BCEE18DEAB5}"/>
    <cellStyle name="Normal 6 3 2 4" xfId="4565" xr:uid="{00000000-0005-0000-0000-0000D80E0000}"/>
    <cellStyle name="Normal 6 3 2 4 2" xfId="5129" xr:uid="{310532FE-9A5F-412A-BC17-DDC27D963037}"/>
    <cellStyle name="Normal 6 3 2 5" xfId="4566" xr:uid="{00000000-0005-0000-0000-0000D90E0000}"/>
    <cellStyle name="Normal 6 3 2 5 2" xfId="5130" xr:uid="{4537DBC8-4BF6-4A57-BE0A-62A5BF30E24D}"/>
    <cellStyle name="Normal 6 3 3" xfId="4567" xr:uid="{00000000-0005-0000-0000-0000DA0E0000}"/>
    <cellStyle name="Normal 6 3 3 2" xfId="4568" xr:uid="{00000000-0005-0000-0000-0000DB0E0000}"/>
    <cellStyle name="Normal 6 3 3 2 2" xfId="5132" xr:uid="{AD52B014-286B-49C4-AEA9-BC7E069082F6}"/>
    <cellStyle name="Normal 6 3 3 3" xfId="4569" xr:uid="{00000000-0005-0000-0000-0000DC0E0000}"/>
    <cellStyle name="Normal 6 3 3 3 2" xfId="5133" xr:uid="{3B1DC3E5-D1A3-4183-884D-501DD66AF4BD}"/>
    <cellStyle name="Normal 6 3 3 4" xfId="4570" xr:uid="{00000000-0005-0000-0000-0000DD0E0000}"/>
    <cellStyle name="Normal 6 3 3 4 2" xfId="5134" xr:uid="{370B4BC6-AD7E-43C6-994B-0403C7F8B4BE}"/>
    <cellStyle name="Normal 6 3 3 5" xfId="5131" xr:uid="{7340F298-8EE2-4A17-AC56-801263CCB6E0}"/>
    <cellStyle name="Normal 6 3 4" xfId="4571" xr:uid="{00000000-0005-0000-0000-0000DE0E0000}"/>
    <cellStyle name="Normal 6 3 4 2" xfId="5135" xr:uid="{5C6DBAC1-3E89-4478-BA53-DCF24B261738}"/>
    <cellStyle name="Normal 6 3 5" xfId="4572" xr:uid="{00000000-0005-0000-0000-0000DF0E0000}"/>
    <cellStyle name="Normal 6 3 5 2" xfId="5136" xr:uid="{017826B4-87D7-46B9-BDA4-000AE5C5B76A}"/>
    <cellStyle name="Normal 6 3 6" xfId="4573" xr:uid="{00000000-0005-0000-0000-0000E00E0000}"/>
    <cellStyle name="Normal 6 3 6 2" xfId="5137" xr:uid="{0066922D-AFE4-41FB-BE8C-DB6C26F0663F}"/>
    <cellStyle name="Normal 6 4" xfId="3621" xr:uid="{00000000-0005-0000-0000-0000E10E0000}"/>
    <cellStyle name="Normal 6 4 2" xfId="3622" xr:uid="{00000000-0005-0000-0000-0000E20E0000}"/>
    <cellStyle name="Normal 6 4 2 2" xfId="4574" xr:uid="{00000000-0005-0000-0000-0000E30E0000}"/>
    <cellStyle name="Normal 6 4 2 2 2" xfId="5138" xr:uid="{7266E7D6-CCEC-47AE-AF35-EC79BDD98519}"/>
    <cellStyle name="Normal 6 4 2 3" xfId="4575" xr:uid="{00000000-0005-0000-0000-0000E40E0000}"/>
    <cellStyle name="Normal 6 4 2 3 2" xfId="5139" xr:uid="{5E63EBF5-B455-4B71-A5F9-FFCC2BF243C3}"/>
    <cellStyle name="Normal 6 4 2 4" xfId="4576" xr:uid="{00000000-0005-0000-0000-0000E50E0000}"/>
    <cellStyle name="Normal 6 4 2 4 2" xfId="5140" xr:uid="{B2AE2185-7A09-4BF4-BD06-5F2546ACC7AE}"/>
    <cellStyle name="Normal 6 4 3" xfId="4577" xr:uid="{00000000-0005-0000-0000-0000E60E0000}"/>
    <cellStyle name="Normal 6 4 3 2" xfId="5141" xr:uid="{B940928B-6915-447A-8CE4-EE2B61583652}"/>
    <cellStyle name="Normal 6 4 4" xfId="4578" xr:uid="{00000000-0005-0000-0000-0000E70E0000}"/>
    <cellStyle name="Normal 6 4 4 2" xfId="5142" xr:uid="{B400CAA4-C701-4C05-8270-5603F421EE07}"/>
    <cellStyle name="Normal 6 4 5" xfId="4579" xr:uid="{00000000-0005-0000-0000-0000E80E0000}"/>
    <cellStyle name="Normal 6 4 5 2" xfId="5143" xr:uid="{40A69021-606F-4C13-92E2-D116ACD20573}"/>
    <cellStyle name="Normal 6 5" xfId="3623" xr:uid="{00000000-0005-0000-0000-0000E90E0000}"/>
    <cellStyle name="Normal 6 5 2" xfId="3624" xr:uid="{00000000-0005-0000-0000-0000EA0E0000}"/>
    <cellStyle name="Normal 6 5 3" xfId="4580" xr:uid="{00000000-0005-0000-0000-0000EB0E0000}"/>
    <cellStyle name="Normal 6 5 3 2" xfId="5144" xr:uid="{DBB182D6-3943-46D9-ABB4-060DB84CF3F8}"/>
    <cellStyle name="Normal 6 5 4" xfId="4581" xr:uid="{00000000-0005-0000-0000-0000EC0E0000}"/>
    <cellStyle name="Normal 6 5 4 2" xfId="5145" xr:uid="{752966F7-82DD-4CF0-B961-BA355B518278}"/>
    <cellStyle name="Normal 6 6" xfId="3625" xr:uid="{00000000-0005-0000-0000-0000ED0E0000}"/>
    <cellStyle name="Normal 6 7" xfId="3626" xr:uid="{00000000-0005-0000-0000-0000EE0E0000}"/>
    <cellStyle name="Normal 6 8" xfId="3627" xr:uid="{00000000-0005-0000-0000-0000EF0E0000}"/>
    <cellStyle name="Normal 6 9" xfId="4682" xr:uid="{00000000-0005-0000-0000-0000F00E0000}"/>
    <cellStyle name="Normal 6 9 2" xfId="5169" xr:uid="{72BC2F98-FB47-4459-BC5F-9040E07F8BEB}"/>
    <cellStyle name="Normal 60" xfId="4339" xr:uid="{00000000-0005-0000-0000-0000F10E0000}"/>
    <cellStyle name="Normal 60 2" xfId="5074" xr:uid="{57FFC9E5-DA73-40A3-880C-AD7C9F3478AA}"/>
    <cellStyle name="Normal 61" xfId="4340" xr:uid="{00000000-0005-0000-0000-0000F20E0000}"/>
    <cellStyle name="Normal 61 2" xfId="5075" xr:uid="{14C8E548-D158-4C03-81E9-8146148D4BFE}"/>
    <cellStyle name="Normal 62" xfId="4341" xr:uid="{00000000-0005-0000-0000-0000F30E0000}"/>
    <cellStyle name="Normal 62 2" xfId="5076" xr:uid="{4F132B2A-15F5-4C83-905D-442D74FED9F7}"/>
    <cellStyle name="Normal 63" xfId="4342" xr:uid="{00000000-0005-0000-0000-0000F40E0000}"/>
    <cellStyle name="Normal 63 2" xfId="5077" xr:uid="{34E6B33E-2E71-4E8E-AE1C-1731BF22C2DD}"/>
    <cellStyle name="Normal 64" xfId="4343" xr:uid="{00000000-0005-0000-0000-0000F50E0000}"/>
    <cellStyle name="Normal 64 2" xfId="5078" xr:uid="{5D8233A1-2680-4FB2-B6C5-0AEF7BD7AC19}"/>
    <cellStyle name="Normal 65" xfId="4470" xr:uid="{00000000-0005-0000-0000-0000F60E0000}"/>
    <cellStyle name="Normal 65 2" xfId="5082" xr:uid="{F6581FCB-C68C-4B05-92F1-E8C3A336C6E7}"/>
    <cellStyle name="Normal 66" xfId="4667" xr:uid="{00000000-0005-0000-0000-0000F70E0000}"/>
    <cellStyle name="Normal 67" xfId="4671" xr:uid="{00000000-0005-0000-0000-0000F80E0000}"/>
    <cellStyle name="Normal 67 2" xfId="5162" xr:uid="{3168AF94-856E-4640-B322-D0222618CB3A}"/>
    <cellStyle name="Normal 68" xfId="4695" xr:uid="{930C09BD-5977-4784-89E7-46D7EC3F37FF}"/>
    <cellStyle name="Normal 69" xfId="4344" xr:uid="{00000000-0005-0000-0000-0000F90E0000}"/>
    <cellStyle name="Normal 69 2" xfId="5079" xr:uid="{A55B816E-80FF-4722-99EA-D97522EFB356}"/>
    <cellStyle name="Normal 69 3" xfId="4345" xr:uid="{00000000-0005-0000-0000-0000FA0E0000}"/>
    <cellStyle name="Normal 69 3 2" xfId="5080" xr:uid="{808796DB-9763-411E-B991-1B2B215337B0}"/>
    <cellStyle name="Normal 7" xfId="3628" xr:uid="{00000000-0005-0000-0000-0000FB0E0000}"/>
    <cellStyle name="Normal 7 2" xfId="3629" xr:uid="{00000000-0005-0000-0000-0000FC0E0000}"/>
    <cellStyle name="Normal 7 2 2" xfId="3630" xr:uid="{00000000-0005-0000-0000-0000FD0E0000}"/>
    <cellStyle name="Normal 7 3" xfId="3631" xr:uid="{00000000-0005-0000-0000-0000FE0E0000}"/>
    <cellStyle name="Normal 7 3 2" xfId="3632" xr:uid="{00000000-0005-0000-0000-0000FF0E0000}"/>
    <cellStyle name="Normal 7 4" xfId="3633" xr:uid="{00000000-0005-0000-0000-0000000F0000}"/>
    <cellStyle name="Normal 7 4 2" xfId="3634" xr:uid="{00000000-0005-0000-0000-0000010F0000}"/>
    <cellStyle name="Normal 7 5" xfId="3635" xr:uid="{00000000-0005-0000-0000-0000020F0000}"/>
    <cellStyle name="Normal 7 5 2" xfId="3636" xr:uid="{00000000-0005-0000-0000-0000030F0000}"/>
    <cellStyle name="Normal 7 6" xfId="3637" xr:uid="{00000000-0005-0000-0000-0000040F0000}"/>
    <cellStyle name="Normal 7 7" xfId="4155" xr:uid="{00000000-0005-0000-0000-0000050F0000}"/>
    <cellStyle name="Normal 72" xfId="4346" xr:uid="{00000000-0005-0000-0000-0000060F0000}"/>
    <cellStyle name="Normal 8" xfId="3638" xr:uid="{00000000-0005-0000-0000-0000070F0000}"/>
    <cellStyle name="Normal 8 14" xfId="4673" xr:uid="{00000000-0005-0000-0000-0000080F0000}"/>
    <cellStyle name="Normal 8 14 2" xfId="5163" xr:uid="{9A73182E-0914-46CD-974D-FA94D153858C}"/>
    <cellStyle name="Normal 8 2" xfId="3639" xr:uid="{00000000-0005-0000-0000-0000090F0000}"/>
    <cellStyle name="Normal 8 2 2" xfId="3640" xr:uid="{00000000-0005-0000-0000-00000A0F0000}"/>
    <cellStyle name="Normal 8 2 2 2" xfId="4582" xr:uid="{00000000-0005-0000-0000-00000B0F0000}"/>
    <cellStyle name="Normal 8 2 2 2 2" xfId="5146" xr:uid="{60CED35F-30F9-4731-8D91-682D1B0691F7}"/>
    <cellStyle name="Normal 8 2 2 3" xfId="4583" xr:uid="{00000000-0005-0000-0000-00000C0F0000}"/>
    <cellStyle name="Normal 8 2 2 3 2" xfId="5147" xr:uid="{D22588D4-0272-4BED-874B-622E91DD6483}"/>
    <cellStyle name="Normal 8 2 2 4" xfId="4584" xr:uid="{00000000-0005-0000-0000-00000D0F0000}"/>
    <cellStyle name="Normal 8 2 2 4 2" xfId="5148" xr:uid="{CC6F30FE-9CD4-4183-B299-FF79DCF1791B}"/>
    <cellStyle name="Normal 8 2 3" xfId="4585" xr:uid="{00000000-0005-0000-0000-00000E0F0000}"/>
    <cellStyle name="Normal 8 2 3 2" xfId="5149" xr:uid="{8F73B31B-5DDC-4AF0-A558-129E70FA0820}"/>
    <cellStyle name="Normal 8 2 4" xfId="4586" xr:uid="{00000000-0005-0000-0000-00000F0F0000}"/>
    <cellStyle name="Normal 8 2 4 2" xfId="5150" xr:uid="{87AFFAE2-DAB6-466D-A432-06B918C77505}"/>
    <cellStyle name="Normal 8 2 5" xfId="4587" xr:uid="{00000000-0005-0000-0000-0000100F0000}"/>
    <cellStyle name="Normal 8 2 5 2" xfId="5151" xr:uid="{5D50ABEF-2F91-4F22-A2B4-A225AD25694E}"/>
    <cellStyle name="Normal 8 3" xfId="3641" xr:uid="{00000000-0005-0000-0000-0000110F0000}"/>
    <cellStyle name="Normal 8 3 2" xfId="3642" xr:uid="{00000000-0005-0000-0000-0000120F0000}"/>
    <cellStyle name="Normal 8 3 3" xfId="4588" xr:uid="{00000000-0005-0000-0000-0000130F0000}"/>
    <cellStyle name="Normal 8 3 3 2" xfId="5152" xr:uid="{BC885877-A9FB-48F1-AD1B-F8BBF4ADFDE4}"/>
    <cellStyle name="Normal 8 3 4" xfId="4589" xr:uid="{00000000-0005-0000-0000-0000140F0000}"/>
    <cellStyle name="Normal 8 3 4 2" xfId="5153" xr:uid="{4F6FB80C-C0B3-437D-B543-548B70CD81A3}"/>
    <cellStyle name="Normal 8 4" xfId="3643" xr:uid="{00000000-0005-0000-0000-0000150F0000}"/>
    <cellStyle name="Normal 8 4 2" xfId="3644" xr:uid="{00000000-0005-0000-0000-0000160F0000}"/>
    <cellStyle name="Normal 8 5" xfId="3645" xr:uid="{00000000-0005-0000-0000-0000170F0000}"/>
    <cellStyle name="Normal 8 5 2" xfId="3646" xr:uid="{00000000-0005-0000-0000-0000180F0000}"/>
    <cellStyle name="Normal 8 6" xfId="3647" xr:uid="{00000000-0005-0000-0000-0000190F0000}"/>
    <cellStyle name="Normal 9" xfId="3648" xr:uid="{00000000-0005-0000-0000-00001A0F0000}"/>
    <cellStyle name="Normal 9 10" xfId="3649" xr:uid="{00000000-0005-0000-0000-00001B0F0000}"/>
    <cellStyle name="Normal 9 10 2" xfId="3650" xr:uid="{00000000-0005-0000-0000-00001C0F0000}"/>
    <cellStyle name="Normal 9 10 2 2" xfId="3651" xr:uid="{00000000-0005-0000-0000-00001D0F0000}"/>
    <cellStyle name="Normal 9 10 3" xfId="3652" xr:uid="{00000000-0005-0000-0000-00001E0F0000}"/>
    <cellStyle name="Normal 9 11" xfId="3653" xr:uid="{00000000-0005-0000-0000-00001F0F0000}"/>
    <cellStyle name="Normal 9 11 2" xfId="3654" xr:uid="{00000000-0005-0000-0000-0000200F0000}"/>
    <cellStyle name="Normal 9 11 2 2" xfId="3655" xr:uid="{00000000-0005-0000-0000-0000210F0000}"/>
    <cellStyle name="Normal 9 11 3" xfId="3656" xr:uid="{00000000-0005-0000-0000-0000220F0000}"/>
    <cellStyle name="Normal 9 12" xfId="3657" xr:uid="{00000000-0005-0000-0000-0000230F0000}"/>
    <cellStyle name="Normal 9 12 2" xfId="3658" xr:uid="{00000000-0005-0000-0000-0000240F0000}"/>
    <cellStyle name="Normal 9 12 2 2" xfId="3659" xr:uid="{00000000-0005-0000-0000-0000250F0000}"/>
    <cellStyle name="Normal 9 12 3" xfId="3660" xr:uid="{00000000-0005-0000-0000-0000260F0000}"/>
    <cellStyle name="Normal 9 13" xfId="3661" xr:uid="{00000000-0005-0000-0000-0000270F0000}"/>
    <cellStyle name="Normal 9 13 2" xfId="3662" xr:uid="{00000000-0005-0000-0000-0000280F0000}"/>
    <cellStyle name="Normal 9 13 2 2" xfId="3663" xr:uid="{00000000-0005-0000-0000-0000290F0000}"/>
    <cellStyle name="Normal 9 13 3" xfId="3664" xr:uid="{00000000-0005-0000-0000-00002A0F0000}"/>
    <cellStyle name="Normal 9 14" xfId="3665" xr:uid="{00000000-0005-0000-0000-00002B0F0000}"/>
    <cellStyle name="Normal 9 14 2" xfId="3666" xr:uid="{00000000-0005-0000-0000-00002C0F0000}"/>
    <cellStyle name="Normal 9 14 2 2" xfId="3667" xr:uid="{00000000-0005-0000-0000-00002D0F0000}"/>
    <cellStyle name="Normal 9 14 3" xfId="3668" xr:uid="{00000000-0005-0000-0000-00002E0F0000}"/>
    <cellStyle name="Normal 9 15" xfId="3669" xr:uid="{00000000-0005-0000-0000-00002F0F0000}"/>
    <cellStyle name="Normal 9 15 2" xfId="3670" xr:uid="{00000000-0005-0000-0000-0000300F0000}"/>
    <cellStyle name="Normal 9 15 2 2" xfId="3671" xr:uid="{00000000-0005-0000-0000-0000310F0000}"/>
    <cellStyle name="Normal 9 15 3" xfId="3672" xr:uid="{00000000-0005-0000-0000-0000320F0000}"/>
    <cellStyle name="Normal 9 16" xfId="3673" xr:uid="{00000000-0005-0000-0000-0000330F0000}"/>
    <cellStyle name="Normal 9 16 2" xfId="3674" xr:uid="{00000000-0005-0000-0000-0000340F0000}"/>
    <cellStyle name="Normal 9 17" xfId="3675" xr:uid="{00000000-0005-0000-0000-0000350F0000}"/>
    <cellStyle name="Normal 9 2" xfId="3676" xr:uid="{00000000-0005-0000-0000-0000360F0000}"/>
    <cellStyle name="Normal 9 2 2" xfId="3677" xr:uid="{00000000-0005-0000-0000-0000370F0000}"/>
    <cellStyle name="Normal 9 2 2 2" xfId="3678" xr:uid="{00000000-0005-0000-0000-0000380F0000}"/>
    <cellStyle name="Normal 9 2 2 3" xfId="4590" xr:uid="{00000000-0005-0000-0000-0000390F0000}"/>
    <cellStyle name="Normal 9 2 2 3 2" xfId="5154" xr:uid="{7BFDB635-DA04-4DEB-8CD6-8F1FE3124A4A}"/>
    <cellStyle name="Normal 9 2 2 4" xfId="4591" xr:uid="{00000000-0005-0000-0000-00003A0F0000}"/>
    <cellStyle name="Normal 9 2 2 4 2" xfId="5155" xr:uid="{733A4F87-A0C2-4625-B88C-6F2E441D1B91}"/>
    <cellStyle name="Normal 9 2 3" xfId="3679" xr:uid="{00000000-0005-0000-0000-00003B0F0000}"/>
    <cellStyle name="Normal 9 2 4" xfId="4592" xr:uid="{00000000-0005-0000-0000-00003C0F0000}"/>
    <cellStyle name="Normal 9 2 4 2" xfId="5156" xr:uid="{5BEB2445-D032-4834-AA3E-C329B8AC78B6}"/>
    <cellStyle name="Normal 9 2 5" xfId="4593" xr:uid="{00000000-0005-0000-0000-00003D0F0000}"/>
    <cellStyle name="Normal 9 2 5 2" xfId="5157" xr:uid="{A8170067-9AC6-4E68-A1AE-8F11FF3D3CC1}"/>
    <cellStyle name="Normal 9 3" xfId="3680" xr:uid="{00000000-0005-0000-0000-00003E0F0000}"/>
    <cellStyle name="Normal 9 3 2" xfId="3681" xr:uid="{00000000-0005-0000-0000-00003F0F0000}"/>
    <cellStyle name="Normal 9 3 2 2" xfId="3682" xr:uid="{00000000-0005-0000-0000-0000400F0000}"/>
    <cellStyle name="Normal 9 3 3" xfId="3683" xr:uid="{00000000-0005-0000-0000-0000410F0000}"/>
    <cellStyle name="Normal 9 3 4" xfId="4594" xr:uid="{00000000-0005-0000-0000-0000420F0000}"/>
    <cellStyle name="Normal 9 3 4 2" xfId="5158" xr:uid="{D08EC52A-072E-4040-9FD7-FAC9F534AA8C}"/>
    <cellStyle name="Normal 9 4" xfId="3684" xr:uid="{00000000-0005-0000-0000-0000430F0000}"/>
    <cellStyle name="Normal 9 4 2" xfId="3685" xr:uid="{00000000-0005-0000-0000-0000440F0000}"/>
    <cellStyle name="Normal 9 4 2 2" xfId="3686" xr:uid="{00000000-0005-0000-0000-0000450F0000}"/>
    <cellStyle name="Normal 9 4 3" xfId="3687" xr:uid="{00000000-0005-0000-0000-0000460F0000}"/>
    <cellStyle name="Normal 9 5" xfId="3688" xr:uid="{00000000-0005-0000-0000-0000470F0000}"/>
    <cellStyle name="Normal 9 5 2" xfId="3689" xr:uid="{00000000-0005-0000-0000-0000480F0000}"/>
    <cellStyle name="Normal 9 5 2 2" xfId="3690" xr:uid="{00000000-0005-0000-0000-0000490F0000}"/>
    <cellStyle name="Normal 9 5 3" xfId="3691" xr:uid="{00000000-0005-0000-0000-00004A0F0000}"/>
    <cellStyle name="Normal 9 6" xfId="3692" xr:uid="{00000000-0005-0000-0000-00004B0F0000}"/>
    <cellStyle name="Normal 9 6 2" xfId="3693" xr:uid="{00000000-0005-0000-0000-00004C0F0000}"/>
    <cellStyle name="Normal 9 6 2 2" xfId="3694" xr:uid="{00000000-0005-0000-0000-00004D0F0000}"/>
    <cellStyle name="Normal 9 6 3" xfId="3695" xr:uid="{00000000-0005-0000-0000-00004E0F0000}"/>
    <cellStyle name="Normal 9 7" xfId="3696" xr:uid="{00000000-0005-0000-0000-00004F0F0000}"/>
    <cellStyle name="Normal 9 7 2" xfId="3697" xr:uid="{00000000-0005-0000-0000-0000500F0000}"/>
    <cellStyle name="Normal 9 7 2 2" xfId="3698" xr:uid="{00000000-0005-0000-0000-0000510F0000}"/>
    <cellStyle name="Normal 9 7 3" xfId="3699" xr:uid="{00000000-0005-0000-0000-0000520F0000}"/>
    <cellStyle name="Normal 9 8" xfId="3700" xr:uid="{00000000-0005-0000-0000-0000530F0000}"/>
    <cellStyle name="Normal 9 8 2" xfId="3701" xr:uid="{00000000-0005-0000-0000-0000540F0000}"/>
    <cellStyle name="Normal 9 8 2 2" xfId="3702" xr:uid="{00000000-0005-0000-0000-0000550F0000}"/>
    <cellStyle name="Normal 9 8 3" xfId="3703" xr:uid="{00000000-0005-0000-0000-0000560F0000}"/>
    <cellStyle name="Normal 9 9" xfId="3704" xr:uid="{00000000-0005-0000-0000-0000570F0000}"/>
    <cellStyle name="Normal 9 9 2" xfId="3705" xr:uid="{00000000-0005-0000-0000-0000580F0000}"/>
    <cellStyle name="Normal 9 9 2 2" xfId="3706" xr:uid="{00000000-0005-0000-0000-0000590F0000}"/>
    <cellStyle name="Normal 9 9 3" xfId="3707" xr:uid="{00000000-0005-0000-0000-00005A0F0000}"/>
    <cellStyle name="Normal 96" xfId="3708" xr:uid="{00000000-0005-0000-0000-00005B0F0000}"/>
    <cellStyle name="Normal 96 2" xfId="3709" xr:uid="{00000000-0005-0000-0000-00005C0F0000}"/>
    <cellStyle name="Normal CEN" xfId="125" xr:uid="{00000000-0005-0000-0000-00005D0F0000}"/>
    <cellStyle name="Normal Centered" xfId="126" xr:uid="{00000000-0005-0000-0000-00005E0F0000}"/>
    <cellStyle name="NORMAL CTR" xfId="127" xr:uid="{00000000-0005-0000-0000-00005F0F0000}"/>
    <cellStyle name="Normal_0112 No Link Exp" xfId="4473" xr:uid="{00000000-0005-0000-0000-0000600F0000}"/>
    <cellStyle name="Normal_21 Exh B" xfId="4595" xr:uid="{00000000-0005-0000-0000-0000610F0000}"/>
    <cellStyle name="Normal_ADITAnalysisID090805" xfId="4670" xr:uid="{00000000-0005-0000-0000-0000620F0000}"/>
    <cellStyle name="Normal_ATC Projected 2008 Monthly Plant Balances for Attachment O 2 (2)" xfId="4596" xr:uid="{00000000-0005-0000-0000-0000630F0000}"/>
    <cellStyle name="Normal_Attachment O &amp; GG Final 11_11_09" xfId="4664" xr:uid="{00000000-0005-0000-0000-0000640F0000}"/>
    <cellStyle name="Normal_Attachment Os for 2002 True-up" xfId="4597" xr:uid="{00000000-0005-0000-0000-0000650F0000}"/>
    <cellStyle name="Normal_Duquesne Settled Fromula 10-3-07" xfId="4476" xr:uid="{00000000-0005-0000-0000-0000660F0000}"/>
    <cellStyle name="Normal_FN1 Ratebase Draft SPP template (6-11-04) v2" xfId="4668" xr:uid="{00000000-0005-0000-0000-0000670F0000}"/>
    <cellStyle name="Normal_KCPL Transmission  Formula Rate 9-11-09ach" xfId="4669" xr:uid="{00000000-0005-0000-0000-0000680F0000}"/>
    <cellStyle name="Normal_PRECorp2002HeintzResponse 8-21-03" xfId="4" xr:uid="{00000000-0005-0000-0000-0000690F0000}"/>
    <cellStyle name="Normal_Revised Table 8 &amp; 22" xfId="4471" xr:uid="{00000000-0005-0000-0000-00006A0F0000}"/>
    <cellStyle name="Normal_Schedule O Info for Mike" xfId="4598" xr:uid="{00000000-0005-0000-0000-00006B0F0000}"/>
    <cellStyle name="Note 10" xfId="3710" xr:uid="{00000000-0005-0000-0000-00006C0F0000}"/>
    <cellStyle name="Note 10 2" xfId="3711" xr:uid="{00000000-0005-0000-0000-00006D0F0000}"/>
    <cellStyle name="Note 10 2 2" xfId="3712" xr:uid="{00000000-0005-0000-0000-00006E0F0000}"/>
    <cellStyle name="Note 10 3" xfId="3713" xr:uid="{00000000-0005-0000-0000-00006F0F0000}"/>
    <cellStyle name="Note 11" xfId="3714" xr:uid="{00000000-0005-0000-0000-0000700F0000}"/>
    <cellStyle name="Note 11 2" xfId="3715" xr:uid="{00000000-0005-0000-0000-0000710F0000}"/>
    <cellStyle name="Note 11 2 2" xfId="3716" xr:uid="{00000000-0005-0000-0000-0000720F0000}"/>
    <cellStyle name="Note 11 3" xfId="3717" xr:uid="{00000000-0005-0000-0000-0000730F0000}"/>
    <cellStyle name="Note 12" xfId="3718" xr:uid="{00000000-0005-0000-0000-0000740F0000}"/>
    <cellStyle name="Note 12 2" xfId="3719" xr:uid="{00000000-0005-0000-0000-0000750F0000}"/>
    <cellStyle name="Note 12 2 2" xfId="3720" xr:uid="{00000000-0005-0000-0000-0000760F0000}"/>
    <cellStyle name="Note 12 3" xfId="3721" xr:uid="{00000000-0005-0000-0000-0000770F0000}"/>
    <cellStyle name="Note 13" xfId="3722" xr:uid="{00000000-0005-0000-0000-0000780F0000}"/>
    <cellStyle name="Note 13 2" xfId="3723" xr:uid="{00000000-0005-0000-0000-0000790F0000}"/>
    <cellStyle name="Note 13 2 2" xfId="3724" xr:uid="{00000000-0005-0000-0000-00007A0F0000}"/>
    <cellStyle name="Note 13 3" xfId="3725" xr:uid="{00000000-0005-0000-0000-00007B0F0000}"/>
    <cellStyle name="Note 14" xfId="3726" xr:uid="{00000000-0005-0000-0000-00007C0F0000}"/>
    <cellStyle name="Note 14 2" xfId="3727" xr:uid="{00000000-0005-0000-0000-00007D0F0000}"/>
    <cellStyle name="Note 14 2 2" xfId="3728" xr:uid="{00000000-0005-0000-0000-00007E0F0000}"/>
    <cellStyle name="Note 14 3" xfId="3729" xr:uid="{00000000-0005-0000-0000-00007F0F0000}"/>
    <cellStyle name="Note 15" xfId="3730" xr:uid="{00000000-0005-0000-0000-0000800F0000}"/>
    <cellStyle name="Note 15 2" xfId="3731" xr:uid="{00000000-0005-0000-0000-0000810F0000}"/>
    <cellStyle name="Note 15 2 2" xfId="3732" xr:uid="{00000000-0005-0000-0000-0000820F0000}"/>
    <cellStyle name="Note 15 3" xfId="3733" xr:uid="{00000000-0005-0000-0000-0000830F0000}"/>
    <cellStyle name="Note 15 3 2" xfId="3734" xr:uid="{00000000-0005-0000-0000-0000840F0000}"/>
    <cellStyle name="Note 15 4" xfId="3735" xr:uid="{00000000-0005-0000-0000-0000850F0000}"/>
    <cellStyle name="Note 15 4 2" xfId="3736" xr:uid="{00000000-0005-0000-0000-0000860F0000}"/>
    <cellStyle name="Note 15 5" xfId="3737" xr:uid="{00000000-0005-0000-0000-0000870F0000}"/>
    <cellStyle name="Note 15 5 2" xfId="3738" xr:uid="{00000000-0005-0000-0000-0000880F0000}"/>
    <cellStyle name="Note 15 6" xfId="3739" xr:uid="{00000000-0005-0000-0000-0000890F0000}"/>
    <cellStyle name="Note 16" xfId="3740" xr:uid="{00000000-0005-0000-0000-00008A0F0000}"/>
    <cellStyle name="Note 16 2" xfId="3741" xr:uid="{00000000-0005-0000-0000-00008B0F0000}"/>
    <cellStyle name="Note 16 2 2" xfId="3742" xr:uid="{00000000-0005-0000-0000-00008C0F0000}"/>
    <cellStyle name="Note 16 3" xfId="3743" xr:uid="{00000000-0005-0000-0000-00008D0F0000}"/>
    <cellStyle name="Note 16 3 2" xfId="3744" xr:uid="{00000000-0005-0000-0000-00008E0F0000}"/>
    <cellStyle name="Note 16 4" xfId="3745" xr:uid="{00000000-0005-0000-0000-00008F0F0000}"/>
    <cellStyle name="Note 16 4 2" xfId="3746" xr:uid="{00000000-0005-0000-0000-0000900F0000}"/>
    <cellStyle name="Note 16 5" xfId="3747" xr:uid="{00000000-0005-0000-0000-0000910F0000}"/>
    <cellStyle name="Note 16 5 2" xfId="3748" xr:uid="{00000000-0005-0000-0000-0000920F0000}"/>
    <cellStyle name="Note 16 6" xfId="3749" xr:uid="{00000000-0005-0000-0000-0000930F0000}"/>
    <cellStyle name="Note 17" xfId="3750" xr:uid="{00000000-0005-0000-0000-0000940F0000}"/>
    <cellStyle name="Note 17 2" xfId="3751" xr:uid="{00000000-0005-0000-0000-0000950F0000}"/>
    <cellStyle name="Note 17 2 2" xfId="3752" xr:uid="{00000000-0005-0000-0000-0000960F0000}"/>
    <cellStyle name="Note 17 3" xfId="3753" xr:uid="{00000000-0005-0000-0000-0000970F0000}"/>
    <cellStyle name="Note 17 3 2" xfId="3754" xr:uid="{00000000-0005-0000-0000-0000980F0000}"/>
    <cellStyle name="Note 17 4" xfId="3755" xr:uid="{00000000-0005-0000-0000-0000990F0000}"/>
    <cellStyle name="Note 17 4 2" xfId="3756" xr:uid="{00000000-0005-0000-0000-00009A0F0000}"/>
    <cellStyle name="Note 17 5" xfId="3757" xr:uid="{00000000-0005-0000-0000-00009B0F0000}"/>
    <cellStyle name="Note 17 5 2" xfId="3758" xr:uid="{00000000-0005-0000-0000-00009C0F0000}"/>
    <cellStyle name="Note 17 6" xfId="3759" xr:uid="{00000000-0005-0000-0000-00009D0F0000}"/>
    <cellStyle name="Note 18" xfId="3760" xr:uid="{00000000-0005-0000-0000-00009E0F0000}"/>
    <cellStyle name="Note 18 2" xfId="3761" xr:uid="{00000000-0005-0000-0000-00009F0F0000}"/>
    <cellStyle name="Note 18 2 2" xfId="3762" xr:uid="{00000000-0005-0000-0000-0000A00F0000}"/>
    <cellStyle name="Note 18 3" xfId="3763" xr:uid="{00000000-0005-0000-0000-0000A10F0000}"/>
    <cellStyle name="Note 18 3 2" xfId="3764" xr:uid="{00000000-0005-0000-0000-0000A20F0000}"/>
    <cellStyle name="Note 18 4" xfId="3765" xr:uid="{00000000-0005-0000-0000-0000A30F0000}"/>
    <cellStyle name="Note 18 4 2" xfId="3766" xr:uid="{00000000-0005-0000-0000-0000A40F0000}"/>
    <cellStyle name="Note 18 5" xfId="3767" xr:uid="{00000000-0005-0000-0000-0000A50F0000}"/>
    <cellStyle name="Note 18 5 2" xfId="3768" xr:uid="{00000000-0005-0000-0000-0000A60F0000}"/>
    <cellStyle name="Note 18 6" xfId="3769" xr:uid="{00000000-0005-0000-0000-0000A70F0000}"/>
    <cellStyle name="Note 19" xfId="3770" xr:uid="{00000000-0005-0000-0000-0000A80F0000}"/>
    <cellStyle name="Note 19 2" xfId="3771" xr:uid="{00000000-0005-0000-0000-0000A90F0000}"/>
    <cellStyle name="Note 19 2 2" xfId="3772" xr:uid="{00000000-0005-0000-0000-0000AA0F0000}"/>
    <cellStyle name="Note 19 3" xfId="3773" xr:uid="{00000000-0005-0000-0000-0000AB0F0000}"/>
    <cellStyle name="Note 19 3 2" xfId="3774" xr:uid="{00000000-0005-0000-0000-0000AC0F0000}"/>
    <cellStyle name="Note 19 4" xfId="3775" xr:uid="{00000000-0005-0000-0000-0000AD0F0000}"/>
    <cellStyle name="Note 19 4 2" xfId="3776" xr:uid="{00000000-0005-0000-0000-0000AE0F0000}"/>
    <cellStyle name="Note 19 5" xfId="3777" xr:uid="{00000000-0005-0000-0000-0000AF0F0000}"/>
    <cellStyle name="Note 19 5 2" xfId="3778" xr:uid="{00000000-0005-0000-0000-0000B00F0000}"/>
    <cellStyle name="Note 19 6" xfId="3779" xr:uid="{00000000-0005-0000-0000-0000B10F0000}"/>
    <cellStyle name="Note 2" xfId="128" xr:uid="{00000000-0005-0000-0000-0000B20F0000}"/>
    <cellStyle name="Note 2 2" xfId="3780" xr:uid="{00000000-0005-0000-0000-0000B30F0000}"/>
    <cellStyle name="Note 2 2 2" xfId="3781" xr:uid="{00000000-0005-0000-0000-0000B40F0000}"/>
    <cellStyle name="Note 2 3" xfId="3782" xr:uid="{00000000-0005-0000-0000-0000B50F0000}"/>
    <cellStyle name="Note 20" xfId="3783" xr:uid="{00000000-0005-0000-0000-0000B60F0000}"/>
    <cellStyle name="Note 20 2" xfId="3784" xr:uid="{00000000-0005-0000-0000-0000B70F0000}"/>
    <cellStyle name="Note 20 2 2" xfId="3785" xr:uid="{00000000-0005-0000-0000-0000B80F0000}"/>
    <cellStyle name="Note 20 3" xfId="3786" xr:uid="{00000000-0005-0000-0000-0000B90F0000}"/>
    <cellStyle name="Note 20 3 2" xfId="3787" xr:uid="{00000000-0005-0000-0000-0000BA0F0000}"/>
    <cellStyle name="Note 20 4" xfId="3788" xr:uid="{00000000-0005-0000-0000-0000BB0F0000}"/>
    <cellStyle name="Note 20 4 2" xfId="3789" xr:uid="{00000000-0005-0000-0000-0000BC0F0000}"/>
    <cellStyle name="Note 20 5" xfId="3790" xr:uid="{00000000-0005-0000-0000-0000BD0F0000}"/>
    <cellStyle name="Note 20 5 2" xfId="3791" xr:uid="{00000000-0005-0000-0000-0000BE0F0000}"/>
    <cellStyle name="Note 20 6" xfId="3792" xr:uid="{00000000-0005-0000-0000-0000BF0F0000}"/>
    <cellStyle name="Note 21" xfId="3793" xr:uid="{00000000-0005-0000-0000-0000C00F0000}"/>
    <cellStyle name="Note 21 2" xfId="3794" xr:uid="{00000000-0005-0000-0000-0000C10F0000}"/>
    <cellStyle name="Note 21 2 2" xfId="3795" xr:uid="{00000000-0005-0000-0000-0000C20F0000}"/>
    <cellStyle name="Note 21 3" xfId="3796" xr:uid="{00000000-0005-0000-0000-0000C30F0000}"/>
    <cellStyle name="Note 21 3 2" xfId="3797" xr:uid="{00000000-0005-0000-0000-0000C40F0000}"/>
    <cellStyle name="Note 21 4" xfId="3798" xr:uid="{00000000-0005-0000-0000-0000C50F0000}"/>
    <cellStyle name="Note 21 4 2" xfId="3799" xr:uid="{00000000-0005-0000-0000-0000C60F0000}"/>
    <cellStyle name="Note 21 5" xfId="3800" xr:uid="{00000000-0005-0000-0000-0000C70F0000}"/>
    <cellStyle name="Note 21 5 2" xfId="3801" xr:uid="{00000000-0005-0000-0000-0000C80F0000}"/>
    <cellStyle name="Note 21 6" xfId="3802" xr:uid="{00000000-0005-0000-0000-0000C90F0000}"/>
    <cellStyle name="Note 21 6 2" xfId="3803" xr:uid="{00000000-0005-0000-0000-0000CA0F0000}"/>
    <cellStyle name="Note 21 7" xfId="3804" xr:uid="{00000000-0005-0000-0000-0000CB0F0000}"/>
    <cellStyle name="Note 21 7 2" xfId="3805" xr:uid="{00000000-0005-0000-0000-0000CC0F0000}"/>
    <cellStyle name="Note 21 8" xfId="3806" xr:uid="{00000000-0005-0000-0000-0000CD0F0000}"/>
    <cellStyle name="Note 22" xfId="3807" xr:uid="{00000000-0005-0000-0000-0000CE0F0000}"/>
    <cellStyle name="Note 22 2" xfId="3808" xr:uid="{00000000-0005-0000-0000-0000CF0F0000}"/>
    <cellStyle name="Note 22 2 2" xfId="3809" xr:uid="{00000000-0005-0000-0000-0000D00F0000}"/>
    <cellStyle name="Note 22 3" xfId="3810" xr:uid="{00000000-0005-0000-0000-0000D10F0000}"/>
    <cellStyle name="Note 22 3 2" xfId="3811" xr:uid="{00000000-0005-0000-0000-0000D20F0000}"/>
    <cellStyle name="Note 22 4" xfId="3812" xr:uid="{00000000-0005-0000-0000-0000D30F0000}"/>
    <cellStyle name="Note 22 4 2" xfId="3813" xr:uid="{00000000-0005-0000-0000-0000D40F0000}"/>
    <cellStyle name="Note 22 5" xfId="3814" xr:uid="{00000000-0005-0000-0000-0000D50F0000}"/>
    <cellStyle name="Note 22 5 2" xfId="3815" xr:uid="{00000000-0005-0000-0000-0000D60F0000}"/>
    <cellStyle name="Note 22 6" xfId="3816" xr:uid="{00000000-0005-0000-0000-0000D70F0000}"/>
    <cellStyle name="Note 22 6 2" xfId="3817" xr:uid="{00000000-0005-0000-0000-0000D80F0000}"/>
    <cellStyle name="Note 22 7" xfId="3818" xr:uid="{00000000-0005-0000-0000-0000D90F0000}"/>
    <cellStyle name="Note 22 7 2" xfId="3819" xr:uid="{00000000-0005-0000-0000-0000DA0F0000}"/>
    <cellStyle name="Note 22 8" xfId="3820" xr:uid="{00000000-0005-0000-0000-0000DB0F0000}"/>
    <cellStyle name="Note 23" xfId="3821" xr:uid="{00000000-0005-0000-0000-0000DC0F0000}"/>
    <cellStyle name="Note 23 2" xfId="3822" xr:uid="{00000000-0005-0000-0000-0000DD0F0000}"/>
    <cellStyle name="Note 23 2 2" xfId="3823" xr:uid="{00000000-0005-0000-0000-0000DE0F0000}"/>
    <cellStyle name="Note 23 3" xfId="3824" xr:uid="{00000000-0005-0000-0000-0000DF0F0000}"/>
    <cellStyle name="Note 23 3 2" xfId="3825" xr:uid="{00000000-0005-0000-0000-0000E00F0000}"/>
    <cellStyle name="Note 23 4" xfId="3826" xr:uid="{00000000-0005-0000-0000-0000E10F0000}"/>
    <cellStyle name="Note 23 4 2" xfId="3827" xr:uid="{00000000-0005-0000-0000-0000E20F0000}"/>
    <cellStyle name="Note 23 5" xfId="3828" xr:uid="{00000000-0005-0000-0000-0000E30F0000}"/>
    <cellStyle name="Note 23 5 2" xfId="3829" xr:uid="{00000000-0005-0000-0000-0000E40F0000}"/>
    <cellStyle name="Note 23 6" xfId="3830" xr:uid="{00000000-0005-0000-0000-0000E50F0000}"/>
    <cellStyle name="Note 23 6 2" xfId="3831" xr:uid="{00000000-0005-0000-0000-0000E60F0000}"/>
    <cellStyle name="Note 23 7" xfId="3832" xr:uid="{00000000-0005-0000-0000-0000E70F0000}"/>
    <cellStyle name="Note 23 7 2" xfId="3833" xr:uid="{00000000-0005-0000-0000-0000E80F0000}"/>
    <cellStyle name="Note 23 8" xfId="3834" xr:uid="{00000000-0005-0000-0000-0000E90F0000}"/>
    <cellStyle name="Note 24" xfId="3835" xr:uid="{00000000-0005-0000-0000-0000EA0F0000}"/>
    <cellStyle name="Note 24 2" xfId="3836" xr:uid="{00000000-0005-0000-0000-0000EB0F0000}"/>
    <cellStyle name="Note 24 2 2" xfId="3837" xr:uid="{00000000-0005-0000-0000-0000EC0F0000}"/>
    <cellStyle name="Note 24 3" xfId="3838" xr:uid="{00000000-0005-0000-0000-0000ED0F0000}"/>
    <cellStyle name="Note 24 3 2" xfId="3839" xr:uid="{00000000-0005-0000-0000-0000EE0F0000}"/>
    <cellStyle name="Note 24 4" xfId="3840" xr:uid="{00000000-0005-0000-0000-0000EF0F0000}"/>
    <cellStyle name="Note 24 4 2" xfId="3841" xr:uid="{00000000-0005-0000-0000-0000F00F0000}"/>
    <cellStyle name="Note 24 5" xfId="3842" xr:uid="{00000000-0005-0000-0000-0000F10F0000}"/>
    <cellStyle name="Note 24 5 2" xfId="3843" xr:uid="{00000000-0005-0000-0000-0000F20F0000}"/>
    <cellStyle name="Note 24 6" xfId="3844" xr:uid="{00000000-0005-0000-0000-0000F30F0000}"/>
    <cellStyle name="Note 24 6 2" xfId="3845" xr:uid="{00000000-0005-0000-0000-0000F40F0000}"/>
    <cellStyle name="Note 24 7" xfId="3846" xr:uid="{00000000-0005-0000-0000-0000F50F0000}"/>
    <cellStyle name="Note 24 7 2" xfId="3847" xr:uid="{00000000-0005-0000-0000-0000F60F0000}"/>
    <cellStyle name="Note 24 8" xfId="3848" xr:uid="{00000000-0005-0000-0000-0000F70F0000}"/>
    <cellStyle name="Note 25" xfId="3849" xr:uid="{00000000-0005-0000-0000-0000F80F0000}"/>
    <cellStyle name="Note 25 2" xfId="3850" xr:uid="{00000000-0005-0000-0000-0000F90F0000}"/>
    <cellStyle name="Note 25 2 2" xfId="3851" xr:uid="{00000000-0005-0000-0000-0000FA0F0000}"/>
    <cellStyle name="Note 25 3" xfId="3852" xr:uid="{00000000-0005-0000-0000-0000FB0F0000}"/>
    <cellStyle name="Note 25 3 2" xfId="3853" xr:uid="{00000000-0005-0000-0000-0000FC0F0000}"/>
    <cellStyle name="Note 25 4" xfId="3854" xr:uid="{00000000-0005-0000-0000-0000FD0F0000}"/>
    <cellStyle name="Note 25 4 2" xfId="3855" xr:uid="{00000000-0005-0000-0000-0000FE0F0000}"/>
    <cellStyle name="Note 25 5" xfId="3856" xr:uid="{00000000-0005-0000-0000-0000FF0F0000}"/>
    <cellStyle name="Note 25 5 2" xfId="3857" xr:uid="{00000000-0005-0000-0000-000000100000}"/>
    <cellStyle name="Note 25 6" xfId="3858" xr:uid="{00000000-0005-0000-0000-000001100000}"/>
    <cellStyle name="Note 26" xfId="3859" xr:uid="{00000000-0005-0000-0000-000002100000}"/>
    <cellStyle name="Note 26 2" xfId="3860" xr:uid="{00000000-0005-0000-0000-000003100000}"/>
    <cellStyle name="Note 26 2 2" xfId="3861" xr:uid="{00000000-0005-0000-0000-000004100000}"/>
    <cellStyle name="Note 26 3" xfId="3862" xr:uid="{00000000-0005-0000-0000-000005100000}"/>
    <cellStyle name="Note 26 3 2" xfId="3863" xr:uid="{00000000-0005-0000-0000-000006100000}"/>
    <cellStyle name="Note 26 4" xfId="3864" xr:uid="{00000000-0005-0000-0000-000007100000}"/>
    <cellStyle name="Note 26 4 2" xfId="3865" xr:uid="{00000000-0005-0000-0000-000008100000}"/>
    <cellStyle name="Note 26 5" xfId="3866" xr:uid="{00000000-0005-0000-0000-000009100000}"/>
    <cellStyle name="Note 26 5 2" xfId="3867" xr:uid="{00000000-0005-0000-0000-00000A100000}"/>
    <cellStyle name="Note 26 6" xfId="3868" xr:uid="{00000000-0005-0000-0000-00000B100000}"/>
    <cellStyle name="Note 27" xfId="3869" xr:uid="{00000000-0005-0000-0000-00000C100000}"/>
    <cellStyle name="Note 27 2" xfId="3870" xr:uid="{00000000-0005-0000-0000-00000D100000}"/>
    <cellStyle name="Note 27 2 2" xfId="3871" xr:uid="{00000000-0005-0000-0000-00000E100000}"/>
    <cellStyle name="Note 27 3" xfId="3872" xr:uid="{00000000-0005-0000-0000-00000F100000}"/>
    <cellStyle name="Note 27 3 2" xfId="3873" xr:uid="{00000000-0005-0000-0000-000010100000}"/>
    <cellStyle name="Note 27 4" xfId="3874" xr:uid="{00000000-0005-0000-0000-000011100000}"/>
    <cellStyle name="Note 27 4 2" xfId="3875" xr:uid="{00000000-0005-0000-0000-000012100000}"/>
    <cellStyle name="Note 27 5" xfId="3876" xr:uid="{00000000-0005-0000-0000-000013100000}"/>
    <cellStyle name="Note 27 5 2" xfId="3877" xr:uid="{00000000-0005-0000-0000-000014100000}"/>
    <cellStyle name="Note 27 6" xfId="3878" xr:uid="{00000000-0005-0000-0000-000015100000}"/>
    <cellStyle name="Note 28" xfId="3879" xr:uid="{00000000-0005-0000-0000-000016100000}"/>
    <cellStyle name="Note 28 2" xfId="3880" xr:uid="{00000000-0005-0000-0000-000017100000}"/>
    <cellStyle name="Note 28 2 2" xfId="3881" xr:uid="{00000000-0005-0000-0000-000018100000}"/>
    <cellStyle name="Note 28 3" xfId="3882" xr:uid="{00000000-0005-0000-0000-000019100000}"/>
    <cellStyle name="Note 28 3 2" xfId="3883" xr:uid="{00000000-0005-0000-0000-00001A100000}"/>
    <cellStyle name="Note 28 4" xfId="3884" xr:uid="{00000000-0005-0000-0000-00001B100000}"/>
    <cellStyle name="Note 28 4 2" xfId="3885" xr:uid="{00000000-0005-0000-0000-00001C100000}"/>
    <cellStyle name="Note 28 5" xfId="3886" xr:uid="{00000000-0005-0000-0000-00001D100000}"/>
    <cellStyle name="Note 28 5 2" xfId="3887" xr:uid="{00000000-0005-0000-0000-00001E100000}"/>
    <cellStyle name="Note 28 6" xfId="3888" xr:uid="{00000000-0005-0000-0000-00001F100000}"/>
    <cellStyle name="Note 29" xfId="3889" xr:uid="{00000000-0005-0000-0000-000020100000}"/>
    <cellStyle name="Note 29 2" xfId="3890" xr:uid="{00000000-0005-0000-0000-000021100000}"/>
    <cellStyle name="Note 29 2 2" xfId="3891" xr:uid="{00000000-0005-0000-0000-000022100000}"/>
    <cellStyle name="Note 29 3" xfId="3892" xr:uid="{00000000-0005-0000-0000-000023100000}"/>
    <cellStyle name="Note 29 3 2" xfId="3893" xr:uid="{00000000-0005-0000-0000-000024100000}"/>
    <cellStyle name="Note 29 4" xfId="3894" xr:uid="{00000000-0005-0000-0000-000025100000}"/>
    <cellStyle name="Note 29 4 2" xfId="3895" xr:uid="{00000000-0005-0000-0000-000026100000}"/>
    <cellStyle name="Note 29 5" xfId="3896" xr:uid="{00000000-0005-0000-0000-000027100000}"/>
    <cellStyle name="Note 29 5 2" xfId="3897" xr:uid="{00000000-0005-0000-0000-000028100000}"/>
    <cellStyle name="Note 29 6" xfId="3898" xr:uid="{00000000-0005-0000-0000-000029100000}"/>
    <cellStyle name="Note 3" xfId="3899" xr:uid="{00000000-0005-0000-0000-00002A100000}"/>
    <cellStyle name="Note 3 2" xfId="3900" xr:uid="{00000000-0005-0000-0000-00002B100000}"/>
    <cellStyle name="Note 3 2 2" xfId="3901" xr:uid="{00000000-0005-0000-0000-00002C100000}"/>
    <cellStyle name="Note 3 3" xfId="3902" xr:uid="{00000000-0005-0000-0000-00002D100000}"/>
    <cellStyle name="Note 30" xfId="3903" xr:uid="{00000000-0005-0000-0000-00002E100000}"/>
    <cellStyle name="Note 30 2" xfId="3904" xr:uid="{00000000-0005-0000-0000-00002F100000}"/>
    <cellStyle name="Note 30 2 2" xfId="3905" xr:uid="{00000000-0005-0000-0000-000030100000}"/>
    <cellStyle name="Note 30 3" xfId="3906" xr:uid="{00000000-0005-0000-0000-000031100000}"/>
    <cellStyle name="Note 30 3 2" xfId="3907" xr:uid="{00000000-0005-0000-0000-000032100000}"/>
    <cellStyle name="Note 30 4" xfId="3908" xr:uid="{00000000-0005-0000-0000-000033100000}"/>
    <cellStyle name="Note 30 4 2" xfId="3909" xr:uid="{00000000-0005-0000-0000-000034100000}"/>
    <cellStyle name="Note 30 5" xfId="3910" xr:uid="{00000000-0005-0000-0000-000035100000}"/>
    <cellStyle name="Note 30 5 2" xfId="3911" xr:uid="{00000000-0005-0000-0000-000036100000}"/>
    <cellStyle name="Note 30 6" xfId="3912" xr:uid="{00000000-0005-0000-0000-000037100000}"/>
    <cellStyle name="Note 31" xfId="3913" xr:uid="{00000000-0005-0000-0000-000038100000}"/>
    <cellStyle name="Note 31 2" xfId="3914" xr:uid="{00000000-0005-0000-0000-000039100000}"/>
    <cellStyle name="Note 31 2 2" xfId="3915" xr:uid="{00000000-0005-0000-0000-00003A100000}"/>
    <cellStyle name="Note 31 3" xfId="3916" xr:uid="{00000000-0005-0000-0000-00003B100000}"/>
    <cellStyle name="Note 31 3 2" xfId="3917" xr:uid="{00000000-0005-0000-0000-00003C100000}"/>
    <cellStyle name="Note 31 4" xfId="3918" xr:uid="{00000000-0005-0000-0000-00003D100000}"/>
    <cellStyle name="Note 31 4 2" xfId="3919" xr:uid="{00000000-0005-0000-0000-00003E100000}"/>
    <cellStyle name="Note 31 5" xfId="3920" xr:uid="{00000000-0005-0000-0000-00003F100000}"/>
    <cellStyle name="Note 31 5 2" xfId="3921" xr:uid="{00000000-0005-0000-0000-000040100000}"/>
    <cellStyle name="Note 31 6" xfId="3922" xr:uid="{00000000-0005-0000-0000-000041100000}"/>
    <cellStyle name="Note 31 6 2" xfId="3923" xr:uid="{00000000-0005-0000-0000-000042100000}"/>
    <cellStyle name="Note 31 7" xfId="3924" xr:uid="{00000000-0005-0000-0000-000043100000}"/>
    <cellStyle name="Note 31 7 2" xfId="3925" xr:uid="{00000000-0005-0000-0000-000044100000}"/>
    <cellStyle name="Note 31 8" xfId="3926" xr:uid="{00000000-0005-0000-0000-000045100000}"/>
    <cellStyle name="Note 32" xfId="3927" xr:uid="{00000000-0005-0000-0000-000046100000}"/>
    <cellStyle name="Note 32 2" xfId="3928" xr:uid="{00000000-0005-0000-0000-000047100000}"/>
    <cellStyle name="Note 32 2 2" xfId="3929" xr:uid="{00000000-0005-0000-0000-000048100000}"/>
    <cellStyle name="Note 32 3" xfId="3930" xr:uid="{00000000-0005-0000-0000-000049100000}"/>
    <cellStyle name="Note 32 3 2" xfId="3931" xr:uid="{00000000-0005-0000-0000-00004A100000}"/>
    <cellStyle name="Note 32 4" xfId="3932" xr:uid="{00000000-0005-0000-0000-00004B100000}"/>
    <cellStyle name="Note 32 4 2" xfId="3933" xr:uid="{00000000-0005-0000-0000-00004C100000}"/>
    <cellStyle name="Note 32 5" xfId="3934" xr:uid="{00000000-0005-0000-0000-00004D100000}"/>
    <cellStyle name="Note 32 5 2" xfId="3935" xr:uid="{00000000-0005-0000-0000-00004E100000}"/>
    <cellStyle name="Note 32 6" xfId="3936" xr:uid="{00000000-0005-0000-0000-00004F100000}"/>
    <cellStyle name="Note 32 6 2" xfId="3937" xr:uid="{00000000-0005-0000-0000-000050100000}"/>
    <cellStyle name="Note 32 7" xfId="3938" xr:uid="{00000000-0005-0000-0000-000051100000}"/>
    <cellStyle name="Note 32 7 2" xfId="3939" xr:uid="{00000000-0005-0000-0000-000052100000}"/>
    <cellStyle name="Note 32 8" xfId="3940" xr:uid="{00000000-0005-0000-0000-000053100000}"/>
    <cellStyle name="Note 33" xfId="3941" xr:uid="{00000000-0005-0000-0000-000054100000}"/>
    <cellStyle name="Note 33 2" xfId="3942" xr:uid="{00000000-0005-0000-0000-000055100000}"/>
    <cellStyle name="Note 33 2 2" xfId="3943" xr:uid="{00000000-0005-0000-0000-000056100000}"/>
    <cellStyle name="Note 33 3" xfId="3944" xr:uid="{00000000-0005-0000-0000-000057100000}"/>
    <cellStyle name="Note 33 3 2" xfId="3945" xr:uid="{00000000-0005-0000-0000-000058100000}"/>
    <cellStyle name="Note 33 4" xfId="3946" xr:uid="{00000000-0005-0000-0000-000059100000}"/>
    <cellStyle name="Note 33 4 2" xfId="3947" xr:uid="{00000000-0005-0000-0000-00005A100000}"/>
    <cellStyle name="Note 33 5" xfId="3948" xr:uid="{00000000-0005-0000-0000-00005B100000}"/>
    <cellStyle name="Note 33 5 2" xfId="3949" xr:uid="{00000000-0005-0000-0000-00005C100000}"/>
    <cellStyle name="Note 33 6" xfId="3950" xr:uid="{00000000-0005-0000-0000-00005D100000}"/>
    <cellStyle name="Note 33 6 2" xfId="3951" xr:uid="{00000000-0005-0000-0000-00005E100000}"/>
    <cellStyle name="Note 33 7" xfId="3952" xr:uid="{00000000-0005-0000-0000-00005F100000}"/>
    <cellStyle name="Note 33 7 2" xfId="3953" xr:uid="{00000000-0005-0000-0000-000060100000}"/>
    <cellStyle name="Note 33 8" xfId="3954" xr:uid="{00000000-0005-0000-0000-000061100000}"/>
    <cellStyle name="Note 34" xfId="3955" xr:uid="{00000000-0005-0000-0000-000062100000}"/>
    <cellStyle name="Note 34 2" xfId="3956" xr:uid="{00000000-0005-0000-0000-000063100000}"/>
    <cellStyle name="Note 34 2 2" xfId="3957" xr:uid="{00000000-0005-0000-0000-000064100000}"/>
    <cellStyle name="Note 34 3" xfId="3958" xr:uid="{00000000-0005-0000-0000-000065100000}"/>
    <cellStyle name="Note 34 3 2" xfId="3959" xr:uid="{00000000-0005-0000-0000-000066100000}"/>
    <cellStyle name="Note 34 4" xfId="3960" xr:uid="{00000000-0005-0000-0000-000067100000}"/>
    <cellStyle name="Note 34 4 2" xfId="3961" xr:uid="{00000000-0005-0000-0000-000068100000}"/>
    <cellStyle name="Note 34 5" xfId="3962" xr:uid="{00000000-0005-0000-0000-000069100000}"/>
    <cellStyle name="Note 34 5 2" xfId="3963" xr:uid="{00000000-0005-0000-0000-00006A100000}"/>
    <cellStyle name="Note 34 6" xfId="3964" xr:uid="{00000000-0005-0000-0000-00006B100000}"/>
    <cellStyle name="Note 34 6 2" xfId="3965" xr:uid="{00000000-0005-0000-0000-00006C100000}"/>
    <cellStyle name="Note 34 7" xfId="3966" xr:uid="{00000000-0005-0000-0000-00006D100000}"/>
    <cellStyle name="Note 34 7 2" xfId="3967" xr:uid="{00000000-0005-0000-0000-00006E100000}"/>
    <cellStyle name="Note 34 8" xfId="3968" xr:uid="{00000000-0005-0000-0000-00006F100000}"/>
    <cellStyle name="Note 35" xfId="3969" xr:uid="{00000000-0005-0000-0000-000070100000}"/>
    <cellStyle name="Note 35 2" xfId="3970" xr:uid="{00000000-0005-0000-0000-000071100000}"/>
    <cellStyle name="Note 35 2 2" xfId="3971" xr:uid="{00000000-0005-0000-0000-000072100000}"/>
    <cellStyle name="Note 35 3" xfId="3972" xr:uid="{00000000-0005-0000-0000-000073100000}"/>
    <cellStyle name="Note 35 3 2" xfId="3973" xr:uid="{00000000-0005-0000-0000-000074100000}"/>
    <cellStyle name="Note 35 4" xfId="3974" xr:uid="{00000000-0005-0000-0000-000075100000}"/>
    <cellStyle name="Note 35 4 2" xfId="3975" xr:uid="{00000000-0005-0000-0000-000076100000}"/>
    <cellStyle name="Note 35 5" xfId="3976" xr:uid="{00000000-0005-0000-0000-000077100000}"/>
    <cellStyle name="Note 35 5 2" xfId="3977" xr:uid="{00000000-0005-0000-0000-000078100000}"/>
    <cellStyle name="Note 35 6" xfId="3978" xr:uid="{00000000-0005-0000-0000-000079100000}"/>
    <cellStyle name="Note 35 6 2" xfId="3979" xr:uid="{00000000-0005-0000-0000-00007A100000}"/>
    <cellStyle name="Note 35 7" xfId="3980" xr:uid="{00000000-0005-0000-0000-00007B100000}"/>
    <cellStyle name="Note 35 7 2" xfId="3981" xr:uid="{00000000-0005-0000-0000-00007C100000}"/>
    <cellStyle name="Note 35 8" xfId="3982" xr:uid="{00000000-0005-0000-0000-00007D100000}"/>
    <cellStyle name="Note 36" xfId="3983" xr:uid="{00000000-0005-0000-0000-00007E100000}"/>
    <cellStyle name="Note 36 2" xfId="3984" xr:uid="{00000000-0005-0000-0000-00007F100000}"/>
    <cellStyle name="Note 36 2 2" xfId="3985" xr:uid="{00000000-0005-0000-0000-000080100000}"/>
    <cellStyle name="Note 36 3" xfId="3986" xr:uid="{00000000-0005-0000-0000-000081100000}"/>
    <cellStyle name="Note 36 3 2" xfId="3987" xr:uid="{00000000-0005-0000-0000-000082100000}"/>
    <cellStyle name="Note 36 4" xfId="3988" xr:uid="{00000000-0005-0000-0000-000083100000}"/>
    <cellStyle name="Note 36 4 2" xfId="3989" xr:uid="{00000000-0005-0000-0000-000084100000}"/>
    <cellStyle name="Note 36 5" xfId="3990" xr:uid="{00000000-0005-0000-0000-000085100000}"/>
    <cellStyle name="Note 36 5 2" xfId="3991" xr:uid="{00000000-0005-0000-0000-000086100000}"/>
    <cellStyle name="Note 36 6" xfId="3992" xr:uid="{00000000-0005-0000-0000-000087100000}"/>
    <cellStyle name="Note 36 6 2" xfId="3993" xr:uid="{00000000-0005-0000-0000-000088100000}"/>
    <cellStyle name="Note 36 7" xfId="3994" xr:uid="{00000000-0005-0000-0000-000089100000}"/>
    <cellStyle name="Note 36 7 2" xfId="3995" xr:uid="{00000000-0005-0000-0000-00008A100000}"/>
    <cellStyle name="Note 36 8" xfId="3996" xr:uid="{00000000-0005-0000-0000-00008B100000}"/>
    <cellStyle name="Note 37" xfId="3997" xr:uid="{00000000-0005-0000-0000-00008C100000}"/>
    <cellStyle name="Note 37 2" xfId="3998" xr:uid="{00000000-0005-0000-0000-00008D100000}"/>
    <cellStyle name="Note 37 2 2" xfId="3999" xr:uid="{00000000-0005-0000-0000-00008E100000}"/>
    <cellStyle name="Note 37 3" xfId="4000" xr:uid="{00000000-0005-0000-0000-00008F100000}"/>
    <cellStyle name="Note 37 3 2" xfId="4001" xr:uid="{00000000-0005-0000-0000-000090100000}"/>
    <cellStyle name="Note 37 4" xfId="4002" xr:uid="{00000000-0005-0000-0000-000091100000}"/>
    <cellStyle name="Note 37 4 2" xfId="4003" xr:uid="{00000000-0005-0000-0000-000092100000}"/>
    <cellStyle name="Note 37 5" xfId="4004" xr:uid="{00000000-0005-0000-0000-000093100000}"/>
    <cellStyle name="Note 37 5 2" xfId="4005" xr:uid="{00000000-0005-0000-0000-000094100000}"/>
    <cellStyle name="Note 37 6" xfId="4006" xr:uid="{00000000-0005-0000-0000-000095100000}"/>
    <cellStyle name="Note 37 6 2" xfId="4007" xr:uid="{00000000-0005-0000-0000-000096100000}"/>
    <cellStyle name="Note 37 7" xfId="4008" xr:uid="{00000000-0005-0000-0000-000097100000}"/>
    <cellStyle name="Note 37 7 2" xfId="4009" xr:uid="{00000000-0005-0000-0000-000098100000}"/>
    <cellStyle name="Note 37 8" xfId="4010" xr:uid="{00000000-0005-0000-0000-000099100000}"/>
    <cellStyle name="Note 38" xfId="4011" xr:uid="{00000000-0005-0000-0000-00009A100000}"/>
    <cellStyle name="Note 38 2" xfId="4012" xr:uid="{00000000-0005-0000-0000-00009B100000}"/>
    <cellStyle name="Note 38 2 2" xfId="4013" xr:uid="{00000000-0005-0000-0000-00009C100000}"/>
    <cellStyle name="Note 38 3" xfId="4014" xr:uid="{00000000-0005-0000-0000-00009D100000}"/>
    <cellStyle name="Note 38 3 2" xfId="4015" xr:uid="{00000000-0005-0000-0000-00009E100000}"/>
    <cellStyle name="Note 38 4" xfId="4016" xr:uid="{00000000-0005-0000-0000-00009F100000}"/>
    <cellStyle name="Note 38 4 2" xfId="4017" xr:uid="{00000000-0005-0000-0000-0000A0100000}"/>
    <cellStyle name="Note 38 5" xfId="4018" xr:uid="{00000000-0005-0000-0000-0000A1100000}"/>
    <cellStyle name="Note 38 5 2" xfId="4019" xr:uid="{00000000-0005-0000-0000-0000A2100000}"/>
    <cellStyle name="Note 38 6" xfId="4020" xr:uid="{00000000-0005-0000-0000-0000A3100000}"/>
    <cellStyle name="Note 38 6 2" xfId="4021" xr:uid="{00000000-0005-0000-0000-0000A4100000}"/>
    <cellStyle name="Note 38 7" xfId="4022" xr:uid="{00000000-0005-0000-0000-0000A5100000}"/>
    <cellStyle name="Note 38 7 2" xfId="4023" xr:uid="{00000000-0005-0000-0000-0000A6100000}"/>
    <cellStyle name="Note 38 8" xfId="4024" xr:uid="{00000000-0005-0000-0000-0000A7100000}"/>
    <cellStyle name="Note 39" xfId="4025" xr:uid="{00000000-0005-0000-0000-0000A8100000}"/>
    <cellStyle name="Note 39 2" xfId="4026" xr:uid="{00000000-0005-0000-0000-0000A9100000}"/>
    <cellStyle name="Note 4" xfId="4027" xr:uid="{00000000-0005-0000-0000-0000AA100000}"/>
    <cellStyle name="Note 4 2" xfId="4028" xr:uid="{00000000-0005-0000-0000-0000AB100000}"/>
    <cellStyle name="Note 4 2 2" xfId="4029" xr:uid="{00000000-0005-0000-0000-0000AC100000}"/>
    <cellStyle name="Note 4 3" xfId="4030" xr:uid="{00000000-0005-0000-0000-0000AD100000}"/>
    <cellStyle name="Note 40" xfId="4031" xr:uid="{00000000-0005-0000-0000-0000AE100000}"/>
    <cellStyle name="Note 40 2" xfId="4032" xr:uid="{00000000-0005-0000-0000-0000AF100000}"/>
    <cellStyle name="Note 41" xfId="4033" xr:uid="{00000000-0005-0000-0000-0000B0100000}"/>
    <cellStyle name="Note 41 2" xfId="4034" xr:uid="{00000000-0005-0000-0000-0000B1100000}"/>
    <cellStyle name="Note 42" xfId="4035" xr:uid="{00000000-0005-0000-0000-0000B2100000}"/>
    <cellStyle name="Note 42 2" xfId="4036" xr:uid="{00000000-0005-0000-0000-0000B3100000}"/>
    <cellStyle name="Note 43" xfId="4037" xr:uid="{00000000-0005-0000-0000-0000B4100000}"/>
    <cellStyle name="Note 43 2" xfId="4038" xr:uid="{00000000-0005-0000-0000-0000B5100000}"/>
    <cellStyle name="Note 44" xfId="4039" xr:uid="{00000000-0005-0000-0000-0000B6100000}"/>
    <cellStyle name="Note 5" xfId="4040" xr:uid="{00000000-0005-0000-0000-0000B7100000}"/>
    <cellStyle name="Note 5 2" xfId="4041" xr:uid="{00000000-0005-0000-0000-0000B8100000}"/>
    <cellStyle name="Note 5 2 2" xfId="4042" xr:uid="{00000000-0005-0000-0000-0000B9100000}"/>
    <cellStyle name="Note 5 3" xfId="4043" xr:uid="{00000000-0005-0000-0000-0000BA100000}"/>
    <cellStyle name="Note 6" xfId="4044" xr:uid="{00000000-0005-0000-0000-0000BB100000}"/>
    <cellStyle name="Note 6 2" xfId="4045" xr:uid="{00000000-0005-0000-0000-0000BC100000}"/>
    <cellStyle name="Note 6 2 2" xfId="4046" xr:uid="{00000000-0005-0000-0000-0000BD100000}"/>
    <cellStyle name="Note 6 3" xfId="4047" xr:uid="{00000000-0005-0000-0000-0000BE100000}"/>
    <cellStyle name="Note 7" xfId="4048" xr:uid="{00000000-0005-0000-0000-0000BF100000}"/>
    <cellStyle name="Note 7 2" xfId="4049" xr:uid="{00000000-0005-0000-0000-0000C0100000}"/>
    <cellStyle name="Note 8" xfId="4050" xr:uid="{00000000-0005-0000-0000-0000C1100000}"/>
    <cellStyle name="Note 8 2" xfId="4051" xr:uid="{00000000-0005-0000-0000-0000C2100000}"/>
    <cellStyle name="Note 9" xfId="4052" xr:uid="{00000000-0005-0000-0000-0000C3100000}"/>
    <cellStyle name="Note 9 2" xfId="4053" xr:uid="{00000000-0005-0000-0000-0000C4100000}"/>
    <cellStyle name="nozero" xfId="4347" xr:uid="{00000000-0005-0000-0000-0000C5100000}"/>
    <cellStyle name="nozero 2" xfId="4348" xr:uid="{00000000-0005-0000-0000-0000C6100000}"/>
    <cellStyle name="nUMBER" xfId="129" xr:uid="{00000000-0005-0000-0000-0000C7100000}"/>
    <cellStyle name="Output 10" xfId="4054" xr:uid="{00000000-0005-0000-0000-0000C8100000}"/>
    <cellStyle name="Output 11" xfId="4055" xr:uid="{00000000-0005-0000-0000-0000C9100000}"/>
    <cellStyle name="Output 12" xfId="4056" xr:uid="{00000000-0005-0000-0000-0000CA100000}"/>
    <cellStyle name="Output 13" xfId="4057" xr:uid="{00000000-0005-0000-0000-0000CB100000}"/>
    <cellStyle name="Output 14" xfId="4058" xr:uid="{00000000-0005-0000-0000-0000CC100000}"/>
    <cellStyle name="Output 15" xfId="4059" xr:uid="{00000000-0005-0000-0000-0000CD100000}"/>
    <cellStyle name="Output 16" xfId="4060" xr:uid="{00000000-0005-0000-0000-0000CE100000}"/>
    <cellStyle name="Output 17" xfId="4061" xr:uid="{00000000-0005-0000-0000-0000CF100000}"/>
    <cellStyle name="Output 18" xfId="4062" xr:uid="{00000000-0005-0000-0000-0000D0100000}"/>
    <cellStyle name="Output 2" xfId="130" xr:uid="{00000000-0005-0000-0000-0000D1100000}"/>
    <cellStyle name="Output 2 2" xfId="4063" xr:uid="{00000000-0005-0000-0000-0000D2100000}"/>
    <cellStyle name="Output 2 3" xfId="4064" xr:uid="{00000000-0005-0000-0000-0000D3100000}"/>
    <cellStyle name="Output 2 4" xfId="4065" xr:uid="{00000000-0005-0000-0000-0000D4100000}"/>
    <cellStyle name="Output 2 5" xfId="4066" xr:uid="{00000000-0005-0000-0000-0000D5100000}"/>
    <cellStyle name="Output 3" xfId="4067" xr:uid="{00000000-0005-0000-0000-0000D6100000}"/>
    <cellStyle name="Output 4" xfId="4068" xr:uid="{00000000-0005-0000-0000-0000D7100000}"/>
    <cellStyle name="Output 5" xfId="4069" xr:uid="{00000000-0005-0000-0000-0000D8100000}"/>
    <cellStyle name="Output 6" xfId="4070" xr:uid="{00000000-0005-0000-0000-0000D9100000}"/>
    <cellStyle name="Output 7" xfId="4071" xr:uid="{00000000-0005-0000-0000-0000DA100000}"/>
    <cellStyle name="Output 8" xfId="4072" xr:uid="{00000000-0005-0000-0000-0000DB100000}"/>
    <cellStyle name="Output 9" xfId="4073" xr:uid="{00000000-0005-0000-0000-0000DC100000}"/>
    <cellStyle name="Output1_Back" xfId="4599" xr:uid="{00000000-0005-0000-0000-0000DD100000}"/>
    <cellStyle name="p" xfId="4229" xr:uid="{00000000-0005-0000-0000-0000DE100000}"/>
    <cellStyle name="p_2010 Attachment O  GG_082709" xfId="4600" xr:uid="{00000000-0005-0000-0000-0000DF100000}"/>
    <cellStyle name="p_2010 Attachment O Template Supporting Work Papers_ITC Midwest" xfId="4601" xr:uid="{00000000-0005-0000-0000-0000E0100000}"/>
    <cellStyle name="p_2010 Attachment O Template Supporting Work Papers_ITCTransmission" xfId="4602" xr:uid="{00000000-0005-0000-0000-0000E1100000}"/>
    <cellStyle name="p_2010 Attachment O Template Supporting Work Papers_METC" xfId="4603" xr:uid="{00000000-0005-0000-0000-0000E2100000}"/>
    <cellStyle name="p_2Mod11" xfId="4604" xr:uid="{00000000-0005-0000-0000-0000E3100000}"/>
    <cellStyle name="p_aavidmod11.xls Chart 1" xfId="4605" xr:uid="{00000000-0005-0000-0000-0000E4100000}"/>
    <cellStyle name="p_aavidmod11.xls Chart 2" xfId="4606" xr:uid="{00000000-0005-0000-0000-0000E5100000}"/>
    <cellStyle name="p_Attachment O &amp; GG" xfId="4607" xr:uid="{00000000-0005-0000-0000-0000E6100000}"/>
    <cellStyle name="p_charts for capm" xfId="4608" xr:uid="{00000000-0005-0000-0000-0000E7100000}"/>
    <cellStyle name="p_DCF" xfId="4609" xr:uid="{00000000-0005-0000-0000-0000E8100000}"/>
    <cellStyle name="p_DCF_2Mod11" xfId="4610" xr:uid="{00000000-0005-0000-0000-0000E9100000}"/>
    <cellStyle name="p_DCF_aavidmod11.xls Chart 1" xfId="4611" xr:uid="{00000000-0005-0000-0000-0000EA100000}"/>
    <cellStyle name="p_DCF_aavidmod11.xls Chart 2" xfId="4612" xr:uid="{00000000-0005-0000-0000-0000EB100000}"/>
    <cellStyle name="p_DCF_charts for capm" xfId="4613" xr:uid="{00000000-0005-0000-0000-0000EC100000}"/>
    <cellStyle name="p_DCF_DCF5" xfId="4614" xr:uid="{00000000-0005-0000-0000-0000ED100000}"/>
    <cellStyle name="p_DCF_Template2" xfId="4615" xr:uid="{00000000-0005-0000-0000-0000EE100000}"/>
    <cellStyle name="p_DCF_Template2_1" xfId="4616" xr:uid="{00000000-0005-0000-0000-0000EF100000}"/>
    <cellStyle name="p_DCF_VERA" xfId="4617" xr:uid="{00000000-0005-0000-0000-0000F0100000}"/>
    <cellStyle name="p_DCF_VERA_1" xfId="4618" xr:uid="{00000000-0005-0000-0000-0000F1100000}"/>
    <cellStyle name="p_DCF_VERA_1_Template2" xfId="4619" xr:uid="{00000000-0005-0000-0000-0000F2100000}"/>
    <cellStyle name="p_DCF_VERA_aavidmod11.xls Chart 2" xfId="4620" xr:uid="{00000000-0005-0000-0000-0000F3100000}"/>
    <cellStyle name="p_DCF_VERA_Model02" xfId="4621" xr:uid="{00000000-0005-0000-0000-0000F4100000}"/>
    <cellStyle name="p_DCF_VERA_Template2" xfId="4622" xr:uid="{00000000-0005-0000-0000-0000F5100000}"/>
    <cellStyle name="p_DCF_VERA_VERA" xfId="4623" xr:uid="{00000000-0005-0000-0000-0000F6100000}"/>
    <cellStyle name="p_DCF_VERA_VERA_1" xfId="4624" xr:uid="{00000000-0005-0000-0000-0000F7100000}"/>
    <cellStyle name="p_DCF_VERA_VERA_2" xfId="4625" xr:uid="{00000000-0005-0000-0000-0000F8100000}"/>
    <cellStyle name="p_DCF_VERA_VERA_Template2" xfId="4626" xr:uid="{00000000-0005-0000-0000-0000F9100000}"/>
    <cellStyle name="p_DCF5" xfId="4627" xr:uid="{00000000-0005-0000-0000-0000FA100000}"/>
    <cellStyle name="p_ITC Great Plains Formula 1-12-09a" xfId="4628" xr:uid="{00000000-0005-0000-0000-0000FB100000}"/>
    <cellStyle name="p_ITCM 2010 Template" xfId="4629" xr:uid="{00000000-0005-0000-0000-0000FC100000}"/>
    <cellStyle name="p_ITCMW 2009 Rate" xfId="4630" xr:uid="{00000000-0005-0000-0000-0000FD100000}"/>
    <cellStyle name="p_ITCMW 2010 Rate_083109" xfId="4631" xr:uid="{00000000-0005-0000-0000-0000FE100000}"/>
    <cellStyle name="p_ITCOP 2010 Rate_083109" xfId="4632" xr:uid="{00000000-0005-0000-0000-0000FF100000}"/>
    <cellStyle name="p_ITCT 2009 Rate" xfId="4633" xr:uid="{00000000-0005-0000-0000-000000110000}"/>
    <cellStyle name="p_ITCT New 2010 Attachment O &amp; GG_111209NL" xfId="4634" xr:uid="{00000000-0005-0000-0000-000001110000}"/>
    <cellStyle name="p_METC 2010 Rate_083109" xfId="4635" xr:uid="{00000000-0005-0000-0000-000002110000}"/>
    <cellStyle name="p_Template2" xfId="4636" xr:uid="{00000000-0005-0000-0000-000003110000}"/>
    <cellStyle name="p_Template2_1" xfId="4637" xr:uid="{00000000-0005-0000-0000-000004110000}"/>
    <cellStyle name="p_VERA" xfId="4638" xr:uid="{00000000-0005-0000-0000-000005110000}"/>
    <cellStyle name="p_VERA_1" xfId="4639" xr:uid="{00000000-0005-0000-0000-000006110000}"/>
    <cellStyle name="p_VERA_1_Template2" xfId="4640" xr:uid="{00000000-0005-0000-0000-000007110000}"/>
    <cellStyle name="p_VERA_aavidmod11.xls Chart 2" xfId="4641" xr:uid="{00000000-0005-0000-0000-000008110000}"/>
    <cellStyle name="p_VERA_Model02" xfId="4642" xr:uid="{00000000-0005-0000-0000-000009110000}"/>
    <cellStyle name="p_VERA_Template2" xfId="4643" xr:uid="{00000000-0005-0000-0000-00000A110000}"/>
    <cellStyle name="p_VERA_VERA" xfId="4644" xr:uid="{00000000-0005-0000-0000-00000B110000}"/>
    <cellStyle name="p_VERA_VERA_1" xfId="4645" xr:uid="{00000000-0005-0000-0000-00000C110000}"/>
    <cellStyle name="p_VERA_VERA_2" xfId="4646" xr:uid="{00000000-0005-0000-0000-00000D110000}"/>
    <cellStyle name="p_VERA_VERA_Template2" xfId="4647" xr:uid="{00000000-0005-0000-0000-00000E110000}"/>
    <cellStyle name="p1" xfId="4230" xr:uid="{00000000-0005-0000-0000-00000F110000}"/>
    <cellStyle name="p2" xfId="4231" xr:uid="{00000000-0005-0000-0000-000010110000}"/>
    <cellStyle name="p3" xfId="4232" xr:uid="{00000000-0005-0000-0000-000011110000}"/>
    <cellStyle name="Percent" xfId="4666" builtinId="5"/>
    <cellStyle name="Percent %" xfId="4233" xr:uid="{00000000-0005-0000-0000-000013110000}"/>
    <cellStyle name="Percent % Long Underline" xfId="4234" xr:uid="{00000000-0005-0000-0000-000014110000}"/>
    <cellStyle name="Percent (0)" xfId="4235" xr:uid="{00000000-0005-0000-0000-000015110000}"/>
    <cellStyle name="Percent [0]" xfId="4349" xr:uid="{00000000-0005-0000-0000-000016110000}"/>
    <cellStyle name="Percent [1]" xfId="4648" xr:uid="{00000000-0005-0000-0000-000017110000}"/>
    <cellStyle name="Percent [2]" xfId="131" xr:uid="{00000000-0005-0000-0000-000018110000}"/>
    <cellStyle name="Percent [2] 2" xfId="4350" xr:uid="{00000000-0005-0000-0000-000019110000}"/>
    <cellStyle name="Percent [2] 3" xfId="4351" xr:uid="{00000000-0005-0000-0000-00001A110000}"/>
    <cellStyle name="Percent [3]" xfId="4649" xr:uid="{00000000-0005-0000-0000-00001B110000}"/>
    <cellStyle name="Percent 0.0%" xfId="4236" xr:uid="{00000000-0005-0000-0000-00001C110000}"/>
    <cellStyle name="Percent 0.0% Long Underline" xfId="4237" xr:uid="{00000000-0005-0000-0000-00001D110000}"/>
    <cellStyle name="Percent 0.00%" xfId="4238" xr:uid="{00000000-0005-0000-0000-00001E110000}"/>
    <cellStyle name="Percent 0.00% Long Underline" xfId="4239" xr:uid="{00000000-0005-0000-0000-00001F110000}"/>
    <cellStyle name="Percent 0.000%" xfId="4240" xr:uid="{00000000-0005-0000-0000-000020110000}"/>
    <cellStyle name="Percent 0.000% Long Underline" xfId="4241" xr:uid="{00000000-0005-0000-0000-000021110000}"/>
    <cellStyle name="Percent 0.0000%" xfId="4242" xr:uid="{00000000-0005-0000-0000-000022110000}"/>
    <cellStyle name="Percent 0.0000% Long Underline" xfId="4243" xr:uid="{00000000-0005-0000-0000-000023110000}"/>
    <cellStyle name="Percent 10" xfId="4352" xr:uid="{00000000-0005-0000-0000-000024110000}"/>
    <cellStyle name="Percent 11" xfId="4353" xr:uid="{00000000-0005-0000-0000-000025110000}"/>
    <cellStyle name="Percent 12" xfId="4354" xr:uid="{00000000-0005-0000-0000-000026110000}"/>
    <cellStyle name="Percent 13" xfId="4355" xr:uid="{00000000-0005-0000-0000-000027110000}"/>
    <cellStyle name="Percent 14" xfId="4356" xr:uid="{00000000-0005-0000-0000-000028110000}"/>
    <cellStyle name="Percent 15" xfId="4357" xr:uid="{00000000-0005-0000-0000-000029110000}"/>
    <cellStyle name="Percent 16" xfId="4358" xr:uid="{00000000-0005-0000-0000-00002A110000}"/>
    <cellStyle name="Percent 17" xfId="4359" xr:uid="{00000000-0005-0000-0000-00002B110000}"/>
    <cellStyle name="Percent 18" xfId="4360" xr:uid="{00000000-0005-0000-0000-00002C110000}"/>
    <cellStyle name="Percent 19" xfId="4361" xr:uid="{00000000-0005-0000-0000-00002D110000}"/>
    <cellStyle name="Percent 2" xfId="3" xr:uid="{00000000-0005-0000-0000-00002E110000}"/>
    <cellStyle name="Percent 2 2" xfId="4074" xr:uid="{00000000-0005-0000-0000-00002F110000}"/>
    <cellStyle name="Percent 2 2 2" xfId="4075" xr:uid="{00000000-0005-0000-0000-000030110000}"/>
    <cellStyle name="Percent 2 2 3" xfId="4076" xr:uid="{00000000-0005-0000-0000-000031110000}"/>
    <cellStyle name="Percent 2 3" xfId="4077" xr:uid="{00000000-0005-0000-0000-000032110000}"/>
    <cellStyle name="Percent 2 3 2" xfId="4078" xr:uid="{00000000-0005-0000-0000-000033110000}"/>
    <cellStyle name="Percent 2 4" xfId="4079" xr:uid="{00000000-0005-0000-0000-000034110000}"/>
    <cellStyle name="Percent 20" xfId="4362" xr:uid="{00000000-0005-0000-0000-000035110000}"/>
    <cellStyle name="Percent 21" xfId="4363" xr:uid="{00000000-0005-0000-0000-000036110000}"/>
    <cellStyle name="Percent 22" xfId="4364" xr:uid="{00000000-0005-0000-0000-000037110000}"/>
    <cellStyle name="Percent 23" xfId="4365" xr:uid="{00000000-0005-0000-0000-000038110000}"/>
    <cellStyle name="Percent 24" xfId="4366" xr:uid="{00000000-0005-0000-0000-000039110000}"/>
    <cellStyle name="Percent 25" xfId="4367" xr:uid="{00000000-0005-0000-0000-00003A110000}"/>
    <cellStyle name="Percent 26" xfId="4368" xr:uid="{00000000-0005-0000-0000-00003B110000}"/>
    <cellStyle name="Percent 27" xfId="4369" xr:uid="{00000000-0005-0000-0000-00003C110000}"/>
    <cellStyle name="Percent 28" xfId="4370" xr:uid="{00000000-0005-0000-0000-00003D110000}"/>
    <cellStyle name="Percent 29" xfId="4371" xr:uid="{00000000-0005-0000-0000-00003E110000}"/>
    <cellStyle name="Percent 3" xfId="4080" xr:uid="{00000000-0005-0000-0000-00003F110000}"/>
    <cellStyle name="Percent 3 2" xfId="4081" xr:uid="{00000000-0005-0000-0000-000040110000}"/>
    <cellStyle name="Percent 3 3" xfId="4082" xr:uid="{00000000-0005-0000-0000-000041110000}"/>
    <cellStyle name="Percent 30" xfId="4372" xr:uid="{00000000-0005-0000-0000-000042110000}"/>
    <cellStyle name="Percent 31" xfId="4373" xr:uid="{00000000-0005-0000-0000-000043110000}"/>
    <cellStyle name="Percent 32" xfId="4374" xr:uid="{00000000-0005-0000-0000-000044110000}"/>
    <cellStyle name="Percent 33" xfId="4375" xr:uid="{00000000-0005-0000-0000-000045110000}"/>
    <cellStyle name="Percent 34" xfId="4376" xr:uid="{00000000-0005-0000-0000-000046110000}"/>
    <cellStyle name="Percent 35" xfId="4377" xr:uid="{00000000-0005-0000-0000-000047110000}"/>
    <cellStyle name="Percent 36" xfId="4378" xr:uid="{00000000-0005-0000-0000-000048110000}"/>
    <cellStyle name="Percent 37" xfId="4379" xr:uid="{00000000-0005-0000-0000-000049110000}"/>
    <cellStyle name="Percent 38" xfId="4380" xr:uid="{00000000-0005-0000-0000-00004A110000}"/>
    <cellStyle name="Percent 39" xfId="4381" xr:uid="{00000000-0005-0000-0000-00004B110000}"/>
    <cellStyle name="Percent 4" xfId="4244" xr:uid="{00000000-0005-0000-0000-00004C110000}"/>
    <cellStyle name="Percent 4 2" xfId="4382" xr:uid="{00000000-0005-0000-0000-00004D110000}"/>
    <cellStyle name="Percent 40" xfId="4383" xr:uid="{00000000-0005-0000-0000-00004E110000}"/>
    <cellStyle name="Percent 41" xfId="4384" xr:uid="{00000000-0005-0000-0000-00004F110000}"/>
    <cellStyle name="Percent 42" xfId="4385" xr:uid="{00000000-0005-0000-0000-000050110000}"/>
    <cellStyle name="Percent 43" xfId="4386" xr:uid="{00000000-0005-0000-0000-000051110000}"/>
    <cellStyle name="Percent 44" xfId="4387" xr:uid="{00000000-0005-0000-0000-000052110000}"/>
    <cellStyle name="Percent 45" xfId="4388" xr:uid="{00000000-0005-0000-0000-000053110000}"/>
    <cellStyle name="Percent 46" xfId="4389" xr:uid="{00000000-0005-0000-0000-000054110000}"/>
    <cellStyle name="Percent 47" xfId="4390" xr:uid="{00000000-0005-0000-0000-000055110000}"/>
    <cellStyle name="Percent 48" xfId="4391" xr:uid="{00000000-0005-0000-0000-000056110000}"/>
    <cellStyle name="Percent 49" xfId="4392" xr:uid="{00000000-0005-0000-0000-000057110000}"/>
    <cellStyle name="Percent 5" xfId="4245" xr:uid="{00000000-0005-0000-0000-000058110000}"/>
    <cellStyle name="Percent 50" xfId="4393" xr:uid="{00000000-0005-0000-0000-000059110000}"/>
    <cellStyle name="Percent 50 2" xfId="4394" xr:uid="{00000000-0005-0000-0000-00005A110000}"/>
    <cellStyle name="Percent 51" xfId="4395" xr:uid="{00000000-0005-0000-0000-00005B110000}"/>
    <cellStyle name="Percent 51 2" xfId="4396" xr:uid="{00000000-0005-0000-0000-00005C110000}"/>
    <cellStyle name="Percent 52" xfId="4397" xr:uid="{00000000-0005-0000-0000-00005D110000}"/>
    <cellStyle name="Percent 53" xfId="4398" xr:uid="{00000000-0005-0000-0000-00005E110000}"/>
    <cellStyle name="Percent 54" xfId="4399" xr:uid="{00000000-0005-0000-0000-00005F110000}"/>
    <cellStyle name="Percent 55" xfId="4400" xr:uid="{00000000-0005-0000-0000-000060110000}"/>
    <cellStyle name="Percent 56" xfId="4401" xr:uid="{00000000-0005-0000-0000-000061110000}"/>
    <cellStyle name="Percent 57" xfId="4402" xr:uid="{00000000-0005-0000-0000-000062110000}"/>
    <cellStyle name="Percent 58" xfId="4403" xr:uid="{00000000-0005-0000-0000-000063110000}"/>
    <cellStyle name="Percent 59" xfId="4404" xr:uid="{00000000-0005-0000-0000-000064110000}"/>
    <cellStyle name="Percent 6" xfId="4246" xr:uid="{00000000-0005-0000-0000-000065110000}"/>
    <cellStyle name="Percent 6 2" xfId="4650" xr:uid="{00000000-0005-0000-0000-000066110000}"/>
    <cellStyle name="Percent 6 3" xfId="4651" xr:uid="{00000000-0005-0000-0000-000067110000}"/>
    <cellStyle name="Percent 6 3 2" xfId="5159" xr:uid="{FC117C3D-5B6B-4EAB-948C-DBDD72B2B632}"/>
    <cellStyle name="Percent 6 4" xfId="4652" xr:uid="{00000000-0005-0000-0000-000068110000}"/>
    <cellStyle name="Percent 6 4 2" xfId="5160" xr:uid="{6ED3C5D6-CD20-4D2F-8012-4C5DD3054997}"/>
    <cellStyle name="Percent 6 5" xfId="4653" xr:uid="{00000000-0005-0000-0000-000069110000}"/>
    <cellStyle name="Percent 6 5 2" xfId="5161" xr:uid="{C4241431-08D8-41BB-B732-A3ED9FC712B9}"/>
    <cellStyle name="Percent 60" xfId="4405" xr:uid="{00000000-0005-0000-0000-00006A110000}"/>
    <cellStyle name="Percent 60 2" xfId="4475" xr:uid="{00000000-0005-0000-0000-00006B110000}"/>
    <cellStyle name="Percent 60 2 2" xfId="5084" xr:uid="{0DD92C4D-2C72-4BA2-B14F-1CD608F60FEC}"/>
    <cellStyle name="Percent 61" xfId="4406" xr:uid="{00000000-0005-0000-0000-00006C110000}"/>
    <cellStyle name="Percent 62" xfId="4407" xr:uid="{00000000-0005-0000-0000-00006D110000}"/>
    <cellStyle name="Percent 63" xfId="4697" xr:uid="{63099E72-3016-40D8-835C-DB8915A59847}"/>
    <cellStyle name="Percent 7" xfId="4247" xr:uid="{00000000-0005-0000-0000-00006E110000}"/>
    <cellStyle name="Percent 7 2" xfId="4654" xr:uid="{00000000-0005-0000-0000-00006F110000}"/>
    <cellStyle name="Percent 7 3" xfId="5066" xr:uid="{9DC7E9C1-5B71-4A59-9612-A7755B68D280}"/>
    <cellStyle name="Percent 70" xfId="4408" xr:uid="{00000000-0005-0000-0000-000070110000}"/>
    <cellStyle name="Percent 70 2" xfId="5081" xr:uid="{D87BEF68-BB89-4A79-B793-7AAC6F49AEDC}"/>
    <cellStyle name="Percent 8" xfId="4409" xr:uid="{00000000-0005-0000-0000-000071110000}"/>
    <cellStyle name="Percent 9" xfId="4410" xr:uid="{00000000-0005-0000-0000-000072110000}"/>
    <cellStyle name="Percent 9 2" xfId="4688" xr:uid="{00000000-0005-0000-0000-000073110000}"/>
    <cellStyle name="Percent 9 2 2" xfId="4677" xr:uid="{00000000-0005-0000-0000-000074110000}"/>
    <cellStyle name="Percent 9 2 2 2" xfId="5165" xr:uid="{A53957FA-F967-4C3E-90E0-C2334E2B113F}"/>
    <cellStyle name="Percent 9 2 3" xfId="5175" xr:uid="{992CD418-3EE8-4904-9D74-8649FD90DC43}"/>
    <cellStyle name="Percent 9 3" xfId="4689" xr:uid="{00000000-0005-0000-0000-000075110000}"/>
    <cellStyle name="Percent 9 3 2" xfId="5176" xr:uid="{C822379D-9B39-4690-B0BD-FAB45B1C3433}"/>
    <cellStyle name="Percent Input" xfId="4655" xr:uid="{00000000-0005-0000-0000-000076110000}"/>
    <cellStyle name="Percent0" xfId="4248" xr:uid="{00000000-0005-0000-0000-000077110000}"/>
    <cellStyle name="Percent1" xfId="4249" xr:uid="{00000000-0005-0000-0000-000078110000}"/>
    <cellStyle name="Percent2" xfId="4250" xr:uid="{00000000-0005-0000-0000-000079110000}"/>
    <cellStyle name="PSChar" xfId="132" xr:uid="{00000000-0005-0000-0000-00007A110000}"/>
    <cellStyle name="PSDate" xfId="133" xr:uid="{00000000-0005-0000-0000-00007B110000}"/>
    <cellStyle name="PSDec" xfId="134" xr:uid="{00000000-0005-0000-0000-00007C110000}"/>
    <cellStyle name="PSdesc" xfId="4251" xr:uid="{00000000-0005-0000-0000-00007D110000}"/>
    <cellStyle name="PSHeading" xfId="135" xr:uid="{00000000-0005-0000-0000-00007E110000}"/>
    <cellStyle name="PSInt" xfId="136" xr:uid="{00000000-0005-0000-0000-00007F110000}"/>
    <cellStyle name="PSSpacer" xfId="137" xr:uid="{00000000-0005-0000-0000-000080110000}"/>
    <cellStyle name="PStest" xfId="4252" xr:uid="{00000000-0005-0000-0000-000081110000}"/>
    <cellStyle name="R00A" xfId="138" xr:uid="{00000000-0005-0000-0000-000082110000}"/>
    <cellStyle name="R00B" xfId="139" xr:uid="{00000000-0005-0000-0000-000083110000}"/>
    <cellStyle name="R00L" xfId="140" xr:uid="{00000000-0005-0000-0000-000084110000}"/>
    <cellStyle name="R01A" xfId="141" xr:uid="{00000000-0005-0000-0000-000085110000}"/>
    <cellStyle name="R01B" xfId="142" xr:uid="{00000000-0005-0000-0000-000086110000}"/>
    <cellStyle name="R01H" xfId="143" xr:uid="{00000000-0005-0000-0000-000087110000}"/>
    <cellStyle name="R01L" xfId="144" xr:uid="{00000000-0005-0000-0000-000088110000}"/>
    <cellStyle name="R02A" xfId="145" xr:uid="{00000000-0005-0000-0000-000089110000}"/>
    <cellStyle name="R02B" xfId="146" xr:uid="{00000000-0005-0000-0000-00008A110000}"/>
    <cellStyle name="R02H" xfId="147" xr:uid="{00000000-0005-0000-0000-00008B110000}"/>
    <cellStyle name="R02L" xfId="148" xr:uid="{00000000-0005-0000-0000-00008C110000}"/>
    <cellStyle name="R03A" xfId="149" xr:uid="{00000000-0005-0000-0000-00008D110000}"/>
    <cellStyle name="R03B" xfId="150" xr:uid="{00000000-0005-0000-0000-00008E110000}"/>
    <cellStyle name="R03H" xfId="151" xr:uid="{00000000-0005-0000-0000-00008F110000}"/>
    <cellStyle name="R03L" xfId="152" xr:uid="{00000000-0005-0000-0000-000090110000}"/>
    <cellStyle name="R04A" xfId="153" xr:uid="{00000000-0005-0000-0000-000091110000}"/>
    <cellStyle name="R04B" xfId="154" xr:uid="{00000000-0005-0000-0000-000092110000}"/>
    <cellStyle name="R04H" xfId="155" xr:uid="{00000000-0005-0000-0000-000093110000}"/>
    <cellStyle name="R04L" xfId="156" xr:uid="{00000000-0005-0000-0000-000094110000}"/>
    <cellStyle name="R05A" xfId="157" xr:uid="{00000000-0005-0000-0000-000095110000}"/>
    <cellStyle name="R05B" xfId="158" xr:uid="{00000000-0005-0000-0000-000096110000}"/>
    <cellStyle name="R05H" xfId="159" xr:uid="{00000000-0005-0000-0000-000097110000}"/>
    <cellStyle name="R05L" xfId="160" xr:uid="{00000000-0005-0000-0000-000098110000}"/>
    <cellStyle name="R05L 2" xfId="4253" xr:uid="{00000000-0005-0000-0000-000099110000}"/>
    <cellStyle name="R06A" xfId="161" xr:uid="{00000000-0005-0000-0000-00009A110000}"/>
    <cellStyle name="R06B" xfId="162" xr:uid="{00000000-0005-0000-0000-00009B110000}"/>
    <cellStyle name="R06H" xfId="163" xr:uid="{00000000-0005-0000-0000-00009C110000}"/>
    <cellStyle name="R06L" xfId="164" xr:uid="{00000000-0005-0000-0000-00009D110000}"/>
    <cellStyle name="R07A" xfId="165" xr:uid="{00000000-0005-0000-0000-00009E110000}"/>
    <cellStyle name="R07B" xfId="166" xr:uid="{00000000-0005-0000-0000-00009F110000}"/>
    <cellStyle name="R07H" xfId="167" xr:uid="{00000000-0005-0000-0000-0000A0110000}"/>
    <cellStyle name="R07L" xfId="168" xr:uid="{00000000-0005-0000-0000-0000A1110000}"/>
    <cellStyle name="RangeBelow" xfId="4411" xr:uid="{00000000-0005-0000-0000-0000A2110000}"/>
    <cellStyle name="rborder" xfId="4254" xr:uid="{00000000-0005-0000-0000-0000A3110000}"/>
    <cellStyle name="red" xfId="4255" xr:uid="{00000000-0005-0000-0000-0000A4110000}"/>
    <cellStyle name="Reports" xfId="4412" xr:uid="{00000000-0005-0000-0000-0000A5110000}"/>
    <cellStyle name="Reports-0" xfId="4413" xr:uid="{00000000-0005-0000-0000-0000A6110000}"/>
    <cellStyle name="Reports-2" xfId="4414" xr:uid="{00000000-0005-0000-0000-0000A7110000}"/>
    <cellStyle name="Resource Detail" xfId="169" xr:uid="{00000000-0005-0000-0000-0000A8110000}"/>
    <cellStyle name="s_HardInc " xfId="4256" xr:uid="{00000000-0005-0000-0000-0000A9110000}"/>
    <cellStyle name="s_HardInc _ITC Great Plains Formula 1-12-09a" xfId="4656" xr:uid="{00000000-0005-0000-0000-0000AA110000}"/>
    <cellStyle name="SAPBEXchaText" xfId="4415" xr:uid="{00000000-0005-0000-0000-0000AB110000}"/>
    <cellStyle name="SAPBEXstdData" xfId="4416" xr:uid="{00000000-0005-0000-0000-0000AC110000}"/>
    <cellStyle name="SAPBEXstdItem" xfId="4417" xr:uid="{00000000-0005-0000-0000-0000AD110000}"/>
    <cellStyle name="SAPBEXstdItemX" xfId="4418" xr:uid="{00000000-0005-0000-0000-0000AE110000}"/>
    <cellStyle name="scenario" xfId="4657" xr:uid="{00000000-0005-0000-0000-0000AF110000}"/>
    <cellStyle name="SECTION" xfId="4257" xr:uid="{00000000-0005-0000-0000-0000B0110000}"/>
    <cellStyle name="Shade" xfId="170" xr:uid="{00000000-0005-0000-0000-0000B1110000}"/>
    <cellStyle name="Shading - Heavy" xfId="4419" xr:uid="{00000000-0005-0000-0000-0000B2110000}"/>
    <cellStyle name="Shading - Light" xfId="4420" xr:uid="{00000000-0005-0000-0000-0000B3110000}"/>
    <cellStyle name="Shading - Medium" xfId="4421" xr:uid="{00000000-0005-0000-0000-0000B4110000}"/>
    <cellStyle name="Sheetmult" xfId="4658" xr:uid="{00000000-0005-0000-0000-0000B5110000}"/>
    <cellStyle name="Shtmultx" xfId="4659" xr:uid="{00000000-0005-0000-0000-0000B6110000}"/>
    <cellStyle name="single acct" xfId="171" xr:uid="{00000000-0005-0000-0000-0000B7110000}"/>
    <cellStyle name="Single Border" xfId="172" xr:uid="{00000000-0005-0000-0000-0000B8110000}"/>
    <cellStyle name="Small Page Heading" xfId="173" xr:uid="{00000000-0005-0000-0000-0000B9110000}"/>
    <cellStyle name="Spaces-2" xfId="4422" xr:uid="{00000000-0005-0000-0000-0000BA110000}"/>
    <cellStyle name="Spaces-4" xfId="4423" xr:uid="{00000000-0005-0000-0000-0000BB110000}"/>
    <cellStyle name="Spaces-6" xfId="4424" xr:uid="{00000000-0005-0000-0000-0000BC110000}"/>
    <cellStyle name="ssn" xfId="174" xr:uid="{00000000-0005-0000-0000-0000BD110000}"/>
    <cellStyle name="Style 1" xfId="175" xr:uid="{00000000-0005-0000-0000-0000BE110000}"/>
    <cellStyle name="Style 1 2" xfId="4083" xr:uid="{00000000-0005-0000-0000-0000BF110000}"/>
    <cellStyle name="Style 1 2 2" xfId="4084" xr:uid="{00000000-0005-0000-0000-0000C0110000}"/>
    <cellStyle name="Style 1 3" xfId="4085" xr:uid="{00000000-0005-0000-0000-0000C1110000}"/>
    <cellStyle name="Style 1 3 2" xfId="4086" xr:uid="{00000000-0005-0000-0000-0000C2110000}"/>
    <cellStyle name="Style 1 4" xfId="4087" xr:uid="{00000000-0005-0000-0000-0000C3110000}"/>
    <cellStyle name="Style 1 4 2" xfId="4088" xr:uid="{00000000-0005-0000-0000-0000C4110000}"/>
    <cellStyle name="Style 1 5" xfId="4089" xr:uid="{00000000-0005-0000-0000-0000C5110000}"/>
    <cellStyle name="Style 1 5 2" xfId="4090" xr:uid="{00000000-0005-0000-0000-0000C6110000}"/>
    <cellStyle name="Style 1 6" xfId="4091" xr:uid="{00000000-0005-0000-0000-0000C7110000}"/>
    <cellStyle name="Style 1 6 2" xfId="4092" xr:uid="{00000000-0005-0000-0000-0000C8110000}"/>
    <cellStyle name="Style 1 7" xfId="4093" xr:uid="{00000000-0005-0000-0000-0000C9110000}"/>
    <cellStyle name="Style 1 7 2" xfId="4094" xr:uid="{00000000-0005-0000-0000-0000CA110000}"/>
    <cellStyle name="Style 1 8" xfId="4095" xr:uid="{00000000-0005-0000-0000-0000CB110000}"/>
    <cellStyle name="Style 2" xfId="176" xr:uid="{00000000-0005-0000-0000-0000CC110000}"/>
    <cellStyle name="Style 21" xfId="4425" xr:uid="{00000000-0005-0000-0000-0000CD110000}"/>
    <cellStyle name="Style 21 2" xfId="4426" xr:uid="{00000000-0005-0000-0000-0000CE110000}"/>
    <cellStyle name="Style 22" xfId="4427" xr:uid="{00000000-0005-0000-0000-0000CF110000}"/>
    <cellStyle name="Style 22 2" xfId="4428" xr:uid="{00000000-0005-0000-0000-0000D0110000}"/>
    <cellStyle name="Style 23" xfId="4429" xr:uid="{00000000-0005-0000-0000-0000D1110000}"/>
    <cellStyle name="Style 23 2" xfId="4430" xr:uid="{00000000-0005-0000-0000-0000D2110000}"/>
    <cellStyle name="Style 24" xfId="4431" xr:uid="{00000000-0005-0000-0000-0000D3110000}"/>
    <cellStyle name="Style 24 2" xfId="4432" xr:uid="{00000000-0005-0000-0000-0000D4110000}"/>
    <cellStyle name="Style 25" xfId="4433" xr:uid="{00000000-0005-0000-0000-0000D5110000}"/>
    <cellStyle name="Style 25 2" xfId="4434" xr:uid="{00000000-0005-0000-0000-0000D6110000}"/>
    <cellStyle name="Style 26" xfId="4435" xr:uid="{00000000-0005-0000-0000-0000D7110000}"/>
    <cellStyle name="Style 26 2" xfId="4436" xr:uid="{00000000-0005-0000-0000-0000D8110000}"/>
    <cellStyle name="Style 27" xfId="177" xr:uid="{00000000-0005-0000-0000-0000D9110000}"/>
    <cellStyle name="Style 27 2" xfId="4437" xr:uid="{00000000-0005-0000-0000-0000DA110000}"/>
    <cellStyle name="Style 28" xfId="178" xr:uid="{00000000-0005-0000-0000-0000DB110000}"/>
    <cellStyle name="Style 28 2" xfId="4438" xr:uid="{00000000-0005-0000-0000-0000DC110000}"/>
    <cellStyle name="Style 29" xfId="4439" xr:uid="{00000000-0005-0000-0000-0000DD110000}"/>
    <cellStyle name="Style 29 2" xfId="4440" xr:uid="{00000000-0005-0000-0000-0000DE110000}"/>
    <cellStyle name="Style 30" xfId="4441" xr:uid="{00000000-0005-0000-0000-0000DF110000}"/>
    <cellStyle name="Style 30 2" xfId="4442" xr:uid="{00000000-0005-0000-0000-0000E0110000}"/>
    <cellStyle name="Style 31" xfId="4443" xr:uid="{00000000-0005-0000-0000-0000E1110000}"/>
    <cellStyle name="Style 31 2" xfId="4444" xr:uid="{00000000-0005-0000-0000-0000E2110000}"/>
    <cellStyle name="Style 32" xfId="4445" xr:uid="{00000000-0005-0000-0000-0000E3110000}"/>
    <cellStyle name="Style 32 2" xfId="4446" xr:uid="{00000000-0005-0000-0000-0000E4110000}"/>
    <cellStyle name="Style 33" xfId="4447" xr:uid="{00000000-0005-0000-0000-0000E5110000}"/>
    <cellStyle name="Style 33 2" xfId="4448" xr:uid="{00000000-0005-0000-0000-0000E6110000}"/>
    <cellStyle name="Style 34" xfId="4449" xr:uid="{00000000-0005-0000-0000-0000E7110000}"/>
    <cellStyle name="Style 34 2" xfId="4450" xr:uid="{00000000-0005-0000-0000-0000E8110000}"/>
    <cellStyle name="Style 35" xfId="4451" xr:uid="{00000000-0005-0000-0000-0000E9110000}"/>
    <cellStyle name="Style 35 2" xfId="4452" xr:uid="{00000000-0005-0000-0000-0000EA110000}"/>
    <cellStyle name="STYLE1" xfId="4660" xr:uid="{00000000-0005-0000-0000-0000EB110000}"/>
    <cellStyle name="STYLE2" xfId="4661" xr:uid="{00000000-0005-0000-0000-0000EC110000}"/>
    <cellStyle name="SubRoutine" xfId="4453" xr:uid="{00000000-0005-0000-0000-0000ED110000}"/>
    <cellStyle name="System Defined" xfId="4258" xr:uid="{00000000-0005-0000-0000-0000EE110000}"/>
    <cellStyle name="Table Sub Heading" xfId="179" xr:uid="{00000000-0005-0000-0000-0000EF110000}"/>
    <cellStyle name="Table Title" xfId="180" xr:uid="{00000000-0005-0000-0000-0000F0110000}"/>
    <cellStyle name="Table Units" xfId="181" xr:uid="{00000000-0005-0000-0000-0000F1110000}"/>
    <cellStyle name="TableHeading" xfId="4259" xr:uid="{00000000-0005-0000-0000-0000F2110000}"/>
    <cellStyle name="Tabs" xfId="4454" xr:uid="{00000000-0005-0000-0000-0000F3110000}"/>
    <cellStyle name="tb" xfId="4260" xr:uid="{00000000-0005-0000-0000-0000F4110000}"/>
    <cellStyle name="Text Wrap" xfId="4455" xr:uid="{00000000-0005-0000-0000-0000F5110000}"/>
    <cellStyle name="Text Wrap Across Cells" xfId="4456" xr:uid="{00000000-0005-0000-0000-0000F6110000}"/>
    <cellStyle name="þ(Î'_x000c_ïþ÷_x000c_âþÖ_x0006__x0002_Þ”_x0013__x0007__x0001__x0001_" xfId="4457" xr:uid="{00000000-0005-0000-0000-0000F7110000}"/>
    <cellStyle name="þ(Î'_x000c_ïþ÷_x000c_âþÖ_x0006__x0002_Þ”_x0013__x0007__x0001__x0001_ 2" xfId="4458" xr:uid="{00000000-0005-0000-0000-0000F8110000}"/>
    <cellStyle name="Theirs" xfId="182" xr:uid="{00000000-0005-0000-0000-0000F9110000}"/>
    <cellStyle name="Thousands" xfId="4459" xr:uid="{00000000-0005-0000-0000-0000FA110000}"/>
    <cellStyle name="Thousands 2" xfId="4460" xr:uid="{00000000-0005-0000-0000-0000FB110000}"/>
    <cellStyle name="Thousands1" xfId="4461" xr:uid="{00000000-0005-0000-0000-0000FC110000}"/>
    <cellStyle name="Thousands1 2" xfId="4462" xr:uid="{00000000-0005-0000-0000-0000FD110000}"/>
    <cellStyle name="Tickmark" xfId="4261" xr:uid="{00000000-0005-0000-0000-0000FE110000}"/>
    <cellStyle name="Times New Roman" xfId="183" xr:uid="{00000000-0005-0000-0000-0000FF110000}"/>
    <cellStyle name="Title 10" xfId="4096" xr:uid="{00000000-0005-0000-0000-000000120000}"/>
    <cellStyle name="Title 11" xfId="4097" xr:uid="{00000000-0005-0000-0000-000001120000}"/>
    <cellStyle name="Title 12" xfId="4098" xr:uid="{00000000-0005-0000-0000-000002120000}"/>
    <cellStyle name="Title 13" xfId="4099" xr:uid="{00000000-0005-0000-0000-000003120000}"/>
    <cellStyle name="Title 14" xfId="4100" xr:uid="{00000000-0005-0000-0000-000004120000}"/>
    <cellStyle name="Title 15" xfId="4101" xr:uid="{00000000-0005-0000-0000-000005120000}"/>
    <cellStyle name="Title 16" xfId="4102" xr:uid="{00000000-0005-0000-0000-000006120000}"/>
    <cellStyle name="Title 17" xfId="4103" xr:uid="{00000000-0005-0000-0000-000007120000}"/>
    <cellStyle name="Title 2" xfId="184" xr:uid="{00000000-0005-0000-0000-000008120000}"/>
    <cellStyle name="Title 2 2" xfId="4104" xr:uid="{00000000-0005-0000-0000-000009120000}"/>
    <cellStyle name="Title 2 3" xfId="4105" xr:uid="{00000000-0005-0000-0000-00000A120000}"/>
    <cellStyle name="Title 2 4" xfId="4106" xr:uid="{00000000-0005-0000-0000-00000B120000}"/>
    <cellStyle name="Title 2 5" xfId="4107" xr:uid="{00000000-0005-0000-0000-00000C120000}"/>
    <cellStyle name="Title 3" xfId="4108" xr:uid="{00000000-0005-0000-0000-00000D120000}"/>
    <cellStyle name="Title 4" xfId="4109" xr:uid="{00000000-0005-0000-0000-00000E120000}"/>
    <cellStyle name="Title 5" xfId="4110" xr:uid="{00000000-0005-0000-0000-00000F120000}"/>
    <cellStyle name="Title 6" xfId="4111" xr:uid="{00000000-0005-0000-0000-000010120000}"/>
    <cellStyle name="Title 7" xfId="4112" xr:uid="{00000000-0005-0000-0000-000011120000}"/>
    <cellStyle name="Title 8" xfId="4113" xr:uid="{00000000-0005-0000-0000-000012120000}"/>
    <cellStyle name="Title 9" xfId="4114" xr:uid="{00000000-0005-0000-0000-000013120000}"/>
    <cellStyle name="Title1" xfId="4662" xr:uid="{00000000-0005-0000-0000-000014120000}"/>
    <cellStyle name="top" xfId="4262" xr:uid="{00000000-0005-0000-0000-000015120000}"/>
    <cellStyle name="Total 10" xfId="4115" xr:uid="{00000000-0005-0000-0000-000016120000}"/>
    <cellStyle name="Total 11" xfId="4116" xr:uid="{00000000-0005-0000-0000-000017120000}"/>
    <cellStyle name="Total 12" xfId="4117" xr:uid="{00000000-0005-0000-0000-000018120000}"/>
    <cellStyle name="Total 13" xfId="4118" xr:uid="{00000000-0005-0000-0000-000019120000}"/>
    <cellStyle name="Total 14" xfId="4119" xr:uid="{00000000-0005-0000-0000-00001A120000}"/>
    <cellStyle name="Total 15" xfId="4120" xr:uid="{00000000-0005-0000-0000-00001B120000}"/>
    <cellStyle name="Total 16" xfId="4121" xr:uid="{00000000-0005-0000-0000-00001C120000}"/>
    <cellStyle name="Total 17" xfId="4122" xr:uid="{00000000-0005-0000-0000-00001D120000}"/>
    <cellStyle name="Total 18" xfId="4123" xr:uid="{00000000-0005-0000-0000-00001E120000}"/>
    <cellStyle name="Total 2" xfId="185" xr:uid="{00000000-0005-0000-0000-00001F120000}"/>
    <cellStyle name="Total 2 2" xfId="4124" xr:uid="{00000000-0005-0000-0000-000020120000}"/>
    <cellStyle name="Total 2 3" xfId="4125" xr:uid="{00000000-0005-0000-0000-000021120000}"/>
    <cellStyle name="Total 2 4" xfId="4126" xr:uid="{00000000-0005-0000-0000-000022120000}"/>
    <cellStyle name="Total 2 5" xfId="4127" xr:uid="{00000000-0005-0000-0000-000023120000}"/>
    <cellStyle name="Total 3" xfId="4128" xr:uid="{00000000-0005-0000-0000-000024120000}"/>
    <cellStyle name="Total 4" xfId="4129" xr:uid="{00000000-0005-0000-0000-000025120000}"/>
    <cellStyle name="Total 5" xfId="4130" xr:uid="{00000000-0005-0000-0000-000026120000}"/>
    <cellStyle name="Total 6" xfId="4131" xr:uid="{00000000-0005-0000-0000-000027120000}"/>
    <cellStyle name="Total 7" xfId="4132" xr:uid="{00000000-0005-0000-0000-000028120000}"/>
    <cellStyle name="Total 8" xfId="4133" xr:uid="{00000000-0005-0000-0000-000029120000}"/>
    <cellStyle name="Total 9" xfId="4134" xr:uid="{00000000-0005-0000-0000-00002A120000}"/>
    <cellStyle name="Unprot" xfId="186" xr:uid="{00000000-0005-0000-0000-00002B120000}"/>
    <cellStyle name="Unprot 2" xfId="4463" xr:uid="{00000000-0005-0000-0000-00002C120000}"/>
    <cellStyle name="Unprot$" xfId="187" xr:uid="{00000000-0005-0000-0000-00002D120000}"/>
    <cellStyle name="Unprot$ 2" xfId="4464" xr:uid="{00000000-0005-0000-0000-00002E120000}"/>
    <cellStyle name="Unprotect" xfId="188" xr:uid="{00000000-0005-0000-0000-00002F120000}"/>
    <cellStyle name="User_Defined_A" xfId="4465" xr:uid="{00000000-0005-0000-0000-000030120000}"/>
    <cellStyle name="Valign-bottom" xfId="4466" xr:uid="{00000000-0005-0000-0000-000031120000}"/>
    <cellStyle name="Valign-centre" xfId="4467" xr:uid="{00000000-0005-0000-0000-000032120000}"/>
    <cellStyle name="Valign-top" xfId="4468" xr:uid="{00000000-0005-0000-0000-000033120000}"/>
    <cellStyle name="w" xfId="4263" xr:uid="{00000000-0005-0000-0000-000034120000}"/>
    <cellStyle name="Warning Text 10" xfId="4135" xr:uid="{00000000-0005-0000-0000-000035120000}"/>
    <cellStyle name="Warning Text 11" xfId="4136" xr:uid="{00000000-0005-0000-0000-000036120000}"/>
    <cellStyle name="Warning Text 12" xfId="4137" xr:uid="{00000000-0005-0000-0000-000037120000}"/>
    <cellStyle name="Warning Text 13" xfId="4138" xr:uid="{00000000-0005-0000-0000-000038120000}"/>
    <cellStyle name="Warning Text 14" xfId="4139" xr:uid="{00000000-0005-0000-0000-000039120000}"/>
    <cellStyle name="Warning Text 15" xfId="4140" xr:uid="{00000000-0005-0000-0000-00003A120000}"/>
    <cellStyle name="Warning Text 16" xfId="4141" xr:uid="{00000000-0005-0000-0000-00003B120000}"/>
    <cellStyle name="Warning Text 17" xfId="4142" xr:uid="{00000000-0005-0000-0000-00003C120000}"/>
    <cellStyle name="Warning Text 18" xfId="4143" xr:uid="{00000000-0005-0000-0000-00003D120000}"/>
    <cellStyle name="Warning Text 2" xfId="189" xr:uid="{00000000-0005-0000-0000-00003E120000}"/>
    <cellStyle name="Warning Text 2 2" xfId="4144" xr:uid="{00000000-0005-0000-0000-00003F120000}"/>
    <cellStyle name="Warning Text 2 3" xfId="4145" xr:uid="{00000000-0005-0000-0000-000040120000}"/>
    <cellStyle name="Warning Text 2 4" xfId="4146" xr:uid="{00000000-0005-0000-0000-000041120000}"/>
    <cellStyle name="Warning Text 2 5" xfId="4147" xr:uid="{00000000-0005-0000-0000-000042120000}"/>
    <cellStyle name="Warning Text 3" xfId="4148" xr:uid="{00000000-0005-0000-0000-000043120000}"/>
    <cellStyle name="Warning Text 4" xfId="4149" xr:uid="{00000000-0005-0000-0000-000044120000}"/>
    <cellStyle name="Warning Text 5" xfId="4150" xr:uid="{00000000-0005-0000-0000-000045120000}"/>
    <cellStyle name="Warning Text 6" xfId="4151" xr:uid="{00000000-0005-0000-0000-000046120000}"/>
    <cellStyle name="Warning Text 7" xfId="4152" xr:uid="{00000000-0005-0000-0000-000047120000}"/>
    <cellStyle name="Warning Text 8" xfId="4153" xr:uid="{00000000-0005-0000-0000-000048120000}"/>
    <cellStyle name="Warning Text 9" xfId="4154" xr:uid="{00000000-0005-0000-0000-000049120000}"/>
    <cellStyle name="Wrap Text" xfId="4469" xr:uid="{00000000-0005-0000-0000-00004A120000}"/>
    <cellStyle name="XComma" xfId="4264" xr:uid="{00000000-0005-0000-0000-00004B120000}"/>
    <cellStyle name="XComma 0.0" xfId="4265" xr:uid="{00000000-0005-0000-0000-00004C120000}"/>
    <cellStyle name="XComma 0.00" xfId="4266" xr:uid="{00000000-0005-0000-0000-00004D120000}"/>
    <cellStyle name="XComma 0.000" xfId="4267" xr:uid="{00000000-0005-0000-0000-00004E120000}"/>
    <cellStyle name="XCurrency" xfId="4268" xr:uid="{00000000-0005-0000-0000-00004F120000}"/>
    <cellStyle name="XCurrency 0.0" xfId="4269" xr:uid="{00000000-0005-0000-0000-000050120000}"/>
    <cellStyle name="XCurrency 0.00" xfId="4270" xr:uid="{00000000-0005-0000-0000-000051120000}"/>
    <cellStyle name="XCurrency 0.000" xfId="4271" xr:uid="{00000000-0005-0000-0000-000052120000}"/>
    <cellStyle name="yra" xfId="4272" xr:uid="{00000000-0005-0000-0000-000053120000}"/>
    <cellStyle name="yrActual" xfId="4273" xr:uid="{00000000-0005-0000-0000-000054120000}"/>
    <cellStyle name="yre" xfId="4274" xr:uid="{00000000-0005-0000-0000-000055120000}"/>
    <cellStyle name="yrExpect" xfId="4275" xr:uid="{00000000-0005-0000-0000-0000561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CC99FF"/>
      <color rgb="FF0000FF"/>
      <color rgb="FFFF99FF"/>
      <color rgb="FF99FFCC"/>
      <color rgb="FF0000CC"/>
      <color rgb="FF66FFCC"/>
      <color rgb="FF000099"/>
      <color rgb="FFFFFFCC"/>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6"/>
  <sheetViews>
    <sheetView topLeftCell="A14" zoomScale="80" zoomScaleNormal="80" workbookViewId="0">
      <selection activeCell="C43" sqref="C43"/>
    </sheetView>
  </sheetViews>
  <sheetFormatPr defaultColWidth="8.6328125" defaultRowHeight="15.6"/>
  <cols>
    <col min="1" max="1" width="23.6328125" style="175" customWidth="1"/>
    <col min="2" max="2" width="36.6328125" style="175" customWidth="1"/>
    <col min="3" max="3" width="67" style="175" bestFit="1" customWidth="1"/>
    <col min="4" max="4" width="18.6328125" style="175" customWidth="1"/>
    <col min="5" max="16384" width="8.6328125" style="175"/>
  </cols>
  <sheetData>
    <row r="1" spans="1:5" ht="20.399999999999999">
      <c r="A1" s="910" t="s">
        <v>911</v>
      </c>
      <c r="B1" s="910"/>
      <c r="C1" s="910"/>
      <c r="D1" s="910"/>
      <c r="E1" s="910"/>
    </row>
    <row r="2" spans="1:5" ht="20.399999999999999">
      <c r="A2" s="910" t="s">
        <v>427</v>
      </c>
      <c r="B2" s="910"/>
      <c r="C2" s="910"/>
      <c r="D2" s="910"/>
      <c r="E2" s="910"/>
    </row>
    <row r="3" spans="1:5">
      <c r="A3" s="176"/>
    </row>
    <row r="4" spans="1:5" ht="20.399999999999999">
      <c r="A4" s="910" t="s">
        <v>237</v>
      </c>
      <c r="B4" s="910"/>
      <c r="C4" s="910"/>
      <c r="D4" s="910"/>
      <c r="E4" s="910"/>
    </row>
    <row r="5" spans="1:5">
      <c r="A5" s="176"/>
      <c r="E5" s="177" t="s">
        <v>515</v>
      </c>
    </row>
    <row r="6" spans="1:5">
      <c r="A6" s="176" t="s">
        <v>238</v>
      </c>
    </row>
    <row r="7" spans="1:5" ht="47.25" customHeight="1">
      <c r="A7" s="908" t="s">
        <v>1080</v>
      </c>
      <c r="B7" s="908"/>
      <c r="C7" s="908"/>
      <c r="D7" s="908"/>
      <c r="E7" s="908"/>
    </row>
    <row r="8" spans="1:5">
      <c r="A8" s="178"/>
      <c r="B8" s="178"/>
      <c r="C8" s="178"/>
      <c r="D8" s="178"/>
      <c r="E8" s="178"/>
    </row>
    <row r="9" spans="1:5" ht="36.75" customHeight="1">
      <c r="A9" s="908" t="s">
        <v>1236</v>
      </c>
      <c r="B9" s="908"/>
      <c r="C9" s="908"/>
      <c r="D9" s="908"/>
      <c r="E9" s="908"/>
    </row>
    <row r="10" spans="1:5">
      <c r="A10" s="176"/>
    </row>
    <row r="11" spans="1:5" ht="51.75" customHeight="1">
      <c r="A11" s="908" t="s">
        <v>912</v>
      </c>
      <c r="B11" s="908"/>
      <c r="C11" s="908"/>
      <c r="D11" s="908"/>
      <c r="E11" s="908"/>
    </row>
    <row r="12" spans="1:5" ht="32.25" customHeight="1">
      <c r="A12" s="179"/>
      <c r="B12" s="909" t="s">
        <v>239</v>
      </c>
      <c r="C12" s="909"/>
      <c r="D12" s="909"/>
      <c r="E12" s="909"/>
    </row>
    <row r="13" spans="1:5" ht="19.5" customHeight="1">
      <c r="A13" s="180"/>
      <c r="B13" s="181" t="s">
        <v>516</v>
      </c>
      <c r="C13" s="181"/>
      <c r="D13" s="181"/>
      <c r="E13" s="181"/>
    </row>
    <row r="14" spans="1:5">
      <c r="A14" s="176"/>
      <c r="C14" s="175" t="s">
        <v>240</v>
      </c>
    </row>
    <row r="16" spans="1:5" ht="16.2" thickBot="1">
      <c r="A16" s="182" t="s">
        <v>241</v>
      </c>
      <c r="B16" s="182" t="s">
        <v>242</v>
      </c>
      <c r="C16" s="182" t="s">
        <v>159</v>
      </c>
      <c r="D16" s="183" t="s">
        <v>243</v>
      </c>
      <c r="E16" s="182"/>
    </row>
    <row r="17" spans="1:4">
      <c r="D17" s="184"/>
    </row>
    <row r="18" spans="1:4">
      <c r="A18" s="185"/>
      <c r="D18" s="186"/>
    </row>
    <row r="19" spans="1:4">
      <c r="D19" s="184"/>
    </row>
    <row r="20" spans="1:4">
      <c r="A20" s="187" t="s">
        <v>401</v>
      </c>
      <c r="B20" s="175" t="s">
        <v>369</v>
      </c>
      <c r="C20" s="175" t="s">
        <v>420</v>
      </c>
      <c r="D20" s="186" t="s">
        <v>150</v>
      </c>
    </row>
    <row r="21" spans="1:4" ht="17.25" customHeight="1">
      <c r="D21" s="184"/>
    </row>
    <row r="22" spans="1:4">
      <c r="A22" s="187" t="s">
        <v>402</v>
      </c>
      <c r="B22" s="175" t="s">
        <v>411</v>
      </c>
      <c r="C22" s="175" t="s">
        <v>244</v>
      </c>
      <c r="D22" s="186" t="s">
        <v>150</v>
      </c>
    </row>
    <row r="23" spans="1:4">
      <c r="D23" s="186"/>
    </row>
    <row r="24" spans="1:4">
      <c r="A24" s="187" t="s">
        <v>403</v>
      </c>
      <c r="B24" s="175" t="s">
        <v>412</v>
      </c>
      <c r="C24" s="175" t="s">
        <v>421</v>
      </c>
      <c r="D24" s="186" t="s">
        <v>150</v>
      </c>
    </row>
    <row r="25" spans="1:4">
      <c r="D25" s="186"/>
    </row>
    <row r="26" spans="1:4">
      <c r="A26" s="187" t="s">
        <v>404</v>
      </c>
      <c r="B26" s="175" t="s">
        <v>413</v>
      </c>
      <c r="C26" s="175" t="s">
        <v>425</v>
      </c>
      <c r="D26" s="186" t="s">
        <v>150</v>
      </c>
    </row>
    <row r="27" spans="1:4">
      <c r="A27" s="187"/>
      <c r="D27" s="186"/>
    </row>
    <row r="28" spans="1:4">
      <c r="A28" s="801" t="s">
        <v>1025</v>
      </c>
      <c r="B28" s="802" t="s">
        <v>1008</v>
      </c>
      <c r="C28" s="802" t="s">
        <v>1026</v>
      </c>
      <c r="D28" s="803" t="s">
        <v>150</v>
      </c>
    </row>
    <row r="29" spans="1:4">
      <c r="A29" s="801"/>
      <c r="B29" s="802"/>
      <c r="C29" s="802"/>
      <c r="D29" s="803"/>
    </row>
    <row r="30" spans="1:4">
      <c r="A30" s="801" t="s">
        <v>1027</v>
      </c>
      <c r="B30" s="802" t="s">
        <v>1023</v>
      </c>
      <c r="C30" s="802" t="s">
        <v>1028</v>
      </c>
      <c r="D30" s="803" t="s">
        <v>586</v>
      </c>
    </row>
    <row r="31" spans="1:4">
      <c r="D31" s="186"/>
    </row>
    <row r="32" spans="1:4">
      <c r="A32" s="187" t="s">
        <v>405</v>
      </c>
      <c r="B32" s="175" t="s">
        <v>414</v>
      </c>
      <c r="C32" s="175" t="s">
        <v>426</v>
      </c>
      <c r="D32" s="186" t="s">
        <v>150</v>
      </c>
    </row>
    <row r="33" spans="1:4">
      <c r="D33" s="186"/>
    </row>
    <row r="34" spans="1:4">
      <c r="A34" s="187" t="s">
        <v>406</v>
      </c>
      <c r="B34" s="175" t="s">
        <v>415</v>
      </c>
      <c r="C34" s="175" t="s">
        <v>422</v>
      </c>
      <c r="D34" s="186" t="s">
        <v>150</v>
      </c>
    </row>
    <row r="35" spans="1:4">
      <c r="D35" s="186"/>
    </row>
    <row r="36" spans="1:4">
      <c r="A36" s="187" t="s">
        <v>407</v>
      </c>
      <c r="B36" s="175" t="s">
        <v>416</v>
      </c>
      <c r="C36" s="175" t="s">
        <v>423</v>
      </c>
      <c r="D36" s="186" t="s">
        <v>150</v>
      </c>
    </row>
    <row r="37" spans="1:4">
      <c r="D37" s="186"/>
    </row>
    <row r="38" spans="1:4">
      <c r="A38" s="175" t="s">
        <v>553</v>
      </c>
      <c r="B38" s="175" t="s">
        <v>524</v>
      </c>
      <c r="C38" s="175" t="s">
        <v>554</v>
      </c>
      <c r="D38" s="186" t="s">
        <v>150</v>
      </c>
    </row>
    <row r="39" spans="1:4">
      <c r="D39" s="186"/>
    </row>
    <row r="40" spans="1:4">
      <c r="A40" s="175" t="s">
        <v>758</v>
      </c>
      <c r="B40" s="175" t="s">
        <v>757</v>
      </c>
      <c r="C40" s="175" t="s">
        <v>722</v>
      </c>
      <c r="D40" s="186" t="s">
        <v>150</v>
      </c>
    </row>
    <row r="41" spans="1:4">
      <c r="D41" s="186"/>
    </row>
    <row r="42" spans="1:4">
      <c r="A42" s="187" t="s">
        <v>245</v>
      </c>
      <c r="B42" s="175" t="s">
        <v>246</v>
      </c>
      <c r="C42" s="175" t="s">
        <v>1237</v>
      </c>
      <c r="D42" s="186" t="s">
        <v>586</v>
      </c>
    </row>
    <row r="43" spans="1:4">
      <c r="D43" s="186"/>
    </row>
    <row r="44" spans="1:4">
      <c r="A44" s="187" t="s">
        <v>408</v>
      </c>
      <c r="B44" s="175" t="s">
        <v>370</v>
      </c>
      <c r="C44" s="175" t="s">
        <v>424</v>
      </c>
      <c r="D44" s="186" t="s">
        <v>587</v>
      </c>
    </row>
    <row r="45" spans="1:4">
      <c r="D45" s="186"/>
    </row>
    <row r="46" spans="1:4">
      <c r="A46" s="187" t="s">
        <v>409</v>
      </c>
      <c r="B46" s="175" t="s">
        <v>417</v>
      </c>
      <c r="C46" s="175" t="s">
        <v>247</v>
      </c>
      <c r="D46" s="186" t="s">
        <v>587</v>
      </c>
    </row>
    <row r="47" spans="1:4">
      <c r="D47" s="186"/>
    </row>
    <row r="48" spans="1:4">
      <c r="A48" s="187" t="s">
        <v>410</v>
      </c>
      <c r="B48" s="175" t="s">
        <v>418</v>
      </c>
      <c r="C48" s="175" t="s">
        <v>248</v>
      </c>
      <c r="D48" s="186" t="s">
        <v>587</v>
      </c>
    </row>
    <row r="49" spans="1:4">
      <c r="D49" s="186"/>
    </row>
    <row r="50" spans="1:4">
      <c r="A50" s="187" t="s">
        <v>1230</v>
      </c>
      <c r="B50" s="175" t="s">
        <v>419</v>
      </c>
      <c r="C50" s="175" t="s">
        <v>249</v>
      </c>
      <c r="D50" s="186" t="s">
        <v>587</v>
      </c>
    </row>
    <row r="51" spans="1:4">
      <c r="A51" s="188"/>
      <c r="B51" s="188"/>
      <c r="C51" s="188"/>
      <c r="D51" s="189"/>
    </row>
    <row r="52" spans="1:4">
      <c r="A52" s="187" t="s">
        <v>555</v>
      </c>
      <c r="B52" s="175" t="s">
        <v>556</v>
      </c>
      <c r="C52" s="175" t="s">
        <v>546</v>
      </c>
      <c r="D52" s="186" t="s">
        <v>587</v>
      </c>
    </row>
    <row r="53" spans="1:4">
      <c r="A53" s="188"/>
      <c r="B53" s="188"/>
      <c r="C53" s="188"/>
      <c r="D53" s="189"/>
    </row>
    <row r="54" spans="1:4">
      <c r="A54" s="187" t="s">
        <v>661</v>
      </c>
      <c r="B54" s="175" t="s">
        <v>649</v>
      </c>
      <c r="C54" s="175" t="s">
        <v>662</v>
      </c>
      <c r="D54" s="186" t="s">
        <v>587</v>
      </c>
    </row>
    <row r="55" spans="1:4">
      <c r="A55" s="188"/>
      <c r="B55" s="188"/>
      <c r="C55" s="188"/>
      <c r="D55" s="189"/>
    </row>
    <row r="56" spans="1:4">
      <c r="A56" s="187" t="s">
        <v>564</v>
      </c>
      <c r="B56" s="175" t="s">
        <v>564</v>
      </c>
      <c r="C56" s="175" t="s">
        <v>565</v>
      </c>
      <c r="D56" s="186" t="s">
        <v>586</v>
      </c>
    </row>
  </sheetData>
  <mergeCells count="7">
    <mergeCell ref="A7:E7"/>
    <mergeCell ref="A9:E9"/>
    <mergeCell ref="A11:E11"/>
    <mergeCell ref="B12:E12"/>
    <mergeCell ref="A1:E1"/>
    <mergeCell ref="A2:E2"/>
    <mergeCell ref="A4:E4"/>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S265"/>
  <sheetViews>
    <sheetView zoomScale="80" zoomScaleNormal="80" workbookViewId="0">
      <selection activeCell="S18" sqref="S18"/>
    </sheetView>
  </sheetViews>
  <sheetFormatPr defaultColWidth="8.6328125" defaultRowHeight="13.2"/>
  <cols>
    <col min="1" max="1" width="4.08984375" style="93" customWidth="1"/>
    <col min="2" max="2" width="40.08984375" style="93" customWidth="1"/>
    <col min="3" max="3" width="40.36328125" style="93" customWidth="1"/>
    <col min="4" max="4" width="14.08984375" style="93" customWidth="1"/>
    <col min="5" max="5" width="5.90625" style="93" customWidth="1"/>
    <col min="6" max="6" width="3.54296875" style="93" customWidth="1"/>
    <col min="7" max="7" width="11.54296875" style="93" customWidth="1"/>
    <col min="8" max="8" width="3.08984375" style="93" bestFit="1" customWidth="1"/>
    <col min="9" max="9" width="10.6328125" style="93" customWidth="1"/>
    <col min="10" max="10" width="1.453125" style="93" customWidth="1"/>
    <col min="11" max="11" width="6.54296875" style="93" customWidth="1"/>
    <col min="12" max="12" width="11.90625" style="93" bestFit="1" customWidth="1"/>
    <col min="13" max="14" width="10.6328125" style="93" customWidth="1"/>
    <col min="15" max="15" width="9.08984375" style="93" bestFit="1" customWidth="1"/>
    <col min="16" max="16" width="8.6328125" style="93"/>
    <col min="17" max="17" width="10.08984375" style="93" customWidth="1"/>
    <col min="18" max="18" width="8.6328125" style="93"/>
    <col min="19" max="19" width="10.08984375" style="93" customWidth="1"/>
    <col min="20" max="16384" width="8.6328125" style="93"/>
  </cols>
  <sheetData>
    <row r="1" spans="1:11">
      <c r="B1" s="62"/>
      <c r="C1" s="62"/>
      <c r="D1" s="94"/>
      <c r="E1" s="62"/>
      <c r="F1" s="62"/>
      <c r="G1" s="62"/>
      <c r="H1" s="62"/>
      <c r="I1" s="914" t="s">
        <v>369</v>
      </c>
      <c r="J1" s="914"/>
      <c r="K1" s="914"/>
    </row>
    <row r="2" spans="1:11">
      <c r="B2" s="62"/>
      <c r="C2" s="62"/>
      <c r="D2" s="94"/>
      <c r="E2" s="62"/>
      <c r="F2" s="62"/>
      <c r="G2" s="62"/>
      <c r="H2" s="62"/>
      <c r="I2" s="62"/>
      <c r="J2" s="913" t="s">
        <v>193</v>
      </c>
      <c r="K2" s="913"/>
    </row>
    <row r="3" spans="1:11">
      <c r="B3" s="62"/>
      <c r="D3" s="94"/>
      <c r="E3" s="62"/>
      <c r="F3" s="62"/>
      <c r="G3" s="62"/>
      <c r="H3" s="62"/>
      <c r="I3" s="62"/>
      <c r="J3" s="62"/>
      <c r="K3" s="95"/>
    </row>
    <row r="4" spans="1:11">
      <c r="B4" s="94" t="s">
        <v>0</v>
      </c>
      <c r="C4" s="68" t="s">
        <v>112</v>
      </c>
      <c r="E4" s="62"/>
      <c r="F4" s="62"/>
      <c r="G4" s="62"/>
      <c r="H4" s="62"/>
      <c r="I4" s="62"/>
      <c r="J4" s="62"/>
      <c r="K4" s="96" t="s">
        <v>1263</v>
      </c>
    </row>
    <row r="5" spans="1:11">
      <c r="B5" s="62"/>
      <c r="C5" s="98" t="s">
        <v>113</v>
      </c>
      <c r="E5" s="97"/>
      <c r="F5" s="97"/>
      <c r="G5" s="97"/>
      <c r="H5" s="62"/>
      <c r="I5" s="62"/>
      <c r="J5" s="62"/>
      <c r="K5" s="62"/>
    </row>
    <row r="6" spans="1:11">
      <c r="B6" s="62"/>
      <c r="C6" s="97"/>
      <c r="D6" s="97"/>
      <c r="E6" s="97"/>
      <c r="F6" s="97"/>
      <c r="G6" s="97"/>
      <c r="H6" s="62"/>
      <c r="I6" s="62"/>
      <c r="J6" s="62"/>
      <c r="K6" s="62"/>
    </row>
    <row r="7" spans="1:11">
      <c r="B7" s="62"/>
      <c r="C7" s="99" t="s">
        <v>911</v>
      </c>
      <c r="E7" s="97"/>
      <c r="F7" s="97"/>
      <c r="G7" s="97"/>
      <c r="H7" s="97"/>
      <c r="I7" s="97"/>
      <c r="J7" s="97"/>
      <c r="K7" s="97"/>
    </row>
    <row r="8" spans="1:11">
      <c r="A8" s="68" t="s">
        <v>4</v>
      </c>
      <c r="B8" s="62"/>
      <c r="C8" s="62"/>
      <c r="D8" s="100"/>
      <c r="E8" s="62"/>
      <c r="F8" s="62"/>
      <c r="G8" s="62"/>
      <c r="H8" s="62"/>
      <c r="I8" s="68" t="s">
        <v>5</v>
      </c>
      <c r="J8" s="62"/>
      <c r="K8" s="62"/>
    </row>
    <row r="9" spans="1:11" ht="13.8" thickBot="1">
      <c r="A9" s="101" t="s">
        <v>6</v>
      </c>
      <c r="B9" s="62"/>
      <c r="C9" s="62"/>
      <c r="D9" s="62"/>
      <c r="E9" s="62"/>
      <c r="F9" s="62"/>
      <c r="G9" s="62"/>
      <c r="H9" s="62"/>
      <c r="I9" s="101" t="s">
        <v>7</v>
      </c>
      <c r="J9" s="62"/>
      <c r="K9" s="62"/>
    </row>
    <row r="10" spans="1:11">
      <c r="A10" s="68">
        <v>1</v>
      </c>
      <c r="B10" s="62" t="s">
        <v>709</v>
      </c>
      <c r="C10" s="62"/>
      <c r="D10" s="97"/>
      <c r="E10" s="62"/>
      <c r="F10" s="62"/>
      <c r="G10" s="62"/>
      <c r="H10" s="62"/>
      <c r="I10" s="102">
        <f>'Act Att-H'!I156</f>
        <v>30980413.184775826</v>
      </c>
      <c r="J10" s="62"/>
      <c r="K10" s="62"/>
    </row>
    <row r="11" spans="1:11">
      <c r="A11" s="68"/>
      <c r="B11" s="62"/>
      <c r="C11" s="62"/>
      <c r="D11" s="62"/>
      <c r="E11" s="62"/>
      <c r="F11" s="62"/>
      <c r="G11" s="62"/>
      <c r="H11" s="62"/>
      <c r="I11" s="97"/>
      <c r="J11" s="62"/>
      <c r="K11" s="62"/>
    </row>
    <row r="12" spans="1:11" ht="15.75" customHeight="1" thickBot="1">
      <c r="A12" s="68" t="s">
        <v>2</v>
      </c>
      <c r="B12" s="62" t="s">
        <v>8</v>
      </c>
      <c r="C12" s="97" t="s">
        <v>355</v>
      </c>
      <c r="D12" s="101" t="s">
        <v>9</v>
      </c>
      <c r="E12" s="97"/>
      <c r="F12" s="923" t="s">
        <v>10</v>
      </c>
      <c r="G12" s="923"/>
      <c r="H12" s="62"/>
      <c r="I12" s="97"/>
      <c r="J12" s="62"/>
      <c r="K12" s="62"/>
    </row>
    <row r="13" spans="1:11">
      <c r="A13" s="68">
        <v>2</v>
      </c>
      <c r="B13" s="62" t="s">
        <v>12</v>
      </c>
      <c r="C13" s="97" t="s">
        <v>496</v>
      </c>
      <c r="D13" s="160">
        <f>'A1-RevCred'!J14</f>
        <v>661.59457261062767</v>
      </c>
      <c r="E13" s="97"/>
      <c r="F13" s="105" t="s">
        <v>290</v>
      </c>
      <c r="G13" s="104">
        <v>1</v>
      </c>
      <c r="H13" s="97"/>
      <c r="I13" s="54">
        <f>+G13*D13</f>
        <v>661.59457261062767</v>
      </c>
      <c r="J13" s="62"/>
      <c r="K13" s="62"/>
    </row>
    <row r="14" spans="1:11">
      <c r="A14" s="68">
        <v>3</v>
      </c>
      <c r="B14" s="62" t="s">
        <v>102</v>
      </c>
      <c r="C14" s="97" t="s">
        <v>609</v>
      </c>
      <c r="D14" s="160">
        <f>'A1-RevCred'!F50</f>
        <v>908954</v>
      </c>
      <c r="E14" s="97"/>
      <c r="F14" s="105" t="s">
        <v>290</v>
      </c>
      <c r="G14" s="104">
        <v>1</v>
      </c>
      <c r="H14" s="97"/>
      <c r="I14" s="54">
        <f>+G14*D14</f>
        <v>908954</v>
      </c>
      <c r="J14" s="62"/>
      <c r="K14" s="62"/>
    </row>
    <row r="15" spans="1:11">
      <c r="A15" s="68">
        <v>4</v>
      </c>
      <c r="B15" s="162" t="s">
        <v>441</v>
      </c>
      <c r="C15" s="97"/>
      <c r="D15" s="161"/>
      <c r="E15" s="97"/>
      <c r="F15" s="105"/>
      <c r="G15" s="104"/>
      <c r="H15" s="97"/>
      <c r="I15" s="54"/>
      <c r="J15" s="62"/>
      <c r="K15" s="62"/>
    </row>
    <row r="16" spans="1:11" ht="13.8" thickBot="1">
      <c r="A16" s="68">
        <v>5</v>
      </c>
      <c r="B16" s="162" t="s">
        <v>441</v>
      </c>
      <c r="C16" s="97"/>
      <c r="D16" s="161"/>
      <c r="E16" s="97"/>
      <c r="F16" s="105"/>
      <c r="G16" s="104"/>
      <c r="H16" s="97"/>
      <c r="I16" s="55"/>
      <c r="J16" s="62"/>
      <c r="K16" s="62"/>
    </row>
    <row r="17" spans="1:13">
      <c r="A17" s="68">
        <v>6</v>
      </c>
      <c r="B17" s="62" t="s">
        <v>88</v>
      </c>
      <c r="C17" s="62"/>
      <c r="D17" s="107" t="s">
        <v>2</v>
      </c>
      <c r="E17" s="97"/>
      <c r="F17" s="97"/>
      <c r="G17" s="108"/>
      <c r="H17" s="97"/>
      <c r="I17" s="54">
        <f>SUM(I13:I16)</f>
        <v>909615.59457261057</v>
      </c>
      <c r="J17" s="62"/>
      <c r="K17" s="62"/>
    </row>
    <row r="18" spans="1:13">
      <c r="A18" s="68"/>
      <c r="B18" s="62"/>
      <c r="C18" s="62"/>
      <c r="I18" s="54"/>
      <c r="J18" s="62"/>
      <c r="K18" s="62"/>
    </row>
    <row r="19" spans="1:13" ht="13.8" thickBot="1">
      <c r="A19" s="68">
        <v>7</v>
      </c>
      <c r="B19" s="62" t="s">
        <v>13</v>
      </c>
      <c r="C19" s="62" t="s">
        <v>617</v>
      </c>
      <c r="D19" s="107"/>
      <c r="E19" s="97"/>
      <c r="F19" s="97"/>
      <c r="G19" s="97"/>
      <c r="H19" s="97"/>
      <c r="I19" s="109">
        <f>I10-I17</f>
        <v>30070797.590203214</v>
      </c>
      <c r="J19" s="62"/>
      <c r="K19" s="62"/>
      <c r="L19" s="904"/>
      <c r="M19" s="904"/>
    </row>
    <row r="20" spans="1:13" ht="13.8" thickTop="1">
      <c r="A20" s="68"/>
      <c r="B20" s="62"/>
      <c r="C20" s="62"/>
      <c r="D20" s="107"/>
      <c r="E20" s="97"/>
      <c r="F20" s="97"/>
      <c r="G20" s="97"/>
      <c r="H20" s="97"/>
      <c r="I20" s="395"/>
      <c r="J20" s="62"/>
      <c r="K20" s="62"/>
    </row>
    <row r="21" spans="1:13">
      <c r="A21" s="68"/>
      <c r="B21" s="62" t="s">
        <v>14</v>
      </c>
      <c r="C21" s="62"/>
      <c r="D21" s="97"/>
      <c r="E21" s="62"/>
      <c r="F21" s="62"/>
      <c r="G21" s="62"/>
      <c r="H21" s="62"/>
      <c r="I21" s="97"/>
      <c r="J21" s="62"/>
      <c r="K21" s="62"/>
    </row>
    <row r="22" spans="1:13">
      <c r="A22" s="68">
        <v>8</v>
      </c>
      <c r="B22" s="62" t="s">
        <v>206</v>
      </c>
      <c r="C22" s="93" t="s">
        <v>497</v>
      </c>
      <c r="D22" s="97"/>
      <c r="E22" s="62"/>
      <c r="F22" s="62"/>
      <c r="G22" s="62"/>
      <c r="H22" s="62"/>
      <c r="I22" s="160">
        <f>'A6-Divisor'!E21</f>
        <v>377500</v>
      </c>
      <c r="J22" s="62"/>
      <c r="K22" s="62"/>
    </row>
    <row r="23" spans="1:13">
      <c r="A23" s="68">
        <v>9</v>
      </c>
      <c r="B23" s="62"/>
      <c r="C23" s="97"/>
      <c r="D23" s="97"/>
      <c r="E23" s="97"/>
      <c r="F23" s="97"/>
      <c r="G23" s="97"/>
      <c r="H23" s="97"/>
      <c r="I23" s="97"/>
      <c r="J23" s="62"/>
      <c r="K23" s="62"/>
    </row>
    <row r="24" spans="1:13">
      <c r="A24" s="68">
        <v>10</v>
      </c>
      <c r="B24" s="97" t="s">
        <v>205</v>
      </c>
      <c r="C24" s="97"/>
      <c r="D24" s="97"/>
      <c r="E24" s="97"/>
      <c r="F24" s="97"/>
      <c r="G24" s="97"/>
      <c r="H24" s="97"/>
      <c r="I24" s="97"/>
      <c r="J24" s="97"/>
      <c r="K24" s="62"/>
    </row>
    <row r="25" spans="1:13">
      <c r="A25" s="68">
        <v>11</v>
      </c>
      <c r="B25" s="62" t="s">
        <v>207</v>
      </c>
      <c r="C25" s="62"/>
      <c r="D25" s="713">
        <f>ROUND(I19/I22,2)</f>
        <v>79.66</v>
      </c>
      <c r="E25" s="62" t="s">
        <v>197</v>
      </c>
      <c r="F25" s="97"/>
      <c r="G25" s="97"/>
      <c r="H25" s="97"/>
      <c r="I25" s="97"/>
      <c r="J25" s="97"/>
      <c r="K25" s="62"/>
    </row>
    <row r="26" spans="1:13">
      <c r="A26" s="68">
        <v>12</v>
      </c>
      <c r="B26" s="62" t="s">
        <v>208</v>
      </c>
      <c r="C26" s="62" t="s">
        <v>603</v>
      </c>
      <c r="D26" s="713">
        <f>ROUND(D25/12,2)</f>
        <v>6.64</v>
      </c>
      <c r="E26" s="62" t="s">
        <v>198</v>
      </c>
      <c r="F26" s="97"/>
      <c r="G26" s="97"/>
      <c r="H26" s="97"/>
      <c r="I26" s="97"/>
      <c r="J26" s="97"/>
      <c r="K26" s="62"/>
    </row>
    <row r="27" spans="1:13">
      <c r="A27" s="68">
        <v>13</v>
      </c>
      <c r="B27" s="62" t="s">
        <v>209</v>
      </c>
      <c r="C27" s="62" t="s">
        <v>604</v>
      </c>
      <c r="D27" s="713">
        <f>ROUND(D25/52,2)</f>
        <v>1.53</v>
      </c>
      <c r="E27" s="62" t="s">
        <v>199</v>
      </c>
      <c r="F27" s="97"/>
      <c r="G27" s="97"/>
      <c r="H27" s="97"/>
      <c r="I27" s="97"/>
      <c r="J27" s="97"/>
      <c r="K27" s="62"/>
    </row>
    <row r="28" spans="1:13">
      <c r="A28" s="68">
        <v>14</v>
      </c>
      <c r="B28" s="62" t="s">
        <v>210</v>
      </c>
      <c r="C28" s="62" t="s">
        <v>200</v>
      </c>
      <c r="D28" s="714">
        <f>+D27/6</f>
        <v>0.255</v>
      </c>
      <c r="E28" s="62" t="s">
        <v>201</v>
      </c>
      <c r="F28" s="97"/>
      <c r="G28" s="97"/>
      <c r="H28" s="97"/>
      <c r="I28" s="97"/>
      <c r="J28" s="97"/>
      <c r="K28" s="62"/>
    </row>
    <row r="29" spans="1:13">
      <c r="A29" s="68">
        <v>15</v>
      </c>
      <c r="B29" s="62" t="s">
        <v>211</v>
      </c>
      <c r="C29" s="62" t="s">
        <v>202</v>
      </c>
      <c r="D29" s="714">
        <f>+D27/7</f>
        <v>0.21857142857142858</v>
      </c>
      <c r="E29" s="62" t="s">
        <v>201</v>
      </c>
      <c r="F29" s="97"/>
      <c r="G29" s="97"/>
      <c r="H29" s="97"/>
      <c r="I29" s="97"/>
      <c r="J29" s="97"/>
      <c r="K29" s="62"/>
    </row>
    <row r="30" spans="1:13">
      <c r="A30" s="68">
        <v>16</v>
      </c>
      <c r="B30" s="62" t="s">
        <v>212</v>
      </c>
      <c r="C30" s="62" t="s">
        <v>203</v>
      </c>
      <c r="D30" s="713">
        <f>+D28/16*1000</f>
        <v>15.9375</v>
      </c>
      <c r="E30" s="62" t="s">
        <v>668</v>
      </c>
      <c r="F30" s="97"/>
      <c r="G30" s="97"/>
      <c r="H30" s="97"/>
      <c r="I30" s="97"/>
      <c r="J30" s="97"/>
      <c r="K30" s="62"/>
    </row>
    <row r="31" spans="1:13">
      <c r="A31" s="68">
        <v>17</v>
      </c>
      <c r="B31" s="62" t="s">
        <v>213</v>
      </c>
      <c r="C31" s="62" t="s">
        <v>204</v>
      </c>
      <c r="D31" s="713">
        <f>+D29/24*1000</f>
        <v>9.1071428571428577</v>
      </c>
      <c r="E31" s="62" t="s">
        <v>668</v>
      </c>
      <c r="F31" s="97"/>
      <c r="G31" s="97"/>
      <c r="H31" s="97"/>
      <c r="I31" s="97"/>
      <c r="J31" s="97"/>
      <c r="K31" s="62"/>
    </row>
    <row r="32" spans="1:13">
      <c r="B32" s="62"/>
      <c r="C32" s="62"/>
      <c r="D32" s="94"/>
      <c r="E32" s="62"/>
      <c r="F32" s="62"/>
      <c r="G32" s="62"/>
      <c r="H32" s="62"/>
      <c r="I32" s="914" t="str">
        <f>I1</f>
        <v>Actual Attachment H</v>
      </c>
      <c r="J32" s="914"/>
      <c r="K32" s="914"/>
    </row>
    <row r="33" spans="1:11">
      <c r="B33" s="62"/>
      <c r="C33" s="62"/>
      <c r="D33" s="94"/>
      <c r="E33" s="62"/>
      <c r="F33" s="62"/>
      <c r="G33" s="62"/>
      <c r="H33" s="62"/>
      <c r="I33" s="62"/>
      <c r="J33" s="913" t="s">
        <v>194</v>
      </c>
      <c r="K33" s="913"/>
    </row>
    <row r="34" spans="1:11">
      <c r="B34" s="62"/>
      <c r="C34" s="62"/>
      <c r="D34" s="94"/>
      <c r="E34" s="62"/>
      <c r="F34" s="62"/>
      <c r="G34" s="62"/>
      <c r="H34" s="62"/>
      <c r="I34" s="62"/>
      <c r="J34" s="62"/>
      <c r="K34" s="95"/>
    </row>
    <row r="35" spans="1:11">
      <c r="B35" s="94" t="s">
        <v>0</v>
      </c>
      <c r="C35" s="68" t="s">
        <v>1</v>
      </c>
      <c r="E35" s="62"/>
      <c r="F35" s="62"/>
      <c r="G35" s="62"/>
      <c r="H35" s="62"/>
      <c r="I35" s="62"/>
      <c r="J35" s="62"/>
      <c r="K35" s="110" t="str">
        <f>K4</f>
        <v>Actuals - For the 12 months ended 12/31/2023</v>
      </c>
    </row>
    <row r="36" spans="1:11">
      <c r="B36" s="62"/>
      <c r="C36" s="98" t="s">
        <v>3</v>
      </c>
      <c r="E36" s="97"/>
      <c r="F36" s="97"/>
      <c r="G36" s="97"/>
      <c r="H36" s="62"/>
      <c r="I36" s="62"/>
      <c r="J36" s="62"/>
      <c r="K36" s="62"/>
    </row>
    <row r="37" spans="1:11">
      <c r="B37" s="62"/>
      <c r="D37" s="97"/>
      <c r="E37" s="97"/>
      <c r="F37" s="97"/>
      <c r="G37" s="97"/>
      <c r="H37" s="62"/>
      <c r="I37" s="62"/>
      <c r="J37" s="62"/>
      <c r="K37" s="62"/>
    </row>
    <row r="38" spans="1:11">
      <c r="A38" s="68"/>
      <c r="C38" s="111" t="str">
        <f>C7</f>
        <v>Black Hills Colorado Electric, LLC</v>
      </c>
      <c r="J38" s="97"/>
      <c r="K38" s="97"/>
    </row>
    <row r="39" spans="1:11">
      <c r="B39" s="62"/>
      <c r="C39" s="62"/>
      <c r="D39" s="62"/>
      <c r="E39" s="62"/>
      <c r="F39" s="62"/>
      <c r="G39" s="62"/>
      <c r="H39" s="62"/>
      <c r="J39" s="62"/>
      <c r="K39" s="62"/>
    </row>
    <row r="40" spans="1:11">
      <c r="B40" s="68" t="s">
        <v>15</v>
      </c>
      <c r="C40" s="68" t="s">
        <v>16</v>
      </c>
      <c r="D40" s="68" t="s">
        <v>17</v>
      </c>
      <c r="E40" s="97" t="s">
        <v>2</v>
      </c>
      <c r="F40" s="97"/>
      <c r="G40" s="112" t="s">
        <v>18</v>
      </c>
      <c r="H40" s="97"/>
      <c r="I40" s="113" t="s">
        <v>19</v>
      </c>
      <c r="J40" s="97"/>
      <c r="K40" s="68"/>
    </row>
    <row r="41" spans="1:11">
      <c r="B41" s="62"/>
      <c r="C41" s="114" t="s">
        <v>20</v>
      </c>
      <c r="D41" s="97"/>
      <c r="E41" s="97"/>
      <c r="F41" s="97"/>
      <c r="G41" s="68"/>
      <c r="H41" s="97"/>
      <c r="I41" s="115" t="s">
        <v>21</v>
      </c>
      <c r="J41" s="97"/>
      <c r="K41" s="68"/>
    </row>
    <row r="42" spans="1:11">
      <c r="A42" s="68" t="s">
        <v>4</v>
      </c>
      <c r="B42" s="62"/>
      <c r="C42" s="116" t="s">
        <v>22</v>
      </c>
      <c r="D42" s="115" t="s">
        <v>23</v>
      </c>
      <c r="E42" s="117"/>
      <c r="F42" s="115" t="s">
        <v>24</v>
      </c>
      <c r="H42" s="117"/>
      <c r="I42" s="68" t="s">
        <v>25</v>
      </c>
      <c r="J42" s="97"/>
      <c r="K42" s="68"/>
    </row>
    <row r="43" spans="1:11" ht="13.8" thickBot="1">
      <c r="A43" s="101" t="s">
        <v>6</v>
      </c>
      <c r="B43" s="118" t="s">
        <v>363</v>
      </c>
      <c r="C43" s="97"/>
      <c r="D43" s="97"/>
      <c r="E43" s="97"/>
      <c r="F43" s="97"/>
      <c r="G43" s="97"/>
      <c r="H43" s="97"/>
      <c r="I43" s="97"/>
      <c r="J43" s="97"/>
      <c r="K43" s="97"/>
    </row>
    <row r="44" spans="1:11">
      <c r="A44" s="68"/>
      <c r="B44" s="62" t="s">
        <v>361</v>
      </c>
      <c r="C44" s="97"/>
      <c r="D44" s="97"/>
      <c r="E44" s="97"/>
      <c r="F44" s="97"/>
      <c r="G44" s="97"/>
      <c r="H44" s="97"/>
      <c r="I44" s="97"/>
      <c r="J44" s="97"/>
      <c r="K44" s="97"/>
    </row>
    <row r="45" spans="1:11">
      <c r="A45" s="68">
        <v>1</v>
      </c>
      <c r="B45" s="62" t="s">
        <v>26</v>
      </c>
      <c r="C45" s="42" t="s">
        <v>501</v>
      </c>
      <c r="D45" s="160">
        <f>'A4-Rate Base'!C23</f>
        <v>425876517.23846155</v>
      </c>
      <c r="E45" s="97"/>
      <c r="F45" s="97" t="s">
        <v>27</v>
      </c>
      <c r="G45" s="119" t="s">
        <v>2</v>
      </c>
      <c r="H45" s="97"/>
      <c r="I45" s="54">
        <v>0</v>
      </c>
      <c r="J45" s="97"/>
      <c r="K45" s="97"/>
    </row>
    <row r="46" spans="1:11">
      <c r="A46" s="68">
        <v>2</v>
      </c>
      <c r="B46" s="62" t="s">
        <v>28</v>
      </c>
      <c r="C46" s="42" t="s">
        <v>502</v>
      </c>
      <c r="D46" s="160">
        <f>'A4-Rate Base'!D23</f>
        <v>306658674.61923081</v>
      </c>
      <c r="E46" s="97"/>
      <c r="F46" s="97" t="s">
        <v>11</v>
      </c>
      <c r="G46" s="104">
        <f>$I$175</f>
        <v>0.92887970882503001</v>
      </c>
      <c r="H46" s="97"/>
      <c r="I46" s="54">
        <f>+G46*D46</f>
        <v>284849020.38898075</v>
      </c>
      <c r="J46" s="97"/>
      <c r="K46" s="97"/>
    </row>
    <row r="47" spans="1:11">
      <c r="A47" s="68">
        <v>3</v>
      </c>
      <c r="B47" s="62" t="s">
        <v>29</v>
      </c>
      <c r="C47" s="42" t="s">
        <v>503</v>
      </c>
      <c r="D47" s="160">
        <f>'A4-Rate Base'!E23</f>
        <v>426878280.09075266</v>
      </c>
      <c r="E47" s="97"/>
      <c r="F47" s="97" t="s">
        <v>27</v>
      </c>
      <c r="G47" s="119" t="s">
        <v>2</v>
      </c>
      <c r="H47" s="97"/>
      <c r="I47" s="54">
        <v>0</v>
      </c>
      <c r="J47" s="97"/>
      <c r="K47" s="97"/>
    </row>
    <row r="48" spans="1:11">
      <c r="A48" s="68">
        <v>4</v>
      </c>
      <c r="B48" s="62" t="s">
        <v>30</v>
      </c>
      <c r="C48" s="42" t="s">
        <v>1078</v>
      </c>
      <c r="D48" s="160">
        <f>'A4-Rate Base'!F23</f>
        <v>45067030.808461539</v>
      </c>
      <c r="E48" s="97"/>
      <c r="F48" s="97" t="s">
        <v>31</v>
      </c>
      <c r="G48" s="120">
        <f>$I$192</f>
        <v>0.13228055028384053</v>
      </c>
      <c r="H48" s="97"/>
      <c r="I48" s="54">
        <f>+G48*D48</f>
        <v>5961491.6350020869</v>
      </c>
      <c r="J48" s="97"/>
      <c r="K48" s="97"/>
    </row>
    <row r="49" spans="1:11">
      <c r="A49" s="68">
        <v>5</v>
      </c>
      <c r="B49" s="62" t="s">
        <v>58</v>
      </c>
      <c r="C49" s="42" t="s">
        <v>504</v>
      </c>
      <c r="D49" s="160">
        <f>'A4-Rate Base'!G23</f>
        <v>23578472.230769232</v>
      </c>
      <c r="E49" s="97"/>
      <c r="F49" s="97" t="s">
        <v>1252</v>
      </c>
      <c r="G49" s="120">
        <f>$K$196</f>
        <v>0.12947946442867816</v>
      </c>
      <c r="H49" s="97"/>
      <c r="I49" s="54">
        <f>+G49*D49</f>
        <v>3052927.9564864608</v>
      </c>
      <c r="J49" s="97"/>
      <c r="K49" s="97"/>
    </row>
    <row r="50" spans="1:11">
      <c r="A50" s="68">
        <v>6</v>
      </c>
      <c r="B50" s="62" t="s">
        <v>281</v>
      </c>
      <c r="C50" s="43" t="s">
        <v>280</v>
      </c>
      <c r="D50" s="170">
        <f>SUM(D45:D49)</f>
        <v>1228058974.9876757</v>
      </c>
      <c r="E50" s="97"/>
      <c r="F50" s="97" t="s">
        <v>32</v>
      </c>
      <c r="G50" s="104">
        <f>IF(I50&gt;0,I50/D50,0)</f>
        <v>0.23929098354858599</v>
      </c>
      <c r="H50" s="97"/>
      <c r="I50" s="170">
        <f>SUM(I45:I49)</f>
        <v>293863439.98046929</v>
      </c>
      <c r="J50" s="97"/>
      <c r="K50" s="355"/>
    </row>
    <row r="51" spans="1:11">
      <c r="B51" s="62"/>
      <c r="C51" s="97"/>
      <c r="D51" s="97"/>
      <c r="E51" s="97"/>
      <c r="F51" s="97"/>
      <c r="G51" s="122"/>
      <c r="H51" s="97"/>
      <c r="I51" s="54"/>
      <c r="J51" s="97"/>
      <c r="K51" s="122"/>
    </row>
    <row r="52" spans="1:11">
      <c r="B52" s="62" t="s">
        <v>362</v>
      </c>
      <c r="C52" s="97"/>
      <c r="D52" s="97"/>
      <c r="E52" s="97"/>
      <c r="F52" s="97"/>
      <c r="G52" s="97"/>
      <c r="H52" s="97"/>
      <c r="I52" s="97"/>
      <c r="J52" s="97"/>
      <c r="K52" s="97"/>
    </row>
    <row r="53" spans="1:11">
      <c r="A53" s="68">
        <v>7</v>
      </c>
      <c r="B53" s="123" t="str">
        <f>+B45</f>
        <v xml:space="preserve">  Production</v>
      </c>
      <c r="C53" s="42" t="s">
        <v>505</v>
      </c>
      <c r="D53" s="160">
        <f>'A4-Rate Base'!E46</f>
        <v>134941928.75911841</v>
      </c>
      <c r="E53" s="97"/>
      <c r="F53" s="105" t="str">
        <f>+F45</f>
        <v>NA</v>
      </c>
      <c r="G53" s="120"/>
      <c r="H53" s="97"/>
      <c r="I53" s="54">
        <v>0</v>
      </c>
      <c r="J53" s="97"/>
      <c r="K53" s="97"/>
    </row>
    <row r="54" spans="1:11">
      <c r="A54" s="68">
        <v>8</v>
      </c>
      <c r="B54" s="123" t="str">
        <f>+B46</f>
        <v xml:space="preserve">  Transmission</v>
      </c>
      <c r="C54" s="42" t="s">
        <v>506</v>
      </c>
      <c r="D54" s="160">
        <f>'A4-Rate Base'!F46</f>
        <v>49945912.899896547</v>
      </c>
      <c r="E54" s="97"/>
      <c r="F54" s="105" t="str">
        <f t="shared" ref="F54:F57" si="0">+F46</f>
        <v>TP</v>
      </c>
      <c r="G54" s="104">
        <f>$I$175</f>
        <v>0.92887970882503001</v>
      </c>
      <c r="H54" s="97"/>
      <c r="I54" s="54">
        <f>+G54*D54</f>
        <v>46393745.031456217</v>
      </c>
      <c r="J54" s="97"/>
      <c r="K54" s="97"/>
    </row>
    <row r="55" spans="1:11">
      <c r="A55" s="68">
        <v>9</v>
      </c>
      <c r="B55" s="123" t="str">
        <f>+B47</f>
        <v xml:space="preserve">  Distribution</v>
      </c>
      <c r="C55" s="42" t="s">
        <v>507</v>
      </c>
      <c r="D55" s="160">
        <f>'A4-Rate Base'!G46</f>
        <v>160623554.79531392</v>
      </c>
      <c r="E55" s="97"/>
      <c r="F55" s="105" t="str">
        <f t="shared" si="0"/>
        <v>NA</v>
      </c>
      <c r="G55" s="120"/>
      <c r="H55" s="97"/>
      <c r="I55" s="54">
        <v>0</v>
      </c>
      <c r="J55" s="97"/>
      <c r="K55" s="97"/>
    </row>
    <row r="56" spans="1:11">
      <c r="A56" s="68">
        <v>10</v>
      </c>
      <c r="B56" s="123" t="str">
        <f>+B48</f>
        <v xml:space="preserve">  General &amp; Intangible</v>
      </c>
      <c r="C56" s="42" t="s">
        <v>508</v>
      </c>
      <c r="D56" s="160">
        <f>'A4-Rate Base'!H46</f>
        <v>23506343.925654646</v>
      </c>
      <c r="E56" s="97"/>
      <c r="F56" s="105" t="str">
        <f t="shared" si="0"/>
        <v>W/S</v>
      </c>
      <c r="G56" s="120">
        <f>$I$192</f>
        <v>0.13228055028384053</v>
      </c>
      <c r="H56" s="97"/>
      <c r="I56" s="54">
        <f>+G56*D56</f>
        <v>3109432.1096468088</v>
      </c>
      <c r="J56" s="97"/>
      <c r="K56" s="97"/>
    </row>
    <row r="57" spans="1:11">
      <c r="A57" s="68">
        <v>11</v>
      </c>
      <c r="B57" s="123" t="str">
        <f>+B49</f>
        <v xml:space="preserve">  Other</v>
      </c>
      <c r="C57" s="42" t="s">
        <v>509</v>
      </c>
      <c r="D57" s="160">
        <f>'A4-Rate Base'!I46</f>
        <v>7847746.461538462</v>
      </c>
      <c r="E57" s="97"/>
      <c r="F57" s="105" t="str">
        <f t="shared" si="0"/>
        <v>OE</v>
      </c>
      <c r="G57" s="120">
        <f>$K$196</f>
        <v>0.12947946442867816</v>
      </c>
      <c r="H57" s="97"/>
      <c r="I57" s="50">
        <f>+G57*D57</f>
        <v>1016122.0088120542</v>
      </c>
      <c r="J57" s="97"/>
      <c r="K57" s="97"/>
    </row>
    <row r="58" spans="1:11">
      <c r="A58" s="68">
        <v>12</v>
      </c>
      <c r="B58" s="62" t="s">
        <v>283</v>
      </c>
      <c r="C58" s="43" t="s">
        <v>282</v>
      </c>
      <c r="D58" s="170">
        <f>SUM(D53:D57)</f>
        <v>376865486.84152198</v>
      </c>
      <c r="E58" s="97"/>
      <c r="F58" s="97"/>
      <c r="G58" s="97"/>
      <c r="H58" s="97"/>
      <c r="I58" s="170">
        <f>SUM(I53:I57)</f>
        <v>50519299.149915084</v>
      </c>
      <c r="J58" s="97"/>
      <c r="K58" s="97"/>
    </row>
    <row r="59" spans="1:11">
      <c r="A59" s="68"/>
      <c r="C59" s="97" t="s">
        <v>2</v>
      </c>
      <c r="E59" s="97"/>
      <c r="F59" s="97"/>
      <c r="G59" s="122"/>
      <c r="H59" s="97"/>
      <c r="J59" s="97"/>
      <c r="K59" s="122"/>
    </row>
    <row r="60" spans="1:11">
      <c r="A60" s="68"/>
      <c r="B60" s="62" t="s">
        <v>126</v>
      </c>
      <c r="C60" s="97"/>
      <c r="D60" s="97"/>
      <c r="E60" s="97"/>
      <c r="F60" s="97"/>
      <c r="G60" s="97"/>
      <c r="H60" s="97"/>
      <c r="I60" s="97"/>
      <c r="J60" s="97"/>
      <c r="K60" s="97"/>
    </row>
    <row r="61" spans="1:11">
      <c r="A61" s="68">
        <v>13</v>
      </c>
      <c r="B61" s="123" t="str">
        <f>+B53</f>
        <v xml:space="preserve">  Production</v>
      </c>
      <c r="C61" s="43" t="str">
        <f>"(Line "&amp;A45&amp;" - Line "&amp;A53&amp;")"</f>
        <v>(Line 1 - Line 7)</v>
      </c>
      <c r="D61" s="54">
        <f>D45-D53</f>
        <v>290934588.47934318</v>
      </c>
      <c r="E61" s="97"/>
      <c r="F61" s="97"/>
      <c r="G61" s="122"/>
      <c r="H61" s="97"/>
      <c r="I61" s="97" t="s">
        <v>2</v>
      </c>
      <c r="J61" s="97"/>
      <c r="K61" s="122"/>
    </row>
    <row r="62" spans="1:11">
      <c r="A62" s="68">
        <v>14</v>
      </c>
      <c r="B62" s="123" t="str">
        <f>+B54</f>
        <v xml:space="preserve">  Transmission</v>
      </c>
      <c r="C62" s="43" t="str">
        <f>"(Line "&amp;A46&amp;" - Line "&amp;A54&amp;")"</f>
        <v>(Line 2 - Line 8)</v>
      </c>
      <c r="D62" s="54">
        <f>D46-D54</f>
        <v>256712761.71933424</v>
      </c>
      <c r="E62" s="97"/>
      <c r="F62" s="97"/>
      <c r="G62" s="119"/>
      <c r="H62" s="97"/>
      <c r="I62" s="54">
        <f>I46-I54</f>
        <v>238455275.35752451</v>
      </c>
      <c r="J62" s="97"/>
      <c r="K62" s="122"/>
    </row>
    <row r="63" spans="1:11">
      <c r="A63" s="68">
        <v>15</v>
      </c>
      <c r="B63" s="123" t="str">
        <f>+B55</f>
        <v xml:space="preserve">  Distribution</v>
      </c>
      <c r="C63" s="43" t="str">
        <f>"(Line "&amp;A47&amp;" - Line "&amp;A55&amp;")"</f>
        <v>(Line 3 - Line 9)</v>
      </c>
      <c r="D63" s="54">
        <f>D47-D55</f>
        <v>266254725.29543874</v>
      </c>
      <c r="E63" s="97"/>
      <c r="F63" s="97"/>
      <c r="G63" s="122"/>
      <c r="H63" s="97"/>
      <c r="I63" s="54" t="s">
        <v>2</v>
      </c>
      <c r="J63" s="97"/>
      <c r="K63" s="122"/>
    </row>
    <row r="64" spans="1:11">
      <c r="A64" s="68">
        <v>16</v>
      </c>
      <c r="B64" s="123" t="str">
        <f>+B56</f>
        <v xml:space="preserve">  General &amp; Intangible</v>
      </c>
      <c r="C64" s="43" t="str">
        <f>"(Line "&amp;A48&amp;" - Line "&amp;A56&amp;")"</f>
        <v>(Line 4 - Line 10)</v>
      </c>
      <c r="D64" s="54">
        <f>D48-D56</f>
        <v>21560686.882806893</v>
      </c>
      <c r="E64" s="97"/>
      <c r="F64" s="97"/>
      <c r="G64" s="122"/>
      <c r="H64" s="97"/>
      <c r="I64" s="54">
        <f>I48-I56</f>
        <v>2852059.525355278</v>
      </c>
      <c r="J64" s="97"/>
      <c r="K64" s="122"/>
    </row>
    <row r="65" spans="1:11" ht="13.8" thickBot="1">
      <c r="A65" s="68">
        <v>17</v>
      </c>
      <c r="B65" s="123" t="str">
        <f>+B57</f>
        <v xml:space="preserve">  Other</v>
      </c>
      <c r="C65" s="43" t="str">
        <f>"(Line "&amp;A49&amp;" - Line "&amp;A57&amp;")"</f>
        <v>(Line 5 - Line 11)</v>
      </c>
      <c r="D65" s="55">
        <f>D49-D57</f>
        <v>15730725.76923077</v>
      </c>
      <c r="E65" s="97"/>
      <c r="F65" s="97"/>
      <c r="G65" s="122"/>
      <c r="H65" s="97"/>
      <c r="I65" s="50">
        <f>I49-I57</f>
        <v>2036805.9476744067</v>
      </c>
      <c r="J65" s="97"/>
      <c r="K65" s="122"/>
    </row>
    <row r="66" spans="1:11">
      <c r="A66" s="68">
        <v>18</v>
      </c>
      <c r="B66" s="62" t="s">
        <v>285</v>
      </c>
      <c r="C66" s="43" t="s">
        <v>284</v>
      </c>
      <c r="D66" s="54">
        <f>SUM(D61:D65)</f>
        <v>851193488.14615381</v>
      </c>
      <c r="E66" s="97"/>
      <c r="F66" s="97" t="s">
        <v>33</v>
      </c>
      <c r="G66" s="104">
        <f>IF(I66&gt;0,I66/D66,0)</f>
        <v>0.28588581118088968</v>
      </c>
      <c r="H66" s="97"/>
      <c r="I66" s="170">
        <f>SUM(I61:I65)</f>
        <v>243344140.83055419</v>
      </c>
      <c r="J66" s="97"/>
      <c r="K66" s="97"/>
    </row>
    <row r="67" spans="1:11" s="2" customFormat="1">
      <c r="A67" s="44"/>
      <c r="B67" s="45"/>
      <c r="C67" s="43"/>
      <c r="D67" s="46"/>
      <c r="E67" s="42"/>
      <c r="F67" s="42"/>
      <c r="G67" s="47"/>
      <c r="H67" s="42"/>
      <c r="I67" s="54"/>
      <c r="J67" s="43"/>
      <c r="K67" s="43"/>
    </row>
    <row r="68" spans="1:11" s="2" customFormat="1">
      <c r="A68" s="44" t="s">
        <v>286</v>
      </c>
      <c r="B68" s="48" t="s">
        <v>287</v>
      </c>
      <c r="C68" s="49" t="s">
        <v>1118</v>
      </c>
      <c r="D68" s="160">
        <f>'A4-Rate Base'!H23</f>
        <v>0</v>
      </c>
      <c r="E68" s="49"/>
      <c r="F68" s="64"/>
      <c r="G68" s="621">
        <v>0</v>
      </c>
      <c r="H68" s="49"/>
      <c r="I68" s="51">
        <f>+G68*D68</f>
        <v>0</v>
      </c>
      <c r="J68" s="43"/>
      <c r="K68" s="43"/>
    </row>
    <row r="69" spans="1:11" s="2" customFormat="1">
      <c r="A69" s="44"/>
      <c r="B69" s="52"/>
      <c r="C69" s="43"/>
      <c r="D69" s="46"/>
      <c r="E69" s="43"/>
      <c r="F69" s="52"/>
      <c r="G69" s="52"/>
      <c r="H69" s="43"/>
      <c r="I69" s="46"/>
      <c r="J69" s="43"/>
      <c r="K69" s="53"/>
    </row>
    <row r="70" spans="1:11">
      <c r="A70" s="68"/>
      <c r="B70" s="62" t="s">
        <v>572</v>
      </c>
      <c r="C70" s="97"/>
      <c r="D70" s="97"/>
      <c r="E70" s="97"/>
      <c r="F70" s="97"/>
      <c r="G70" s="97"/>
      <c r="H70" s="97"/>
      <c r="I70" s="97"/>
      <c r="J70" s="97"/>
      <c r="K70" s="97"/>
    </row>
    <row r="71" spans="1:11">
      <c r="A71" s="44">
        <f>+A66+1</f>
        <v>19</v>
      </c>
      <c r="B71" s="45" t="s">
        <v>772</v>
      </c>
      <c r="C71" s="43" t="s">
        <v>510</v>
      </c>
      <c r="D71" s="160">
        <f>'A4-Rate Base'!E89</f>
        <v>0</v>
      </c>
      <c r="E71" s="43"/>
      <c r="F71" s="93" t="s">
        <v>36</v>
      </c>
      <c r="G71" s="56">
        <f>GP</f>
        <v>0.23929098354858599</v>
      </c>
      <c r="H71" s="42"/>
      <c r="I71" s="46">
        <f t="shared" ref="I71:I78" si="1">D71*G71</f>
        <v>0</v>
      </c>
      <c r="J71" s="97"/>
      <c r="K71" s="122"/>
    </row>
    <row r="72" spans="1:11">
      <c r="A72" s="44">
        <f t="shared" ref="A72:A75" si="2">+A71+1</f>
        <v>20</v>
      </c>
      <c r="B72" s="45" t="s">
        <v>774</v>
      </c>
      <c r="C72" s="43" t="s">
        <v>511</v>
      </c>
      <c r="D72" s="160">
        <f>'A4-Rate Base'!F89</f>
        <v>-135454622</v>
      </c>
      <c r="E72" s="43"/>
      <c r="F72" s="93" t="s">
        <v>36</v>
      </c>
      <c r="G72" s="56">
        <f>GP</f>
        <v>0.23929098354858599</v>
      </c>
      <c r="H72" s="42"/>
      <c r="I72" s="46">
        <f t="shared" si="1"/>
        <v>-32413069.724581935</v>
      </c>
      <c r="J72" s="97"/>
      <c r="K72" s="122"/>
    </row>
    <row r="73" spans="1:11">
      <c r="A73" s="44">
        <f t="shared" si="2"/>
        <v>21</v>
      </c>
      <c r="B73" s="45" t="s">
        <v>773</v>
      </c>
      <c r="C73" s="43" t="s">
        <v>512</v>
      </c>
      <c r="D73" s="160">
        <f>'A4-Rate Base'!G89</f>
        <v>-66229768</v>
      </c>
      <c r="E73" s="43"/>
      <c r="F73" s="93" t="s">
        <v>36</v>
      </c>
      <c r="G73" s="56">
        <f>GP</f>
        <v>0.23929098354858599</v>
      </c>
      <c r="H73" s="42"/>
      <c r="I73" s="46">
        <f t="shared" si="1"/>
        <v>-15848186.324914668</v>
      </c>
      <c r="J73" s="97"/>
      <c r="K73" s="122"/>
    </row>
    <row r="74" spans="1:11">
      <c r="A74" s="44">
        <f t="shared" si="2"/>
        <v>22</v>
      </c>
      <c r="B74" s="45" t="s">
        <v>121</v>
      </c>
      <c r="C74" s="43" t="s">
        <v>513</v>
      </c>
      <c r="D74" s="160">
        <f>'A4-Rate Base'!H89</f>
        <v>74433279.5</v>
      </c>
      <c r="E74" s="43"/>
      <c r="F74" s="93" t="s">
        <v>36</v>
      </c>
      <c r="G74" s="56">
        <f>GP</f>
        <v>0.23929098354858599</v>
      </c>
      <c r="H74" s="42"/>
      <c r="I74" s="46">
        <f t="shared" si="1"/>
        <v>17811212.660301805</v>
      </c>
      <c r="J74" s="97"/>
      <c r="K74" s="122"/>
    </row>
    <row r="75" spans="1:11">
      <c r="A75" s="44">
        <f t="shared" si="2"/>
        <v>23</v>
      </c>
      <c r="B75" s="52" t="s">
        <v>732</v>
      </c>
      <c r="C75" s="52" t="s">
        <v>747</v>
      </c>
      <c r="D75" s="508">
        <v>0</v>
      </c>
      <c r="E75" s="43"/>
      <c r="F75" s="43"/>
      <c r="G75" s="57">
        <v>0</v>
      </c>
      <c r="H75" s="42"/>
      <c r="I75" s="51">
        <f t="shared" si="1"/>
        <v>0</v>
      </c>
      <c r="J75" s="97"/>
      <c r="K75" s="122"/>
    </row>
    <row r="76" spans="1:11">
      <c r="A76" s="44" t="s">
        <v>292</v>
      </c>
      <c r="B76" s="48" t="s">
        <v>288</v>
      </c>
      <c r="C76" s="49" t="s">
        <v>1119</v>
      </c>
      <c r="D76" s="160">
        <f>'A4-Rate Base'!C89</f>
        <v>0</v>
      </c>
      <c r="E76" s="49"/>
      <c r="F76" s="64"/>
      <c r="G76" s="621"/>
      <c r="H76" s="49"/>
      <c r="I76" s="51">
        <f t="shared" si="1"/>
        <v>0</v>
      </c>
      <c r="J76" s="97"/>
      <c r="K76" s="122"/>
    </row>
    <row r="77" spans="1:11">
      <c r="A77" s="44" t="s">
        <v>1125</v>
      </c>
      <c r="B77" s="48" t="s">
        <v>1124</v>
      </c>
      <c r="C77" s="49" t="s">
        <v>1128</v>
      </c>
      <c r="D77" s="160">
        <f>'A4-Rate Base'!I66</f>
        <v>0</v>
      </c>
      <c r="E77" s="49"/>
      <c r="F77" s="64"/>
      <c r="G77" s="621"/>
      <c r="H77" s="49"/>
      <c r="I77" s="51">
        <f t="shared" ref="I77" si="3">D77*G77</f>
        <v>0</v>
      </c>
      <c r="J77" s="97"/>
      <c r="K77" s="122"/>
    </row>
    <row r="78" spans="1:11">
      <c r="A78" s="44" t="s">
        <v>293</v>
      </c>
      <c r="B78" s="48" t="s">
        <v>289</v>
      </c>
      <c r="C78" s="49" t="s">
        <v>1120</v>
      </c>
      <c r="D78" s="160">
        <f>'A4-Rate Base'!D89</f>
        <v>0</v>
      </c>
      <c r="E78" s="49"/>
      <c r="F78" s="64"/>
      <c r="G78" s="621"/>
      <c r="H78" s="49"/>
      <c r="I78" s="51">
        <f t="shared" si="1"/>
        <v>0</v>
      </c>
      <c r="J78" s="97"/>
      <c r="K78" s="122"/>
    </row>
    <row r="79" spans="1:11">
      <c r="A79" s="44" t="s">
        <v>294</v>
      </c>
      <c r="B79" s="48" t="s">
        <v>686</v>
      </c>
      <c r="C79" s="49" t="s">
        <v>1141</v>
      </c>
      <c r="D79" s="160">
        <f>'A4-Rate Base'!F104</f>
        <v>-906060.95091745793</v>
      </c>
      <c r="E79" s="49"/>
      <c r="F79" s="49"/>
      <c r="G79" s="58"/>
      <c r="H79" s="49"/>
      <c r="I79" s="51">
        <f t="shared" ref="I79" si="4">D79</f>
        <v>-906060.95091745793</v>
      </c>
      <c r="J79" s="97"/>
      <c r="K79" s="122"/>
    </row>
    <row r="80" spans="1:11">
      <c r="A80" s="44">
        <v>24</v>
      </c>
      <c r="B80" s="123" t="s">
        <v>122</v>
      </c>
      <c r="C80" s="123" t="s">
        <v>1216</v>
      </c>
      <c r="D80" s="160">
        <f>'A3-ADIT'!F48</f>
        <v>7178090.1400000006</v>
      </c>
      <c r="E80" s="97"/>
      <c r="F80" s="93" t="s">
        <v>36</v>
      </c>
      <c r="G80" s="56">
        <f>GP</f>
        <v>0.23929098354858599</v>
      </c>
      <c r="H80" s="97"/>
      <c r="I80" s="51">
        <f t="shared" ref="I80" si="5">D80*G80</f>
        <v>1717652.2496010074</v>
      </c>
      <c r="J80" s="97"/>
      <c r="K80" s="122"/>
    </row>
    <row r="81" spans="1:11" ht="13.8" thickBot="1">
      <c r="A81" s="68">
        <v>25</v>
      </c>
      <c r="B81" s="123" t="s">
        <v>1029</v>
      </c>
      <c r="C81" s="123" t="s">
        <v>902</v>
      </c>
      <c r="D81" s="806">
        <f>'A3.1-EDIT-DDIT'!I42</f>
        <v>-39831667.5</v>
      </c>
      <c r="E81" s="97"/>
      <c r="F81" s="97"/>
      <c r="G81" s="97"/>
      <c r="H81" s="97"/>
      <c r="I81" s="806">
        <f>'A3.1-EDIT-DDIT'!O42</f>
        <v>-9034146.7879233286</v>
      </c>
      <c r="J81" s="97"/>
      <c r="K81" s="122"/>
    </row>
    <row r="82" spans="1:11">
      <c r="A82" s="68">
        <v>26</v>
      </c>
      <c r="B82" s="62" t="s">
        <v>297</v>
      </c>
      <c r="C82" s="43" t="s">
        <v>762</v>
      </c>
      <c r="D82" s="54">
        <f>SUM(D71:D81)</f>
        <v>-160810748.81091744</v>
      </c>
      <c r="E82" s="97"/>
      <c r="F82" s="97"/>
      <c r="G82" s="97"/>
      <c r="H82" s="97"/>
      <c r="I82" s="54">
        <f>SUM(I71:I81)</f>
        <v>-38672598.878434584</v>
      </c>
      <c r="J82" s="97"/>
      <c r="K82" s="97"/>
    </row>
    <row r="83" spans="1:11">
      <c r="A83" s="68"/>
      <c r="C83" s="97"/>
      <c r="E83" s="97"/>
      <c r="F83" s="97"/>
      <c r="G83" s="122"/>
      <c r="H83" s="97"/>
      <c r="J83" s="97"/>
      <c r="K83" s="122"/>
    </row>
    <row r="84" spans="1:11">
      <c r="A84" s="68">
        <v>27</v>
      </c>
      <c r="B84" s="62" t="s">
        <v>34</v>
      </c>
      <c r="C84" s="60" t="s">
        <v>514</v>
      </c>
      <c r="D84" s="160">
        <f>'A4-Rate Base'!I23</f>
        <v>0</v>
      </c>
      <c r="E84" s="97"/>
      <c r="F84" s="105" t="str">
        <f>+F54</f>
        <v>TP</v>
      </c>
      <c r="G84" s="104">
        <f>$I$175</f>
        <v>0.92887970882503001</v>
      </c>
      <c r="H84" s="97"/>
      <c r="I84" s="54">
        <f>+G84*D84</f>
        <v>0</v>
      </c>
      <c r="J84" s="97"/>
      <c r="K84" s="97"/>
    </row>
    <row r="85" spans="1:11">
      <c r="A85" s="68"/>
      <c r="B85" s="62"/>
      <c r="C85" s="97"/>
      <c r="D85" s="97"/>
      <c r="E85" s="97"/>
      <c r="F85" s="97"/>
      <c r="G85" s="97"/>
      <c r="H85" s="97"/>
      <c r="I85" s="97"/>
      <c r="J85" s="97"/>
      <c r="K85" s="97"/>
    </row>
    <row r="86" spans="1:11">
      <c r="A86" s="68"/>
      <c r="B86" s="62" t="s">
        <v>127</v>
      </c>
      <c r="C86" s="43" t="s">
        <v>117</v>
      </c>
      <c r="D86" s="97"/>
      <c r="E86" s="97"/>
      <c r="F86" s="97"/>
      <c r="G86" s="97"/>
      <c r="H86" s="97"/>
      <c r="I86" s="97"/>
      <c r="J86" s="97"/>
      <c r="K86" s="97"/>
    </row>
    <row r="87" spans="1:11">
      <c r="A87" s="68">
        <v>28</v>
      </c>
      <c r="B87" s="62" t="s">
        <v>693</v>
      </c>
      <c r="C87" s="52" t="s">
        <v>472</v>
      </c>
      <c r="D87" s="54">
        <f>+D117/8</f>
        <v>3707321.018075</v>
      </c>
      <c r="E87" s="97"/>
      <c r="F87" s="97"/>
      <c r="G87" s="122"/>
      <c r="H87" s="97"/>
      <c r="I87" s="54">
        <f>+I117/8</f>
        <v>782186.69606327743</v>
      </c>
      <c r="J87" s="62"/>
      <c r="K87" s="122"/>
    </row>
    <row r="88" spans="1:11">
      <c r="A88" s="68">
        <v>29</v>
      </c>
      <c r="B88" s="62" t="s">
        <v>128</v>
      </c>
      <c r="C88" s="60" t="s">
        <v>1079</v>
      </c>
      <c r="D88" s="160">
        <f>'A4-Rate Base'!F129</f>
        <v>172152.01365830802</v>
      </c>
      <c r="E88" s="97"/>
      <c r="F88" s="97" t="s">
        <v>35</v>
      </c>
      <c r="G88" s="120">
        <f>$I$184</f>
        <v>0.92887970882503001</v>
      </c>
      <c r="H88" s="97"/>
      <c r="I88" s="54">
        <f>+G88*D88</f>
        <v>159908.51232057175</v>
      </c>
      <c r="J88" s="97" t="s">
        <v>2</v>
      </c>
      <c r="K88" s="122"/>
    </row>
    <row r="89" spans="1:11" ht="13.8" thickBot="1">
      <c r="A89" s="68">
        <v>30</v>
      </c>
      <c r="B89" s="62" t="s">
        <v>123</v>
      </c>
      <c r="C89" s="42" t="s">
        <v>950</v>
      </c>
      <c r="D89" s="160">
        <f>'A8-Prepmts'!H16</f>
        <v>223437.45176402596</v>
      </c>
      <c r="E89" s="97"/>
      <c r="F89" s="97"/>
      <c r="G89" s="120"/>
      <c r="H89" s="97"/>
      <c r="I89" s="55">
        <f>D89</f>
        <v>223437.45176402596</v>
      </c>
      <c r="J89" s="97"/>
      <c r="K89" s="122"/>
    </row>
    <row r="90" spans="1:11">
      <c r="A90" s="68">
        <v>31</v>
      </c>
      <c r="B90" s="62" t="s">
        <v>295</v>
      </c>
      <c r="C90" s="43" t="s">
        <v>296</v>
      </c>
      <c r="D90" s="170">
        <f>D87+D88+D89</f>
        <v>4102910.4834973337</v>
      </c>
      <c r="E90" s="62"/>
      <c r="F90" s="62"/>
      <c r="G90" s="62"/>
      <c r="H90" s="62"/>
      <c r="I90" s="54">
        <f>I87+I88+I89</f>
        <v>1165532.6601478751</v>
      </c>
      <c r="J90" s="62"/>
      <c r="K90" s="62"/>
    </row>
    <row r="91" spans="1:11" ht="13.8" thickBot="1">
      <c r="C91" s="97"/>
      <c r="E91" s="97"/>
      <c r="F91" s="97"/>
      <c r="G91" s="97"/>
      <c r="H91" s="97"/>
      <c r="I91" s="124"/>
      <c r="J91" s="97"/>
      <c r="K91" s="97"/>
    </row>
    <row r="92" spans="1:11" ht="13.8" thickBot="1">
      <c r="A92" s="68">
        <v>32</v>
      </c>
      <c r="B92" s="62" t="s">
        <v>443</v>
      </c>
      <c r="C92" s="62" t="s">
        <v>444</v>
      </c>
      <c r="D92" s="61">
        <f>+D90+D84+D82+D66</f>
        <v>694485649.81873369</v>
      </c>
      <c r="E92" s="97"/>
      <c r="F92" s="97"/>
      <c r="G92" s="122"/>
      <c r="H92" s="97"/>
      <c r="I92" s="61">
        <f>+I90+I84+I82+I66</f>
        <v>205837074.61226749</v>
      </c>
      <c r="J92" s="97"/>
      <c r="K92" s="122"/>
    </row>
    <row r="93" spans="1:11" ht="13.8" thickTop="1">
      <c r="B93" s="62"/>
      <c r="C93" s="62"/>
      <c r="D93" s="94"/>
      <c r="E93" s="62"/>
      <c r="F93" s="62"/>
      <c r="G93" s="62"/>
      <c r="H93" s="62"/>
      <c r="I93" s="95"/>
      <c r="J93" s="95"/>
      <c r="K93" s="95"/>
    </row>
    <row r="94" spans="1:11">
      <c r="B94" s="62"/>
      <c r="C94" s="62"/>
      <c r="D94" s="94"/>
      <c r="E94" s="62"/>
      <c r="F94" s="62"/>
      <c r="G94" s="62"/>
      <c r="H94" s="62"/>
      <c r="I94" s="914" t="str">
        <f>I1</f>
        <v>Actual Attachment H</v>
      </c>
      <c r="J94" s="914"/>
      <c r="K94" s="914"/>
    </row>
    <row r="95" spans="1:11">
      <c r="B95" s="62"/>
      <c r="C95" s="62"/>
      <c r="D95" s="94"/>
      <c r="E95" s="62"/>
      <c r="F95" s="62"/>
      <c r="G95" s="62"/>
      <c r="H95" s="62"/>
      <c r="I95" s="62"/>
      <c r="J95" s="913" t="s">
        <v>195</v>
      </c>
      <c r="K95" s="913"/>
    </row>
    <row r="96" spans="1:11">
      <c r="B96" s="62"/>
      <c r="C96" s="62"/>
      <c r="D96" s="94"/>
      <c r="E96" s="62"/>
      <c r="F96" s="62"/>
      <c r="G96" s="62"/>
      <c r="H96" s="62"/>
      <c r="I96" s="62"/>
      <c r="J96" s="62"/>
      <c r="K96" s="95"/>
    </row>
    <row r="97" spans="1:11">
      <c r="B97" s="94" t="s">
        <v>0</v>
      </c>
      <c r="C97" s="68" t="s">
        <v>1</v>
      </c>
      <c r="E97" s="62"/>
      <c r="F97" s="62"/>
      <c r="G97" s="62"/>
      <c r="H97" s="62"/>
      <c r="I97" s="62"/>
      <c r="J97" s="62"/>
      <c r="K97" s="110" t="str">
        <f>K4</f>
        <v>Actuals - For the 12 months ended 12/31/2023</v>
      </c>
    </row>
    <row r="98" spans="1:11">
      <c r="B98" s="62"/>
      <c r="C98" s="98" t="s">
        <v>3</v>
      </c>
      <c r="E98" s="97"/>
      <c r="F98" s="97"/>
      <c r="G98" s="97"/>
      <c r="H98" s="62"/>
      <c r="I98" s="62"/>
      <c r="J98" s="62"/>
      <c r="K98" s="62"/>
    </row>
    <row r="99" spans="1:11">
      <c r="B99" s="62"/>
      <c r="C99" s="97"/>
      <c r="E99" s="97"/>
      <c r="F99" s="97"/>
      <c r="G99" s="97"/>
      <c r="H99" s="62"/>
      <c r="I99" s="62"/>
      <c r="J99" s="62"/>
      <c r="K99" s="62"/>
    </row>
    <row r="100" spans="1:11">
      <c r="A100" s="68"/>
      <c r="C100" s="111" t="str">
        <f>C7</f>
        <v>Black Hills Colorado Electric, LLC</v>
      </c>
      <c r="J100" s="97"/>
      <c r="K100" s="97"/>
    </row>
    <row r="101" spans="1:11">
      <c r="A101" s="68"/>
      <c r="C101" s="125"/>
      <c r="J101" s="97"/>
      <c r="K101" s="97"/>
    </row>
    <row r="102" spans="1:11">
      <c r="A102" s="68"/>
      <c r="B102" s="68" t="s">
        <v>15</v>
      </c>
      <c r="C102" s="68" t="s">
        <v>16</v>
      </c>
      <c r="D102" s="68" t="s">
        <v>17</v>
      </c>
      <c r="E102" s="97" t="s">
        <v>2</v>
      </c>
      <c r="F102" s="97"/>
      <c r="G102" s="112" t="s">
        <v>18</v>
      </c>
      <c r="H102" s="97"/>
      <c r="I102" s="113" t="s">
        <v>19</v>
      </c>
      <c r="J102" s="97"/>
      <c r="K102" s="97"/>
    </row>
    <row r="103" spans="1:11">
      <c r="A103" s="68" t="s">
        <v>4</v>
      </c>
      <c r="B103" s="62"/>
      <c r="C103" s="114" t="s">
        <v>20</v>
      </c>
      <c r="D103" s="97"/>
      <c r="E103" s="97"/>
      <c r="F103" s="97"/>
      <c r="G103" s="68"/>
      <c r="H103" s="97"/>
      <c r="I103" s="115" t="s">
        <v>21</v>
      </c>
      <c r="J103" s="97"/>
      <c r="K103" s="115"/>
    </row>
    <row r="104" spans="1:11" ht="13.8" thickBot="1">
      <c r="A104" s="101" t="s">
        <v>6</v>
      </c>
      <c r="B104" s="62"/>
      <c r="C104" s="116" t="s">
        <v>22</v>
      </c>
      <c r="D104" s="115" t="s">
        <v>23</v>
      </c>
      <c r="E104" s="117"/>
      <c r="F104" s="115" t="s">
        <v>24</v>
      </c>
      <c r="H104" s="117"/>
      <c r="I104" s="68" t="s">
        <v>25</v>
      </c>
      <c r="J104" s="97"/>
      <c r="K104" s="115"/>
    </row>
    <row r="105" spans="1:11">
      <c r="A105" s="68"/>
      <c r="B105" s="62" t="s">
        <v>131</v>
      </c>
      <c r="C105" s="97"/>
      <c r="D105" s="97"/>
      <c r="E105" s="97"/>
      <c r="F105" s="97"/>
      <c r="G105" s="97"/>
      <c r="H105" s="97"/>
      <c r="I105" s="97"/>
      <c r="J105" s="97"/>
      <c r="K105" s="97"/>
    </row>
    <row r="106" spans="1:11">
      <c r="A106" s="68">
        <v>1</v>
      </c>
      <c r="B106" s="62" t="s">
        <v>37</v>
      </c>
      <c r="C106" s="97" t="s">
        <v>103</v>
      </c>
      <c r="D106" s="64">
        <v>4593888</v>
      </c>
      <c r="E106" s="97"/>
      <c r="F106" s="97" t="s">
        <v>35</v>
      </c>
      <c r="G106" s="120">
        <f>$I$184</f>
        <v>0.92887970882503001</v>
      </c>
      <c r="H106" s="97"/>
      <c r="I106" s="54">
        <f>+G106*D106</f>
        <v>4267169.3478147993</v>
      </c>
      <c r="J106" s="62"/>
      <c r="K106" s="97"/>
    </row>
    <row r="107" spans="1:11">
      <c r="A107" s="68">
        <v>2</v>
      </c>
      <c r="B107" s="62" t="s">
        <v>600</v>
      </c>
      <c r="C107" s="97" t="s">
        <v>601</v>
      </c>
      <c r="D107" s="64">
        <f>739493+85216</f>
        <v>824709</v>
      </c>
      <c r="E107" s="97"/>
      <c r="F107" s="97" t="s">
        <v>35</v>
      </c>
      <c r="G107" s="120">
        <f>$I$184</f>
        <v>0.92887970882503001</v>
      </c>
      <c r="H107" s="97"/>
      <c r="I107" s="46">
        <f t="shared" ref="I107:I116" si="6">+G107*D107</f>
        <v>766055.45578538172</v>
      </c>
      <c r="J107" s="62"/>
      <c r="K107" s="97"/>
    </row>
    <row r="108" spans="1:11">
      <c r="A108" s="68" t="s">
        <v>130</v>
      </c>
      <c r="B108" s="62" t="s">
        <v>38</v>
      </c>
      <c r="C108" s="97" t="s">
        <v>104</v>
      </c>
      <c r="D108" s="64">
        <v>931415</v>
      </c>
      <c r="E108" s="97"/>
      <c r="F108" s="97" t="s">
        <v>35</v>
      </c>
      <c r="G108" s="120">
        <f>$I$184</f>
        <v>0.92887970882503001</v>
      </c>
      <c r="H108" s="97"/>
      <c r="I108" s="46">
        <f t="shared" ref="I108" si="7">+G108*D108</f>
        <v>865172.49399526534</v>
      </c>
      <c r="J108" s="62"/>
      <c r="K108" s="97"/>
    </row>
    <row r="109" spans="1:11">
      <c r="A109" s="68">
        <v>3</v>
      </c>
      <c r="B109" s="62" t="s">
        <v>39</v>
      </c>
      <c r="C109" s="97" t="s">
        <v>105</v>
      </c>
      <c r="D109" s="64">
        <v>27892381</v>
      </c>
      <c r="E109" s="97"/>
      <c r="F109" s="97" t="s">
        <v>31</v>
      </c>
      <c r="G109" s="120">
        <f>$I$192</f>
        <v>0.13228055028384053</v>
      </c>
      <c r="H109" s="97"/>
      <c r="I109" s="54">
        <f t="shared" si="6"/>
        <v>3689619.5074065384</v>
      </c>
      <c r="J109" s="97"/>
      <c r="K109" s="97" t="s">
        <v>2</v>
      </c>
    </row>
    <row r="110" spans="1:11">
      <c r="A110" s="68">
        <v>4</v>
      </c>
      <c r="B110" s="62" t="s">
        <v>831</v>
      </c>
      <c r="C110" s="97"/>
      <c r="D110" s="97"/>
      <c r="E110" s="97"/>
      <c r="F110" s="105"/>
      <c r="G110" s="120"/>
      <c r="H110" s="97"/>
      <c r="I110" s="54"/>
      <c r="J110" s="97"/>
      <c r="K110" s="97"/>
    </row>
    <row r="111" spans="1:11">
      <c r="A111" s="68">
        <v>5</v>
      </c>
      <c r="B111" s="62" t="s">
        <v>357</v>
      </c>
      <c r="C111" s="97" t="s">
        <v>495</v>
      </c>
      <c r="D111" s="160">
        <f>'A2-A&amp;G'!D14</f>
        <v>1426505</v>
      </c>
      <c r="E111" s="97"/>
      <c r="F111" s="105" t="str">
        <f>F109</f>
        <v>W/S</v>
      </c>
      <c r="G111" s="120">
        <f>$I$192</f>
        <v>0.13228055028384053</v>
      </c>
      <c r="H111" s="97"/>
      <c r="I111" s="46">
        <f t="shared" si="6"/>
        <v>188698.86638264993</v>
      </c>
      <c r="J111" s="97"/>
      <c r="K111" s="97"/>
    </row>
    <row r="112" spans="1:11">
      <c r="A112" s="68" t="s">
        <v>99</v>
      </c>
      <c r="B112" s="62" t="s">
        <v>489</v>
      </c>
      <c r="C112" s="97" t="s">
        <v>682</v>
      </c>
      <c r="D112" s="160">
        <f>'A2-A&amp;G'!D23</f>
        <v>92495</v>
      </c>
      <c r="E112" s="97"/>
      <c r="F112" s="126" t="str">
        <f>+F106</f>
        <v>TE</v>
      </c>
      <c r="G112" s="120">
        <f>$I$184</f>
        <v>0.92887970882503001</v>
      </c>
      <c r="H112" s="97"/>
      <c r="I112" s="46">
        <f>+G112*D112</f>
        <v>85916.728667771153</v>
      </c>
      <c r="J112" s="97"/>
      <c r="K112" s="97"/>
    </row>
    <row r="113" spans="1:12">
      <c r="A113" s="68" t="s">
        <v>133</v>
      </c>
      <c r="B113" s="62" t="s">
        <v>694</v>
      </c>
      <c r="C113" s="97" t="s">
        <v>1147</v>
      </c>
      <c r="D113" s="662">
        <v>556648.06699999992</v>
      </c>
      <c r="E113" s="97"/>
      <c r="F113" s="105" t="s">
        <v>31</v>
      </c>
      <c r="G113" s="120">
        <f>$I$192</f>
        <v>0.13228055028384053</v>
      </c>
      <c r="H113" s="97"/>
      <c r="I113" s="51">
        <f t="shared" ref="I113:I114" si="8">+G113*D113</f>
        <v>73633.712617196128</v>
      </c>
      <c r="J113" s="97"/>
      <c r="K113" s="97"/>
    </row>
    <row r="114" spans="1:12">
      <c r="A114" s="68" t="s">
        <v>134</v>
      </c>
      <c r="B114" s="62" t="s">
        <v>695</v>
      </c>
      <c r="C114" s="97" t="s">
        <v>518</v>
      </c>
      <c r="D114" s="160">
        <f>'A2-A&amp;G'!D31</f>
        <v>294214.92239999998</v>
      </c>
      <c r="E114" s="97"/>
      <c r="F114" s="105" t="str">
        <f>+F113</f>
        <v>W/S</v>
      </c>
      <c r="G114" s="120">
        <f>$I$192</f>
        <v>0.13228055028384053</v>
      </c>
      <c r="H114" s="97"/>
      <c r="I114" s="51">
        <f t="shared" si="8"/>
        <v>38918.911836789441</v>
      </c>
      <c r="J114" s="97"/>
      <c r="K114" s="97"/>
    </row>
    <row r="115" spans="1:12">
      <c r="A115" s="68">
        <v>6</v>
      </c>
      <c r="B115" s="62" t="s">
        <v>58</v>
      </c>
      <c r="C115" s="550" t="s">
        <v>683</v>
      </c>
      <c r="D115" s="64">
        <v>0</v>
      </c>
      <c r="E115" s="97"/>
      <c r="F115" s="97" t="s">
        <v>1252</v>
      </c>
      <c r="G115" s="120">
        <f>$K$196</f>
        <v>0.12947946442867816</v>
      </c>
      <c r="H115" s="97"/>
      <c r="I115" s="54">
        <f t="shared" si="6"/>
        <v>0</v>
      </c>
      <c r="J115" s="97"/>
      <c r="K115" s="97"/>
    </row>
    <row r="116" spans="1:12" ht="13.8" thickBot="1">
      <c r="A116" s="68">
        <v>7</v>
      </c>
      <c r="B116" s="62" t="s">
        <v>40</v>
      </c>
      <c r="C116" s="97" t="s">
        <v>498</v>
      </c>
      <c r="D116" s="64">
        <v>0</v>
      </c>
      <c r="E116" s="97"/>
      <c r="F116" s="97" t="s">
        <v>290</v>
      </c>
      <c r="G116" s="119">
        <v>1</v>
      </c>
      <c r="H116" s="97"/>
      <c r="I116" s="55">
        <f t="shared" si="6"/>
        <v>0</v>
      </c>
      <c r="J116" s="97"/>
      <c r="K116" s="97"/>
    </row>
    <row r="117" spans="1:12">
      <c r="A117" s="68">
        <v>8</v>
      </c>
      <c r="B117" s="62" t="s">
        <v>832</v>
      </c>
      <c r="C117" s="97"/>
      <c r="D117" s="63">
        <f>+D106-D107-D108+D109-D111+D115+D116+D112+D113-D114</f>
        <v>29658568.1446</v>
      </c>
      <c r="E117" s="97"/>
      <c r="F117" s="97"/>
      <c r="G117" s="97"/>
      <c r="H117" s="97"/>
      <c r="I117" s="63">
        <f>+I106-I107-I108+I109-I111+I115+I116+I112+I113-I114</f>
        <v>6257493.5685062194</v>
      </c>
      <c r="J117" s="97"/>
      <c r="K117" s="97"/>
    </row>
    <row r="118" spans="1:12">
      <c r="A118" s="68"/>
      <c r="C118" s="97"/>
      <c r="E118" s="97"/>
      <c r="F118" s="97"/>
      <c r="G118" s="97"/>
      <c r="H118" s="97"/>
      <c r="J118" s="97"/>
      <c r="K118" s="97"/>
    </row>
    <row r="119" spans="1:12">
      <c r="A119" s="68"/>
      <c r="B119" s="62" t="s">
        <v>364</v>
      </c>
      <c r="C119" s="97"/>
      <c r="D119" s="97"/>
      <c r="E119" s="97"/>
      <c r="F119" s="97"/>
      <c r="G119" s="97"/>
      <c r="H119" s="97"/>
      <c r="I119" s="97"/>
      <c r="J119" s="97"/>
      <c r="K119" s="97"/>
    </row>
    <row r="120" spans="1:12">
      <c r="A120" s="68">
        <v>9</v>
      </c>
      <c r="B120" s="123" t="str">
        <f>+B106</f>
        <v xml:space="preserve">  Transmission </v>
      </c>
      <c r="C120" s="97" t="s">
        <v>1062</v>
      </c>
      <c r="D120" s="807">
        <v>5381917</v>
      </c>
      <c r="E120" s="97"/>
      <c r="F120" s="97" t="s">
        <v>11</v>
      </c>
      <c r="G120" s="104">
        <f>$I$175</f>
        <v>0.92887970882503001</v>
      </c>
      <c r="H120" s="97"/>
      <c r="I120" s="54">
        <f>+G120*D120</f>
        <v>4999153.495880479</v>
      </c>
      <c r="J120" s="97"/>
      <c r="K120" s="122"/>
      <c r="L120" s="722"/>
    </row>
    <row r="121" spans="1:12">
      <c r="A121" s="68">
        <v>10</v>
      </c>
      <c r="B121" s="62" t="s">
        <v>114</v>
      </c>
      <c r="C121" s="97" t="s">
        <v>1063</v>
      </c>
      <c r="D121" s="807">
        <f>4718319+6895</f>
        <v>4725214</v>
      </c>
      <c r="E121" s="97"/>
      <c r="F121" s="97" t="s">
        <v>31</v>
      </c>
      <c r="G121" s="120">
        <f>$I$192</f>
        <v>0.13228055028384053</v>
      </c>
      <c r="H121" s="97"/>
      <c r="I121" s="54">
        <f>+G121*D121</f>
        <v>625053.90812890721</v>
      </c>
      <c r="J121" s="97"/>
      <c r="K121" s="122"/>
      <c r="L121" s="722"/>
    </row>
    <row r="122" spans="1:12">
      <c r="A122" s="68">
        <v>11</v>
      </c>
      <c r="B122" s="123" t="str">
        <f>+B115</f>
        <v xml:space="preserve">  Other</v>
      </c>
      <c r="C122" s="97" t="s">
        <v>1064</v>
      </c>
      <c r="D122" s="64">
        <v>0</v>
      </c>
      <c r="E122" s="97"/>
      <c r="F122" s="97" t="s">
        <v>1252</v>
      </c>
      <c r="G122" s="120">
        <f>$K$196</f>
        <v>0.12947946442867816</v>
      </c>
      <c r="H122" s="97"/>
      <c r="I122" s="54">
        <f>+G122*D122</f>
        <v>0</v>
      </c>
      <c r="J122" s="97"/>
      <c r="K122" s="122"/>
      <c r="L122" s="722"/>
    </row>
    <row r="123" spans="1:12" s="2" customFormat="1" ht="13.8" thickBot="1">
      <c r="A123" s="65" t="s">
        <v>299</v>
      </c>
      <c r="B123" s="48" t="s">
        <v>303</v>
      </c>
      <c r="C123" s="804" t="s">
        <v>1121</v>
      </c>
      <c r="D123" s="64">
        <v>0</v>
      </c>
      <c r="E123" s="46"/>
      <c r="F123" s="64"/>
      <c r="G123" s="621"/>
      <c r="H123" s="46"/>
      <c r="I123" s="59">
        <f>+G123*D123</f>
        <v>0</v>
      </c>
      <c r="J123" s="43"/>
      <c r="K123" s="53"/>
    </row>
    <row r="124" spans="1:12">
      <c r="A124" s="68">
        <v>12</v>
      </c>
      <c r="B124" s="62" t="s">
        <v>304</v>
      </c>
      <c r="C124" s="43" t="s">
        <v>305</v>
      </c>
      <c r="D124" s="63">
        <f>SUM(D120:D123)</f>
        <v>10107131</v>
      </c>
      <c r="E124" s="97"/>
      <c r="F124" s="97"/>
      <c r="G124" s="97"/>
      <c r="H124" s="97"/>
      <c r="I124" s="54">
        <f>SUM(I120:I123)</f>
        <v>5624207.404009386</v>
      </c>
      <c r="J124" s="97"/>
      <c r="K124" s="97"/>
    </row>
    <row r="125" spans="1:12">
      <c r="A125" s="68"/>
      <c r="B125" s="62"/>
      <c r="C125" s="97"/>
      <c r="D125" s="97"/>
      <c r="E125" s="97"/>
      <c r="F125" s="97"/>
      <c r="G125" s="97"/>
      <c r="H125" s="97"/>
      <c r="I125" s="97"/>
      <c r="J125" s="97"/>
      <c r="K125" s="97"/>
    </row>
    <row r="126" spans="1:12">
      <c r="A126" s="68" t="s">
        <v>2</v>
      </c>
      <c r="B126" s="62" t="s">
        <v>360</v>
      </c>
      <c r="D126" s="97"/>
      <c r="E126" s="97"/>
      <c r="F126" s="97"/>
      <c r="G126" s="97"/>
      <c r="H126" s="97"/>
      <c r="I126" s="97"/>
      <c r="J126" s="97"/>
      <c r="K126" s="97"/>
    </row>
    <row r="127" spans="1:12">
      <c r="A127" s="68"/>
      <c r="B127" s="62" t="s">
        <v>41</v>
      </c>
      <c r="E127" s="97"/>
      <c r="F127" s="97"/>
      <c r="H127" s="97"/>
      <c r="J127" s="97"/>
      <c r="K127" s="122"/>
    </row>
    <row r="128" spans="1:12">
      <c r="A128" s="68">
        <v>13</v>
      </c>
      <c r="B128" s="62" t="s">
        <v>42</v>
      </c>
      <c r="C128" s="97" t="s">
        <v>1218</v>
      </c>
      <c r="D128" s="64">
        <f>1683661+8624+49750</f>
        <v>1742035</v>
      </c>
      <c r="E128" s="97"/>
      <c r="F128" s="97" t="s">
        <v>31</v>
      </c>
      <c r="G128" s="120">
        <f>$I$192</f>
        <v>0.13228055028384053</v>
      </c>
      <c r="H128" s="97"/>
      <c r="I128" s="54">
        <f>+G128*D128</f>
        <v>230437.34841371013</v>
      </c>
      <c r="J128" s="97"/>
      <c r="K128" s="122"/>
    </row>
    <row r="129" spans="1:12">
      <c r="A129" s="68">
        <v>14</v>
      </c>
      <c r="B129" s="62" t="s">
        <v>43</v>
      </c>
      <c r="C129" s="97" t="s">
        <v>100</v>
      </c>
      <c r="D129" s="64">
        <v>0</v>
      </c>
      <c r="E129" s="97"/>
      <c r="F129" s="105" t="str">
        <f>+F128</f>
        <v>W/S</v>
      </c>
      <c r="G129" s="120">
        <f>$I$192</f>
        <v>0.13228055028384053</v>
      </c>
      <c r="H129" s="97"/>
      <c r="I129" s="54">
        <f>+G129*D129</f>
        <v>0</v>
      </c>
      <c r="J129" s="97"/>
      <c r="K129" s="122"/>
    </row>
    <row r="130" spans="1:12">
      <c r="A130" s="68">
        <v>15</v>
      </c>
      <c r="B130" s="62" t="s">
        <v>44</v>
      </c>
      <c r="C130" s="97" t="s">
        <v>2</v>
      </c>
      <c r="E130" s="97"/>
      <c r="F130" s="97"/>
      <c r="H130" s="97"/>
      <c r="J130" s="97"/>
      <c r="K130" s="122"/>
    </row>
    <row r="131" spans="1:12">
      <c r="A131" s="68">
        <v>16</v>
      </c>
      <c r="B131" s="62" t="s">
        <v>45</v>
      </c>
      <c r="C131" s="97" t="s">
        <v>1219</v>
      </c>
      <c r="D131" s="64">
        <v>10980443</v>
      </c>
      <c r="E131" s="97"/>
      <c r="F131" s="97" t="s">
        <v>36</v>
      </c>
      <c r="G131" s="120">
        <f>+$G$50</f>
        <v>0.23929098354858599</v>
      </c>
      <c r="H131" s="97"/>
      <c r="I131" s="54">
        <f>+G131*D131</f>
        <v>2627521.0052691861</v>
      </c>
      <c r="J131" s="97"/>
      <c r="K131" s="122"/>
    </row>
    <row r="132" spans="1:12">
      <c r="A132" s="68">
        <v>17</v>
      </c>
      <c r="B132" s="62" t="s">
        <v>46</v>
      </c>
      <c r="C132" s="97" t="s">
        <v>1220</v>
      </c>
      <c r="D132" s="64">
        <v>-54845</v>
      </c>
      <c r="E132" s="97"/>
      <c r="F132" s="105" t="s">
        <v>27</v>
      </c>
      <c r="G132" s="127">
        <v>0</v>
      </c>
      <c r="H132" s="97"/>
      <c r="I132" s="54">
        <v>0</v>
      </c>
      <c r="J132" s="97"/>
      <c r="K132" s="122"/>
    </row>
    <row r="133" spans="1:12">
      <c r="A133" s="68">
        <v>18</v>
      </c>
      <c r="B133" s="62" t="s">
        <v>789</v>
      </c>
      <c r="C133" s="97" t="s">
        <v>100</v>
      </c>
      <c r="D133" s="64">
        <v>0</v>
      </c>
      <c r="E133" s="97"/>
      <c r="F133" s="64"/>
      <c r="G133" s="621"/>
      <c r="H133" s="97"/>
      <c r="I133" s="54">
        <f>+G133*D133</f>
        <v>0</v>
      </c>
      <c r="J133" s="97"/>
      <c r="K133" s="122"/>
    </row>
    <row r="134" spans="1:12" ht="13.8" thickBot="1">
      <c r="A134" s="68">
        <v>19</v>
      </c>
      <c r="B134" s="62" t="s">
        <v>794</v>
      </c>
      <c r="C134" s="97"/>
      <c r="D134" s="161"/>
      <c r="E134" s="97"/>
      <c r="F134" s="97"/>
      <c r="G134" s="120"/>
      <c r="H134" s="97"/>
      <c r="I134" s="54"/>
      <c r="J134" s="97"/>
      <c r="K134" s="122"/>
    </row>
    <row r="135" spans="1:12">
      <c r="A135" s="68">
        <v>20</v>
      </c>
      <c r="B135" s="62" t="s">
        <v>307</v>
      </c>
      <c r="C135" s="43" t="s">
        <v>306</v>
      </c>
      <c r="D135" s="63">
        <f>SUM(D128:D134)</f>
        <v>12667633</v>
      </c>
      <c r="E135" s="97"/>
      <c r="F135" s="97"/>
      <c r="G135" s="108"/>
      <c r="H135" s="97"/>
      <c r="I135" s="63">
        <f>SUM(I128:I134)</f>
        <v>2857958.3536828961</v>
      </c>
      <c r="J135" s="97"/>
      <c r="K135" s="97"/>
    </row>
    <row r="136" spans="1:12">
      <c r="A136" s="68"/>
      <c r="B136" s="62"/>
      <c r="C136" s="97"/>
      <c r="D136" s="97"/>
      <c r="E136" s="97"/>
      <c r="F136" s="97"/>
      <c r="G136" s="108"/>
      <c r="H136" s="97"/>
      <c r="I136" s="97"/>
      <c r="J136" s="97"/>
      <c r="K136" s="97"/>
    </row>
    <row r="137" spans="1:12">
      <c r="A137" s="68" t="s">
        <v>2</v>
      </c>
      <c r="B137" s="62" t="s">
        <v>48</v>
      </c>
      <c r="C137" s="97" t="s">
        <v>358</v>
      </c>
      <c r="D137" s="97"/>
      <c r="E137" s="97"/>
      <c r="G137" s="128"/>
      <c r="H137" s="97"/>
      <c r="J137" s="97"/>
    </row>
    <row r="138" spans="1:12">
      <c r="A138" s="68">
        <v>21</v>
      </c>
      <c r="B138" s="129" t="s">
        <v>95</v>
      </c>
      <c r="C138" s="97"/>
      <c r="D138" s="130">
        <f>IF(D233&gt;0,1-(((1-D234)*(1-D233))/(1-D234*D233*D235)),0)</f>
        <v>0.24475999999999998</v>
      </c>
      <c r="E138" s="97"/>
      <c r="G138" s="128"/>
      <c r="H138" s="97"/>
      <c r="J138" s="97"/>
    </row>
    <row r="139" spans="1:12">
      <c r="A139" s="68">
        <v>22</v>
      </c>
      <c r="B139" s="93" t="s">
        <v>703</v>
      </c>
      <c r="C139" s="97"/>
      <c r="D139" s="130">
        <f>IF(I205&gt;0,(D138/(1-D138))*(1-I203/I205),0)</f>
        <v>0.22656905744241476</v>
      </c>
      <c r="E139" s="97"/>
      <c r="G139" s="128"/>
      <c r="H139" s="97"/>
      <c r="J139" s="97"/>
    </row>
    <row r="140" spans="1:12">
      <c r="A140" s="68"/>
      <c r="B140" s="62" t="s">
        <v>1082</v>
      </c>
      <c r="C140" s="97"/>
      <c r="D140" s="97"/>
      <c r="E140" s="97"/>
      <c r="G140" s="128"/>
      <c r="H140" s="97"/>
      <c r="J140" s="97"/>
    </row>
    <row r="141" spans="1:12">
      <c r="A141" s="68"/>
      <c r="B141" s="62" t="s">
        <v>485</v>
      </c>
      <c r="C141" s="97"/>
      <c r="D141" s="97"/>
      <c r="E141" s="97"/>
      <c r="G141" s="128"/>
      <c r="H141" s="97"/>
      <c r="J141" s="97"/>
    </row>
    <row r="142" spans="1:12">
      <c r="A142" s="68">
        <v>23</v>
      </c>
      <c r="B142" s="129" t="s">
        <v>96</v>
      </c>
      <c r="C142" s="97"/>
      <c r="D142" s="356">
        <f>IF(D138&gt;0,1/(1-D138),0)</f>
        <v>1.3240824108892537</v>
      </c>
      <c r="E142" s="97"/>
      <c r="G142" s="128"/>
      <c r="H142" s="97"/>
      <c r="J142" s="97"/>
    </row>
    <row r="143" spans="1:12" ht="15">
      <c r="A143" s="68">
        <v>24</v>
      </c>
      <c r="B143" s="62" t="s">
        <v>701</v>
      </c>
      <c r="C143" s="97" t="s">
        <v>302</v>
      </c>
      <c r="D143" s="64">
        <v>252794</v>
      </c>
      <c r="E143" s="97"/>
      <c r="G143" s="128"/>
      <c r="H143" s="97"/>
      <c r="J143" s="97"/>
      <c r="L143"/>
    </row>
    <row r="144" spans="1:12" ht="26.4">
      <c r="A144" s="68" t="s">
        <v>300</v>
      </c>
      <c r="B144" s="808" t="s">
        <v>1030</v>
      </c>
      <c r="C144" s="123" t="s">
        <v>1031</v>
      </c>
      <c r="D144" s="160">
        <f>'A3.1-EDIT-DDIT'!M41</f>
        <v>244121.99143944043</v>
      </c>
      <c r="E144" s="97"/>
      <c r="G144" s="128"/>
      <c r="H144" s="97"/>
      <c r="J144" s="97"/>
      <c r="L144"/>
    </row>
    <row r="145" spans="1:12" ht="15">
      <c r="A145" s="68" t="s">
        <v>625</v>
      </c>
      <c r="B145" s="45" t="s">
        <v>1191</v>
      </c>
      <c r="C145" s="43" t="s">
        <v>1192</v>
      </c>
      <c r="D145" s="64">
        <v>31396</v>
      </c>
      <c r="E145" s="97"/>
      <c r="G145" s="128"/>
      <c r="H145" s="97"/>
      <c r="J145" s="97"/>
      <c r="L145"/>
    </row>
    <row r="146" spans="1:12" ht="15">
      <c r="A146" s="68" t="s">
        <v>301</v>
      </c>
      <c r="B146" s="45" t="s">
        <v>298</v>
      </c>
      <c r="C146" s="43" t="s">
        <v>705</v>
      </c>
      <c r="D146" s="54">
        <f>D145*D138</f>
        <v>7684.4849599999989</v>
      </c>
      <c r="E146" s="97"/>
      <c r="G146" s="128"/>
      <c r="H146" s="97"/>
      <c r="J146" s="97"/>
      <c r="L146"/>
    </row>
    <row r="147" spans="1:12" ht="15">
      <c r="A147" s="68">
        <v>25</v>
      </c>
      <c r="B147" s="129" t="s">
        <v>310</v>
      </c>
      <c r="C147" s="131" t="s">
        <v>308</v>
      </c>
      <c r="D147" s="54">
        <f>D139*D154</f>
        <v>10366751.086200556</v>
      </c>
      <c r="E147" s="97"/>
      <c r="F147" s="97"/>
      <c r="G147" s="108"/>
      <c r="H147" s="97"/>
      <c r="I147" s="54">
        <f>D139*I154</f>
        <v>3072578.5584972473</v>
      </c>
      <c r="J147" s="97"/>
      <c r="K147" s="132" t="s">
        <v>2</v>
      </c>
      <c r="L147"/>
    </row>
    <row r="148" spans="1:12" ht="15">
      <c r="A148" s="68">
        <v>26</v>
      </c>
      <c r="B148" s="93" t="s">
        <v>311</v>
      </c>
      <c r="C148" s="131" t="s">
        <v>309</v>
      </c>
      <c r="D148" s="54">
        <f>D142*D143</f>
        <v>334720.088978338</v>
      </c>
      <c r="E148" s="97"/>
      <c r="F148" s="93" t="s">
        <v>36</v>
      </c>
      <c r="G148" s="56">
        <f>GP</f>
        <v>0.23929098354858599</v>
      </c>
      <c r="H148" s="97"/>
      <c r="I148" s="54">
        <f>G148*D148</f>
        <v>80095.499305096717</v>
      </c>
      <c r="J148" s="97"/>
      <c r="K148" s="132"/>
      <c r="L148"/>
    </row>
    <row r="149" spans="1:12" ht="15">
      <c r="A149" s="68" t="s">
        <v>312</v>
      </c>
      <c r="B149" s="52" t="s">
        <v>834</v>
      </c>
      <c r="C149" s="66" t="s">
        <v>315</v>
      </c>
      <c r="D149" s="54">
        <f>D142*D144</f>
        <v>323237.63497622003</v>
      </c>
      <c r="E149" s="97"/>
      <c r="G149" s="57"/>
      <c r="H149" s="97"/>
      <c r="I149" s="54">
        <f>D149</f>
        <v>323237.63497622003</v>
      </c>
      <c r="J149" s="97"/>
      <c r="K149" s="132"/>
      <c r="L149"/>
    </row>
    <row r="150" spans="1:12" ht="15.6" thickBot="1">
      <c r="A150" s="68" t="s">
        <v>313</v>
      </c>
      <c r="B150" s="52" t="s">
        <v>314</v>
      </c>
      <c r="C150" s="66" t="s">
        <v>316</v>
      </c>
      <c r="D150" s="54">
        <f>D142*D146</f>
        <v>10174.891372279009</v>
      </c>
      <c r="E150" s="97"/>
      <c r="G150" s="57"/>
      <c r="H150" s="97"/>
      <c r="I150" s="54">
        <f>D150</f>
        <v>10174.891372279009</v>
      </c>
      <c r="J150" s="97"/>
      <c r="K150" s="132"/>
      <c r="L150"/>
    </row>
    <row r="151" spans="1:12" ht="15">
      <c r="A151" s="68">
        <v>27</v>
      </c>
      <c r="B151" s="129" t="s">
        <v>89</v>
      </c>
      <c r="C151" s="52" t="s">
        <v>702</v>
      </c>
      <c r="D151" s="63">
        <f>D147+D150-D148-D149</f>
        <v>9718968.2536182776</v>
      </c>
      <c r="E151" s="97"/>
      <c r="F151" s="97" t="s">
        <v>2</v>
      </c>
      <c r="G151" s="108" t="s">
        <v>2</v>
      </c>
      <c r="H151" s="97"/>
      <c r="I151" s="63">
        <f>I147+I150-I148-I149</f>
        <v>2679420.3155882093</v>
      </c>
      <c r="J151" s="97"/>
      <c r="K151" s="97"/>
      <c r="L151"/>
    </row>
    <row r="152" spans="1:12" ht="15">
      <c r="A152" s="68" t="s">
        <v>2</v>
      </c>
      <c r="C152" s="133"/>
      <c r="D152" s="97"/>
      <c r="E152" s="97"/>
      <c r="F152" s="97"/>
      <c r="G152" s="108"/>
      <c r="H152" s="97"/>
      <c r="I152" s="97"/>
      <c r="J152" s="97"/>
      <c r="K152" s="97"/>
      <c r="L152"/>
    </row>
    <row r="153" spans="1:12" ht="15">
      <c r="B153" s="62" t="s">
        <v>49</v>
      </c>
      <c r="C153" s="122"/>
      <c r="J153" s="97"/>
      <c r="L153"/>
    </row>
    <row r="154" spans="1:12">
      <c r="A154" s="68">
        <v>28</v>
      </c>
      <c r="B154" s="129" t="s">
        <v>540</v>
      </c>
      <c r="C154" s="676" t="s">
        <v>769</v>
      </c>
      <c r="D154" s="160">
        <f>+$I205*D92+I208</f>
        <v>45755370.142877474</v>
      </c>
      <c r="E154" s="97"/>
      <c r="F154" s="97"/>
      <c r="G154" s="128"/>
      <c r="H154" s="97"/>
      <c r="I154" s="54">
        <f>+$I205*I92+I208</f>
        <v>13561333.542989116</v>
      </c>
      <c r="J154" s="97"/>
      <c r="K154" s="122"/>
    </row>
    <row r="155" spans="1:12">
      <c r="A155" s="68"/>
      <c r="B155" s="62"/>
      <c r="D155" s="97"/>
      <c r="E155" s="97"/>
      <c r="F155" s="97"/>
      <c r="G155" s="128"/>
      <c r="H155" s="97"/>
      <c r="I155" s="97"/>
      <c r="J155" s="97"/>
      <c r="K155" s="122"/>
    </row>
    <row r="156" spans="1:12" ht="13.8" thickBot="1">
      <c r="A156" s="68">
        <v>29</v>
      </c>
      <c r="B156" s="62" t="s">
        <v>318</v>
      </c>
      <c r="C156" s="97" t="s">
        <v>317</v>
      </c>
      <c r="D156" s="67">
        <f>+D117+D124+D135+D151+D154</f>
        <v>107907670.54109576</v>
      </c>
      <c r="E156" s="97"/>
      <c r="F156" s="97"/>
      <c r="G156" s="97"/>
      <c r="H156" s="97"/>
      <c r="I156" s="67">
        <f>+I117+I124+I135+I151+I154</f>
        <v>30980413.184775826</v>
      </c>
      <c r="J156" s="62"/>
      <c r="K156" s="62"/>
    </row>
    <row r="157" spans="1:12" ht="13.8" thickTop="1">
      <c r="A157" s="68"/>
      <c r="B157" s="62"/>
      <c r="C157" s="97"/>
      <c r="D157" s="105"/>
      <c r="E157" s="97"/>
      <c r="F157" s="97"/>
      <c r="G157" s="97"/>
      <c r="H157" s="97"/>
      <c r="I157" s="105"/>
      <c r="J157" s="62"/>
      <c r="K157" s="62"/>
    </row>
    <row r="158" spans="1:12">
      <c r="B158" s="62"/>
      <c r="C158" s="62"/>
      <c r="D158" s="94"/>
      <c r="E158" s="62"/>
      <c r="F158" s="913"/>
      <c r="G158" s="913"/>
      <c r="H158" s="913"/>
      <c r="I158" s="913"/>
      <c r="J158" s="913"/>
      <c r="K158" s="913"/>
    </row>
    <row r="159" spans="1:12">
      <c r="B159" s="62"/>
      <c r="C159" s="62"/>
      <c r="D159" s="94"/>
      <c r="E159" s="62"/>
      <c r="F159" s="62"/>
      <c r="G159" s="62"/>
      <c r="H159" s="62"/>
      <c r="I159" s="914" t="str">
        <f>I1</f>
        <v>Actual Attachment H</v>
      </c>
      <c r="J159" s="914"/>
      <c r="K159" s="914"/>
    </row>
    <row r="160" spans="1:12">
      <c r="B160" s="62"/>
      <c r="C160" s="62"/>
      <c r="D160" s="94"/>
      <c r="E160" s="62"/>
      <c r="F160" s="62"/>
      <c r="G160" s="62"/>
      <c r="H160" s="62"/>
      <c r="I160" s="62"/>
      <c r="J160" s="913" t="s">
        <v>196</v>
      </c>
      <c r="K160" s="913"/>
    </row>
    <row r="161" spans="1:17">
      <c r="B161" s="62"/>
      <c r="C161" s="62"/>
      <c r="D161" s="94"/>
      <c r="E161" s="62"/>
      <c r="F161" s="62"/>
      <c r="G161" s="62"/>
      <c r="H161" s="62"/>
      <c r="I161" s="62"/>
      <c r="J161" s="95"/>
      <c r="K161" s="95"/>
    </row>
    <row r="162" spans="1:17">
      <c r="B162" s="94" t="s">
        <v>0</v>
      </c>
      <c r="C162" s="68" t="s">
        <v>1</v>
      </c>
      <c r="E162" s="62"/>
      <c r="F162" s="62"/>
      <c r="G162" s="919" t="str">
        <f>K4</f>
        <v>Actuals - For the 12 months ended 12/31/2023</v>
      </c>
      <c r="H162" s="919"/>
      <c r="I162" s="919"/>
      <c r="J162" s="919"/>
      <c r="K162" s="919"/>
    </row>
    <row r="163" spans="1:17">
      <c r="B163" s="62"/>
      <c r="C163" s="98" t="s">
        <v>3</v>
      </c>
      <c r="E163" s="97"/>
      <c r="F163" s="97"/>
      <c r="G163" s="97"/>
      <c r="H163" s="62"/>
      <c r="I163" s="62"/>
      <c r="J163" s="62"/>
      <c r="K163" s="62"/>
    </row>
    <row r="164" spans="1:17" ht="9" customHeight="1">
      <c r="A164" s="68"/>
      <c r="J164" s="97"/>
      <c r="K164" s="97"/>
    </row>
    <row r="165" spans="1:17">
      <c r="A165" s="68"/>
      <c r="C165" s="111" t="str">
        <f>C7</f>
        <v>Black Hills Colorado Electric, LLC</v>
      </c>
      <c r="J165" s="97"/>
      <c r="K165" s="97"/>
    </row>
    <row r="166" spans="1:17">
      <c r="A166" s="68"/>
      <c r="C166" s="125"/>
      <c r="J166" s="97"/>
      <c r="K166" s="97"/>
    </row>
    <row r="167" spans="1:17">
      <c r="A167" s="68"/>
      <c r="C167" s="115" t="s">
        <v>124</v>
      </c>
      <c r="E167" s="62"/>
      <c r="F167" s="62"/>
      <c r="G167" s="62"/>
      <c r="H167" s="62"/>
      <c r="I167" s="62"/>
      <c r="J167" s="97"/>
      <c r="K167" s="97"/>
    </row>
    <row r="168" spans="1:17">
      <c r="A168" s="68" t="s">
        <v>4</v>
      </c>
      <c r="B168" s="68" t="s">
        <v>15</v>
      </c>
      <c r="C168" s="68" t="s">
        <v>16</v>
      </c>
      <c r="D168" s="68" t="s">
        <v>17</v>
      </c>
      <c r="E168" s="97" t="s">
        <v>2</v>
      </c>
      <c r="F168" s="97"/>
      <c r="G168" s="113" t="s">
        <v>18</v>
      </c>
      <c r="H168" s="97"/>
      <c r="I168" s="113" t="s">
        <v>19</v>
      </c>
      <c r="J168" s="97"/>
      <c r="K168" s="97"/>
    </row>
    <row r="169" spans="1:17" ht="13.8" thickBot="1">
      <c r="A169" s="101" t="s">
        <v>6</v>
      </c>
      <c r="B169" s="62" t="s">
        <v>116</v>
      </c>
      <c r="C169" s="62"/>
      <c r="D169" s="62"/>
      <c r="E169" s="62"/>
      <c r="F169" s="62"/>
      <c r="G169" s="62"/>
      <c r="J169" s="97"/>
      <c r="K169" s="97"/>
    </row>
    <row r="170" spans="1:17">
      <c r="A170" s="68">
        <v>1</v>
      </c>
      <c r="B170" s="62" t="s">
        <v>320</v>
      </c>
      <c r="C170" s="62" t="s">
        <v>319</v>
      </c>
      <c r="D170" s="97"/>
      <c r="E170" s="97"/>
      <c r="F170" s="97"/>
      <c r="G170" s="97"/>
      <c r="H170" s="97"/>
      <c r="I170" s="160">
        <f>D46</f>
        <v>306658674.61923081</v>
      </c>
      <c r="J170" s="97"/>
      <c r="K170" s="97"/>
    </row>
    <row r="171" spans="1:17">
      <c r="A171" s="68">
        <v>2</v>
      </c>
      <c r="B171" s="62" t="s">
        <v>321</v>
      </c>
      <c r="C171" s="93" t="s">
        <v>359</v>
      </c>
      <c r="I171" s="106">
        <v>13559737.015250061</v>
      </c>
      <c r="J171" s="97"/>
      <c r="K171" s="97"/>
    </row>
    <row r="172" spans="1:17" ht="27" thickBot="1">
      <c r="A172" s="68">
        <v>3</v>
      </c>
      <c r="B172" s="721" t="s">
        <v>930</v>
      </c>
      <c r="C172" s="134" t="s">
        <v>278</v>
      </c>
      <c r="D172" s="97"/>
      <c r="E172" s="97"/>
      <c r="F172" s="97"/>
      <c r="G172" s="98"/>
      <c r="H172" s="97"/>
      <c r="I172" s="135">
        <v>8249917.2150000008</v>
      </c>
      <c r="J172" s="97"/>
      <c r="K172" s="97"/>
    </row>
    <row r="173" spans="1:17">
      <c r="A173" s="68">
        <v>4</v>
      </c>
      <c r="B173" s="62" t="s">
        <v>323</v>
      </c>
      <c r="C173" s="62" t="s">
        <v>324</v>
      </c>
      <c r="D173" s="97"/>
      <c r="E173" s="97"/>
      <c r="F173" s="97"/>
      <c r="G173" s="98"/>
      <c r="H173" s="97"/>
      <c r="I173" s="105">
        <f>I170-I171-I172</f>
        <v>284849020.38898075</v>
      </c>
      <c r="J173" s="97"/>
      <c r="K173" s="97"/>
    </row>
    <row r="174" spans="1:17" ht="9" customHeight="1">
      <c r="A174" s="68"/>
      <c r="C174" s="62"/>
      <c r="D174" s="97"/>
      <c r="E174" s="97"/>
      <c r="F174" s="97"/>
      <c r="G174" s="98"/>
      <c r="H174" s="97"/>
      <c r="J174" s="97"/>
      <c r="K174" s="97"/>
    </row>
    <row r="175" spans="1:17">
      <c r="A175" s="68">
        <v>5</v>
      </c>
      <c r="B175" s="62" t="s">
        <v>325</v>
      </c>
      <c r="C175" s="100" t="s">
        <v>326</v>
      </c>
      <c r="D175" s="100"/>
      <c r="E175" s="100"/>
      <c r="F175" s="100"/>
      <c r="G175" s="113"/>
      <c r="H175" s="97" t="s">
        <v>52</v>
      </c>
      <c r="I175" s="136">
        <f>IF(I170&gt;0,I173/I170,0)</f>
        <v>0.92887970882503001</v>
      </c>
      <c r="J175" s="97"/>
      <c r="K175" s="97"/>
      <c r="N175" s="137"/>
      <c r="O175" s="137"/>
      <c r="P175" s="137"/>
    </row>
    <row r="176" spans="1:17" ht="9" customHeight="1">
      <c r="A176" s="68"/>
      <c r="J176" s="97"/>
      <c r="K176" s="97"/>
      <c r="N176" s="62"/>
      <c r="P176" s="97"/>
      <c r="Q176" s="62"/>
    </row>
    <row r="177" spans="1:19">
      <c r="A177" s="68"/>
      <c r="B177" s="62" t="s">
        <v>50</v>
      </c>
      <c r="J177" s="97"/>
      <c r="K177" s="97"/>
      <c r="N177" s="920"/>
      <c r="O177" s="920"/>
      <c r="P177" s="920"/>
      <c r="Q177" s="920"/>
      <c r="R177" s="920"/>
      <c r="S177" s="920"/>
    </row>
    <row r="178" spans="1:19">
      <c r="A178" s="68">
        <v>6</v>
      </c>
      <c r="B178" s="93" t="s">
        <v>327</v>
      </c>
      <c r="C178" s="93" t="s">
        <v>337</v>
      </c>
      <c r="D178" s="62"/>
      <c r="E178" s="62"/>
      <c r="F178" s="62"/>
      <c r="G178" s="68"/>
      <c r="H178" s="62"/>
      <c r="I178" s="160">
        <f>D106</f>
        <v>4593888</v>
      </c>
      <c r="J178" s="97"/>
      <c r="K178" s="97"/>
      <c r="P178" s="97"/>
      <c r="Q178" s="62"/>
    </row>
    <row r="179" spans="1:19" ht="13.8" thickBot="1">
      <c r="A179" s="68">
        <v>7</v>
      </c>
      <c r="B179" s="134" t="s">
        <v>336</v>
      </c>
      <c r="C179" s="134" t="s">
        <v>335</v>
      </c>
      <c r="D179" s="97"/>
      <c r="E179" s="97"/>
      <c r="F179" s="97"/>
      <c r="G179" s="97"/>
      <c r="H179" s="97"/>
      <c r="I179" s="138">
        <v>0</v>
      </c>
      <c r="J179" s="97"/>
      <c r="K179" s="97"/>
      <c r="N179" s="139"/>
      <c r="O179" s="140"/>
      <c r="P179" s="97"/>
      <c r="Q179" s="62"/>
    </row>
    <row r="180" spans="1:19">
      <c r="A180" s="68">
        <v>8</v>
      </c>
      <c r="B180" s="62" t="s">
        <v>329</v>
      </c>
      <c r="C180" s="100" t="s">
        <v>328</v>
      </c>
      <c r="D180" s="100"/>
      <c r="E180" s="100"/>
      <c r="F180" s="100"/>
      <c r="G180" s="113"/>
      <c r="H180" s="100"/>
      <c r="I180" s="105">
        <f>+I178-I179</f>
        <v>4593888</v>
      </c>
      <c r="N180" s="141"/>
      <c r="O180" s="142"/>
      <c r="P180" s="143"/>
      <c r="Q180" s="143"/>
    </row>
    <row r="181" spans="1:19">
      <c r="A181" s="68"/>
      <c r="B181" s="62"/>
      <c r="C181" s="62"/>
      <c r="D181" s="97"/>
      <c r="E181" s="97"/>
      <c r="F181" s="97"/>
      <c r="G181" s="97"/>
      <c r="N181" s="141"/>
      <c r="O181" s="142"/>
    </row>
    <row r="182" spans="1:19">
      <c r="A182" s="68">
        <v>9</v>
      </c>
      <c r="B182" s="62" t="s">
        <v>429</v>
      </c>
      <c r="C182" s="62" t="s">
        <v>338</v>
      </c>
      <c r="D182" s="97"/>
      <c r="E182" s="97"/>
      <c r="F182" s="97"/>
      <c r="G182" s="97"/>
      <c r="H182" s="97"/>
      <c r="I182" s="120">
        <f>IF(I178&gt;0,I180/I178,0)</f>
        <v>1</v>
      </c>
      <c r="N182" s="62"/>
      <c r="O182" s="144"/>
      <c r="P182" s="142"/>
      <c r="Q182" s="142"/>
    </row>
    <row r="183" spans="1:19">
      <c r="A183" s="68">
        <v>10</v>
      </c>
      <c r="B183" s="62" t="s">
        <v>430</v>
      </c>
      <c r="C183" s="62" t="s">
        <v>332</v>
      </c>
      <c r="D183" s="97"/>
      <c r="E183" s="97"/>
      <c r="F183" s="97"/>
      <c r="G183" s="97"/>
      <c r="H183" s="62" t="s">
        <v>11</v>
      </c>
      <c r="I183" s="120">
        <f>$I$175</f>
        <v>0.92887970882503001</v>
      </c>
      <c r="N183" s="139"/>
      <c r="O183" s="142"/>
      <c r="Q183" s="142"/>
    </row>
    <row r="184" spans="1:19">
      <c r="A184" s="68">
        <v>11</v>
      </c>
      <c r="B184" s="62" t="s">
        <v>431</v>
      </c>
      <c r="C184" s="62" t="s">
        <v>333</v>
      </c>
      <c r="D184" s="62"/>
      <c r="E184" s="62"/>
      <c r="F184" s="62"/>
      <c r="G184" s="62"/>
      <c r="H184" s="62" t="s">
        <v>51</v>
      </c>
      <c r="I184" s="104">
        <f>+I183*I182</f>
        <v>0.92887970882503001</v>
      </c>
      <c r="N184" s="139"/>
      <c r="O184" s="142"/>
      <c r="Q184" s="142"/>
    </row>
    <row r="185" spans="1:19">
      <c r="A185" s="68"/>
      <c r="C185" s="62"/>
      <c r="D185" s="97"/>
      <c r="E185" s="97"/>
      <c r="F185" s="97"/>
      <c r="G185" s="98"/>
      <c r="H185" s="97"/>
      <c r="N185" s="139"/>
      <c r="O185" s="142"/>
      <c r="Q185" s="145"/>
    </row>
    <row r="186" spans="1:19">
      <c r="A186" s="68" t="s">
        <v>2</v>
      </c>
      <c r="B186" s="62" t="s">
        <v>53</v>
      </c>
      <c r="C186" s="97"/>
      <c r="D186" s="97"/>
      <c r="E186" s="97"/>
      <c r="F186" s="97"/>
      <c r="G186" s="97"/>
      <c r="H186" s="97"/>
      <c r="I186" s="97"/>
      <c r="J186" s="97"/>
      <c r="K186" s="97"/>
      <c r="N186" s="141"/>
      <c r="O186" s="142"/>
      <c r="P186" s="97"/>
      <c r="Q186" s="62"/>
    </row>
    <row r="187" spans="1:19" ht="13.8" thickBot="1">
      <c r="A187" s="68" t="s">
        <v>2</v>
      </c>
      <c r="B187" s="62"/>
      <c r="C187" s="146" t="s">
        <v>54</v>
      </c>
      <c r="D187" s="147" t="s">
        <v>55</v>
      </c>
      <c r="E187" s="147" t="s">
        <v>11</v>
      </c>
      <c r="F187" s="97"/>
      <c r="G187" s="147" t="s">
        <v>56</v>
      </c>
      <c r="H187" s="97"/>
      <c r="I187" s="97"/>
      <c r="J187" s="97"/>
      <c r="K187" s="97"/>
      <c r="N187" s="141"/>
      <c r="O187" s="142"/>
      <c r="P187" s="97"/>
      <c r="Q187" s="62"/>
    </row>
    <row r="188" spans="1:19">
      <c r="A188" s="68">
        <v>12</v>
      </c>
      <c r="B188" s="62" t="s">
        <v>26</v>
      </c>
      <c r="C188" s="97" t="s">
        <v>106</v>
      </c>
      <c r="D188" s="899">
        <v>2363162</v>
      </c>
      <c r="E188" s="148">
        <v>0</v>
      </c>
      <c r="F188" s="148"/>
      <c r="G188" s="105">
        <f>D188*E188</f>
        <v>0</v>
      </c>
      <c r="H188" s="97"/>
      <c r="I188" s="97"/>
      <c r="J188" s="97"/>
      <c r="K188" s="97"/>
    </row>
    <row r="189" spans="1:19">
      <c r="A189" s="68">
        <v>13</v>
      </c>
      <c r="B189" s="62" t="s">
        <v>28</v>
      </c>
      <c r="C189" s="97" t="s">
        <v>107</v>
      </c>
      <c r="D189" s="899">
        <v>1780159</v>
      </c>
      <c r="E189" s="510">
        <f>$I$175</f>
        <v>0.92887970882503001</v>
      </c>
      <c r="F189" s="148"/>
      <c r="G189" s="105">
        <f>D189*E189</f>
        <v>1653553.5735822567</v>
      </c>
      <c r="H189" s="97"/>
      <c r="I189" s="97"/>
      <c r="J189" s="97"/>
      <c r="K189" s="97"/>
    </row>
    <row r="190" spans="1:19">
      <c r="A190" s="68">
        <v>14</v>
      </c>
      <c r="B190" s="62" t="s">
        <v>29</v>
      </c>
      <c r="C190" s="97" t="s">
        <v>108</v>
      </c>
      <c r="D190" s="899">
        <v>6937934</v>
      </c>
      <c r="E190" s="148">
        <v>0</v>
      </c>
      <c r="F190" s="148"/>
      <c r="G190" s="105">
        <f>D190*E190</f>
        <v>0</v>
      </c>
      <c r="H190" s="97"/>
      <c r="I190" s="98" t="s">
        <v>57</v>
      </c>
      <c r="J190" s="97"/>
      <c r="K190" s="97"/>
    </row>
    <row r="191" spans="1:19" ht="13.8" thickBot="1">
      <c r="A191" s="68">
        <v>15</v>
      </c>
      <c r="B191" s="62" t="s">
        <v>58</v>
      </c>
      <c r="C191" s="97" t="s">
        <v>111</v>
      </c>
      <c r="D191" s="900">
        <f>1128610+290488</f>
        <v>1419098</v>
      </c>
      <c r="E191" s="148">
        <v>0</v>
      </c>
      <c r="F191" s="148"/>
      <c r="G191" s="150">
        <f>D191*E191</f>
        <v>0</v>
      </c>
      <c r="H191" s="97"/>
      <c r="I191" s="101" t="s">
        <v>59</v>
      </c>
      <c r="J191" s="97"/>
      <c r="K191" s="97"/>
    </row>
    <row r="192" spans="1:19">
      <c r="A192" s="68">
        <v>16</v>
      </c>
      <c r="B192" s="62" t="s">
        <v>339</v>
      </c>
      <c r="C192" s="97" t="s">
        <v>966</v>
      </c>
      <c r="D192" s="105">
        <f>SUM(D188:D191)</f>
        <v>12500353</v>
      </c>
      <c r="E192" s="97"/>
      <c r="F192" s="97"/>
      <c r="G192" s="105">
        <f>SUM(G188:G191)</f>
        <v>1653553.5735822567</v>
      </c>
      <c r="H192" s="68" t="s">
        <v>60</v>
      </c>
      <c r="I192" s="120">
        <f>IF(G192&gt;0,G192/D192,0)</f>
        <v>0.13228055028384053</v>
      </c>
      <c r="J192" s="98" t="s">
        <v>60</v>
      </c>
      <c r="K192" s="132" t="s">
        <v>31</v>
      </c>
    </row>
    <row r="193" spans="1:11" ht="9" customHeight="1">
      <c r="A193" s="68"/>
      <c r="B193" s="62"/>
      <c r="C193" s="97"/>
      <c r="D193" s="97"/>
      <c r="E193" s="97"/>
      <c r="F193" s="97"/>
      <c r="G193" s="97"/>
      <c r="H193" s="97"/>
      <c r="I193" s="97"/>
      <c r="J193" s="97"/>
      <c r="K193" s="97"/>
    </row>
    <row r="194" spans="1:11">
      <c r="A194" s="68"/>
      <c r="B194" s="62" t="s">
        <v>1253</v>
      </c>
      <c r="C194" s="97"/>
      <c r="D194" s="114" t="s">
        <v>55</v>
      </c>
      <c r="E194" s="97"/>
      <c r="F194" s="97"/>
      <c r="G194" s="98" t="s">
        <v>61</v>
      </c>
      <c r="H194" s="128" t="s">
        <v>2</v>
      </c>
      <c r="I194" s="121" t="str">
        <f>+I190</f>
        <v>W&amp;S Allocator</v>
      </c>
      <c r="J194" s="97"/>
      <c r="K194" s="97"/>
    </row>
    <row r="195" spans="1:11">
      <c r="A195" s="68">
        <v>17</v>
      </c>
      <c r="B195" s="62" t="s">
        <v>62</v>
      </c>
      <c r="C195" s="97" t="s">
        <v>63</v>
      </c>
      <c r="D195" s="899">
        <v>1203958614</v>
      </c>
      <c r="E195" s="97"/>
      <c r="G195" s="68" t="s">
        <v>64</v>
      </c>
      <c r="H195" s="128"/>
      <c r="I195" s="68" t="s">
        <v>65</v>
      </c>
      <c r="J195" s="97"/>
      <c r="K195" s="68" t="s">
        <v>1252</v>
      </c>
    </row>
    <row r="196" spans="1:11">
      <c r="A196" s="68">
        <v>18</v>
      </c>
      <c r="B196" s="62" t="s">
        <v>66</v>
      </c>
      <c r="C196" s="97" t="s">
        <v>101</v>
      </c>
      <c r="D196" s="899">
        <v>0</v>
      </c>
      <c r="E196" s="97"/>
      <c r="G196" s="104">
        <f>IF(D198&gt;0,D195/D198,0)</f>
        <v>0.97882465828005749</v>
      </c>
      <c r="H196" s="98" t="s">
        <v>67</v>
      </c>
      <c r="I196" s="104">
        <f>I192</f>
        <v>0.13228055028384053</v>
      </c>
      <c r="J196" s="128" t="s">
        <v>60</v>
      </c>
      <c r="K196" s="151">
        <f>I196*G196</f>
        <v>0.12947946442867816</v>
      </c>
    </row>
    <row r="197" spans="1:11" ht="13.8" thickBot="1">
      <c r="A197" s="68">
        <v>19</v>
      </c>
      <c r="B197" s="134" t="s">
        <v>58</v>
      </c>
      <c r="C197" s="146" t="s">
        <v>571</v>
      </c>
      <c r="D197" s="900">
        <v>26045763</v>
      </c>
      <c r="E197" s="97"/>
      <c r="F197" s="97"/>
      <c r="G197" s="97" t="s">
        <v>2</v>
      </c>
      <c r="H197" s="97"/>
      <c r="I197" s="97"/>
      <c r="J197" s="97"/>
      <c r="K197" s="97"/>
    </row>
    <row r="198" spans="1:11">
      <c r="A198" s="68">
        <v>20</v>
      </c>
      <c r="B198" s="62" t="s">
        <v>339</v>
      </c>
      <c r="C198" s="97" t="s">
        <v>340</v>
      </c>
      <c r="D198" s="105">
        <f>D195+D196+D197</f>
        <v>1230004377</v>
      </c>
      <c r="E198" s="97"/>
      <c r="F198" s="97"/>
      <c r="G198" s="97"/>
      <c r="H198" s="97"/>
      <c r="I198" s="97"/>
      <c r="J198" s="97"/>
      <c r="K198" s="97"/>
    </row>
    <row r="199" spans="1:11" ht="9" customHeight="1">
      <c r="A199" s="68"/>
      <c r="B199" s="62"/>
      <c r="C199" s="97"/>
      <c r="E199" s="97"/>
      <c r="F199" s="97"/>
      <c r="G199" s="97"/>
      <c r="H199" s="97"/>
      <c r="I199" s="97"/>
      <c r="J199" s="97"/>
      <c r="K199" s="97"/>
    </row>
    <row r="200" spans="1:11" ht="13.8" thickBot="1">
      <c r="A200" s="68"/>
      <c r="B200" s="62" t="s">
        <v>68</v>
      </c>
      <c r="C200" s="97"/>
      <c r="D200" s="97"/>
      <c r="E200" s="97"/>
      <c r="F200" s="97"/>
      <c r="G200" s="97"/>
      <c r="H200" s="97"/>
      <c r="I200" s="147" t="s">
        <v>55</v>
      </c>
      <c r="J200" s="97"/>
      <c r="K200" s="97"/>
    </row>
    <row r="201" spans="1:11">
      <c r="A201" s="68"/>
      <c r="B201" s="62"/>
      <c r="C201" s="97"/>
      <c r="D201" s="97"/>
      <c r="E201" s="97"/>
      <c r="F201" s="97"/>
      <c r="G201" s="98" t="s">
        <v>69</v>
      </c>
      <c r="H201" s="97"/>
      <c r="I201" s="97"/>
      <c r="J201" s="97"/>
      <c r="K201" s="97"/>
    </row>
    <row r="202" spans="1:11" ht="13.8" thickBot="1">
      <c r="A202" s="68"/>
      <c r="B202" s="62"/>
      <c r="C202" s="97"/>
      <c r="D202" s="97"/>
      <c r="E202" s="101" t="s">
        <v>70</v>
      </c>
      <c r="F202" s="97"/>
      <c r="G202" s="101" t="s">
        <v>1053</v>
      </c>
      <c r="H202" s="97"/>
      <c r="I202" s="101" t="s">
        <v>71</v>
      </c>
      <c r="J202" s="97"/>
      <c r="K202" s="97"/>
    </row>
    <row r="203" spans="1:11" s="799" customFormat="1">
      <c r="A203" s="69">
        <v>21</v>
      </c>
      <c r="B203" s="795" t="s">
        <v>341</v>
      </c>
      <c r="C203" s="413" t="s">
        <v>1053</v>
      </c>
      <c r="D203" s="97"/>
      <c r="E203" s="796">
        <v>0.53</v>
      </c>
      <c r="F203" s="797"/>
      <c r="G203" s="898">
        <v>3.7403441019576086E-2</v>
      </c>
      <c r="I203" s="798">
        <f>G203*E203</f>
        <v>1.9823823740375328E-2</v>
      </c>
      <c r="J203" s="800" t="s">
        <v>72</v>
      </c>
    </row>
    <row r="204" spans="1:11" ht="13.8" thickBot="1">
      <c r="A204" s="68">
        <v>22</v>
      </c>
      <c r="B204" s="134" t="s">
        <v>342</v>
      </c>
      <c r="C204" s="134" t="s">
        <v>1053</v>
      </c>
      <c r="D204" s="134"/>
      <c r="E204" s="153">
        <v>0.47</v>
      </c>
      <c r="F204" s="154"/>
      <c r="G204" s="155">
        <v>9.8000000000000004E-2</v>
      </c>
      <c r="I204" s="157">
        <f>G204*E204</f>
        <v>4.6059999999999997E-2</v>
      </c>
      <c r="J204" s="97"/>
    </row>
    <row r="205" spans="1:11">
      <c r="A205" s="68">
        <v>23</v>
      </c>
      <c r="B205" s="62"/>
      <c r="C205" s="100"/>
      <c r="D205" s="97"/>
      <c r="E205" s="97" t="s">
        <v>2</v>
      </c>
      <c r="F205" s="97"/>
      <c r="G205" s="97"/>
      <c r="H205" s="97"/>
      <c r="I205" s="155">
        <f>SUM(I203:I204)</f>
        <v>6.5883823740375325E-2</v>
      </c>
      <c r="J205" s="156" t="s">
        <v>73</v>
      </c>
    </row>
    <row r="206" spans="1:11" ht="9" customHeight="1">
      <c r="D206" s="97"/>
      <c r="E206" s="97"/>
      <c r="F206" s="97"/>
      <c r="G206" s="97"/>
      <c r="H206" s="97"/>
    </row>
    <row r="207" spans="1:11">
      <c r="A207" s="921"/>
      <c r="B207" s="921"/>
      <c r="C207" s="921"/>
      <c r="D207" s="97"/>
      <c r="E207" s="97"/>
      <c r="F207" s="122"/>
      <c r="G207" s="922"/>
      <c r="H207" s="922"/>
      <c r="I207" s="922"/>
      <c r="J207" s="922"/>
      <c r="K207" s="922"/>
    </row>
    <row r="208" spans="1:11">
      <c r="A208" s="68">
        <v>24</v>
      </c>
      <c r="B208" s="62" t="s">
        <v>541</v>
      </c>
      <c r="C208" s="62" t="s">
        <v>543</v>
      </c>
      <c r="D208" s="94"/>
      <c r="E208" s="62"/>
      <c r="F208" s="62"/>
      <c r="G208" s="62"/>
      <c r="H208" s="322"/>
      <c r="I208" s="152">
        <v>0</v>
      </c>
      <c r="J208" s="322"/>
      <c r="K208" s="322"/>
    </row>
    <row r="209" spans="1:11">
      <c r="B209" s="62"/>
      <c r="C209" s="62"/>
      <c r="D209" s="94"/>
      <c r="E209" s="62"/>
      <c r="F209" s="62"/>
      <c r="G209" s="913"/>
      <c r="H209" s="913"/>
      <c r="I209" s="913"/>
      <c r="J209" s="913"/>
      <c r="K209" s="913"/>
    </row>
    <row r="210" spans="1:11">
      <c r="B210" s="62"/>
      <c r="C210" s="62"/>
      <c r="D210" s="94"/>
      <c r="E210" s="62"/>
      <c r="F210" s="62"/>
      <c r="G210" s="62"/>
      <c r="H210" s="62"/>
      <c r="I210" s="914" t="str">
        <f>I1</f>
        <v>Actual Attachment H</v>
      </c>
      <c r="J210" s="914"/>
      <c r="K210" s="914"/>
    </row>
    <row r="211" spans="1:11">
      <c r="B211" s="62"/>
      <c r="C211" s="62"/>
      <c r="D211" s="94"/>
      <c r="E211" s="62"/>
      <c r="F211" s="62"/>
      <c r="G211" s="62"/>
      <c r="H211" s="62"/>
      <c r="I211" s="62"/>
      <c r="J211" s="913" t="s">
        <v>276</v>
      </c>
      <c r="K211" s="913"/>
    </row>
    <row r="212" spans="1:11">
      <c r="B212" s="62"/>
      <c r="C212" s="62"/>
      <c r="D212" s="94"/>
      <c r="E212" s="62"/>
      <c r="F212" s="62"/>
      <c r="G212" s="62"/>
      <c r="H212" s="62"/>
      <c r="I212" s="62"/>
      <c r="J212" s="62"/>
      <c r="K212" s="95"/>
    </row>
    <row r="213" spans="1:11">
      <c r="B213" s="94" t="s">
        <v>0</v>
      </c>
      <c r="C213" s="62"/>
      <c r="D213" s="68" t="s">
        <v>1</v>
      </c>
      <c r="E213" s="62"/>
      <c r="F213" s="62"/>
      <c r="G213" s="62"/>
      <c r="H213" s="62"/>
      <c r="I213" s="62"/>
      <c r="J213" s="62"/>
      <c r="K213" s="110" t="str">
        <f>K4</f>
        <v>Actuals - For the 12 months ended 12/31/2023</v>
      </c>
    </row>
    <row r="214" spans="1:11">
      <c r="B214" s="62"/>
      <c r="C214" s="97"/>
      <c r="D214" s="98" t="s">
        <v>3</v>
      </c>
      <c r="E214" s="97"/>
      <c r="F214" s="97"/>
      <c r="G214" s="97"/>
      <c r="H214" s="62"/>
      <c r="I214" s="62"/>
      <c r="J214" s="62"/>
      <c r="K214" s="62"/>
    </row>
    <row r="215" spans="1:11">
      <c r="A215" s="68"/>
      <c r="C215" s="68"/>
      <c r="D215" s="97"/>
      <c r="E215" s="97"/>
      <c r="F215" s="97"/>
      <c r="G215" s="97"/>
      <c r="H215" s="62"/>
      <c r="I215" s="141"/>
      <c r="K215" s="97"/>
    </row>
    <row r="216" spans="1:11">
      <c r="A216" s="68"/>
      <c r="C216" s="68"/>
      <c r="D216" s="158" t="str">
        <f>C7</f>
        <v>Black Hills Colorado Electric, LLC</v>
      </c>
      <c r="E216" s="97"/>
      <c r="F216" s="97"/>
      <c r="G216" s="97"/>
      <c r="H216" s="62"/>
      <c r="I216" s="141"/>
      <c r="K216" s="97"/>
    </row>
    <row r="217" spans="1:11">
      <c r="A217" s="68"/>
      <c r="C217" s="68"/>
      <c r="D217" s="97"/>
      <c r="E217" s="97"/>
      <c r="F217" s="97"/>
      <c r="G217" s="97"/>
      <c r="H217" s="62"/>
      <c r="I217" s="141"/>
      <c r="K217" s="97"/>
    </row>
    <row r="218" spans="1:11">
      <c r="A218" s="68"/>
      <c r="B218" s="62" t="s">
        <v>110</v>
      </c>
      <c r="C218" s="68"/>
      <c r="D218" s="97"/>
      <c r="E218" s="97"/>
      <c r="F218" s="97"/>
      <c r="G218" s="97"/>
      <c r="H218" s="62"/>
      <c r="I218" s="97"/>
      <c r="J218" s="62"/>
      <c r="K218" s="97"/>
    </row>
    <row r="219" spans="1:11">
      <c r="A219" s="68"/>
      <c r="B219" s="94" t="s">
        <v>109</v>
      </c>
      <c r="C219" s="68"/>
      <c r="D219" s="97"/>
      <c r="E219" s="97"/>
      <c r="F219" s="97"/>
      <c r="G219" s="97"/>
      <c r="H219" s="62"/>
      <c r="I219" s="97"/>
      <c r="J219" s="62"/>
      <c r="K219" s="97"/>
    </row>
    <row r="220" spans="1:11">
      <c r="A220" s="68" t="s">
        <v>74</v>
      </c>
      <c r="B220" s="62"/>
      <c r="C220" s="62"/>
      <c r="D220" s="97"/>
      <c r="E220" s="97"/>
      <c r="F220" s="97"/>
      <c r="G220" s="97"/>
      <c r="H220" s="62"/>
      <c r="I220" s="97"/>
      <c r="J220" s="62"/>
      <c r="K220" s="97"/>
    </row>
    <row r="221" spans="1:11" ht="13.8" thickBot="1">
      <c r="A221" s="101" t="s">
        <v>75</v>
      </c>
      <c r="B221" s="62"/>
      <c r="C221" s="62"/>
      <c r="D221" s="97"/>
      <c r="E221" s="97"/>
      <c r="F221" s="97"/>
      <c r="G221" s="97"/>
      <c r="H221" s="62"/>
      <c r="I221" s="97"/>
      <c r="J221" s="62"/>
      <c r="K221" s="97"/>
    </row>
    <row r="222" spans="1:11">
      <c r="A222" s="69" t="s">
        <v>76</v>
      </c>
      <c r="B222" s="72" t="s">
        <v>115</v>
      </c>
      <c r="C222" s="73"/>
      <c r="D222" s="74"/>
      <c r="E222" s="74"/>
      <c r="F222" s="74"/>
      <c r="G222" s="74"/>
      <c r="H222" s="73"/>
      <c r="I222" s="74"/>
      <c r="J222" s="73"/>
      <c r="K222" s="74"/>
    </row>
    <row r="223" spans="1:11" ht="30.75" customHeight="1">
      <c r="A223" s="69" t="s">
        <v>77</v>
      </c>
      <c r="B223" s="918" t="s">
        <v>746</v>
      </c>
      <c r="C223" s="918"/>
      <c r="D223" s="918"/>
      <c r="E223" s="918"/>
      <c r="F223" s="918"/>
      <c r="G223" s="918"/>
      <c r="H223" s="918"/>
      <c r="I223" s="918"/>
      <c r="J223" s="918"/>
      <c r="K223" s="918"/>
    </row>
    <row r="224" spans="1:11" ht="76.650000000000006" customHeight="1">
      <c r="A224" s="69" t="s">
        <v>78</v>
      </c>
      <c r="B224" s="915" t="s">
        <v>1243</v>
      </c>
      <c r="C224" s="915"/>
      <c r="D224" s="915"/>
      <c r="E224" s="915"/>
      <c r="F224" s="915"/>
      <c r="G224" s="915"/>
      <c r="H224" s="915"/>
      <c r="I224" s="915"/>
      <c r="J224" s="915"/>
      <c r="K224" s="915"/>
    </row>
    <row r="225" spans="1:11" ht="27" customHeight="1">
      <c r="A225" s="69" t="s">
        <v>79</v>
      </c>
      <c r="B225" s="917" t="s">
        <v>791</v>
      </c>
      <c r="C225" s="917"/>
      <c r="D225" s="917"/>
      <c r="E225" s="917"/>
      <c r="F225" s="917"/>
      <c r="G225" s="917"/>
      <c r="H225" s="917"/>
      <c r="I225" s="917"/>
      <c r="J225" s="73"/>
      <c r="K225" s="73"/>
    </row>
    <row r="226" spans="1:11">
      <c r="A226" s="69" t="s">
        <v>80</v>
      </c>
      <c r="B226" s="915" t="s">
        <v>1052</v>
      </c>
      <c r="C226" s="915"/>
      <c r="D226" s="915"/>
      <c r="E226" s="915"/>
      <c r="F226" s="915"/>
      <c r="G226" s="915"/>
      <c r="H226" s="915"/>
      <c r="I226" s="915"/>
      <c r="J226" s="915"/>
      <c r="K226" s="915"/>
    </row>
    <row r="227" spans="1:11" ht="28.5" customHeight="1">
      <c r="A227" s="69" t="s">
        <v>81</v>
      </c>
      <c r="B227" s="916" t="s">
        <v>972</v>
      </c>
      <c r="C227" s="916"/>
      <c r="D227" s="916"/>
      <c r="E227" s="916"/>
      <c r="F227" s="916"/>
      <c r="G227" s="916"/>
      <c r="H227" s="916"/>
      <c r="I227" s="916"/>
      <c r="J227" s="76"/>
      <c r="K227" s="76"/>
    </row>
    <row r="228" spans="1:11">
      <c r="A228" s="69" t="s">
        <v>82</v>
      </c>
      <c r="B228" s="70" t="s">
        <v>687</v>
      </c>
      <c r="C228" s="62"/>
      <c r="D228" s="62"/>
      <c r="E228" s="62"/>
      <c r="F228" s="62"/>
      <c r="G228" s="62"/>
      <c r="H228" s="62"/>
      <c r="I228" s="62"/>
      <c r="J228" s="73"/>
      <c r="K228" s="73"/>
    </row>
    <row r="229" spans="1:11" ht="29.25" customHeight="1">
      <c r="A229" s="69" t="s">
        <v>343</v>
      </c>
      <c r="B229" s="917" t="s">
        <v>688</v>
      </c>
      <c r="C229" s="917"/>
      <c r="D229" s="917"/>
      <c r="E229" s="917"/>
      <c r="F229" s="917"/>
      <c r="G229" s="917"/>
      <c r="H229" s="917"/>
      <c r="I229" s="917"/>
      <c r="J229" s="77"/>
      <c r="K229" s="73"/>
    </row>
    <row r="230" spans="1:11">
      <c r="A230" s="69" t="s">
        <v>83</v>
      </c>
      <c r="B230" s="917" t="s">
        <v>689</v>
      </c>
      <c r="C230" s="917"/>
      <c r="D230" s="917"/>
      <c r="E230" s="917"/>
      <c r="F230" s="917"/>
      <c r="G230" s="917"/>
      <c r="H230" s="917"/>
      <c r="I230" s="917"/>
      <c r="J230" s="73"/>
      <c r="K230" s="73"/>
    </row>
    <row r="231" spans="1:11">
      <c r="A231" s="69" t="s">
        <v>84</v>
      </c>
      <c r="B231" s="917" t="s">
        <v>1049</v>
      </c>
      <c r="C231" s="917"/>
      <c r="D231" s="917"/>
      <c r="E231" s="917"/>
      <c r="F231" s="917"/>
      <c r="G231" s="917"/>
      <c r="H231" s="917"/>
      <c r="I231" s="917"/>
      <c r="J231" s="73"/>
      <c r="K231" s="73"/>
    </row>
    <row r="232" spans="1:11" ht="53.25" customHeight="1">
      <c r="A232" s="69" t="s">
        <v>85</v>
      </c>
      <c r="B232" s="915" t="s">
        <v>690</v>
      </c>
      <c r="C232" s="915"/>
      <c r="D232" s="915"/>
      <c r="E232" s="915"/>
      <c r="F232" s="915"/>
      <c r="G232" s="915"/>
      <c r="H232" s="915"/>
      <c r="I232" s="915"/>
      <c r="J232" s="915"/>
      <c r="K232" s="915"/>
    </row>
    <row r="233" spans="1:11">
      <c r="A233" s="75" t="s">
        <v>2</v>
      </c>
      <c r="B233" s="62" t="s">
        <v>344</v>
      </c>
      <c r="C233" s="62" t="s">
        <v>90</v>
      </c>
      <c r="D233" s="159">
        <v>0.21</v>
      </c>
      <c r="E233" s="62" t="s">
        <v>345</v>
      </c>
      <c r="F233" s="62"/>
      <c r="G233" s="62"/>
      <c r="H233" s="62"/>
      <c r="I233" s="62"/>
      <c r="J233" s="62"/>
      <c r="K233" s="62"/>
    </row>
    <row r="234" spans="1:11">
      <c r="A234" s="75"/>
      <c r="B234" s="62"/>
      <c r="C234" s="62" t="s">
        <v>91</v>
      </c>
      <c r="D234" s="159">
        <v>4.3999999999999997E-2</v>
      </c>
      <c r="E234" s="62" t="s">
        <v>92</v>
      </c>
      <c r="F234" s="62"/>
      <c r="G234" s="62"/>
      <c r="H234" s="62"/>
      <c r="I234" s="62"/>
      <c r="J234" s="62"/>
      <c r="K234" s="62"/>
    </row>
    <row r="235" spans="1:11">
      <c r="A235" s="75"/>
      <c r="B235" s="62"/>
      <c r="C235" s="62" t="s">
        <v>93</v>
      </c>
      <c r="D235" s="159">
        <v>0</v>
      </c>
      <c r="E235" s="62" t="s">
        <v>94</v>
      </c>
      <c r="F235" s="62"/>
      <c r="G235" s="62"/>
      <c r="H235" s="62"/>
      <c r="I235" s="62"/>
      <c r="J235" s="62"/>
      <c r="K235" s="62"/>
    </row>
    <row r="236" spans="1:11" ht="29.4" customHeight="1">
      <c r="A236" s="69" t="s">
        <v>346</v>
      </c>
      <c r="B236" s="917" t="s">
        <v>1050</v>
      </c>
      <c r="C236" s="917"/>
      <c r="D236" s="917"/>
      <c r="E236" s="917"/>
      <c r="F236" s="917"/>
      <c r="G236" s="917"/>
      <c r="H236" s="917"/>
      <c r="I236" s="917"/>
      <c r="J236" s="73"/>
      <c r="K236" s="73"/>
    </row>
    <row r="237" spans="1:11" ht="27" customHeight="1">
      <c r="A237" s="69" t="s">
        <v>277</v>
      </c>
      <c r="B237" s="917" t="s">
        <v>1051</v>
      </c>
      <c r="C237" s="917"/>
      <c r="D237" s="917"/>
      <c r="E237" s="917"/>
      <c r="F237" s="917"/>
      <c r="G237" s="917"/>
      <c r="H237" s="917"/>
      <c r="I237" s="917"/>
      <c r="J237" s="78"/>
      <c r="K237" s="73"/>
    </row>
    <row r="238" spans="1:11" ht="53.4" customHeight="1">
      <c r="A238" s="69" t="s">
        <v>347</v>
      </c>
      <c r="B238" s="927" t="s">
        <v>1188</v>
      </c>
      <c r="C238" s="927"/>
      <c r="D238" s="927"/>
      <c r="E238" s="927"/>
      <c r="F238" s="927"/>
      <c r="G238" s="927"/>
      <c r="H238" s="927"/>
      <c r="I238" s="927"/>
      <c r="J238" s="927"/>
      <c r="K238" s="927"/>
    </row>
    <row r="239" spans="1:11" ht="50.1" customHeight="1">
      <c r="A239" s="69" t="s">
        <v>348</v>
      </c>
      <c r="B239" s="916" t="s">
        <v>1232</v>
      </c>
      <c r="C239" s="916"/>
      <c r="D239" s="916"/>
      <c r="E239" s="916"/>
      <c r="F239" s="916"/>
      <c r="G239" s="916"/>
      <c r="H239" s="916"/>
      <c r="I239" s="916"/>
      <c r="J239" s="76"/>
      <c r="K239" s="76"/>
    </row>
    <row r="240" spans="1:11" ht="29.4" customHeight="1">
      <c r="A240" s="69" t="s">
        <v>349</v>
      </c>
      <c r="B240" s="912" t="s">
        <v>1189</v>
      </c>
      <c r="C240" s="912"/>
      <c r="D240" s="912"/>
      <c r="E240" s="912"/>
      <c r="F240" s="912"/>
      <c r="G240" s="912"/>
      <c r="H240" s="912"/>
      <c r="I240" s="912"/>
      <c r="J240" s="912"/>
      <c r="K240" s="912"/>
    </row>
    <row r="241" spans="1:11" ht="29.4" customHeight="1">
      <c r="A241" s="69" t="s">
        <v>350</v>
      </c>
      <c r="B241" s="912" t="s">
        <v>1190</v>
      </c>
      <c r="C241" s="912"/>
      <c r="D241" s="912"/>
      <c r="E241" s="912"/>
      <c r="F241" s="912"/>
      <c r="G241" s="912"/>
      <c r="H241" s="912"/>
      <c r="I241" s="912"/>
      <c r="J241" s="73"/>
      <c r="K241" s="73"/>
    </row>
    <row r="242" spans="1:11" ht="15.75" customHeight="1">
      <c r="A242" s="69" t="s">
        <v>86</v>
      </c>
      <c r="B242" s="929" t="s">
        <v>1146</v>
      </c>
      <c r="C242" s="929"/>
      <c r="D242" s="929"/>
      <c r="E242" s="929"/>
      <c r="F242" s="929"/>
      <c r="G242" s="929"/>
      <c r="H242" s="929"/>
      <c r="I242" s="929"/>
      <c r="J242" s="79"/>
      <c r="K242" s="79"/>
    </row>
    <row r="243" spans="1:11" ht="29.25" customHeight="1">
      <c r="A243" s="69" t="s">
        <v>351</v>
      </c>
      <c r="B243" s="928" t="s">
        <v>691</v>
      </c>
      <c r="C243" s="928"/>
      <c r="D243" s="928"/>
      <c r="E243" s="928"/>
      <c r="F243" s="928"/>
      <c r="G243" s="928"/>
      <c r="H243" s="928"/>
      <c r="I243" s="928"/>
      <c r="J243" s="73"/>
      <c r="K243" s="73"/>
    </row>
    <row r="244" spans="1:11" ht="30" customHeight="1">
      <c r="A244" s="71" t="s">
        <v>352</v>
      </c>
      <c r="B244" s="912" t="s">
        <v>1257</v>
      </c>
      <c r="C244" s="912"/>
      <c r="D244" s="912"/>
      <c r="E244" s="912"/>
      <c r="F244" s="912"/>
      <c r="G244" s="912"/>
      <c r="H244" s="912"/>
      <c r="I244" s="912"/>
      <c r="J244" s="81"/>
      <c r="K244" s="81"/>
    </row>
    <row r="245" spans="1:11" ht="13.35" customHeight="1">
      <c r="A245" s="71" t="s">
        <v>353</v>
      </c>
      <c r="B245" s="925" t="s">
        <v>1146</v>
      </c>
      <c r="C245" s="925"/>
      <c r="D245" s="925"/>
      <c r="E245" s="925"/>
      <c r="F245" s="925"/>
      <c r="G245" s="925"/>
      <c r="H245" s="925"/>
      <c r="I245" s="925"/>
      <c r="J245" s="82"/>
      <c r="K245" s="82"/>
    </row>
    <row r="246" spans="1:11" ht="13.35" customHeight="1">
      <c r="A246" s="71" t="s">
        <v>354</v>
      </c>
      <c r="B246" s="912" t="s">
        <v>1054</v>
      </c>
      <c r="C246" s="912"/>
      <c r="D246" s="912"/>
      <c r="E246" s="912"/>
      <c r="F246" s="912"/>
      <c r="G246" s="912"/>
      <c r="H246" s="912"/>
      <c r="I246" s="912"/>
      <c r="J246" s="82"/>
      <c r="K246" s="82"/>
    </row>
    <row r="247" spans="1:11" ht="12.75" customHeight="1">
      <c r="A247" s="71" t="s">
        <v>499</v>
      </c>
      <c r="B247" s="912" t="s">
        <v>500</v>
      </c>
      <c r="C247" s="912"/>
      <c r="D247" s="912"/>
      <c r="E247" s="912"/>
      <c r="F247" s="912"/>
      <c r="G247" s="912"/>
      <c r="H247" s="912"/>
      <c r="I247" s="912"/>
      <c r="J247" s="82"/>
      <c r="K247" s="82"/>
    </row>
    <row r="248" spans="1:11" ht="27.75" customHeight="1">
      <c r="A248" s="71" t="s">
        <v>573</v>
      </c>
      <c r="B248" s="912" t="s">
        <v>692</v>
      </c>
      <c r="C248" s="912"/>
      <c r="D248" s="912"/>
      <c r="E248" s="912"/>
      <c r="F248" s="912"/>
      <c r="G248" s="912"/>
      <c r="H248" s="912"/>
      <c r="I248" s="912"/>
      <c r="J248" s="82"/>
      <c r="K248" s="82"/>
    </row>
    <row r="249" spans="1:11" ht="69.599999999999994" customHeight="1">
      <c r="A249" s="71" t="s">
        <v>574</v>
      </c>
      <c r="B249" s="912" t="s">
        <v>1142</v>
      </c>
      <c r="C249" s="912"/>
      <c r="D249" s="912"/>
      <c r="E249" s="912"/>
      <c r="F249" s="912"/>
      <c r="G249" s="912"/>
      <c r="H249" s="912"/>
      <c r="I249" s="912"/>
      <c r="J249" s="82"/>
      <c r="K249" s="82"/>
    </row>
    <row r="250" spans="1:11" ht="13.35" customHeight="1">
      <c r="A250" s="71" t="s">
        <v>748</v>
      </c>
      <c r="B250" s="925" t="s">
        <v>1146</v>
      </c>
      <c r="C250" s="925"/>
      <c r="D250" s="925"/>
      <c r="E250" s="925"/>
      <c r="F250" s="925"/>
      <c r="G250" s="925"/>
      <c r="H250" s="925"/>
      <c r="I250" s="925"/>
      <c r="J250" s="82"/>
      <c r="K250" s="82"/>
    </row>
    <row r="251" spans="1:11" ht="114" customHeight="1">
      <c r="A251" s="71" t="s">
        <v>788</v>
      </c>
      <c r="B251" s="925" t="s">
        <v>1081</v>
      </c>
      <c r="C251" s="925"/>
      <c r="D251" s="925"/>
      <c r="E251" s="925"/>
      <c r="F251" s="925"/>
      <c r="G251" s="925"/>
      <c r="H251" s="925"/>
      <c r="I251" s="925"/>
      <c r="J251" s="82"/>
      <c r="K251" s="82"/>
    </row>
    <row r="252" spans="1:11" ht="16.5" customHeight="1">
      <c r="A252" s="71"/>
      <c r="B252" s="911"/>
      <c r="C252" s="911"/>
      <c r="D252" s="911"/>
      <c r="E252" s="911"/>
      <c r="F252" s="911"/>
      <c r="G252" s="911"/>
      <c r="H252" s="911"/>
      <c r="I252" s="911"/>
      <c r="J252" s="82"/>
      <c r="K252" s="82"/>
    </row>
    <row r="253" spans="1:11" ht="14.25" customHeight="1">
      <c r="A253" s="71"/>
      <c r="B253" s="911"/>
      <c r="C253" s="911"/>
      <c r="D253" s="911"/>
      <c r="E253" s="911"/>
      <c r="F253" s="911"/>
      <c r="G253" s="911"/>
      <c r="H253" s="911"/>
      <c r="I253" s="911"/>
      <c r="J253" s="79"/>
      <c r="K253" s="79"/>
    </row>
    <row r="254" spans="1:11" ht="30.75" customHeight="1">
      <c r="A254" s="71"/>
      <c r="B254" s="911"/>
      <c r="C254" s="911"/>
      <c r="D254" s="911"/>
      <c r="E254" s="911"/>
      <c r="F254" s="911"/>
      <c r="G254" s="911"/>
      <c r="H254" s="911"/>
      <c r="I254" s="911"/>
      <c r="J254" s="79"/>
      <c r="K254" s="79"/>
    </row>
    <row r="255" spans="1:11">
      <c r="A255" s="83"/>
      <c r="B255" s="926"/>
      <c r="C255" s="926"/>
      <c r="D255" s="926"/>
      <c r="E255" s="926"/>
      <c r="F255" s="926"/>
      <c r="G255" s="926"/>
      <c r="H255" s="926"/>
      <c r="I255" s="926"/>
      <c r="J255" s="86"/>
      <c r="K255" s="86"/>
    </row>
    <row r="256" spans="1:11">
      <c r="A256" s="83"/>
    </row>
    <row r="257" spans="1:11">
      <c r="A257" s="83"/>
    </row>
    <row r="258" spans="1:11">
      <c r="A258" s="80"/>
      <c r="B258" s="87"/>
      <c r="C258" s="87"/>
      <c r="D258" s="87"/>
      <c r="E258" s="87"/>
      <c r="F258" s="87"/>
      <c r="G258" s="87"/>
      <c r="H258" s="88"/>
      <c r="I258" s="89"/>
      <c r="J258" s="90"/>
      <c r="K258" s="90"/>
    </row>
    <row r="259" spans="1:11" ht="25.5" customHeight="1">
      <c r="A259" s="80"/>
      <c r="J259" s="91"/>
      <c r="K259" s="91"/>
    </row>
    <row r="260" spans="1:11">
      <c r="A260" s="80"/>
      <c r="B260" s="79"/>
      <c r="C260" s="79"/>
      <c r="D260" s="79"/>
      <c r="E260" s="79"/>
      <c r="F260" s="79"/>
      <c r="G260" s="79"/>
      <c r="H260" s="79"/>
      <c r="I260" s="79"/>
      <c r="J260" s="79"/>
      <c r="K260" s="79"/>
    </row>
    <row r="261" spans="1:11">
      <c r="A261" s="80"/>
      <c r="B261" s="79"/>
      <c r="C261" s="79"/>
      <c r="D261" s="79"/>
      <c r="E261" s="79"/>
      <c r="F261" s="79"/>
      <c r="G261" s="79"/>
      <c r="H261" s="79"/>
      <c r="I261" s="79"/>
      <c r="J261" s="79"/>
      <c r="K261" s="79"/>
    </row>
    <row r="262" spans="1:11">
      <c r="A262" s="80"/>
      <c r="C262" s="79"/>
      <c r="D262" s="79"/>
      <c r="E262" s="79"/>
      <c r="F262" s="79"/>
      <c r="G262" s="79"/>
      <c r="H262" s="79"/>
      <c r="I262" s="79"/>
      <c r="J262" s="79"/>
      <c r="K262" s="79"/>
    </row>
    <row r="263" spans="1:11">
      <c r="A263" s="83"/>
      <c r="B263" s="924"/>
      <c r="C263" s="924"/>
      <c r="D263" s="924"/>
      <c r="E263" s="924"/>
      <c r="F263" s="924"/>
      <c r="G263" s="924"/>
      <c r="H263" s="924"/>
      <c r="I263" s="924"/>
      <c r="J263" s="79"/>
      <c r="K263" s="79"/>
    </row>
    <row r="264" spans="1:11">
      <c r="A264" s="80"/>
      <c r="B264" s="92"/>
      <c r="C264" s="79"/>
      <c r="D264" s="79"/>
      <c r="E264" s="79"/>
      <c r="F264" s="79"/>
      <c r="G264" s="79"/>
      <c r="H264" s="79"/>
      <c r="I264" s="79"/>
      <c r="J264" s="79"/>
      <c r="K264" s="79"/>
    </row>
    <row r="265" spans="1:11">
      <c r="A265" s="79"/>
      <c r="B265" s="92"/>
      <c r="C265" s="79"/>
      <c r="D265" s="79"/>
      <c r="E265" s="79"/>
      <c r="F265" s="79"/>
      <c r="G265" s="79"/>
      <c r="H265" s="79"/>
      <c r="I265" s="79"/>
      <c r="J265" s="79"/>
      <c r="K265" s="79"/>
    </row>
  </sheetData>
  <sheetProtection formatCells="0" formatColumns="0"/>
  <mergeCells count="47">
    <mergeCell ref="B263:I263"/>
    <mergeCell ref="B225:I225"/>
    <mergeCell ref="B226:K226"/>
    <mergeCell ref="B246:I246"/>
    <mergeCell ref="B250:I250"/>
    <mergeCell ref="B251:I251"/>
    <mergeCell ref="B255:I255"/>
    <mergeCell ref="B238:K238"/>
    <mergeCell ref="B243:I243"/>
    <mergeCell ref="B247:I247"/>
    <mergeCell ref="B245:I245"/>
    <mergeCell ref="B236:I236"/>
    <mergeCell ref="B237:I237"/>
    <mergeCell ref="B239:I239"/>
    <mergeCell ref="B242:I242"/>
    <mergeCell ref="B248:I248"/>
    <mergeCell ref="F158:K158"/>
    <mergeCell ref="I1:K1"/>
    <mergeCell ref="J2:K2"/>
    <mergeCell ref="I159:K159"/>
    <mergeCell ref="I94:K94"/>
    <mergeCell ref="J95:K95"/>
    <mergeCell ref="I32:K32"/>
    <mergeCell ref="J33:K33"/>
    <mergeCell ref="F12:G12"/>
    <mergeCell ref="J160:K160"/>
    <mergeCell ref="G162:K162"/>
    <mergeCell ref="N177:S177"/>
    <mergeCell ref="A207:C207"/>
    <mergeCell ref="G207:K207"/>
    <mergeCell ref="G209:K209"/>
    <mergeCell ref="I210:K210"/>
    <mergeCell ref="J211:K211"/>
    <mergeCell ref="B232:K232"/>
    <mergeCell ref="B224:K224"/>
    <mergeCell ref="B227:I227"/>
    <mergeCell ref="B229:I229"/>
    <mergeCell ref="B230:I230"/>
    <mergeCell ref="B231:I231"/>
    <mergeCell ref="B223:K223"/>
    <mergeCell ref="B252:I252"/>
    <mergeCell ref="B253:I253"/>
    <mergeCell ref="B254:I254"/>
    <mergeCell ref="B249:I249"/>
    <mergeCell ref="B240:K240"/>
    <mergeCell ref="B244:I244"/>
    <mergeCell ref="B241:I241"/>
  </mergeCells>
  <pageMargins left="0.5" right="0.25" top="1" bottom="1" header="0.5" footer="0.5"/>
  <pageSetup scale="58" fitToHeight="6" orientation="portrait" r:id="rId1"/>
  <headerFooter alignWithMargins="0">
    <oddHeader xml:space="preserve">&amp;C&amp;"Times New Roman,Regular"&amp;KFF0000CUI//PRIV&amp;K000000
FOR SETTLEMENT PURPOSES ONLY 
SUBJECT TO RULES 602 AND 606
</oddHeader>
  </headerFooter>
  <rowBreaks count="4" manualBreakCount="4">
    <brk id="31" max="10" man="1"/>
    <brk id="93" max="10" man="1"/>
    <brk id="158" max="10" man="1"/>
    <brk id="209" max="10" man="1"/>
  </rowBreaks>
  <ignoredErrors>
    <ignoredError sqref="C115 G40:I40 B40:D40 B102 C102:I102 B168:I168" numberStoredAsText="1"/>
    <ignoredError sqref="G112 I79:I80" formula="1"/>
    <ignoredError sqref="D25 D26:D29 D30:D31 I32 I159 I94 D192:D194 I21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sheetPr>
  <dimension ref="A1:N64"/>
  <sheetViews>
    <sheetView zoomScale="80" zoomScaleNormal="80" workbookViewId="0">
      <selection activeCell="N27" sqref="N27"/>
    </sheetView>
  </sheetViews>
  <sheetFormatPr defaultColWidth="8.6328125" defaultRowHeight="13.2"/>
  <cols>
    <col min="1" max="1" width="4.6328125" style="2" bestFit="1" customWidth="1"/>
    <col min="2" max="2" width="8.08984375" style="2" customWidth="1"/>
    <col min="3" max="3" width="35.90625" style="2" customWidth="1"/>
    <col min="4" max="4" width="7.54296875" style="2" bestFit="1" customWidth="1"/>
    <col min="5" max="5" width="9.6328125" style="2" customWidth="1"/>
    <col min="6" max="6" width="10.36328125" style="2" bestFit="1" customWidth="1"/>
    <col min="7" max="7" width="9.7265625" style="2" bestFit="1" customWidth="1"/>
    <col min="8" max="11" width="9" style="2" customWidth="1"/>
    <col min="12" max="12" width="9.08984375" style="2" bestFit="1" customWidth="1"/>
    <col min="13" max="13" width="12.453125" style="2" customWidth="1"/>
    <col min="14" max="14" width="12.54296875" style="2" customWidth="1"/>
    <col min="15" max="16384" width="8.6328125" style="2"/>
  </cols>
  <sheetData>
    <row r="1" spans="1:12">
      <c r="A1" s="932" t="s">
        <v>411</v>
      </c>
      <c r="B1" s="932"/>
      <c r="C1" s="932"/>
      <c r="D1" s="932"/>
      <c r="E1" s="932"/>
      <c r="F1" s="932"/>
      <c r="G1" s="932"/>
      <c r="H1" s="932"/>
      <c r="I1" s="932"/>
      <c r="J1" s="932"/>
      <c r="K1" s="724"/>
      <c r="L1" s="724"/>
    </row>
    <row r="2" spans="1:12">
      <c r="A2" s="933" t="s">
        <v>188</v>
      </c>
      <c r="B2" s="933"/>
      <c r="C2" s="933"/>
      <c r="D2" s="933"/>
      <c r="E2" s="933"/>
      <c r="F2" s="933"/>
      <c r="G2" s="933"/>
      <c r="H2" s="933"/>
      <c r="I2" s="933"/>
      <c r="J2" s="933"/>
      <c r="K2" s="397"/>
      <c r="L2" s="397"/>
    </row>
    <row r="3" spans="1:12">
      <c r="A3" s="933" t="str">
        <f>'Act Att-H'!C7</f>
        <v>Black Hills Colorado Electric, LLC</v>
      </c>
      <c r="B3" s="933"/>
      <c r="C3" s="933"/>
      <c r="D3" s="933"/>
      <c r="E3" s="933"/>
      <c r="F3" s="933"/>
      <c r="G3" s="933"/>
      <c r="H3" s="933"/>
      <c r="I3" s="933"/>
      <c r="J3" s="933"/>
      <c r="K3" s="397"/>
      <c r="L3" s="397"/>
    </row>
    <row r="4" spans="1:12">
      <c r="B4" s="413"/>
      <c r="C4" s="413"/>
      <c r="D4" s="413"/>
      <c r="E4" s="413"/>
      <c r="F4" s="413"/>
      <c r="G4" s="413"/>
      <c r="H4" s="413"/>
      <c r="I4" s="413"/>
      <c r="J4" s="2" t="s">
        <v>515</v>
      </c>
    </row>
    <row r="5" spans="1:12">
      <c r="A5" s="115" t="s">
        <v>137</v>
      </c>
      <c r="B5" s="118" t="s">
        <v>365</v>
      </c>
      <c r="C5" s="62"/>
      <c r="D5" s="93"/>
      <c r="E5" s="62"/>
      <c r="F5" s="62"/>
      <c r="G5" s="416"/>
      <c r="H5" s="62"/>
      <c r="I5" s="141"/>
      <c r="J5" s="93"/>
    </row>
    <row r="6" spans="1:12">
      <c r="B6" s="417"/>
      <c r="C6" s="93"/>
      <c r="D6" s="418"/>
      <c r="E6" s="93"/>
      <c r="F6" s="93"/>
      <c r="G6" s="93"/>
      <c r="H6" s="93"/>
      <c r="I6" s="93"/>
      <c r="J6" s="93"/>
    </row>
    <row r="7" spans="1:12">
      <c r="A7" s="5">
        <v>1</v>
      </c>
      <c r="B7" s="419" t="s">
        <v>187</v>
      </c>
      <c r="C7" s="419" t="s">
        <v>159</v>
      </c>
      <c r="D7" s="420"/>
      <c r="E7" s="419" t="s">
        <v>9</v>
      </c>
      <c r="F7" s="419" t="s">
        <v>183</v>
      </c>
      <c r="G7" s="419" t="s">
        <v>192</v>
      </c>
      <c r="H7" s="931" t="s">
        <v>10</v>
      </c>
      <c r="I7" s="931"/>
      <c r="J7" s="419" t="s">
        <v>9</v>
      </c>
    </row>
    <row r="8" spans="1:12">
      <c r="A8" s="5">
        <f>A7+1</f>
        <v>2</v>
      </c>
      <c r="E8" s="28" t="s">
        <v>138</v>
      </c>
      <c r="F8" s="422" t="s">
        <v>139</v>
      </c>
      <c r="G8" s="422" t="s">
        <v>140</v>
      </c>
      <c r="H8" s="930" t="s">
        <v>141</v>
      </c>
      <c r="I8" s="930"/>
      <c r="J8" s="422" t="s">
        <v>542</v>
      </c>
    </row>
    <row r="9" spans="1:12">
      <c r="A9" s="5">
        <f t="shared" ref="A9:A59" si="0">A8+1</f>
        <v>3</v>
      </c>
      <c r="B9" s="423" t="s">
        <v>184</v>
      </c>
      <c r="C9" s="424"/>
      <c r="F9" s="424"/>
      <c r="G9" s="424"/>
      <c r="H9" s="93"/>
    </row>
    <row r="10" spans="1:12">
      <c r="A10" s="5">
        <f t="shared" si="0"/>
        <v>4</v>
      </c>
      <c r="B10" s="425">
        <v>45400</v>
      </c>
      <c r="C10" s="424" t="s">
        <v>185</v>
      </c>
      <c r="E10" s="199">
        <v>712.25</v>
      </c>
      <c r="F10" s="210">
        <v>0</v>
      </c>
      <c r="G10" s="210">
        <f>SUM(E10:F10)</f>
        <v>712.25</v>
      </c>
      <c r="H10" s="553" t="s">
        <v>11</v>
      </c>
      <c r="I10" s="151">
        <f>'Act Att-H'!I175</f>
        <v>0.92887970882503001</v>
      </c>
      <c r="J10" s="210">
        <f>G10*I10</f>
        <v>661.59457261062767</v>
      </c>
    </row>
    <row r="11" spans="1:12">
      <c r="A11" s="5">
        <f t="shared" si="0"/>
        <v>5</v>
      </c>
      <c r="B11" s="425">
        <v>45400</v>
      </c>
      <c r="C11" s="424" t="s">
        <v>186</v>
      </c>
      <c r="E11" s="426">
        <v>1763875.9300000002</v>
      </c>
      <c r="F11" s="424">
        <f>-E11</f>
        <v>-1763875.9300000002</v>
      </c>
      <c r="G11" s="424">
        <f>SUM(E11:F11)</f>
        <v>0</v>
      </c>
      <c r="H11" s="28" t="s">
        <v>27</v>
      </c>
      <c r="I11" s="151"/>
      <c r="J11" s="210">
        <f>G11*I11</f>
        <v>0</v>
      </c>
    </row>
    <row r="12" spans="1:12">
      <c r="A12" s="5" t="s">
        <v>99</v>
      </c>
      <c r="B12" s="425">
        <v>45400</v>
      </c>
      <c r="C12" s="424" t="s">
        <v>1123</v>
      </c>
      <c r="D12" s="2" t="s">
        <v>1053</v>
      </c>
      <c r="E12" s="426"/>
      <c r="F12" s="424">
        <v>0</v>
      </c>
      <c r="G12" s="424">
        <f t="shared" ref="G12:G13" si="1">SUM(E12:F12)</f>
        <v>0</v>
      </c>
      <c r="H12" s="28" t="s">
        <v>31</v>
      </c>
      <c r="I12" s="151">
        <f>'Act Att-H'!G48</f>
        <v>0.13228055028384053</v>
      </c>
      <c r="J12" s="210">
        <f t="shared" ref="J12:J13" si="2">G12*I12</f>
        <v>0</v>
      </c>
    </row>
    <row r="13" spans="1:12">
      <c r="A13" s="5" t="s">
        <v>133</v>
      </c>
      <c r="B13" s="425">
        <v>45400</v>
      </c>
      <c r="C13" s="424" t="s">
        <v>1254</v>
      </c>
      <c r="D13" s="2" t="s">
        <v>1053</v>
      </c>
      <c r="E13" s="426">
        <v>0</v>
      </c>
      <c r="F13" s="424">
        <v>0</v>
      </c>
      <c r="G13" s="424">
        <f t="shared" si="1"/>
        <v>0</v>
      </c>
      <c r="H13" s="28" t="s">
        <v>1252</v>
      </c>
      <c r="I13" s="151">
        <f>'Act Att-H'!G49</f>
        <v>0.12947946442867816</v>
      </c>
      <c r="J13" s="210">
        <f t="shared" si="2"/>
        <v>0</v>
      </c>
    </row>
    <row r="14" spans="1:12">
      <c r="A14" s="5">
        <f>A11+1</f>
        <v>6</v>
      </c>
      <c r="B14" s="427" t="s">
        <v>931</v>
      </c>
      <c r="C14" s="427"/>
      <c r="D14" s="428"/>
      <c r="E14" s="407">
        <f>SUM(E10:E13)</f>
        <v>1764588.1800000002</v>
      </c>
      <c r="F14" s="407">
        <f t="shared" ref="F14:G14" si="3">SUM(F10:F13)</f>
        <v>-1763875.9300000002</v>
      </c>
      <c r="G14" s="407">
        <f t="shared" si="3"/>
        <v>712.25</v>
      </c>
      <c r="H14" s="428"/>
      <c r="I14" s="554"/>
      <c r="J14" s="555">
        <f>SUM(J10:J13)</f>
        <v>661.59457261062767</v>
      </c>
    </row>
    <row r="15" spans="1:12">
      <c r="A15" s="5">
        <f t="shared" si="0"/>
        <v>7</v>
      </c>
      <c r="B15" s="429"/>
      <c r="C15" s="430"/>
      <c r="D15" s="430"/>
      <c r="E15" s="93"/>
      <c r="F15" s="93"/>
      <c r="G15" s="93"/>
      <c r="H15" s="421"/>
    </row>
    <row r="16" spans="1:12">
      <c r="A16" s="5">
        <f t="shared" si="0"/>
        <v>8</v>
      </c>
    </row>
    <row r="17" spans="1:14">
      <c r="A17" s="5">
        <f t="shared" si="0"/>
        <v>9</v>
      </c>
      <c r="B17" s="118" t="s">
        <v>608</v>
      </c>
      <c r="C17" s="62"/>
      <c r="D17" s="62"/>
      <c r="E17" s="62"/>
      <c r="F17" s="62"/>
      <c r="G17" s="62"/>
      <c r="H17" s="62"/>
      <c r="I17" s="141"/>
      <c r="J17" s="93"/>
    </row>
    <row r="18" spans="1:14">
      <c r="A18" s="5">
        <f t="shared" si="0"/>
        <v>10</v>
      </c>
      <c r="F18" s="172"/>
      <c r="G18" s="172"/>
      <c r="H18" s="172"/>
      <c r="I18" s="172"/>
      <c r="K18" s="172"/>
      <c r="L18" s="172"/>
    </row>
    <row r="19" spans="1:14">
      <c r="A19" s="5">
        <f t="shared" si="0"/>
        <v>11</v>
      </c>
      <c r="B19" s="397"/>
      <c r="F19" s="172"/>
      <c r="G19" s="172"/>
      <c r="H19" s="172"/>
      <c r="I19" s="172"/>
      <c r="J19" s="172"/>
      <c r="K19" s="172"/>
      <c r="L19" s="172"/>
    </row>
    <row r="20" spans="1:14">
      <c r="A20" s="5">
        <f t="shared" si="0"/>
        <v>12</v>
      </c>
      <c r="H20" s="172"/>
      <c r="I20" s="172"/>
      <c r="J20" s="172"/>
    </row>
    <row r="21" spans="1:14">
      <c r="A21" s="5">
        <f t="shared" si="0"/>
        <v>13</v>
      </c>
    </row>
    <row r="22" spans="1:14">
      <c r="A22" s="5">
        <f t="shared" si="0"/>
        <v>14</v>
      </c>
      <c r="B22" s="172"/>
      <c r="C22" s="172"/>
      <c r="D22" s="172" t="s">
        <v>157</v>
      </c>
      <c r="E22" s="172"/>
      <c r="F22" s="172" t="s">
        <v>190</v>
      </c>
      <c r="G22" s="172" t="s">
        <v>156</v>
      </c>
      <c r="H22" s="172" t="s">
        <v>165</v>
      </c>
      <c r="I22" s="172"/>
      <c r="J22" s="172"/>
      <c r="N22" s="431"/>
    </row>
    <row r="23" spans="1:14">
      <c r="A23" s="5">
        <f t="shared" si="0"/>
        <v>15</v>
      </c>
      <c r="B23" s="419" t="s">
        <v>158</v>
      </c>
      <c r="C23" s="419" t="s">
        <v>159</v>
      </c>
      <c r="D23" s="432" t="s">
        <v>160</v>
      </c>
      <c r="E23" s="432" t="s">
        <v>434</v>
      </c>
      <c r="F23" s="419" t="s">
        <v>191</v>
      </c>
      <c r="G23" s="419" t="s">
        <v>189</v>
      </c>
      <c r="H23" s="419" t="s">
        <v>952</v>
      </c>
      <c r="I23" s="419" t="s">
        <v>167</v>
      </c>
      <c r="J23" s="419" t="s">
        <v>9</v>
      </c>
      <c r="K23" s="28"/>
      <c r="L23" s="28"/>
    </row>
    <row r="24" spans="1:14">
      <c r="A24" s="5">
        <f t="shared" si="0"/>
        <v>16</v>
      </c>
      <c r="E24" s="28" t="s">
        <v>138</v>
      </c>
      <c r="F24" s="28" t="s">
        <v>139</v>
      </c>
      <c r="G24" s="28" t="s">
        <v>140</v>
      </c>
      <c r="H24" s="28" t="s">
        <v>141</v>
      </c>
      <c r="I24" s="28" t="s">
        <v>142</v>
      </c>
      <c r="J24" s="28" t="s">
        <v>143</v>
      </c>
      <c r="M24" s="28"/>
    </row>
    <row r="25" spans="1:14">
      <c r="A25" s="5">
        <f t="shared" si="0"/>
        <v>17</v>
      </c>
    </row>
    <row r="26" spans="1:14">
      <c r="A26" s="5">
        <f t="shared" si="0"/>
        <v>18</v>
      </c>
      <c r="B26" s="859" t="s">
        <v>164</v>
      </c>
      <c r="C26" s="859" t="s">
        <v>953</v>
      </c>
      <c r="D26" s="860" t="s">
        <v>954</v>
      </c>
      <c r="E26" s="435"/>
      <c r="F26" s="901">
        <v>4629863</v>
      </c>
      <c r="G26" s="901"/>
      <c r="H26" s="901"/>
      <c r="I26" s="901"/>
      <c r="J26" s="901">
        <f>SUM(F26:I26)</f>
        <v>4629863</v>
      </c>
    </row>
    <row r="27" spans="1:14">
      <c r="A27" s="5">
        <f t="shared" si="0"/>
        <v>19</v>
      </c>
      <c r="B27" s="859" t="s">
        <v>164</v>
      </c>
      <c r="C27" s="859" t="s">
        <v>955</v>
      </c>
      <c r="D27" s="860" t="s">
        <v>956</v>
      </c>
      <c r="E27" s="435"/>
      <c r="F27" s="901"/>
      <c r="G27" s="901">
        <v>1214961</v>
      </c>
      <c r="H27" s="901"/>
      <c r="I27" s="901"/>
      <c r="J27" s="901">
        <f t="shared" ref="J27:J33" si="4">SUM(F27:I27)</f>
        <v>1214961</v>
      </c>
      <c r="N27" s="437"/>
    </row>
    <row r="28" spans="1:14">
      <c r="A28" s="5">
        <f t="shared" si="0"/>
        <v>20</v>
      </c>
      <c r="B28" s="859" t="s">
        <v>163</v>
      </c>
      <c r="C28" s="859" t="s">
        <v>957</v>
      </c>
      <c r="D28" s="860" t="s">
        <v>958</v>
      </c>
      <c r="E28" s="435"/>
      <c r="F28" s="901">
        <v>0</v>
      </c>
      <c r="G28" s="901"/>
      <c r="H28" s="901"/>
      <c r="I28" s="901"/>
      <c r="J28" s="901">
        <f t="shared" si="4"/>
        <v>0</v>
      </c>
      <c r="N28" s="437"/>
    </row>
    <row r="29" spans="1:14">
      <c r="A29" s="5">
        <f t="shared" si="0"/>
        <v>21</v>
      </c>
      <c r="B29" s="859" t="s">
        <v>163</v>
      </c>
      <c r="C29" s="859" t="s">
        <v>959</v>
      </c>
      <c r="D29" s="860" t="s">
        <v>960</v>
      </c>
      <c r="E29" s="435"/>
      <c r="F29" s="901">
        <v>908954</v>
      </c>
      <c r="G29" s="901"/>
      <c r="H29" s="901"/>
      <c r="I29" s="901"/>
      <c r="J29" s="901">
        <f t="shared" si="4"/>
        <v>908954</v>
      </c>
    </row>
    <row r="30" spans="1:14">
      <c r="A30" s="5">
        <f t="shared" si="0"/>
        <v>22</v>
      </c>
      <c r="B30" s="859" t="s">
        <v>165</v>
      </c>
      <c r="C30" s="859" t="s">
        <v>955</v>
      </c>
      <c r="D30" s="860" t="s">
        <v>956</v>
      </c>
      <c r="E30" s="435"/>
      <c r="F30" s="901"/>
      <c r="G30" s="901"/>
      <c r="H30" s="901">
        <v>29392</v>
      </c>
      <c r="I30" s="901"/>
      <c r="J30" s="901">
        <f t="shared" si="4"/>
        <v>29392</v>
      </c>
    </row>
    <row r="31" spans="1:14">
      <c r="A31" s="5">
        <f t="shared" si="0"/>
        <v>23</v>
      </c>
      <c r="B31" s="859" t="s">
        <v>165</v>
      </c>
      <c r="C31" s="859" t="s">
        <v>953</v>
      </c>
      <c r="D31" s="859" t="s">
        <v>954</v>
      </c>
      <c r="E31" s="435"/>
      <c r="F31" s="901"/>
      <c r="G31" s="901"/>
      <c r="H31" s="901">
        <v>168966</v>
      </c>
      <c r="I31" s="901"/>
      <c r="J31" s="901">
        <f t="shared" si="4"/>
        <v>168966</v>
      </c>
    </row>
    <row r="32" spans="1:14">
      <c r="A32" s="5">
        <f t="shared" si="0"/>
        <v>24</v>
      </c>
      <c r="B32" s="859" t="s">
        <v>165</v>
      </c>
      <c r="C32" s="859" t="s">
        <v>957</v>
      </c>
      <c r="D32" s="860" t="s">
        <v>958</v>
      </c>
      <c r="E32" s="435"/>
      <c r="F32" s="901"/>
      <c r="G32" s="901"/>
      <c r="H32" s="901">
        <v>0</v>
      </c>
      <c r="I32" s="901"/>
      <c r="J32" s="901">
        <f t="shared" si="4"/>
        <v>0</v>
      </c>
    </row>
    <row r="33" spans="1:14">
      <c r="A33" s="5">
        <f t="shared" si="0"/>
        <v>25</v>
      </c>
      <c r="B33" s="859" t="s">
        <v>165</v>
      </c>
      <c r="C33" s="859" t="s">
        <v>959</v>
      </c>
      <c r="D33" s="860" t="s">
        <v>960</v>
      </c>
      <c r="E33" s="435"/>
      <c r="F33" s="901"/>
      <c r="G33" s="901"/>
      <c r="H33" s="901">
        <v>330297.43</v>
      </c>
      <c r="I33" s="901"/>
      <c r="J33" s="901">
        <f t="shared" si="4"/>
        <v>330297.43</v>
      </c>
    </row>
    <row r="34" spans="1:14">
      <c r="A34" s="5">
        <f t="shared" si="0"/>
        <v>26</v>
      </c>
      <c r="B34" s="433"/>
      <c r="C34" s="433"/>
      <c r="D34" s="434"/>
      <c r="E34" s="435"/>
      <c r="F34" s="901"/>
      <c r="G34" s="901"/>
      <c r="H34" s="901"/>
      <c r="I34" s="436"/>
      <c r="J34" s="436"/>
    </row>
    <row r="35" spans="1:14">
      <c r="A35" s="5">
        <f t="shared" si="0"/>
        <v>27</v>
      </c>
      <c r="B35" s="433"/>
      <c r="C35" s="433"/>
      <c r="D35" s="434"/>
      <c r="E35" s="435"/>
      <c r="F35" s="436"/>
      <c r="G35" s="436"/>
      <c r="H35" s="436"/>
      <c r="I35" s="436"/>
      <c r="J35" s="436"/>
    </row>
    <row r="36" spans="1:14">
      <c r="A36" s="5">
        <f t="shared" si="0"/>
        <v>28</v>
      </c>
      <c r="B36" s="433"/>
      <c r="C36" s="433"/>
      <c r="D36" s="433"/>
      <c r="E36" s="435"/>
      <c r="F36" s="436"/>
      <c r="G36" s="436"/>
      <c r="H36" s="436"/>
      <c r="I36" s="436"/>
      <c r="J36" s="436"/>
    </row>
    <row r="37" spans="1:14">
      <c r="A37" s="5">
        <f t="shared" si="0"/>
        <v>29</v>
      </c>
      <c r="B37" s="433"/>
      <c r="C37" s="433"/>
      <c r="D37" s="433"/>
      <c r="E37" s="435"/>
      <c r="F37" s="436"/>
      <c r="G37" s="436"/>
      <c r="H37" s="436"/>
      <c r="I37" s="436"/>
      <c r="J37" s="436"/>
    </row>
    <row r="38" spans="1:14">
      <c r="A38" s="5">
        <f t="shared" si="0"/>
        <v>30</v>
      </c>
      <c r="B38" s="433"/>
      <c r="C38" s="433"/>
      <c r="D38" s="433"/>
      <c r="E38" s="433"/>
      <c r="F38" s="436"/>
      <c r="G38" s="436"/>
      <c r="H38" s="436"/>
      <c r="I38" s="436"/>
      <c r="J38" s="436"/>
      <c r="N38" s="437"/>
    </row>
    <row r="39" spans="1:14">
      <c r="A39" s="5">
        <f t="shared" si="0"/>
        <v>31</v>
      </c>
      <c r="B39" s="433"/>
      <c r="C39" s="433"/>
      <c r="D39" s="433"/>
      <c r="E39" s="435"/>
      <c r="F39" s="436"/>
      <c r="G39" s="436"/>
      <c r="H39" s="436"/>
      <c r="I39" s="436"/>
      <c r="J39" s="436"/>
    </row>
    <row r="40" spans="1:14">
      <c r="A40" s="5">
        <f t="shared" si="0"/>
        <v>32</v>
      </c>
      <c r="B40" s="433"/>
      <c r="C40" s="433"/>
      <c r="D40" s="434"/>
      <c r="E40" s="435"/>
      <c r="F40" s="436"/>
      <c r="G40" s="436"/>
      <c r="H40" s="436"/>
      <c r="I40" s="436"/>
      <c r="J40" s="436"/>
    </row>
    <row r="41" spans="1:14">
      <c r="A41" s="5">
        <f t="shared" si="0"/>
        <v>33</v>
      </c>
      <c r="B41" s="433"/>
      <c r="C41" s="433"/>
      <c r="D41" s="434"/>
      <c r="E41" s="435"/>
      <c r="F41" s="436"/>
      <c r="G41" s="436"/>
      <c r="H41" s="436"/>
      <c r="I41" s="436"/>
      <c r="J41" s="436"/>
    </row>
    <row r="42" spans="1:14">
      <c r="A42" s="5">
        <f t="shared" si="0"/>
        <v>34</v>
      </c>
      <c r="B42" s="433"/>
      <c r="C42" s="433"/>
      <c r="D42" s="434"/>
      <c r="E42" s="435"/>
      <c r="F42" s="436"/>
      <c r="G42" s="436"/>
      <c r="H42" s="436"/>
      <c r="I42" s="436"/>
      <c r="J42" s="436"/>
    </row>
    <row r="43" spans="1:14">
      <c r="A43" s="5">
        <f t="shared" si="0"/>
        <v>35</v>
      </c>
      <c r="B43" s="433"/>
      <c r="C43" s="433"/>
      <c r="D43" s="434"/>
      <c r="E43" s="435"/>
      <c r="F43" s="436"/>
      <c r="G43" s="436"/>
      <c r="H43" s="436"/>
      <c r="I43" s="436"/>
      <c r="J43" s="436"/>
    </row>
    <row r="44" spans="1:14">
      <c r="A44" s="5">
        <f t="shared" si="0"/>
        <v>36</v>
      </c>
      <c r="B44" s="433"/>
      <c r="C44" s="433"/>
      <c r="D44" s="433"/>
      <c r="E44" s="435"/>
      <c r="F44" s="436"/>
      <c r="G44" s="436"/>
      <c r="H44" s="436"/>
      <c r="I44" s="436"/>
      <c r="J44" s="436"/>
    </row>
    <row r="45" spans="1:14">
      <c r="A45" s="5">
        <f t="shared" si="0"/>
        <v>37</v>
      </c>
      <c r="B45" s="433"/>
      <c r="C45" s="433"/>
      <c r="D45" s="433"/>
      <c r="E45" s="435"/>
      <c r="F45" s="436"/>
      <c r="G45" s="436"/>
      <c r="H45" s="436"/>
      <c r="I45" s="436"/>
      <c r="J45" s="436"/>
    </row>
    <row r="46" spans="1:14">
      <c r="A46" s="5">
        <f t="shared" si="0"/>
        <v>38</v>
      </c>
      <c r="B46" s="438"/>
      <c r="C46" s="438"/>
      <c r="D46" s="438"/>
      <c r="E46" s="438"/>
      <c r="F46" s="439"/>
      <c r="G46" s="439"/>
      <c r="H46" s="439"/>
      <c r="I46" s="439"/>
      <c r="J46" s="439"/>
      <c r="K46" s="441"/>
      <c r="L46" s="441"/>
    </row>
    <row r="47" spans="1:14">
      <c r="A47" s="5">
        <f t="shared" si="0"/>
        <v>39</v>
      </c>
      <c r="B47" s="428"/>
      <c r="C47" s="428" t="s">
        <v>9</v>
      </c>
      <c r="D47" s="428"/>
      <c r="E47" s="440"/>
      <c r="F47" s="440">
        <f t="shared" ref="F47:J47" si="5">SUM(F26:F46)</f>
        <v>5538817</v>
      </c>
      <c r="G47" s="440">
        <f t="shared" si="5"/>
        <v>1214961</v>
      </c>
      <c r="H47" s="440">
        <f t="shared" si="5"/>
        <v>528655.42999999993</v>
      </c>
      <c r="I47" s="440">
        <f t="shared" si="5"/>
        <v>0</v>
      </c>
      <c r="J47" s="440">
        <f t="shared" si="5"/>
        <v>7282433.4299999997</v>
      </c>
      <c r="K47" s="441"/>
      <c r="L47" s="441"/>
      <c r="M47" s="441"/>
    </row>
    <row r="48" spans="1:14">
      <c r="A48" s="5">
        <f t="shared" si="0"/>
        <v>40</v>
      </c>
      <c r="E48" s="202"/>
      <c r="F48" s="442"/>
      <c r="G48" s="442"/>
      <c r="H48" s="442"/>
      <c r="I48" s="442"/>
      <c r="J48" s="442"/>
      <c r="M48" s="441"/>
    </row>
    <row r="49" spans="1:12">
      <c r="A49" s="5">
        <f t="shared" si="0"/>
        <v>41</v>
      </c>
      <c r="B49" s="443" t="s">
        <v>166</v>
      </c>
      <c r="E49" s="444"/>
      <c r="F49" s="442"/>
      <c r="G49" s="442"/>
      <c r="H49" s="442"/>
      <c r="I49" s="442"/>
      <c r="J49" s="442"/>
      <c r="K49" s="397"/>
      <c r="L49" s="397"/>
    </row>
    <row r="50" spans="1:12" s="397" customFormat="1" ht="15" customHeight="1">
      <c r="A50" s="5">
        <f t="shared" si="0"/>
        <v>42</v>
      </c>
      <c r="B50" s="2" t="s">
        <v>163</v>
      </c>
      <c r="C50" s="2"/>
      <c r="D50" s="2"/>
      <c r="E50" s="2"/>
      <c r="F50" s="442">
        <f t="shared" ref="F50:J53" si="6">SUMIF($B$26:$B$46,$B50,F$26:F$46)</f>
        <v>908954</v>
      </c>
      <c r="G50" s="442">
        <f t="shared" si="6"/>
        <v>0</v>
      </c>
      <c r="H50" s="442">
        <f t="shared" si="6"/>
        <v>0</v>
      </c>
      <c r="I50" s="442">
        <f t="shared" si="6"/>
        <v>0</v>
      </c>
      <c r="J50" s="442">
        <f t="shared" si="6"/>
        <v>908954</v>
      </c>
      <c r="K50" s="2"/>
      <c r="L50" s="2"/>
    </row>
    <row r="51" spans="1:12">
      <c r="A51" s="5">
        <f t="shared" si="0"/>
        <v>43</v>
      </c>
      <c r="B51" s="2" t="s">
        <v>164</v>
      </c>
      <c r="F51" s="442">
        <f t="shared" si="6"/>
        <v>4629863</v>
      </c>
      <c r="G51" s="442">
        <f t="shared" si="6"/>
        <v>1214961</v>
      </c>
      <c r="H51" s="442">
        <f t="shared" si="6"/>
        <v>0</v>
      </c>
      <c r="I51" s="442">
        <f t="shared" si="6"/>
        <v>0</v>
      </c>
      <c r="J51" s="442">
        <f t="shared" si="6"/>
        <v>5844824</v>
      </c>
    </row>
    <row r="52" spans="1:12">
      <c r="A52" s="5">
        <f t="shared" si="0"/>
        <v>44</v>
      </c>
      <c r="B52" s="2" t="s">
        <v>165</v>
      </c>
      <c r="F52" s="442">
        <f t="shared" si="6"/>
        <v>0</v>
      </c>
      <c r="G52" s="442">
        <f t="shared" si="6"/>
        <v>0</v>
      </c>
      <c r="H52" s="442">
        <f t="shared" si="6"/>
        <v>528655.42999999993</v>
      </c>
      <c r="I52" s="442">
        <f t="shared" si="6"/>
        <v>0</v>
      </c>
      <c r="J52" s="442">
        <f t="shared" si="6"/>
        <v>528655.42999999993</v>
      </c>
    </row>
    <row r="53" spans="1:12">
      <c r="A53" s="5">
        <f t="shared" si="0"/>
        <v>45</v>
      </c>
      <c r="B53" s="2" t="s">
        <v>167</v>
      </c>
      <c r="F53" s="442">
        <f t="shared" si="6"/>
        <v>0</v>
      </c>
      <c r="G53" s="442">
        <f t="shared" si="6"/>
        <v>0</v>
      </c>
      <c r="H53" s="442">
        <f t="shared" si="6"/>
        <v>0</v>
      </c>
      <c r="I53" s="442">
        <f t="shared" si="6"/>
        <v>0</v>
      </c>
      <c r="J53" s="442">
        <f t="shared" si="6"/>
        <v>0</v>
      </c>
    </row>
    <row r="54" spans="1:12">
      <c r="A54" s="5">
        <f t="shared" si="0"/>
        <v>46</v>
      </c>
      <c r="B54" s="428" t="s">
        <v>9</v>
      </c>
      <c r="C54" s="428"/>
      <c r="D54" s="428"/>
      <c r="E54" s="428"/>
      <c r="F54" s="440">
        <f t="shared" ref="F54" si="7">SUM(F50:F53)</f>
        <v>5538817</v>
      </c>
      <c r="G54" s="440">
        <f t="shared" ref="G54:J54" si="8">SUM(G50:G53)</f>
        <v>1214961</v>
      </c>
      <c r="H54" s="440">
        <f t="shared" si="8"/>
        <v>528655.42999999993</v>
      </c>
      <c r="I54" s="440">
        <f t="shared" si="8"/>
        <v>0</v>
      </c>
      <c r="J54" s="440">
        <f t="shared" si="8"/>
        <v>7282433.4299999997</v>
      </c>
    </row>
    <row r="55" spans="1:12">
      <c r="A55" s="5">
        <f t="shared" si="0"/>
        <v>47</v>
      </c>
      <c r="F55" s="442"/>
      <c r="G55" s="442"/>
      <c r="H55" s="442"/>
      <c r="I55" s="442"/>
      <c r="J55" s="442"/>
    </row>
    <row r="56" spans="1:12">
      <c r="A56" s="5">
        <f t="shared" si="0"/>
        <v>48</v>
      </c>
      <c r="B56" s="445" t="s">
        <v>433</v>
      </c>
    </row>
    <row r="57" spans="1:12">
      <c r="A57" s="5">
        <f t="shared" si="0"/>
        <v>49</v>
      </c>
      <c r="B57" s="2" t="s">
        <v>165</v>
      </c>
      <c r="C57" s="2" t="s">
        <v>168</v>
      </c>
    </row>
    <row r="58" spans="1:12">
      <c r="A58" s="5">
        <f t="shared" si="0"/>
        <v>50</v>
      </c>
      <c r="B58" s="2" t="s">
        <v>164</v>
      </c>
      <c r="C58" s="2" t="s">
        <v>169</v>
      </c>
    </row>
    <row r="59" spans="1:12">
      <c r="A59" s="5">
        <f t="shared" si="0"/>
        <v>51</v>
      </c>
      <c r="B59" s="2" t="s">
        <v>163</v>
      </c>
      <c r="C59" s="2" t="s">
        <v>170</v>
      </c>
    </row>
    <row r="60" spans="1:12">
      <c r="A60" s="5"/>
    </row>
    <row r="61" spans="1:12">
      <c r="A61" s="446" t="s">
        <v>155</v>
      </c>
    </row>
    <row r="62" spans="1:12" ht="12.75" customHeight="1">
      <c r="A62" s="28" t="s">
        <v>76</v>
      </c>
      <c r="B62" s="917" t="s">
        <v>87</v>
      </c>
      <c r="C62" s="917"/>
      <c r="D62" s="917"/>
      <c r="E62" s="917"/>
      <c r="F62" s="917"/>
      <c r="G62" s="917"/>
      <c r="H62" s="917"/>
      <c r="I62" s="917"/>
      <c r="J62" s="917"/>
      <c r="K62" s="917"/>
    </row>
    <row r="63" spans="1:12" ht="103.35" customHeight="1">
      <c r="A63" s="71" t="s">
        <v>77</v>
      </c>
      <c r="B63" s="912" t="s">
        <v>1233</v>
      </c>
      <c r="C63" s="912"/>
      <c r="D63" s="912"/>
      <c r="E63" s="912"/>
      <c r="F63" s="912"/>
      <c r="G63" s="912"/>
      <c r="H63" s="912"/>
      <c r="I63" s="912"/>
      <c r="J63" s="912"/>
    </row>
    <row r="64" spans="1:12">
      <c r="A64" s="28" t="s">
        <v>78</v>
      </c>
      <c r="B64" s="2" t="s">
        <v>1259</v>
      </c>
    </row>
  </sheetData>
  <mergeCells count="7">
    <mergeCell ref="B63:J63"/>
    <mergeCell ref="B62:K62"/>
    <mergeCell ref="H8:I8"/>
    <mergeCell ref="H7:I7"/>
    <mergeCell ref="A1:J1"/>
    <mergeCell ref="A2:J2"/>
    <mergeCell ref="A3:J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sheetPr>
  <dimension ref="A1:H49"/>
  <sheetViews>
    <sheetView zoomScale="80" zoomScaleNormal="80" workbookViewId="0">
      <selection activeCell="D30" sqref="D30"/>
    </sheetView>
  </sheetViews>
  <sheetFormatPr defaultColWidth="7.08984375" defaultRowHeight="13.2"/>
  <cols>
    <col min="1" max="1" width="5.54296875" style="190" customWidth="1"/>
    <col min="2" max="2" width="38.81640625" style="190" bestFit="1" customWidth="1"/>
    <col min="3" max="3" width="24.08984375" style="190" customWidth="1"/>
    <col min="4" max="4" width="11.08984375" style="205" customWidth="1"/>
    <col min="5" max="5" width="7.08984375" style="190"/>
    <col min="6" max="6" width="8.6328125" style="190" bestFit="1" customWidth="1"/>
    <col min="7" max="16384" width="7.08984375" style="190"/>
  </cols>
  <sheetData>
    <row r="1" spans="1:8" ht="14.25" customHeight="1">
      <c r="A1" s="935" t="s">
        <v>412</v>
      </c>
      <c r="B1" s="935"/>
      <c r="C1" s="935"/>
      <c r="D1" s="935"/>
      <c r="F1" s="191"/>
    </row>
    <row r="2" spans="1:8">
      <c r="A2" s="935" t="s">
        <v>173</v>
      </c>
      <c r="B2" s="935"/>
      <c r="C2" s="935"/>
      <c r="D2" s="935"/>
    </row>
    <row r="3" spans="1:8">
      <c r="A3" s="936" t="str">
        <f>'Act Att-H'!C7</f>
        <v>Black Hills Colorado Electric, LLC</v>
      </c>
      <c r="B3" s="935"/>
      <c r="C3" s="935"/>
      <c r="D3" s="935"/>
    </row>
    <row r="4" spans="1:8">
      <c r="D4" s="192" t="s">
        <v>515</v>
      </c>
    </row>
    <row r="5" spans="1:8">
      <c r="D5" s="190"/>
    </row>
    <row r="6" spans="1:8">
      <c r="A6" s="193" t="s">
        <v>4</v>
      </c>
      <c r="C6" s="194" t="s">
        <v>20</v>
      </c>
      <c r="D6" s="195"/>
    </row>
    <row r="7" spans="1:8">
      <c r="A7" s="196" t="s">
        <v>6</v>
      </c>
      <c r="B7" s="196" t="s">
        <v>368</v>
      </c>
      <c r="C7" s="197" t="s">
        <v>22</v>
      </c>
      <c r="D7" s="198" t="s">
        <v>23</v>
      </c>
    </row>
    <row r="8" spans="1:8" ht="13.35" customHeight="1">
      <c r="A8" s="193">
        <v>1</v>
      </c>
      <c r="B8" s="190" t="s">
        <v>174</v>
      </c>
      <c r="C8" s="190" t="s">
        <v>175</v>
      </c>
      <c r="D8" s="199">
        <v>13899</v>
      </c>
    </row>
    <row r="9" spans="1:8" ht="13.35" customHeight="1">
      <c r="A9" s="193">
        <v>2</v>
      </c>
      <c r="B9" s="190" t="s">
        <v>176</v>
      </c>
      <c r="C9" s="190" t="s">
        <v>177</v>
      </c>
      <c r="D9" s="199">
        <v>1199425</v>
      </c>
      <c r="F9" s="200"/>
      <c r="H9" s="201"/>
    </row>
    <row r="10" spans="1:8" ht="13.35" customHeight="1">
      <c r="A10" s="193">
        <v>3</v>
      </c>
      <c r="B10" s="190" t="s">
        <v>178</v>
      </c>
      <c r="C10" s="190" t="s">
        <v>179</v>
      </c>
      <c r="D10" s="199">
        <v>213181</v>
      </c>
      <c r="F10" s="202"/>
    </row>
    <row r="11" spans="1:8" ht="13.35" customHeight="1">
      <c r="A11" s="193">
        <v>4</v>
      </c>
      <c r="B11" s="190" t="s">
        <v>786</v>
      </c>
      <c r="C11" s="190" t="s">
        <v>366</v>
      </c>
      <c r="D11" s="199">
        <v>0</v>
      </c>
      <c r="F11" s="203"/>
    </row>
    <row r="12" spans="1:8" ht="13.35" customHeight="1">
      <c r="A12" s="193" t="s">
        <v>766</v>
      </c>
      <c r="B12" s="190" t="s">
        <v>775</v>
      </c>
      <c r="C12" s="190" t="s">
        <v>685</v>
      </c>
      <c r="D12" s="199">
        <v>0</v>
      </c>
      <c r="F12" s="203"/>
    </row>
    <row r="13" spans="1:8" ht="13.35" customHeight="1">
      <c r="A13" s="193" t="s">
        <v>767</v>
      </c>
      <c r="B13" s="190" t="s">
        <v>776</v>
      </c>
      <c r="C13" s="190" t="s">
        <v>685</v>
      </c>
      <c r="D13" s="199">
        <v>0</v>
      </c>
      <c r="F13" s="203"/>
    </row>
    <row r="14" spans="1:8" ht="13.35" customHeight="1" thickBot="1">
      <c r="A14" s="193">
        <v>5</v>
      </c>
      <c r="B14" s="190" t="s">
        <v>214</v>
      </c>
      <c r="C14" s="190" t="s">
        <v>785</v>
      </c>
      <c r="D14" s="204">
        <f>SUM(D8:D10,D12:D13)-D11</f>
        <v>1426505</v>
      </c>
      <c r="G14" s="203"/>
    </row>
    <row r="15" spans="1:8" ht="13.35" customHeight="1" thickTop="1">
      <c r="A15" s="193">
        <v>6</v>
      </c>
    </row>
    <row r="16" spans="1:8" ht="13.35" customHeight="1">
      <c r="A16" s="193">
        <v>7</v>
      </c>
    </row>
    <row r="17" spans="1:8" ht="13.35" customHeight="1">
      <c r="A17" s="193">
        <v>8</v>
      </c>
      <c r="B17" s="206" t="s">
        <v>180</v>
      </c>
      <c r="D17" s="207"/>
      <c r="G17" s="201"/>
    </row>
    <row r="18" spans="1:8" ht="13.35" customHeight="1">
      <c r="A18" s="193">
        <v>9</v>
      </c>
      <c r="D18" s="207"/>
      <c r="H18" s="201"/>
    </row>
    <row r="19" spans="1:8" ht="13.35" customHeight="1">
      <c r="A19" s="193">
        <v>10</v>
      </c>
      <c r="B19" s="190" t="s">
        <v>623</v>
      </c>
      <c r="C19" s="190" t="s">
        <v>624</v>
      </c>
      <c r="D19" s="199">
        <v>0</v>
      </c>
    </row>
    <row r="20" spans="1:8" ht="13.35" customHeight="1">
      <c r="A20" s="193">
        <v>11</v>
      </c>
      <c r="B20" s="190" t="s">
        <v>684</v>
      </c>
      <c r="C20" s="190" t="s">
        <v>1217</v>
      </c>
      <c r="D20" s="199">
        <v>92495</v>
      </c>
      <c r="H20" s="201"/>
    </row>
    <row r="21" spans="1:8" ht="13.35" customHeight="1">
      <c r="A21" s="193">
        <v>12</v>
      </c>
      <c r="D21" s="202"/>
    </row>
    <row r="22" spans="1:8" ht="13.35" customHeight="1">
      <c r="A22" s="193">
        <v>13</v>
      </c>
      <c r="D22" s="208"/>
    </row>
    <row r="23" spans="1:8" ht="13.35" customHeight="1">
      <c r="A23" s="193">
        <v>14</v>
      </c>
      <c r="B23" s="190" t="s">
        <v>9</v>
      </c>
      <c r="C23" s="206"/>
      <c r="D23" s="209">
        <f>SUM(D19:D22)</f>
        <v>92495</v>
      </c>
    </row>
    <row r="24" spans="1:8" ht="13.35" customHeight="1">
      <c r="A24" s="193">
        <v>15</v>
      </c>
      <c r="D24" s="202"/>
    </row>
    <row r="25" spans="1:8" ht="13.35" customHeight="1" thickBot="1">
      <c r="A25" s="193">
        <v>16</v>
      </c>
      <c r="B25" s="190" t="s">
        <v>215</v>
      </c>
      <c r="D25" s="204">
        <f>+D23</f>
        <v>92495</v>
      </c>
    </row>
    <row r="26" spans="1:8" ht="13.35" customHeight="1" thickTop="1">
      <c r="A26" s="193">
        <v>17</v>
      </c>
      <c r="D26" s="210"/>
    </row>
    <row r="27" spans="1:8" ht="13.35" customHeight="1">
      <c r="A27" s="193">
        <v>18</v>
      </c>
      <c r="D27" s="210"/>
    </row>
    <row r="28" spans="1:8" ht="13.35" customHeight="1">
      <c r="A28" s="193">
        <v>19</v>
      </c>
      <c r="B28" s="206" t="s">
        <v>787</v>
      </c>
      <c r="D28" s="210"/>
    </row>
    <row r="29" spans="1:8" ht="13.35" customHeight="1">
      <c r="A29" s="193">
        <v>20</v>
      </c>
      <c r="B29" s="190" t="s">
        <v>181</v>
      </c>
      <c r="C29" s="190" t="s">
        <v>367</v>
      </c>
      <c r="D29" s="199">
        <v>0</v>
      </c>
    </row>
    <row r="30" spans="1:8" ht="13.35" customHeight="1">
      <c r="A30" s="193">
        <v>21</v>
      </c>
      <c r="B30" s="190" t="s">
        <v>182</v>
      </c>
      <c r="C30" s="190" t="s">
        <v>367</v>
      </c>
      <c r="D30" s="199">
        <v>294214.92239999998</v>
      </c>
    </row>
    <row r="31" spans="1:8" ht="13.35" customHeight="1" thickBot="1">
      <c r="A31" s="193">
        <v>22</v>
      </c>
      <c r="B31" s="190" t="s">
        <v>787</v>
      </c>
      <c r="C31" s="190" t="s">
        <v>750</v>
      </c>
      <c r="D31" s="204">
        <f>SUM(D29:D30)</f>
        <v>294214.92239999998</v>
      </c>
    </row>
    <row r="32" spans="1:8" ht="13.35" customHeight="1" thickTop="1">
      <c r="A32" s="193"/>
      <c r="D32" s="210"/>
    </row>
    <row r="33" spans="1:4" ht="13.35" customHeight="1">
      <c r="A33" s="354" t="s">
        <v>155</v>
      </c>
      <c r="B33" s="211"/>
      <c r="D33" s="210"/>
    </row>
    <row r="34" spans="1:4" ht="25.5" customHeight="1">
      <c r="A34" s="394" t="s">
        <v>76</v>
      </c>
      <c r="B34" s="934" t="s">
        <v>517</v>
      </c>
      <c r="C34" s="934"/>
      <c r="D34" s="934"/>
    </row>
    <row r="35" spans="1:4" ht="33" customHeight="1">
      <c r="A35" s="394" t="s">
        <v>77</v>
      </c>
      <c r="B35" s="934" t="s">
        <v>696</v>
      </c>
      <c r="C35" s="934"/>
      <c r="D35" s="934"/>
    </row>
    <row r="36" spans="1:4" ht="32.25" customHeight="1">
      <c r="A36" s="394" t="s">
        <v>78</v>
      </c>
      <c r="B36" s="934" t="s">
        <v>622</v>
      </c>
      <c r="C36" s="934"/>
      <c r="D36" s="934"/>
    </row>
    <row r="37" spans="1:4" ht="25.5" customHeight="1">
      <c r="A37" s="394" t="s">
        <v>79</v>
      </c>
      <c r="B37" s="934" t="s">
        <v>973</v>
      </c>
      <c r="C37" s="934"/>
      <c r="D37" s="934"/>
    </row>
    <row r="38" spans="1:4">
      <c r="A38" s="193"/>
    </row>
    <row r="39" spans="1:4">
      <c r="A39" s="193"/>
    </row>
    <row r="40" spans="1:4">
      <c r="A40" s="193"/>
    </row>
    <row r="41" spans="1:4">
      <c r="A41" s="193"/>
    </row>
    <row r="42" spans="1:4">
      <c r="A42" s="193"/>
    </row>
    <row r="43" spans="1:4">
      <c r="A43" s="193"/>
    </row>
    <row r="44" spans="1:4">
      <c r="A44" s="193"/>
    </row>
    <row r="45" spans="1:4">
      <c r="A45" s="193"/>
    </row>
    <row r="46" spans="1:4">
      <c r="A46" s="193"/>
    </row>
    <row r="47" spans="1:4">
      <c r="A47" s="193"/>
    </row>
    <row r="49" ht="25.5" customHeight="1"/>
  </sheetData>
  <mergeCells count="7">
    <mergeCell ref="B37:D37"/>
    <mergeCell ref="B36:D36"/>
    <mergeCell ref="B35:D35"/>
    <mergeCell ref="A1:D1"/>
    <mergeCell ref="A2:D2"/>
    <mergeCell ref="A3:D3"/>
    <mergeCell ref="B34:D34"/>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sheetPr>
  <dimension ref="A1:I105"/>
  <sheetViews>
    <sheetView zoomScale="80" zoomScaleNormal="80" workbookViewId="0">
      <selection activeCell="K30" sqref="K30"/>
    </sheetView>
  </sheetViews>
  <sheetFormatPr defaultRowHeight="13.2"/>
  <cols>
    <col min="1" max="1" width="6.08984375" style="2" customWidth="1"/>
    <col min="2" max="2" width="34.08984375" style="2" bestFit="1" customWidth="1"/>
    <col min="3" max="3" width="13.26953125" style="2" bestFit="1" customWidth="1"/>
    <col min="4" max="5" width="12.08984375" style="2" bestFit="1" customWidth="1"/>
    <col min="6" max="6" width="15.54296875" style="2" bestFit="1" customWidth="1"/>
    <col min="7" max="7" width="9.90625" style="2" bestFit="1" customWidth="1"/>
    <col min="8" max="8" width="10.6328125" style="2" bestFit="1" customWidth="1"/>
    <col min="9" max="252" width="8.6328125" style="2"/>
    <col min="253" max="253" width="6.08984375" style="2" customWidth="1"/>
    <col min="254" max="256" width="11.6328125" style="2" customWidth="1"/>
    <col min="257" max="258" width="9.6328125" style="2" customWidth="1"/>
    <col min="259" max="259" width="15.08984375" style="2" bestFit="1" customWidth="1"/>
    <col min="260" max="508" width="8.6328125" style="2"/>
    <col min="509" max="509" width="6.08984375" style="2" customWidth="1"/>
    <col min="510" max="512" width="11.6328125" style="2" customWidth="1"/>
    <col min="513" max="514" width="9.6328125" style="2" customWidth="1"/>
    <col min="515" max="515" width="15.08984375" style="2" bestFit="1" customWidth="1"/>
    <col min="516" max="764" width="8.6328125" style="2"/>
    <col min="765" max="765" width="6.08984375" style="2" customWidth="1"/>
    <col min="766" max="768" width="11.6328125" style="2" customWidth="1"/>
    <col min="769" max="770" width="9.6328125" style="2" customWidth="1"/>
    <col min="771" max="771" width="15.08984375" style="2" bestFit="1" customWidth="1"/>
    <col min="772" max="1020" width="8.6328125" style="2"/>
    <col min="1021" max="1021" width="6.08984375" style="2" customWidth="1"/>
    <col min="1022" max="1024" width="11.6328125" style="2" customWidth="1"/>
    <col min="1025" max="1026" width="9.6328125" style="2" customWidth="1"/>
    <col min="1027" max="1027" width="15.08984375" style="2" bestFit="1" customWidth="1"/>
    <col min="1028" max="1276" width="8.6328125" style="2"/>
    <col min="1277" max="1277" width="6.08984375" style="2" customWidth="1"/>
    <col min="1278" max="1280" width="11.6328125" style="2" customWidth="1"/>
    <col min="1281" max="1282" width="9.6328125" style="2" customWidth="1"/>
    <col min="1283" max="1283" width="15.08984375" style="2" bestFit="1" customWidth="1"/>
    <col min="1284" max="1532" width="8.6328125" style="2"/>
    <col min="1533" max="1533" width="6.08984375" style="2" customWidth="1"/>
    <col min="1534" max="1536" width="11.6328125" style="2" customWidth="1"/>
    <col min="1537" max="1538" width="9.6328125" style="2" customWidth="1"/>
    <col min="1539" max="1539" width="15.08984375" style="2" bestFit="1" customWidth="1"/>
    <col min="1540" max="1788" width="8.6328125" style="2"/>
    <col min="1789" max="1789" width="6.08984375" style="2" customWidth="1"/>
    <col min="1790" max="1792" width="11.6328125" style="2" customWidth="1"/>
    <col min="1793" max="1794" width="9.6328125" style="2" customWidth="1"/>
    <col min="1795" max="1795" width="15.08984375" style="2" bestFit="1" customWidth="1"/>
    <col min="1796" max="2044" width="8.6328125" style="2"/>
    <col min="2045" max="2045" width="6.08984375" style="2" customWidth="1"/>
    <col min="2046" max="2048" width="11.6328125" style="2" customWidth="1"/>
    <col min="2049" max="2050" width="9.6328125" style="2" customWidth="1"/>
    <col min="2051" max="2051" width="15.08984375" style="2" bestFit="1" customWidth="1"/>
    <col min="2052" max="2300" width="8.6328125" style="2"/>
    <col min="2301" max="2301" width="6.08984375" style="2" customWidth="1"/>
    <col min="2302" max="2304" width="11.6328125" style="2" customWidth="1"/>
    <col min="2305" max="2306" width="9.6328125" style="2" customWidth="1"/>
    <col min="2307" max="2307" width="15.08984375" style="2" bestFit="1" customWidth="1"/>
    <col min="2308" max="2556" width="8.6328125" style="2"/>
    <col min="2557" max="2557" width="6.08984375" style="2" customWidth="1"/>
    <col min="2558" max="2560" width="11.6328125" style="2" customWidth="1"/>
    <col min="2561" max="2562" width="9.6328125" style="2" customWidth="1"/>
    <col min="2563" max="2563" width="15.08984375" style="2" bestFit="1" customWidth="1"/>
    <col min="2564" max="2812" width="8.6328125" style="2"/>
    <col min="2813" max="2813" width="6.08984375" style="2" customWidth="1"/>
    <col min="2814" max="2816" width="11.6328125" style="2" customWidth="1"/>
    <col min="2817" max="2818" width="9.6328125" style="2" customWidth="1"/>
    <col min="2819" max="2819" width="15.08984375" style="2" bestFit="1" customWidth="1"/>
    <col min="2820" max="3068" width="8.6328125" style="2"/>
    <col min="3069" max="3069" width="6.08984375" style="2" customWidth="1"/>
    <col min="3070" max="3072" width="11.6328125" style="2" customWidth="1"/>
    <col min="3073" max="3074" width="9.6328125" style="2" customWidth="1"/>
    <col min="3075" max="3075" width="15.08984375" style="2" bestFit="1" customWidth="1"/>
    <col min="3076" max="3324" width="8.6328125" style="2"/>
    <col min="3325" max="3325" width="6.08984375" style="2" customWidth="1"/>
    <col min="3326" max="3328" width="11.6328125" style="2" customWidth="1"/>
    <col min="3329" max="3330" width="9.6328125" style="2" customWidth="1"/>
    <col min="3331" max="3331" width="15.08984375" style="2" bestFit="1" customWidth="1"/>
    <col min="3332" max="3580" width="8.6328125" style="2"/>
    <col min="3581" max="3581" width="6.08984375" style="2" customWidth="1"/>
    <col min="3582" max="3584" width="11.6328125" style="2" customWidth="1"/>
    <col min="3585" max="3586" width="9.6328125" style="2" customWidth="1"/>
    <col min="3587" max="3587" width="15.08984375" style="2" bestFit="1" customWidth="1"/>
    <col min="3588" max="3836" width="8.6328125" style="2"/>
    <col min="3837" max="3837" width="6.08984375" style="2" customWidth="1"/>
    <col min="3838" max="3840" width="11.6328125" style="2" customWidth="1"/>
    <col min="3841" max="3842" width="9.6328125" style="2" customWidth="1"/>
    <col min="3843" max="3843" width="15.08984375" style="2" bestFit="1" customWidth="1"/>
    <col min="3844" max="4092" width="8.6328125" style="2"/>
    <col min="4093" max="4093" width="6.08984375" style="2" customWidth="1"/>
    <col min="4094" max="4096" width="11.6328125" style="2" customWidth="1"/>
    <col min="4097" max="4098" width="9.6328125" style="2" customWidth="1"/>
    <col min="4099" max="4099" width="15.08984375" style="2" bestFit="1" customWidth="1"/>
    <col min="4100" max="4348" width="8.6328125" style="2"/>
    <col min="4349" max="4349" width="6.08984375" style="2" customWidth="1"/>
    <col min="4350" max="4352" width="11.6328125" style="2" customWidth="1"/>
    <col min="4353" max="4354" width="9.6328125" style="2" customWidth="1"/>
    <col min="4355" max="4355" width="15.08984375" style="2" bestFit="1" customWidth="1"/>
    <col min="4356" max="4604" width="8.6328125" style="2"/>
    <col min="4605" max="4605" width="6.08984375" style="2" customWidth="1"/>
    <col min="4606" max="4608" width="11.6328125" style="2" customWidth="1"/>
    <col min="4609" max="4610" width="9.6328125" style="2" customWidth="1"/>
    <col min="4611" max="4611" width="15.08984375" style="2" bestFit="1" customWidth="1"/>
    <col min="4612" max="4860" width="8.6328125" style="2"/>
    <col min="4861" max="4861" width="6.08984375" style="2" customWidth="1"/>
    <col min="4862" max="4864" width="11.6328125" style="2" customWidth="1"/>
    <col min="4865" max="4866" width="9.6328125" style="2" customWidth="1"/>
    <col min="4867" max="4867" width="15.08984375" style="2" bestFit="1" customWidth="1"/>
    <col min="4868" max="5116" width="8.6328125" style="2"/>
    <col min="5117" max="5117" width="6.08984375" style="2" customWidth="1"/>
    <col min="5118" max="5120" width="11.6328125" style="2" customWidth="1"/>
    <col min="5121" max="5122" width="9.6328125" style="2" customWidth="1"/>
    <col min="5123" max="5123" width="15.08984375" style="2" bestFit="1" customWidth="1"/>
    <col min="5124" max="5372" width="8.6328125" style="2"/>
    <col min="5373" max="5373" width="6.08984375" style="2" customWidth="1"/>
    <col min="5374" max="5376" width="11.6328125" style="2" customWidth="1"/>
    <col min="5377" max="5378" width="9.6328125" style="2" customWidth="1"/>
    <col min="5379" max="5379" width="15.08984375" style="2" bestFit="1" customWidth="1"/>
    <col min="5380" max="5628" width="8.6328125" style="2"/>
    <col min="5629" max="5629" width="6.08984375" style="2" customWidth="1"/>
    <col min="5630" max="5632" width="11.6328125" style="2" customWidth="1"/>
    <col min="5633" max="5634" width="9.6328125" style="2" customWidth="1"/>
    <col min="5635" max="5635" width="15.08984375" style="2" bestFit="1" customWidth="1"/>
    <col min="5636" max="5884" width="8.6328125" style="2"/>
    <col min="5885" max="5885" width="6.08984375" style="2" customWidth="1"/>
    <col min="5886" max="5888" width="11.6328125" style="2" customWidth="1"/>
    <col min="5889" max="5890" width="9.6328125" style="2" customWidth="1"/>
    <col min="5891" max="5891" width="15.08984375" style="2" bestFit="1" customWidth="1"/>
    <col min="5892" max="6140" width="8.6328125" style="2"/>
    <col min="6141" max="6141" width="6.08984375" style="2" customWidth="1"/>
    <col min="6142" max="6144" width="11.6328125" style="2" customWidth="1"/>
    <col min="6145" max="6146" width="9.6328125" style="2" customWidth="1"/>
    <col min="6147" max="6147" width="15.08984375" style="2" bestFit="1" customWidth="1"/>
    <col min="6148" max="6396" width="8.6328125" style="2"/>
    <col min="6397" max="6397" width="6.08984375" style="2" customWidth="1"/>
    <col min="6398" max="6400" width="11.6328125" style="2" customWidth="1"/>
    <col min="6401" max="6402" width="9.6328125" style="2" customWidth="1"/>
    <col min="6403" max="6403" width="15.08984375" style="2" bestFit="1" customWidth="1"/>
    <col min="6404" max="6652" width="8.6328125" style="2"/>
    <col min="6653" max="6653" width="6.08984375" style="2" customWidth="1"/>
    <col min="6654" max="6656" width="11.6328125" style="2" customWidth="1"/>
    <col min="6657" max="6658" width="9.6328125" style="2" customWidth="1"/>
    <col min="6659" max="6659" width="15.08984375" style="2" bestFit="1" customWidth="1"/>
    <col min="6660" max="6908" width="8.6328125" style="2"/>
    <col min="6909" max="6909" width="6.08984375" style="2" customWidth="1"/>
    <col min="6910" max="6912" width="11.6328125" style="2" customWidth="1"/>
    <col min="6913" max="6914" width="9.6328125" style="2" customWidth="1"/>
    <col min="6915" max="6915" width="15.08984375" style="2" bestFit="1" customWidth="1"/>
    <col min="6916" max="7164" width="8.6328125" style="2"/>
    <col min="7165" max="7165" width="6.08984375" style="2" customWidth="1"/>
    <col min="7166" max="7168" width="11.6328125" style="2" customWidth="1"/>
    <col min="7169" max="7170" width="9.6328125" style="2" customWidth="1"/>
    <col min="7171" max="7171" width="15.08984375" style="2" bestFit="1" customWidth="1"/>
    <col min="7172" max="7420" width="8.6328125" style="2"/>
    <col min="7421" max="7421" width="6.08984375" style="2" customWidth="1"/>
    <col min="7422" max="7424" width="11.6328125" style="2" customWidth="1"/>
    <col min="7425" max="7426" width="9.6328125" style="2" customWidth="1"/>
    <col min="7427" max="7427" width="15.08984375" style="2" bestFit="1" customWidth="1"/>
    <col min="7428" max="7676" width="8.6328125" style="2"/>
    <col min="7677" max="7677" width="6.08984375" style="2" customWidth="1"/>
    <col min="7678" max="7680" width="11.6328125" style="2" customWidth="1"/>
    <col min="7681" max="7682" width="9.6328125" style="2" customWidth="1"/>
    <col min="7683" max="7683" width="15.08984375" style="2" bestFit="1" customWidth="1"/>
    <col min="7684" max="7932" width="8.6328125" style="2"/>
    <col min="7933" max="7933" width="6.08984375" style="2" customWidth="1"/>
    <col min="7934" max="7936" width="11.6328125" style="2" customWidth="1"/>
    <col min="7937" max="7938" width="9.6328125" style="2" customWidth="1"/>
    <col min="7939" max="7939" width="15.08984375" style="2" bestFit="1" customWidth="1"/>
    <col min="7940" max="8188" width="8.6328125" style="2"/>
    <col min="8189" max="8189" width="6.08984375" style="2" customWidth="1"/>
    <col min="8190" max="8192" width="11.6328125" style="2" customWidth="1"/>
    <col min="8193" max="8194" width="9.6328125" style="2" customWidth="1"/>
    <col min="8195" max="8195" width="15.08984375" style="2" bestFit="1" customWidth="1"/>
    <col min="8196" max="8444" width="8.6328125" style="2"/>
    <col min="8445" max="8445" width="6.08984375" style="2" customWidth="1"/>
    <col min="8446" max="8448" width="11.6328125" style="2" customWidth="1"/>
    <col min="8449" max="8450" width="9.6328125" style="2" customWidth="1"/>
    <col min="8451" max="8451" width="15.08984375" style="2" bestFit="1" customWidth="1"/>
    <col min="8452" max="8700" width="8.6328125" style="2"/>
    <col min="8701" max="8701" width="6.08984375" style="2" customWidth="1"/>
    <col min="8702" max="8704" width="11.6328125" style="2" customWidth="1"/>
    <col min="8705" max="8706" width="9.6328125" style="2" customWidth="1"/>
    <col min="8707" max="8707" width="15.08984375" style="2" bestFit="1" customWidth="1"/>
    <col min="8708" max="8956" width="8.6328125" style="2"/>
    <col min="8957" max="8957" width="6.08984375" style="2" customWidth="1"/>
    <col min="8958" max="8960" width="11.6328125" style="2" customWidth="1"/>
    <col min="8961" max="8962" width="9.6328125" style="2" customWidth="1"/>
    <col min="8963" max="8963" width="15.08984375" style="2" bestFit="1" customWidth="1"/>
    <col min="8964" max="9212" width="8.6328125" style="2"/>
    <col min="9213" max="9213" width="6.08984375" style="2" customWidth="1"/>
    <col min="9214" max="9216" width="11.6328125" style="2" customWidth="1"/>
    <col min="9217" max="9218" width="9.6328125" style="2" customWidth="1"/>
    <col min="9219" max="9219" width="15.08984375" style="2" bestFit="1" customWidth="1"/>
    <col min="9220" max="9468" width="8.6328125" style="2"/>
    <col min="9469" max="9469" width="6.08984375" style="2" customWidth="1"/>
    <col min="9470" max="9472" width="11.6328125" style="2" customWidth="1"/>
    <col min="9473" max="9474" width="9.6328125" style="2" customWidth="1"/>
    <col min="9475" max="9475" width="15.08984375" style="2" bestFit="1" customWidth="1"/>
    <col min="9476" max="9724" width="8.6328125" style="2"/>
    <col min="9725" max="9725" width="6.08984375" style="2" customWidth="1"/>
    <col min="9726" max="9728" width="11.6328125" style="2" customWidth="1"/>
    <col min="9729" max="9730" width="9.6328125" style="2" customWidth="1"/>
    <col min="9731" max="9731" width="15.08984375" style="2" bestFit="1" customWidth="1"/>
    <col min="9732" max="9980" width="8.6328125" style="2"/>
    <col min="9981" max="9981" width="6.08984375" style="2" customWidth="1"/>
    <col min="9982" max="9984" width="11.6328125" style="2" customWidth="1"/>
    <col min="9985" max="9986" width="9.6328125" style="2" customWidth="1"/>
    <col min="9987" max="9987" width="15.08984375" style="2" bestFit="1" customWidth="1"/>
    <col min="9988" max="10236" width="8.6328125" style="2"/>
    <col min="10237" max="10237" width="6.08984375" style="2" customWidth="1"/>
    <col min="10238" max="10240" width="11.6328125" style="2" customWidth="1"/>
    <col min="10241" max="10242" width="9.6328125" style="2" customWidth="1"/>
    <col min="10243" max="10243" width="15.08984375" style="2" bestFit="1" customWidth="1"/>
    <col min="10244" max="10492" width="8.6328125" style="2"/>
    <col min="10493" max="10493" width="6.08984375" style="2" customWidth="1"/>
    <col min="10494" max="10496" width="11.6328125" style="2" customWidth="1"/>
    <col min="10497" max="10498" width="9.6328125" style="2" customWidth="1"/>
    <col min="10499" max="10499" width="15.08984375" style="2" bestFit="1" customWidth="1"/>
    <col min="10500" max="10748" width="8.6328125" style="2"/>
    <col min="10749" max="10749" width="6.08984375" style="2" customWidth="1"/>
    <col min="10750" max="10752" width="11.6328125" style="2" customWidth="1"/>
    <col min="10753" max="10754" width="9.6328125" style="2" customWidth="1"/>
    <col min="10755" max="10755" width="15.08984375" style="2" bestFit="1" customWidth="1"/>
    <col min="10756" max="11004" width="8.6328125" style="2"/>
    <col min="11005" max="11005" width="6.08984375" style="2" customWidth="1"/>
    <col min="11006" max="11008" width="11.6328125" style="2" customWidth="1"/>
    <col min="11009" max="11010" width="9.6328125" style="2" customWidth="1"/>
    <col min="11011" max="11011" width="15.08984375" style="2" bestFit="1" customWidth="1"/>
    <col min="11012" max="11260" width="8.6328125" style="2"/>
    <col min="11261" max="11261" width="6.08984375" style="2" customWidth="1"/>
    <col min="11262" max="11264" width="11.6328125" style="2" customWidth="1"/>
    <col min="11265" max="11266" width="9.6328125" style="2" customWidth="1"/>
    <col min="11267" max="11267" width="15.08984375" style="2" bestFit="1" customWidth="1"/>
    <col min="11268" max="11516" width="8.6328125" style="2"/>
    <col min="11517" max="11517" width="6.08984375" style="2" customWidth="1"/>
    <col min="11518" max="11520" width="11.6328125" style="2" customWidth="1"/>
    <col min="11521" max="11522" width="9.6328125" style="2" customWidth="1"/>
    <col min="11523" max="11523" width="15.08984375" style="2" bestFit="1" customWidth="1"/>
    <col min="11524" max="11772" width="8.6328125" style="2"/>
    <col min="11773" max="11773" width="6.08984375" style="2" customWidth="1"/>
    <col min="11774" max="11776" width="11.6328125" style="2" customWidth="1"/>
    <col min="11777" max="11778" width="9.6328125" style="2" customWidth="1"/>
    <col min="11779" max="11779" width="15.08984375" style="2" bestFit="1" customWidth="1"/>
    <col min="11780" max="12028" width="8.6328125" style="2"/>
    <col min="12029" max="12029" width="6.08984375" style="2" customWidth="1"/>
    <col min="12030" max="12032" width="11.6328125" style="2" customWidth="1"/>
    <col min="12033" max="12034" width="9.6328125" style="2" customWidth="1"/>
    <col min="12035" max="12035" width="15.08984375" style="2" bestFit="1" customWidth="1"/>
    <col min="12036" max="12284" width="8.6328125" style="2"/>
    <col min="12285" max="12285" width="6.08984375" style="2" customWidth="1"/>
    <col min="12286" max="12288" width="11.6328125" style="2" customWidth="1"/>
    <col min="12289" max="12290" width="9.6328125" style="2" customWidth="1"/>
    <col min="12291" max="12291" width="15.08984375" style="2" bestFit="1" customWidth="1"/>
    <col min="12292" max="12540" width="8.6328125" style="2"/>
    <col min="12541" max="12541" width="6.08984375" style="2" customWidth="1"/>
    <col min="12542" max="12544" width="11.6328125" style="2" customWidth="1"/>
    <col min="12545" max="12546" width="9.6328125" style="2" customWidth="1"/>
    <col min="12547" max="12547" width="15.08984375" style="2" bestFit="1" customWidth="1"/>
    <col min="12548" max="12796" width="8.6328125" style="2"/>
    <col min="12797" max="12797" width="6.08984375" style="2" customWidth="1"/>
    <col min="12798" max="12800" width="11.6328125" style="2" customWidth="1"/>
    <col min="12801" max="12802" width="9.6328125" style="2" customWidth="1"/>
    <col min="12803" max="12803" width="15.08984375" style="2" bestFit="1" customWidth="1"/>
    <col min="12804" max="13052" width="8.6328125" style="2"/>
    <col min="13053" max="13053" width="6.08984375" style="2" customWidth="1"/>
    <col min="13054" max="13056" width="11.6328125" style="2" customWidth="1"/>
    <col min="13057" max="13058" width="9.6328125" style="2" customWidth="1"/>
    <col min="13059" max="13059" width="15.08984375" style="2" bestFit="1" customWidth="1"/>
    <col min="13060" max="13308" width="8.6328125" style="2"/>
    <col min="13309" max="13309" width="6.08984375" style="2" customWidth="1"/>
    <col min="13310" max="13312" width="11.6328125" style="2" customWidth="1"/>
    <col min="13313" max="13314" width="9.6328125" style="2" customWidth="1"/>
    <col min="13315" max="13315" width="15.08984375" style="2" bestFit="1" customWidth="1"/>
    <col min="13316" max="13564" width="8.6328125" style="2"/>
    <col min="13565" max="13565" width="6.08984375" style="2" customWidth="1"/>
    <col min="13566" max="13568" width="11.6328125" style="2" customWidth="1"/>
    <col min="13569" max="13570" width="9.6328125" style="2" customWidth="1"/>
    <col min="13571" max="13571" width="15.08984375" style="2" bestFit="1" customWidth="1"/>
    <col min="13572" max="13820" width="8.6328125" style="2"/>
    <col min="13821" max="13821" width="6.08984375" style="2" customWidth="1"/>
    <col min="13822" max="13824" width="11.6328125" style="2" customWidth="1"/>
    <col min="13825" max="13826" width="9.6328125" style="2" customWidth="1"/>
    <col min="13827" max="13827" width="15.08984375" style="2" bestFit="1" customWidth="1"/>
    <col min="13828" max="14076" width="8.6328125" style="2"/>
    <col min="14077" max="14077" width="6.08984375" style="2" customWidth="1"/>
    <col min="14078" max="14080" width="11.6328125" style="2" customWidth="1"/>
    <col min="14081" max="14082" width="9.6328125" style="2" customWidth="1"/>
    <col min="14083" max="14083" width="15.08984375" style="2" bestFit="1" customWidth="1"/>
    <col min="14084" max="14332" width="8.6328125" style="2"/>
    <col min="14333" max="14333" width="6.08984375" style="2" customWidth="1"/>
    <col min="14334" max="14336" width="11.6328125" style="2" customWidth="1"/>
    <col min="14337" max="14338" width="9.6328125" style="2" customWidth="1"/>
    <col min="14339" max="14339" width="15.08984375" style="2" bestFit="1" customWidth="1"/>
    <col min="14340" max="14588" width="8.6328125" style="2"/>
    <col min="14589" max="14589" width="6.08984375" style="2" customWidth="1"/>
    <col min="14590" max="14592" width="11.6328125" style="2" customWidth="1"/>
    <col min="14593" max="14594" width="9.6328125" style="2" customWidth="1"/>
    <col min="14595" max="14595" width="15.08984375" style="2" bestFit="1" customWidth="1"/>
    <col min="14596" max="14844" width="8.6328125" style="2"/>
    <col min="14845" max="14845" width="6.08984375" style="2" customWidth="1"/>
    <col min="14846" max="14848" width="11.6328125" style="2" customWidth="1"/>
    <col min="14849" max="14850" width="9.6328125" style="2" customWidth="1"/>
    <col min="14851" max="14851" width="15.08984375" style="2" bestFit="1" customWidth="1"/>
    <col min="14852" max="15100" width="8.6328125" style="2"/>
    <col min="15101" max="15101" width="6.08984375" style="2" customWidth="1"/>
    <col min="15102" max="15104" width="11.6328125" style="2" customWidth="1"/>
    <col min="15105" max="15106" width="9.6328125" style="2" customWidth="1"/>
    <col min="15107" max="15107" width="15.08984375" style="2" bestFit="1" customWidth="1"/>
    <col min="15108" max="15356" width="8.6328125" style="2"/>
    <col min="15357" max="15357" width="6.08984375" style="2" customWidth="1"/>
    <col min="15358" max="15360" width="11.6328125" style="2" customWidth="1"/>
    <col min="15361" max="15362" width="9.6328125" style="2" customWidth="1"/>
    <col min="15363" max="15363" width="15.08984375" style="2" bestFit="1" customWidth="1"/>
    <col min="15364" max="15612" width="8.6328125" style="2"/>
    <col min="15613" max="15613" width="6.08984375" style="2" customWidth="1"/>
    <col min="15614" max="15616" width="11.6328125" style="2" customWidth="1"/>
    <col min="15617" max="15618" width="9.6328125" style="2" customWidth="1"/>
    <col min="15619" max="15619" width="15.08984375" style="2" bestFit="1" customWidth="1"/>
    <col min="15620" max="15868" width="8.6328125" style="2"/>
    <col min="15869" max="15869" width="6.08984375" style="2" customWidth="1"/>
    <col min="15870" max="15872" width="11.6328125" style="2" customWidth="1"/>
    <col min="15873" max="15874" width="9.6328125" style="2" customWidth="1"/>
    <col min="15875" max="15875" width="15.08984375" style="2" bestFit="1" customWidth="1"/>
    <col min="15876" max="16124" width="8.6328125" style="2"/>
    <col min="16125" max="16125" width="6.08984375" style="2" customWidth="1"/>
    <col min="16126" max="16128" width="11.6328125" style="2" customWidth="1"/>
    <col min="16129" max="16130" width="9.6328125" style="2" customWidth="1"/>
    <col min="16131" max="16131" width="15.08984375" style="2" bestFit="1" customWidth="1"/>
    <col min="16132" max="16380" width="8.6328125" style="2"/>
    <col min="16381" max="16384" width="8.6328125" style="2" customWidth="1"/>
  </cols>
  <sheetData>
    <row r="1" spans="1:7">
      <c r="A1" s="935" t="s">
        <v>413</v>
      </c>
      <c r="B1" s="935"/>
      <c r="C1" s="935"/>
      <c r="D1" s="935"/>
      <c r="E1" s="935"/>
      <c r="F1" s="935"/>
    </row>
    <row r="2" spans="1:7">
      <c r="A2" s="935" t="s">
        <v>171</v>
      </c>
      <c r="B2" s="935"/>
      <c r="C2" s="935"/>
      <c r="D2" s="935"/>
      <c r="E2" s="935"/>
      <c r="F2" s="935"/>
    </row>
    <row r="3" spans="1:7">
      <c r="A3" s="936" t="str">
        <f>'Act Att-H'!C7</f>
        <v>Black Hills Colorado Electric, LLC</v>
      </c>
      <c r="B3" s="936"/>
      <c r="C3" s="936"/>
      <c r="D3" s="936"/>
      <c r="E3" s="936"/>
      <c r="F3" s="936"/>
    </row>
    <row r="4" spans="1:7" s="206" customFormat="1">
      <c r="F4" s="192" t="s">
        <v>515</v>
      </c>
    </row>
    <row r="5" spans="1:7">
      <c r="A5" s="398"/>
      <c r="B5" s="398"/>
      <c r="C5" s="398"/>
      <c r="D5" s="398"/>
      <c r="E5" s="398"/>
      <c r="F5" s="398"/>
    </row>
    <row r="7" spans="1:7">
      <c r="A7" s="397"/>
      <c r="B7" s="397"/>
      <c r="C7" s="172"/>
      <c r="D7" s="172" t="s">
        <v>590</v>
      </c>
      <c r="E7" s="172" t="s">
        <v>591</v>
      </c>
    </row>
    <row r="8" spans="1:7">
      <c r="B8" s="397"/>
      <c r="C8" s="172"/>
      <c r="D8" s="172" t="s">
        <v>483</v>
      </c>
      <c r="E8" s="172" t="s">
        <v>539</v>
      </c>
      <c r="F8" s="213"/>
    </row>
    <row r="9" spans="1:7">
      <c r="A9" s="398" t="s">
        <v>4</v>
      </c>
      <c r="B9" s="172" t="s">
        <v>368</v>
      </c>
      <c r="C9" s="172" t="s">
        <v>589</v>
      </c>
      <c r="D9" s="674">
        <v>44896</v>
      </c>
      <c r="E9" s="674">
        <v>45261</v>
      </c>
      <c r="F9" s="172" t="s">
        <v>588</v>
      </c>
    </row>
    <row r="10" spans="1:7" ht="13.8" thickBot="1">
      <c r="A10" s="400" t="s">
        <v>6</v>
      </c>
      <c r="B10" s="399" t="s">
        <v>138</v>
      </c>
      <c r="C10" s="399" t="s">
        <v>139</v>
      </c>
      <c r="D10" s="399" t="s">
        <v>140</v>
      </c>
      <c r="E10" s="399" t="s">
        <v>141</v>
      </c>
      <c r="F10" s="399" t="s">
        <v>142</v>
      </c>
    </row>
    <row r="11" spans="1:7">
      <c r="A11" s="193">
        <v>1</v>
      </c>
    </row>
    <row r="12" spans="1:7" ht="15" customHeight="1">
      <c r="A12" s="193">
        <f t="shared" ref="A12:A15" si="0">+A11+1</f>
        <v>2</v>
      </c>
      <c r="B12" s="396" t="s">
        <v>118</v>
      </c>
      <c r="C12" s="194" t="s">
        <v>596</v>
      </c>
      <c r="D12" s="720">
        <v>0</v>
      </c>
      <c r="E12" s="720">
        <v>0</v>
      </c>
      <c r="F12" s="195">
        <f>(D12+E12)/2</f>
        <v>0</v>
      </c>
    </row>
    <row r="13" spans="1:7" ht="15" customHeight="1">
      <c r="A13" s="193">
        <f t="shared" si="0"/>
        <v>3</v>
      </c>
      <c r="B13" s="396" t="s">
        <v>119</v>
      </c>
      <c r="C13" s="194" t="s">
        <v>593</v>
      </c>
      <c r="D13" s="720">
        <v>-132909277</v>
      </c>
      <c r="E13" s="720">
        <v>-137999967</v>
      </c>
      <c r="F13" s="195">
        <f>(D13+E13)/2</f>
        <v>-135454622</v>
      </c>
    </row>
    <row r="14" spans="1:7" ht="15" customHeight="1">
      <c r="A14" s="193">
        <f t="shared" si="0"/>
        <v>4</v>
      </c>
      <c r="B14" s="396" t="s">
        <v>120</v>
      </c>
      <c r="C14" s="194" t="s">
        <v>594</v>
      </c>
      <c r="D14" s="720">
        <v>-70683636</v>
      </c>
      <c r="E14" s="720">
        <v>-61775900</v>
      </c>
      <c r="F14" s="195">
        <f>(D14+E14)/2</f>
        <v>-66229768</v>
      </c>
    </row>
    <row r="15" spans="1:7" ht="15" customHeight="1">
      <c r="A15" s="193">
        <f t="shared" si="0"/>
        <v>5</v>
      </c>
      <c r="B15" s="396" t="s">
        <v>121</v>
      </c>
      <c r="C15" s="194" t="s">
        <v>595</v>
      </c>
      <c r="D15" s="720">
        <v>73130366</v>
      </c>
      <c r="E15" s="720">
        <v>75736193</v>
      </c>
      <c r="F15" s="195">
        <f>(D15+E15)/2</f>
        <v>74433279.5</v>
      </c>
      <c r="G15" s="543"/>
    </row>
    <row r="16" spans="1:7">
      <c r="A16" s="193">
        <v>6</v>
      </c>
      <c r="G16" s="396"/>
    </row>
    <row r="17" spans="1:7">
      <c r="A17" s="193">
        <v>7</v>
      </c>
      <c r="B17" s="650" t="s">
        <v>770</v>
      </c>
      <c r="C17" s="195"/>
      <c r="D17" s="50"/>
      <c r="E17" s="50"/>
      <c r="F17" s="50"/>
      <c r="G17" s="543"/>
    </row>
    <row r="18" spans="1:7">
      <c r="A18" s="193">
        <v>8</v>
      </c>
      <c r="B18" s="610" t="s">
        <v>733</v>
      </c>
      <c r="C18" s="195"/>
      <c r="D18" s="50"/>
      <c r="E18" s="50"/>
      <c r="F18" s="50"/>
      <c r="G18" s="543"/>
    </row>
    <row r="19" spans="1:7" s="874" customFormat="1">
      <c r="A19" s="193">
        <f>A18+1</f>
        <v>9</v>
      </c>
      <c r="B19" s="610" t="s">
        <v>1194</v>
      </c>
      <c r="C19" s="871" t="s">
        <v>685</v>
      </c>
      <c r="D19" s="872">
        <v>-7860</v>
      </c>
      <c r="E19" s="720">
        <v>-7860</v>
      </c>
      <c r="F19" s="873">
        <f>(D19+E19)/2</f>
        <v>-7860</v>
      </c>
    </row>
    <row r="20" spans="1:7" s="874" customFormat="1">
      <c r="A20" s="193">
        <f t="shared" ref="A20:A47" si="1">A19+1</f>
        <v>10</v>
      </c>
      <c r="B20" s="610" t="s">
        <v>1195</v>
      </c>
      <c r="C20" s="871" t="s">
        <v>685</v>
      </c>
      <c r="D20" s="872">
        <v>11193378</v>
      </c>
      <c r="E20" s="720">
        <v>9524255</v>
      </c>
      <c r="F20" s="873">
        <f t="shared" ref="F20:F46" si="2">(D20+E20)/2</f>
        <v>10358816.5</v>
      </c>
    </row>
    <row r="21" spans="1:7" s="874" customFormat="1">
      <c r="A21" s="193">
        <f t="shared" si="1"/>
        <v>11</v>
      </c>
      <c r="B21" s="610" t="s">
        <v>882</v>
      </c>
      <c r="C21" s="871" t="s">
        <v>685</v>
      </c>
      <c r="D21" s="872">
        <v>-2255250</v>
      </c>
      <c r="E21" s="720">
        <v>-1760828.54</v>
      </c>
      <c r="F21" s="873">
        <f t="shared" si="2"/>
        <v>-2008039.27</v>
      </c>
    </row>
    <row r="22" spans="1:7" s="874" customFormat="1">
      <c r="A22" s="193">
        <f t="shared" si="1"/>
        <v>12</v>
      </c>
      <c r="B22" s="610" t="s">
        <v>250</v>
      </c>
      <c r="C22" s="871" t="s">
        <v>685</v>
      </c>
      <c r="D22" s="872">
        <v>-132</v>
      </c>
      <c r="E22" s="720">
        <v>5233</v>
      </c>
      <c r="F22" s="873">
        <f t="shared" si="2"/>
        <v>2550.5</v>
      </c>
    </row>
    <row r="23" spans="1:7" s="874" customFormat="1">
      <c r="A23" s="193">
        <f t="shared" si="1"/>
        <v>13</v>
      </c>
      <c r="B23" s="610" t="s">
        <v>1196</v>
      </c>
      <c r="C23" s="871" t="s">
        <v>685</v>
      </c>
      <c r="D23" s="872">
        <v>3118390</v>
      </c>
      <c r="E23" s="720">
        <v>-3458426</v>
      </c>
      <c r="F23" s="873">
        <f t="shared" si="2"/>
        <v>-170018</v>
      </c>
    </row>
    <row r="24" spans="1:7" s="874" customFormat="1">
      <c r="A24" s="193">
        <f t="shared" si="1"/>
        <v>14</v>
      </c>
      <c r="B24" s="610" t="s">
        <v>1197</v>
      </c>
      <c r="C24" s="871" t="s">
        <v>685</v>
      </c>
      <c r="D24" s="872">
        <v>-158205</v>
      </c>
      <c r="E24" s="720">
        <v>0</v>
      </c>
      <c r="F24" s="873">
        <f t="shared" si="2"/>
        <v>-79102.5</v>
      </c>
    </row>
    <row r="25" spans="1:7" s="874" customFormat="1">
      <c r="A25" s="193">
        <f t="shared" si="1"/>
        <v>15</v>
      </c>
      <c r="B25" s="610" t="s">
        <v>1198</v>
      </c>
      <c r="C25" s="871" t="s">
        <v>685</v>
      </c>
      <c r="D25" s="872">
        <v>898706</v>
      </c>
      <c r="E25" s="720">
        <v>1105899</v>
      </c>
      <c r="F25" s="873">
        <f t="shared" si="2"/>
        <v>1002302.5</v>
      </c>
    </row>
    <row r="26" spans="1:7" s="874" customFormat="1">
      <c r="A26" s="193">
        <f t="shared" si="1"/>
        <v>16</v>
      </c>
      <c r="B26" s="610" t="s">
        <v>1199</v>
      </c>
      <c r="C26" s="871" t="s">
        <v>685</v>
      </c>
      <c r="D26" s="872">
        <v>0</v>
      </c>
      <c r="E26" s="720">
        <v>0</v>
      </c>
      <c r="F26" s="873">
        <f t="shared" si="2"/>
        <v>0</v>
      </c>
    </row>
    <row r="27" spans="1:7" s="874" customFormat="1">
      <c r="A27" s="193">
        <f t="shared" si="1"/>
        <v>17</v>
      </c>
      <c r="B27" s="610" t="s">
        <v>1200</v>
      </c>
      <c r="C27" s="871" t="s">
        <v>685</v>
      </c>
      <c r="D27" s="872">
        <v>0</v>
      </c>
      <c r="E27" s="720">
        <v>0</v>
      </c>
      <c r="F27" s="873">
        <f t="shared" si="2"/>
        <v>0</v>
      </c>
    </row>
    <row r="28" spans="1:7" s="874" customFormat="1">
      <c r="A28" s="193">
        <f t="shared" si="1"/>
        <v>18</v>
      </c>
      <c r="B28" s="610" t="s">
        <v>1201</v>
      </c>
      <c r="C28" s="871" t="s">
        <v>685</v>
      </c>
      <c r="D28" s="872">
        <v>229515</v>
      </c>
      <c r="E28" s="720">
        <v>220606</v>
      </c>
      <c r="F28" s="873">
        <f t="shared" si="2"/>
        <v>225060.5</v>
      </c>
    </row>
    <row r="29" spans="1:7" s="874" customFormat="1">
      <c r="A29" s="193">
        <f t="shared" si="1"/>
        <v>19</v>
      </c>
      <c r="B29" s="610" t="s">
        <v>1202</v>
      </c>
      <c r="C29" s="871" t="s">
        <v>685</v>
      </c>
      <c r="D29" s="872">
        <v>-2191580</v>
      </c>
      <c r="E29" s="720">
        <v>-2434648.15</v>
      </c>
      <c r="F29" s="873">
        <f t="shared" si="2"/>
        <v>-2313114.0750000002</v>
      </c>
    </row>
    <row r="30" spans="1:7" s="874" customFormat="1">
      <c r="A30" s="193">
        <f t="shared" si="1"/>
        <v>20</v>
      </c>
      <c r="B30" s="610" t="s">
        <v>1203</v>
      </c>
      <c r="C30" s="871" t="s">
        <v>685</v>
      </c>
      <c r="D30" s="872">
        <v>39997885</v>
      </c>
      <c r="E30" s="720">
        <v>41311783</v>
      </c>
      <c r="F30" s="873">
        <f t="shared" si="2"/>
        <v>40654834</v>
      </c>
    </row>
    <row r="31" spans="1:7" s="874" customFormat="1">
      <c r="A31" s="193">
        <f t="shared" si="1"/>
        <v>21</v>
      </c>
      <c r="B31" s="610" t="s">
        <v>1204</v>
      </c>
      <c r="C31" s="871" t="s">
        <v>685</v>
      </c>
      <c r="D31" s="872">
        <v>516906</v>
      </c>
      <c r="E31" s="720">
        <v>184644</v>
      </c>
      <c r="F31" s="873">
        <f t="shared" si="2"/>
        <v>350775</v>
      </c>
    </row>
    <row r="32" spans="1:7" s="874" customFormat="1">
      <c r="A32" s="193">
        <f t="shared" si="1"/>
        <v>22</v>
      </c>
      <c r="B32" s="610" t="s">
        <v>1205</v>
      </c>
      <c r="C32" s="871" t="s">
        <v>685</v>
      </c>
      <c r="D32" s="872">
        <v>-1601214</v>
      </c>
      <c r="E32" s="720">
        <v>-1821792</v>
      </c>
      <c r="F32" s="873">
        <f t="shared" si="2"/>
        <v>-1711503</v>
      </c>
    </row>
    <row r="33" spans="1:7" s="874" customFormat="1">
      <c r="A33" s="193">
        <f t="shared" si="1"/>
        <v>23</v>
      </c>
      <c r="B33" s="610" t="s">
        <v>1206</v>
      </c>
      <c r="C33" s="871" t="s">
        <v>685</v>
      </c>
      <c r="D33" s="872">
        <v>-24590</v>
      </c>
      <c r="E33" s="720">
        <v>-31697</v>
      </c>
      <c r="F33" s="873">
        <f t="shared" si="2"/>
        <v>-28143.5</v>
      </c>
    </row>
    <row r="34" spans="1:7" s="874" customFormat="1">
      <c r="A34" s="193">
        <f t="shared" si="1"/>
        <v>24</v>
      </c>
      <c r="B34" s="610" t="s">
        <v>1000</v>
      </c>
      <c r="C34" s="871" t="s">
        <v>685</v>
      </c>
      <c r="D34" s="872">
        <v>0</v>
      </c>
      <c r="E34" s="720">
        <v>0</v>
      </c>
      <c r="F34" s="873">
        <f t="shared" si="2"/>
        <v>0</v>
      </c>
    </row>
    <row r="35" spans="1:7" s="874" customFormat="1">
      <c r="A35" s="193">
        <f t="shared" si="1"/>
        <v>25</v>
      </c>
      <c r="B35" s="610" t="s">
        <v>1207</v>
      </c>
      <c r="C35" s="871" t="s">
        <v>685</v>
      </c>
      <c r="D35" s="872">
        <v>-31703866</v>
      </c>
      <c r="E35" s="720">
        <v>-36916243.25</v>
      </c>
      <c r="F35" s="873">
        <f t="shared" si="2"/>
        <v>-34310054.625</v>
      </c>
    </row>
    <row r="36" spans="1:7" s="874" customFormat="1">
      <c r="A36" s="193">
        <f t="shared" si="1"/>
        <v>26</v>
      </c>
      <c r="B36" s="610" t="s">
        <v>881</v>
      </c>
      <c r="C36" s="871" t="s">
        <v>685</v>
      </c>
      <c r="D36" s="872">
        <v>-362511</v>
      </c>
      <c r="E36" s="720">
        <v>-361417.78</v>
      </c>
      <c r="F36" s="873">
        <f t="shared" si="2"/>
        <v>-361964.39</v>
      </c>
    </row>
    <row r="37" spans="1:7" s="874" customFormat="1">
      <c r="A37" s="193">
        <f t="shared" si="1"/>
        <v>27</v>
      </c>
      <c r="B37" s="610" t="s">
        <v>1208</v>
      </c>
      <c r="C37" s="871" t="s">
        <v>685</v>
      </c>
      <c r="D37" s="872">
        <v>0</v>
      </c>
      <c r="E37" s="720">
        <v>0</v>
      </c>
      <c r="F37" s="873">
        <f t="shared" si="2"/>
        <v>0</v>
      </c>
    </row>
    <row r="38" spans="1:7" s="874" customFormat="1">
      <c r="A38" s="193">
        <f t="shared" si="1"/>
        <v>28</v>
      </c>
      <c r="B38" s="610" t="s">
        <v>1209</v>
      </c>
      <c r="C38" s="871" t="s">
        <v>685</v>
      </c>
      <c r="D38" s="872">
        <v>-18823</v>
      </c>
      <c r="E38" s="720">
        <v>0</v>
      </c>
      <c r="F38" s="873">
        <f t="shared" si="2"/>
        <v>-9411.5</v>
      </c>
    </row>
    <row r="39" spans="1:7" s="874" customFormat="1">
      <c r="A39" s="193">
        <f t="shared" si="1"/>
        <v>29</v>
      </c>
      <c r="B39" s="610" t="s">
        <v>1210</v>
      </c>
      <c r="C39" s="871" t="s">
        <v>685</v>
      </c>
      <c r="D39" s="872">
        <v>7852</v>
      </c>
      <c r="E39" s="720">
        <v>7851</v>
      </c>
      <c r="F39" s="873">
        <f t="shared" si="2"/>
        <v>7851.5</v>
      </c>
    </row>
    <row r="40" spans="1:7" s="874" customFormat="1">
      <c r="A40" s="193">
        <f t="shared" si="1"/>
        <v>30</v>
      </c>
      <c r="B40" s="610" t="s">
        <v>1211</v>
      </c>
      <c r="C40" s="871" t="s">
        <v>685</v>
      </c>
      <c r="D40" s="872">
        <v>0</v>
      </c>
      <c r="E40" s="720">
        <v>0</v>
      </c>
      <c r="F40" s="873">
        <f t="shared" si="2"/>
        <v>0</v>
      </c>
    </row>
    <row r="41" spans="1:7" s="874" customFormat="1">
      <c r="A41" s="193">
        <f t="shared" si="1"/>
        <v>31</v>
      </c>
      <c r="B41" s="610" t="s">
        <v>879</v>
      </c>
      <c r="C41" s="871" t="s">
        <v>685</v>
      </c>
      <c r="D41" s="872">
        <v>-405359</v>
      </c>
      <c r="E41" s="720">
        <v>-375091</v>
      </c>
      <c r="F41" s="873">
        <f t="shared" si="2"/>
        <v>-390225</v>
      </c>
    </row>
    <row r="42" spans="1:7" s="874" customFormat="1">
      <c r="A42" s="193">
        <f t="shared" si="1"/>
        <v>32</v>
      </c>
      <c r="B42" s="610" t="s">
        <v>1266</v>
      </c>
      <c r="C42" s="871" t="s">
        <v>685</v>
      </c>
      <c r="D42" s="872">
        <v>0</v>
      </c>
      <c r="E42" s="720">
        <v>495699</v>
      </c>
      <c r="F42" s="873">
        <f t="shared" si="2"/>
        <v>247849.5</v>
      </c>
    </row>
    <row r="43" spans="1:7" s="874" customFormat="1">
      <c r="A43" s="193">
        <f t="shared" si="1"/>
        <v>33</v>
      </c>
      <c r="B43" s="610" t="s">
        <v>1212</v>
      </c>
      <c r="C43" s="871" t="s">
        <v>685</v>
      </c>
      <c r="D43" s="872">
        <v>-206238</v>
      </c>
      <c r="E43" s="720">
        <v>-236883</v>
      </c>
      <c r="F43" s="873">
        <f t="shared" si="2"/>
        <v>-221560.5</v>
      </c>
    </row>
    <row r="44" spans="1:7" s="874" customFormat="1">
      <c r="A44" s="193">
        <f t="shared" si="1"/>
        <v>34</v>
      </c>
      <c r="B44" s="610" t="s">
        <v>1213</v>
      </c>
      <c r="C44" s="871" t="s">
        <v>685</v>
      </c>
      <c r="D44" s="872">
        <v>-5862894</v>
      </c>
      <c r="E44" s="720">
        <v>-5769628</v>
      </c>
      <c r="F44" s="873">
        <f t="shared" si="2"/>
        <v>-5816261</v>
      </c>
    </row>
    <row r="45" spans="1:7" s="874" customFormat="1">
      <c r="A45" s="193">
        <f t="shared" si="1"/>
        <v>35</v>
      </c>
      <c r="B45" s="610" t="s">
        <v>1214</v>
      </c>
      <c r="C45" s="871" t="s">
        <v>685</v>
      </c>
      <c r="D45" s="872">
        <v>-179705</v>
      </c>
      <c r="E45" s="720">
        <v>-179705</v>
      </c>
      <c r="F45" s="873">
        <f t="shared" si="2"/>
        <v>-179705</v>
      </c>
    </row>
    <row r="46" spans="1:7" s="874" customFormat="1">
      <c r="A46" s="193">
        <f t="shared" si="1"/>
        <v>36</v>
      </c>
      <c r="B46" s="610" t="s">
        <v>1215</v>
      </c>
      <c r="C46" s="871" t="s">
        <v>685</v>
      </c>
      <c r="D46" s="872">
        <v>2999955</v>
      </c>
      <c r="E46" s="720">
        <v>870070</v>
      </c>
      <c r="F46" s="873">
        <f t="shared" si="2"/>
        <v>1935012.5</v>
      </c>
    </row>
    <row r="47" spans="1:7" s="874" customFormat="1">
      <c r="A47" s="193">
        <f t="shared" si="1"/>
        <v>37</v>
      </c>
      <c r="B47" s="872" t="s">
        <v>275</v>
      </c>
      <c r="C47" s="871" t="s">
        <v>685</v>
      </c>
      <c r="D47" s="872"/>
      <c r="E47" s="720"/>
      <c r="F47" s="873">
        <f t="shared" ref="F47" si="3">(D47+E47)/2</f>
        <v>0</v>
      </c>
      <c r="G47" s="902"/>
    </row>
    <row r="48" spans="1:7" s="874" customFormat="1">
      <c r="A48" s="193">
        <v>200</v>
      </c>
      <c r="B48" s="874" t="s">
        <v>744</v>
      </c>
      <c r="C48" s="873"/>
      <c r="D48" s="50"/>
      <c r="E48" s="50"/>
      <c r="F48" s="615">
        <f>SUM(F19:F47)</f>
        <v>7178090.1400000006</v>
      </c>
      <c r="G48" s="902"/>
    </row>
    <row r="49" spans="1:9">
      <c r="A49" s="193"/>
      <c r="B49" s="396"/>
      <c r="C49" s="195"/>
      <c r="D49" s="50"/>
      <c r="E49" s="50"/>
      <c r="F49" s="50"/>
      <c r="G49" s="543"/>
    </row>
    <row r="50" spans="1:9" ht="15" customHeight="1">
      <c r="A50" s="193"/>
      <c r="C50" s="212"/>
      <c r="D50" s="212"/>
    </row>
    <row r="51" spans="1:9">
      <c r="A51" s="193"/>
      <c r="B51" s="396"/>
      <c r="C51" s="195"/>
      <c r="D51" s="50"/>
      <c r="E51" s="50"/>
      <c r="F51" s="50"/>
      <c r="G51" s="543"/>
    </row>
    <row r="52" spans="1:9">
      <c r="A52" s="354" t="s">
        <v>172</v>
      </c>
      <c r="G52" s="396"/>
    </row>
    <row r="53" spans="1:9" ht="16.350000000000001" customHeight="1">
      <c r="A53" s="401" t="s">
        <v>76</v>
      </c>
      <c r="B53" s="938" t="s">
        <v>592</v>
      </c>
      <c r="C53" s="938"/>
      <c r="D53" s="938"/>
      <c r="E53" s="938"/>
      <c r="F53" s="938"/>
      <c r="G53" s="396"/>
    </row>
    <row r="54" spans="1:9" ht="16.350000000000001" customHeight="1">
      <c r="A54" s="401" t="s">
        <v>77</v>
      </c>
      <c r="B54" s="938" t="s">
        <v>1083</v>
      </c>
      <c r="C54" s="938"/>
      <c r="D54" s="938"/>
      <c r="E54" s="938"/>
      <c r="F54" s="938"/>
    </row>
    <row r="55" spans="1:9">
      <c r="A55" s="394" t="s">
        <v>78</v>
      </c>
      <c r="B55" s="925" t="s">
        <v>1146</v>
      </c>
      <c r="C55" s="925"/>
      <c r="D55" s="925"/>
      <c r="E55" s="925"/>
      <c r="F55" s="925"/>
      <c r="G55" s="925"/>
      <c r="H55" s="925"/>
      <c r="I55" s="925"/>
    </row>
    <row r="56" spans="1:9">
      <c r="A56" s="394" t="s">
        <v>79</v>
      </c>
      <c r="B56" s="912" t="s">
        <v>1146</v>
      </c>
      <c r="C56" s="912"/>
      <c r="D56" s="912"/>
      <c r="E56" s="912"/>
      <c r="F56" s="912"/>
    </row>
    <row r="57" spans="1:9" ht="28.35" customHeight="1">
      <c r="A57" s="394" t="s">
        <v>80</v>
      </c>
      <c r="B57" s="912" t="s">
        <v>1193</v>
      </c>
      <c r="C57" s="912"/>
      <c r="D57" s="912"/>
      <c r="E57" s="912"/>
      <c r="F57" s="912"/>
    </row>
    <row r="58" spans="1:9">
      <c r="A58" s="193"/>
    </row>
    <row r="59" spans="1:9">
      <c r="A59" s="28"/>
      <c r="C59" s="212"/>
      <c r="D59" s="212"/>
    </row>
    <row r="60" spans="1:9">
      <c r="A60" s="193"/>
      <c r="C60" s="212"/>
      <c r="D60" s="212"/>
    </row>
    <row r="61" spans="1:9">
      <c r="A61" s="193"/>
      <c r="C61" s="212"/>
      <c r="D61" s="212"/>
    </row>
    <row r="62" spans="1:9">
      <c r="A62" s="193"/>
      <c r="C62" s="212"/>
      <c r="D62" s="212"/>
    </row>
    <row r="63" spans="1:9">
      <c r="A63" s="193"/>
      <c r="C63" s="212"/>
      <c r="D63" s="212"/>
    </row>
    <row r="64" spans="1:9">
      <c r="C64" s="212"/>
      <c r="D64" s="212"/>
    </row>
    <row r="68" ht="15" customHeight="1"/>
    <row r="72" ht="15" customHeight="1"/>
    <row r="80" ht="15" customHeight="1"/>
    <row r="83" spans="2:6" ht="15" customHeight="1"/>
    <row r="93" spans="2:6" ht="12.75" customHeight="1">
      <c r="B93" s="912"/>
      <c r="C93" s="912"/>
      <c r="D93" s="912"/>
      <c r="E93" s="912"/>
      <c r="F93" s="912"/>
    </row>
    <row r="94" spans="2:6">
      <c r="B94" s="912"/>
      <c r="C94" s="912"/>
      <c r="D94" s="912"/>
      <c r="E94" s="912"/>
      <c r="F94" s="912"/>
    </row>
    <row r="95" spans="2:6">
      <c r="B95" s="912"/>
      <c r="C95" s="912"/>
      <c r="D95" s="912"/>
      <c r="E95" s="912"/>
      <c r="F95" s="912"/>
    </row>
    <row r="96" spans="2:6">
      <c r="B96" s="912"/>
      <c r="C96" s="912"/>
      <c r="D96" s="912"/>
      <c r="E96" s="912"/>
      <c r="F96" s="912"/>
    </row>
    <row r="97" spans="2:6">
      <c r="B97" s="912"/>
      <c r="C97" s="912"/>
      <c r="D97" s="912"/>
      <c r="E97" s="912"/>
      <c r="F97" s="912"/>
    </row>
    <row r="98" spans="2:6" ht="12.75" customHeight="1">
      <c r="B98" s="912"/>
      <c r="C98" s="912"/>
      <c r="D98" s="912"/>
      <c r="E98" s="912"/>
      <c r="F98" s="912"/>
    </row>
    <row r="99" spans="2:6" ht="12.75" customHeight="1">
      <c r="B99" s="912"/>
      <c r="C99" s="912"/>
      <c r="D99" s="912"/>
      <c r="E99" s="912"/>
      <c r="F99" s="912"/>
    </row>
    <row r="100" spans="2:6" ht="12.75" customHeight="1">
      <c r="B100" s="912"/>
      <c r="C100" s="912"/>
      <c r="D100" s="912"/>
      <c r="E100" s="912"/>
      <c r="F100" s="912"/>
    </row>
    <row r="101" spans="2:6">
      <c r="B101" s="937"/>
      <c r="C101" s="937"/>
      <c r="D101" s="937"/>
      <c r="E101" s="937"/>
      <c r="F101" s="937"/>
    </row>
    <row r="102" spans="2:6">
      <c r="B102" s="937"/>
      <c r="C102" s="937"/>
      <c r="D102" s="937"/>
      <c r="E102" s="937"/>
      <c r="F102" s="937"/>
    </row>
    <row r="103" spans="2:6">
      <c r="B103" s="937"/>
      <c r="C103" s="937"/>
      <c r="D103" s="937"/>
      <c r="E103" s="937"/>
      <c r="F103" s="937"/>
    </row>
    <row r="104" spans="2:6">
      <c r="B104" s="937"/>
      <c r="C104" s="937"/>
      <c r="D104" s="937"/>
      <c r="E104" s="937"/>
      <c r="F104" s="937"/>
    </row>
    <row r="105" spans="2:6">
      <c r="B105" s="937"/>
      <c r="C105" s="937"/>
      <c r="D105" s="937"/>
      <c r="E105" s="937"/>
      <c r="F105" s="937"/>
    </row>
  </sheetData>
  <mergeCells count="17">
    <mergeCell ref="B98:F98"/>
    <mergeCell ref="A1:F1"/>
    <mergeCell ref="A2:F2"/>
    <mergeCell ref="A3:F3"/>
    <mergeCell ref="B93:F97"/>
    <mergeCell ref="B53:F53"/>
    <mergeCell ref="B54:F54"/>
    <mergeCell ref="B57:F57"/>
    <mergeCell ref="B56:F56"/>
    <mergeCell ref="B55:I55"/>
    <mergeCell ref="B104:F104"/>
    <mergeCell ref="B105:F105"/>
    <mergeCell ref="B101:F101"/>
    <mergeCell ref="B99:F99"/>
    <mergeCell ref="B100:F100"/>
    <mergeCell ref="B102:F102"/>
    <mergeCell ref="B103:F10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65D35-C423-4D83-8497-0433DD10D8F4}">
  <sheetPr>
    <tabColor theme="6" tint="0.59999389629810485"/>
  </sheetPr>
  <dimension ref="A1:Q63"/>
  <sheetViews>
    <sheetView topLeftCell="B1" zoomScale="80" zoomScaleNormal="80" workbookViewId="0">
      <selection activeCell="I24" sqref="I24"/>
    </sheetView>
  </sheetViews>
  <sheetFormatPr defaultColWidth="8.90625" defaultRowHeight="13.8"/>
  <cols>
    <col min="1" max="1" width="8.90625" style="737" customWidth="1"/>
    <col min="2" max="2" width="50.6328125" style="737" bestFit="1" customWidth="1"/>
    <col min="3" max="3" width="12.90625" style="737" bestFit="1" customWidth="1"/>
    <col min="4" max="4" width="9.6328125" style="737" customWidth="1"/>
    <col min="5" max="5" width="11.90625" style="737" customWidth="1"/>
    <col min="6" max="6" width="15.08984375" style="737" bestFit="1" customWidth="1"/>
    <col min="7" max="7" width="11.90625" style="737" bestFit="1" customWidth="1"/>
    <col min="8" max="8" width="10.90625" style="737" bestFit="1" customWidth="1"/>
    <col min="9" max="9" width="15.08984375" style="737" customWidth="1"/>
    <col min="10" max="11" width="8.90625" style="737"/>
    <col min="12" max="12" width="11.54296875" style="737" bestFit="1" customWidth="1"/>
    <col min="13" max="13" width="13.08984375" style="737" customWidth="1"/>
    <col min="14" max="14" width="12.08984375" style="737" customWidth="1"/>
    <col min="15" max="15" width="11.54296875" style="737" bestFit="1" customWidth="1"/>
    <col min="16" max="16" width="8.90625" style="737"/>
    <col min="17" max="17" width="12.90625" style="737" bestFit="1" customWidth="1"/>
    <col min="18" max="16384" width="8.90625" style="737"/>
  </cols>
  <sheetData>
    <row r="1" spans="1:17" ht="15.75" customHeight="1">
      <c r="A1" s="942" t="s">
        <v>1008</v>
      </c>
      <c r="B1" s="942"/>
      <c r="C1" s="942"/>
      <c r="D1" s="942"/>
      <c r="E1" s="942"/>
      <c r="F1" s="942"/>
      <c r="G1" s="942"/>
      <c r="H1" s="942"/>
      <c r="I1" s="942"/>
      <c r="J1" s="942"/>
      <c r="K1" s="942"/>
      <c r="L1" s="942"/>
      <c r="M1" s="942"/>
      <c r="N1" s="942"/>
      <c r="O1" s="942"/>
      <c r="P1" s="942"/>
      <c r="Q1" s="942"/>
    </row>
    <row r="2" spans="1:17" s="809" customFormat="1">
      <c r="A2" s="935" t="s">
        <v>1065</v>
      </c>
      <c r="B2" s="935"/>
      <c r="C2" s="935"/>
      <c r="D2" s="935"/>
      <c r="E2" s="935"/>
      <c r="F2" s="935"/>
      <c r="G2" s="935"/>
      <c r="H2" s="935"/>
      <c r="I2" s="935"/>
      <c r="J2" s="935"/>
      <c r="K2" s="935"/>
      <c r="L2" s="935"/>
      <c r="M2" s="935"/>
      <c r="N2" s="935"/>
      <c r="O2" s="935"/>
      <c r="P2" s="935"/>
      <c r="Q2" s="935"/>
    </row>
    <row r="3" spans="1:17">
      <c r="A3" s="936" t="str">
        <f>'Act Att-H'!C7</f>
        <v>Black Hills Colorado Electric, LLC</v>
      </c>
      <c r="B3" s="935"/>
      <c r="C3" s="935"/>
      <c r="D3" s="935"/>
      <c r="E3" s="935"/>
      <c r="F3" s="935"/>
      <c r="G3" s="935"/>
      <c r="H3" s="935"/>
      <c r="I3" s="935"/>
      <c r="J3" s="935"/>
      <c r="K3" s="935"/>
      <c r="L3" s="935"/>
      <c r="M3" s="935"/>
      <c r="N3" s="935"/>
      <c r="O3" s="935"/>
      <c r="P3" s="935"/>
      <c r="Q3" s="935"/>
    </row>
    <row r="4" spans="1:17">
      <c r="A4" s="935" t="str">
        <f>'Act Att-H'!K4</f>
        <v>Actuals - For the 12 months ended 12/31/2023</v>
      </c>
      <c r="B4" s="935"/>
      <c r="C4" s="935"/>
      <c r="D4" s="935"/>
      <c r="E4" s="935"/>
      <c r="F4" s="935"/>
      <c r="G4" s="935"/>
      <c r="H4" s="935"/>
      <c r="I4" s="935"/>
      <c r="J4" s="935"/>
      <c r="K4" s="935"/>
      <c r="L4" s="935"/>
      <c r="M4" s="935"/>
      <c r="N4" s="935"/>
      <c r="O4" s="935"/>
      <c r="P4" s="935"/>
      <c r="Q4" s="935"/>
    </row>
    <row r="6" spans="1:17">
      <c r="A6" s="398"/>
      <c r="B6" s="398"/>
      <c r="C6" s="398"/>
      <c r="D6" s="398"/>
      <c r="E6" s="398"/>
      <c r="F6" s="703"/>
      <c r="G6" s="703"/>
      <c r="H6" s="703"/>
      <c r="I6" s="703"/>
      <c r="J6" s="398"/>
      <c r="K6" s="711"/>
      <c r="L6" s="703"/>
      <c r="M6" s="703"/>
      <c r="N6" s="703"/>
      <c r="O6" s="703"/>
      <c r="P6" s="704"/>
      <c r="Q6" s="704"/>
    </row>
    <row r="7" spans="1:17">
      <c r="A7" s="398"/>
      <c r="B7" s="700"/>
      <c r="C7" s="700"/>
      <c r="D7" s="700"/>
      <c r="E7" s="700"/>
      <c r="F7" s="709">
        <v>44896</v>
      </c>
      <c r="G7" s="710" t="s">
        <v>1265</v>
      </c>
      <c r="H7" s="710" t="s">
        <v>1265</v>
      </c>
      <c r="I7" s="709">
        <v>45261</v>
      </c>
      <c r="J7" s="708"/>
      <c r="K7" s="707"/>
      <c r="L7" s="705">
        <f>+F7</f>
        <v>44896</v>
      </c>
      <c r="M7" s="705" t="str">
        <f>+G7</f>
        <v>2023</v>
      </c>
      <c r="N7" s="706" t="str">
        <f>H7</f>
        <v>2023</v>
      </c>
      <c r="O7" s="705">
        <f>I7</f>
        <v>45261</v>
      </c>
      <c r="P7" s="704"/>
      <c r="Q7" s="704"/>
    </row>
    <row r="8" spans="1:17" ht="14.4" thickBot="1">
      <c r="A8" s="400" t="s">
        <v>6</v>
      </c>
      <c r="B8" s="735" t="s">
        <v>138</v>
      </c>
      <c r="C8" s="735" t="s">
        <v>874</v>
      </c>
      <c r="D8" s="735" t="s">
        <v>873</v>
      </c>
      <c r="E8" s="735" t="s">
        <v>872</v>
      </c>
      <c r="F8" s="735" t="s">
        <v>139</v>
      </c>
      <c r="G8" s="735" t="s">
        <v>140</v>
      </c>
      <c r="H8" s="735" t="s">
        <v>141</v>
      </c>
      <c r="I8" s="735" t="s">
        <v>142</v>
      </c>
      <c r="J8" s="939" t="s">
        <v>143</v>
      </c>
      <c r="K8" s="939"/>
      <c r="L8" s="735" t="s">
        <v>144</v>
      </c>
      <c r="M8" s="735" t="s">
        <v>145</v>
      </c>
      <c r="N8" s="735" t="s">
        <v>161</v>
      </c>
      <c r="O8" s="735" t="s">
        <v>162</v>
      </c>
      <c r="P8" s="735" t="s">
        <v>871</v>
      </c>
      <c r="Q8" s="735" t="s">
        <v>870</v>
      </c>
    </row>
    <row r="9" spans="1:17">
      <c r="A9" s="703"/>
      <c r="B9" s="703"/>
      <c r="C9" s="703"/>
      <c r="D9" s="703"/>
      <c r="E9" s="703"/>
      <c r="F9" s="700"/>
      <c r="G9" s="700"/>
      <c r="H9" s="700"/>
      <c r="I9" s="700"/>
      <c r="J9" s="682"/>
      <c r="K9" s="681"/>
      <c r="L9" s="682"/>
      <c r="M9" s="682"/>
      <c r="N9" s="700"/>
      <c r="O9" s="682"/>
      <c r="P9" s="700"/>
      <c r="Q9" s="700"/>
    </row>
    <row r="10" spans="1:17" ht="60" customHeight="1">
      <c r="A10" s="702" t="s">
        <v>396</v>
      </c>
      <c r="B10" s="702" t="s">
        <v>869</v>
      </c>
      <c r="C10" s="702" t="s">
        <v>868</v>
      </c>
      <c r="D10" s="701" t="s">
        <v>1033</v>
      </c>
      <c r="E10" s="701" t="s">
        <v>1032</v>
      </c>
      <c r="F10" s="701" t="s">
        <v>867</v>
      </c>
      <c r="G10" s="701" t="s">
        <v>866</v>
      </c>
      <c r="H10" s="701" t="s">
        <v>865</v>
      </c>
      <c r="I10" s="701" t="s">
        <v>864</v>
      </c>
      <c r="J10" s="943" t="s">
        <v>863</v>
      </c>
      <c r="K10" s="943"/>
      <c r="L10" s="701" t="s">
        <v>862</v>
      </c>
      <c r="M10" s="701" t="s">
        <v>861</v>
      </c>
      <c r="N10" s="701" t="s">
        <v>860</v>
      </c>
      <c r="O10" s="701" t="s">
        <v>859</v>
      </c>
      <c r="P10" s="701" t="s">
        <v>858</v>
      </c>
      <c r="Q10" s="701" t="s">
        <v>857</v>
      </c>
    </row>
    <row r="11" spans="1:17">
      <c r="A11" s="682"/>
      <c r="B11" s="682"/>
      <c r="C11" s="682"/>
      <c r="D11" s="682"/>
      <c r="E11" s="682"/>
      <c r="F11" s="699"/>
      <c r="G11" s="699"/>
      <c r="H11" s="699"/>
      <c r="I11" s="699"/>
      <c r="J11" s="700"/>
      <c r="K11" s="700"/>
      <c r="L11" s="699"/>
      <c r="M11" s="699"/>
      <c r="N11" s="699"/>
      <c r="O11" s="699"/>
      <c r="P11" s="699"/>
      <c r="Q11" s="699"/>
    </row>
    <row r="12" spans="1:17">
      <c r="A12" s="193">
        <v>1</v>
      </c>
      <c r="B12" s="940" t="s">
        <v>856</v>
      </c>
      <c r="C12" s="941"/>
      <c r="D12" s="941"/>
      <c r="E12" s="941"/>
      <c r="F12" s="941"/>
      <c r="G12" s="941"/>
      <c r="H12" s="941"/>
      <c r="I12" s="941"/>
      <c r="J12" s="941"/>
      <c r="K12" s="941"/>
      <c r="L12" s="941"/>
      <c r="M12" s="941"/>
      <c r="N12" s="941"/>
      <c r="O12" s="941"/>
      <c r="P12" s="941"/>
      <c r="Q12" s="941"/>
    </row>
    <row r="13" spans="1:17">
      <c r="A13" s="193">
        <f>A12+1</f>
        <v>2</v>
      </c>
      <c r="B13" s="683" t="s">
        <v>1070</v>
      </c>
      <c r="C13" s="683" t="s">
        <v>847</v>
      </c>
      <c r="D13" s="694">
        <v>182.3</v>
      </c>
      <c r="E13" s="694"/>
      <c r="F13" s="693">
        <v>0</v>
      </c>
      <c r="G13" s="693">
        <v>0</v>
      </c>
      <c r="H13" s="693">
        <v>0</v>
      </c>
      <c r="I13" s="693">
        <v>1.0000000000000001E-9</v>
      </c>
      <c r="J13" s="692" t="s">
        <v>846</v>
      </c>
      <c r="K13" s="794">
        <v>0.22680814926774853</v>
      </c>
      <c r="L13" s="691">
        <f t="shared" ref="L13:O14" si="0">F13*$K13</f>
        <v>0</v>
      </c>
      <c r="M13" s="691">
        <f t="shared" si="0"/>
        <v>0</v>
      </c>
      <c r="N13" s="691">
        <f t="shared" si="0"/>
        <v>0</v>
      </c>
      <c r="O13" s="691">
        <f t="shared" si="0"/>
        <v>2.2680814926774854E-10</v>
      </c>
      <c r="P13" s="692" t="s">
        <v>851</v>
      </c>
      <c r="Q13" s="697" t="s">
        <v>1001</v>
      </c>
    </row>
    <row r="14" spans="1:17">
      <c r="A14" s="193">
        <f>A13+1</f>
        <v>3</v>
      </c>
      <c r="B14" s="690" t="s">
        <v>275</v>
      </c>
      <c r="C14" s="690"/>
      <c r="D14" s="690"/>
      <c r="E14" s="690"/>
      <c r="F14" s="693"/>
      <c r="G14" s="693"/>
      <c r="H14" s="693"/>
      <c r="I14" s="693"/>
      <c r="J14" s="686"/>
      <c r="K14" s="696"/>
      <c r="L14" s="691">
        <f t="shared" si="0"/>
        <v>0</v>
      </c>
      <c r="M14" s="691">
        <f>G14*$K14</f>
        <v>0</v>
      </c>
      <c r="N14" s="691">
        <f t="shared" si="0"/>
        <v>0</v>
      </c>
      <c r="O14" s="691">
        <f t="shared" si="0"/>
        <v>0</v>
      </c>
      <c r="P14" s="686"/>
      <c r="Q14" s="686"/>
    </row>
    <row r="15" spans="1:17">
      <c r="A15" s="193">
        <v>50</v>
      </c>
      <c r="B15" s="679" t="s">
        <v>1034</v>
      </c>
      <c r="C15" s="679"/>
      <c r="D15" s="679"/>
      <c r="E15" s="679"/>
      <c r="F15" s="695">
        <f>SUM(F13:F14)</f>
        <v>0</v>
      </c>
      <c r="G15" s="695">
        <f>SUM(G13:G14)</f>
        <v>0</v>
      </c>
      <c r="H15" s="695">
        <f>SUM(H13:H14)</f>
        <v>0</v>
      </c>
      <c r="I15" s="695">
        <f>SUM(I13:I14)</f>
        <v>1.0000000000000001E-9</v>
      </c>
      <c r="J15" s="682"/>
      <c r="K15" s="681"/>
      <c r="L15" s="695">
        <f>SUM(L13:L14)</f>
        <v>0</v>
      </c>
      <c r="M15" s="695">
        <f>SUM(M13:M14)</f>
        <v>0</v>
      </c>
      <c r="N15" s="695">
        <f>SUM(N13:N14)</f>
        <v>0</v>
      </c>
      <c r="O15" s="695">
        <f>SUM(O13:O14)</f>
        <v>2.2680814926774854E-10</v>
      </c>
      <c r="P15" s="677"/>
      <c r="Q15" s="677"/>
    </row>
    <row r="16" spans="1:17">
      <c r="A16" s="193"/>
      <c r="B16" s="679"/>
      <c r="C16" s="679"/>
      <c r="D16" s="679"/>
      <c r="E16" s="679"/>
      <c r="F16" s="678"/>
      <c r="G16" s="678"/>
      <c r="H16" s="678"/>
      <c r="I16" s="678"/>
      <c r="J16" s="682"/>
      <c r="K16" s="681"/>
      <c r="L16" s="678"/>
      <c r="M16" s="678"/>
      <c r="N16" s="678"/>
      <c r="O16" s="678"/>
      <c r="P16" s="677"/>
      <c r="Q16" s="677"/>
    </row>
    <row r="17" spans="1:17">
      <c r="A17" s="193">
        <v>51</v>
      </c>
      <c r="B17" s="683" t="s">
        <v>1071</v>
      </c>
      <c r="C17" s="683" t="s">
        <v>847</v>
      </c>
      <c r="D17" s="694">
        <v>283</v>
      </c>
      <c r="E17" s="694"/>
      <c r="F17" s="693">
        <v>0</v>
      </c>
      <c r="G17" s="693">
        <v>0</v>
      </c>
      <c r="H17" s="693">
        <v>0</v>
      </c>
      <c r="I17" s="693">
        <v>0</v>
      </c>
      <c r="J17" s="692" t="s">
        <v>846</v>
      </c>
      <c r="K17" s="794">
        <v>0.22680814926774853</v>
      </c>
      <c r="L17" s="691">
        <f t="shared" ref="L17:O18" si="1">F17*$K17</f>
        <v>0</v>
      </c>
      <c r="M17" s="691">
        <f t="shared" si="1"/>
        <v>0</v>
      </c>
      <c r="N17" s="691">
        <f t="shared" si="1"/>
        <v>0</v>
      </c>
      <c r="O17" s="691">
        <f t="shared" si="1"/>
        <v>0</v>
      </c>
      <c r="P17" s="692"/>
      <c r="Q17" s="698"/>
    </row>
    <row r="18" spans="1:17">
      <c r="A18" s="193">
        <v>52</v>
      </c>
      <c r="B18" s="690" t="s">
        <v>275</v>
      </c>
      <c r="C18" s="690"/>
      <c r="D18" s="690"/>
      <c r="E18" s="689"/>
      <c r="F18" s="688"/>
      <c r="G18" s="687"/>
      <c r="H18" s="687"/>
      <c r="I18" s="687"/>
      <c r="J18" s="687"/>
      <c r="K18" s="686"/>
      <c r="L18" s="685">
        <f t="shared" si="1"/>
        <v>0</v>
      </c>
      <c r="M18" s="685">
        <f t="shared" si="1"/>
        <v>0</v>
      </c>
      <c r="N18" s="685">
        <f t="shared" si="1"/>
        <v>0</v>
      </c>
      <c r="O18" s="685">
        <f t="shared" si="1"/>
        <v>0</v>
      </c>
      <c r="P18" s="684"/>
      <c r="Q18" s="684"/>
    </row>
    <row r="19" spans="1:17">
      <c r="A19" s="193">
        <v>150</v>
      </c>
      <c r="B19" s="679" t="s">
        <v>855</v>
      </c>
      <c r="C19" s="679"/>
      <c r="D19" s="679"/>
      <c r="E19" s="679"/>
      <c r="F19" s="678">
        <f>SUM(F17:F18)</f>
        <v>0</v>
      </c>
      <c r="G19" s="678">
        <f>SUM(G17:G18)</f>
        <v>0</v>
      </c>
      <c r="H19" s="678">
        <f>SUM(H17:H18)</f>
        <v>0</v>
      </c>
      <c r="I19" s="678">
        <f>SUM(I17:I18)</f>
        <v>0</v>
      </c>
      <c r="J19" s="682"/>
      <c r="K19" s="681"/>
      <c r="L19" s="678">
        <f>SUM(L17:L18)</f>
        <v>0</v>
      </c>
      <c r="M19" s="678">
        <f>SUM(M17:M18)</f>
        <v>0</v>
      </c>
      <c r="N19" s="678">
        <f>SUM(N17:N18)</f>
        <v>0</v>
      </c>
      <c r="O19" s="678">
        <f>SUM(O17:O18)</f>
        <v>0</v>
      </c>
      <c r="P19" s="677"/>
      <c r="Q19" s="677"/>
    </row>
    <row r="20" spans="1:17">
      <c r="A20" s="193">
        <v>151</v>
      </c>
      <c r="B20" s="679"/>
      <c r="C20" s="679"/>
      <c r="D20" s="679"/>
      <c r="E20" s="679"/>
      <c r="F20" s="678"/>
      <c r="G20" s="678"/>
      <c r="H20" s="678"/>
      <c r="I20" s="678"/>
      <c r="J20" s="682"/>
      <c r="K20" s="681"/>
      <c r="L20" s="678"/>
      <c r="M20" s="678"/>
      <c r="N20" s="678"/>
      <c r="O20" s="678"/>
      <c r="P20" s="677"/>
      <c r="Q20" s="677"/>
    </row>
    <row r="21" spans="1:17">
      <c r="A21" s="193">
        <v>152</v>
      </c>
      <c r="B21" s="679" t="s">
        <v>1035</v>
      </c>
      <c r="C21" s="679"/>
      <c r="D21" s="679"/>
      <c r="E21" s="679"/>
      <c r="F21" s="678">
        <f>F15+F19</f>
        <v>0</v>
      </c>
      <c r="G21" s="678">
        <f>G15+G19</f>
        <v>0</v>
      </c>
      <c r="H21" s="678">
        <f>H15+H19</f>
        <v>0</v>
      </c>
      <c r="I21" s="678">
        <f>I15+I19</f>
        <v>1.0000000000000001E-9</v>
      </c>
      <c r="J21" s="682"/>
      <c r="K21" s="681"/>
      <c r="L21" s="678">
        <f>L15+L19</f>
        <v>0</v>
      </c>
      <c r="M21" s="678">
        <f>M15+M19</f>
        <v>0</v>
      </c>
      <c r="N21" s="678">
        <f>N15+N19</f>
        <v>0</v>
      </c>
      <c r="O21" s="678">
        <f>O15+O19</f>
        <v>2.2680814926774854E-10</v>
      </c>
      <c r="P21" s="677"/>
      <c r="Q21" s="677"/>
    </row>
    <row r="22" spans="1:17">
      <c r="A22" s="193"/>
      <c r="B22" s="679"/>
      <c r="C22" s="679"/>
      <c r="D22" s="679"/>
      <c r="E22" s="679"/>
      <c r="F22" s="678"/>
      <c r="G22" s="678"/>
      <c r="H22" s="678"/>
      <c r="I22" s="678"/>
      <c r="J22" s="682"/>
      <c r="K22" s="681"/>
      <c r="L22" s="678"/>
      <c r="M22" s="678"/>
      <c r="N22" s="678"/>
      <c r="O22" s="678"/>
      <c r="P22" s="677"/>
      <c r="Q22" s="677"/>
    </row>
    <row r="23" spans="1:17">
      <c r="A23" s="193">
        <v>200</v>
      </c>
      <c r="B23" s="940" t="s">
        <v>854</v>
      </c>
      <c r="C23" s="941"/>
      <c r="D23" s="941"/>
      <c r="E23" s="941"/>
      <c r="F23" s="941"/>
      <c r="G23" s="941"/>
      <c r="H23" s="941"/>
      <c r="I23" s="941"/>
      <c r="J23" s="941"/>
      <c r="K23" s="941"/>
      <c r="L23" s="941"/>
      <c r="M23" s="941"/>
      <c r="N23" s="941"/>
      <c r="O23" s="941"/>
      <c r="P23" s="941"/>
      <c r="Q23" s="941"/>
    </row>
    <row r="24" spans="1:17">
      <c r="A24" s="193">
        <f t="shared" ref="A24:A26" si="2">A23+1</f>
        <v>201</v>
      </c>
      <c r="B24" s="683" t="s">
        <v>816</v>
      </c>
      <c r="C24" s="683" t="s">
        <v>847</v>
      </c>
      <c r="D24" s="694" t="s">
        <v>1249</v>
      </c>
      <c r="E24" s="694"/>
      <c r="F24" s="693">
        <v>-71391714</v>
      </c>
      <c r="G24" s="693">
        <v>2455249.1658280808</v>
      </c>
      <c r="H24" s="693">
        <v>-831919.16582807899</v>
      </c>
      <c r="I24" s="693">
        <v>-69768384</v>
      </c>
      <c r="J24" s="692" t="s">
        <v>846</v>
      </c>
      <c r="K24" s="794">
        <v>0.22680814926774853</v>
      </c>
      <c r="L24" s="691">
        <f t="shared" ref="L24:O27" si="3">F24*$K24</f>
        <v>-16192222.525392413</v>
      </c>
      <c r="M24" s="691">
        <f t="shared" si="3"/>
        <v>556870.5192926504</v>
      </c>
      <c r="N24" s="691">
        <f t="shared" si="3"/>
        <v>-188686.04634183578</v>
      </c>
      <c r="O24" s="691">
        <f t="shared" si="3"/>
        <v>-15824038.052441599</v>
      </c>
      <c r="P24" s="692" t="s">
        <v>851</v>
      </c>
      <c r="Q24" s="698" t="s">
        <v>852</v>
      </c>
    </row>
    <row r="25" spans="1:17">
      <c r="A25" s="193">
        <f t="shared" si="2"/>
        <v>202</v>
      </c>
      <c r="B25" s="683" t="s">
        <v>1066</v>
      </c>
      <c r="C25" s="683" t="s">
        <v>847</v>
      </c>
      <c r="D25" s="694" t="s">
        <v>1249</v>
      </c>
      <c r="E25" s="694"/>
      <c r="F25" s="693">
        <v>0</v>
      </c>
      <c r="G25" s="693"/>
      <c r="H25" s="693">
        <v>0</v>
      </c>
      <c r="I25" s="693">
        <v>0</v>
      </c>
      <c r="J25" s="698" t="s">
        <v>846</v>
      </c>
      <c r="K25" s="794">
        <v>0.22680814926774853</v>
      </c>
      <c r="L25" s="691">
        <f t="shared" si="3"/>
        <v>0</v>
      </c>
      <c r="M25" s="691">
        <f t="shared" si="3"/>
        <v>0</v>
      </c>
      <c r="N25" s="691">
        <f t="shared" si="3"/>
        <v>0</v>
      </c>
      <c r="O25" s="691">
        <f t="shared" si="3"/>
        <v>0</v>
      </c>
      <c r="P25" s="698" t="s">
        <v>851</v>
      </c>
      <c r="Q25" s="697" t="s">
        <v>1001</v>
      </c>
    </row>
    <row r="26" spans="1:17">
      <c r="A26" s="193">
        <f t="shared" si="2"/>
        <v>203</v>
      </c>
      <c r="B26" s="683" t="s">
        <v>853</v>
      </c>
      <c r="C26" s="683" t="s">
        <v>847</v>
      </c>
      <c r="D26" s="729">
        <v>182.3</v>
      </c>
      <c r="E26" s="694"/>
      <c r="F26" s="693">
        <v>31165737</v>
      </c>
      <c r="G26" s="693">
        <v>-1030090.3431852667</v>
      </c>
      <c r="H26" s="693">
        <v>195379.34318526834</v>
      </c>
      <c r="I26" s="693">
        <v>30331026</v>
      </c>
      <c r="J26" s="698" t="s">
        <v>846</v>
      </c>
      <c r="K26" s="794">
        <v>0.22680814926774853</v>
      </c>
      <c r="L26" s="691">
        <f t="shared" si="3"/>
        <v>7068643.1295353938</v>
      </c>
      <c r="M26" s="691">
        <f t="shared" si="3"/>
        <v>-233632.88431643028</v>
      </c>
      <c r="N26" s="691">
        <f t="shared" si="3"/>
        <v>44313.62723299901</v>
      </c>
      <c r="O26" s="691">
        <f t="shared" si="3"/>
        <v>6879323.872451962</v>
      </c>
      <c r="P26" s="692" t="s">
        <v>851</v>
      </c>
      <c r="Q26" s="698" t="s">
        <v>852</v>
      </c>
    </row>
    <row r="27" spans="1:17">
      <c r="A27" s="193">
        <f>A26+1</f>
        <v>204</v>
      </c>
      <c r="B27" s="690" t="s">
        <v>275</v>
      </c>
      <c r="C27" s="690"/>
      <c r="D27" s="690"/>
      <c r="E27" s="690"/>
      <c r="F27" s="693"/>
      <c r="G27" s="693"/>
      <c r="H27" s="693"/>
      <c r="I27" s="693"/>
      <c r="J27" s="686"/>
      <c r="K27" s="696"/>
      <c r="L27" s="691">
        <f t="shared" si="3"/>
        <v>0</v>
      </c>
      <c r="M27" s="691">
        <f t="shared" si="3"/>
        <v>0</v>
      </c>
      <c r="N27" s="691">
        <f t="shared" si="3"/>
        <v>0</v>
      </c>
      <c r="O27" s="691">
        <f t="shared" si="3"/>
        <v>0</v>
      </c>
      <c r="P27" s="684"/>
      <c r="Q27" s="684"/>
    </row>
    <row r="28" spans="1:17">
      <c r="A28" s="193">
        <v>299</v>
      </c>
      <c r="B28" s="679" t="s">
        <v>850</v>
      </c>
      <c r="C28" s="679"/>
      <c r="D28" s="679"/>
      <c r="E28" s="679"/>
      <c r="F28" s="695">
        <f>SUM(F24:F27)</f>
        <v>-40225977</v>
      </c>
      <c r="G28" s="695">
        <f>SUM(G24:G27)</f>
        <v>1425158.8226428141</v>
      </c>
      <c r="H28" s="695">
        <f>SUM(H24:H27)</f>
        <v>-636539.82264281064</v>
      </c>
      <c r="I28" s="695">
        <f>SUM(I24:I27)</f>
        <v>-39437358</v>
      </c>
      <c r="J28" s="682"/>
      <c r="K28" s="681"/>
      <c r="L28" s="695">
        <f>SUM(L24:L27)</f>
        <v>-9123579.3958570193</v>
      </c>
      <c r="M28" s="695">
        <f>SUM(M24:M27)</f>
        <v>323237.63497622008</v>
      </c>
      <c r="N28" s="695">
        <f>SUM(N24:N27)</f>
        <v>-144372.41910883677</v>
      </c>
      <c r="O28" s="695">
        <f>SUM(O24:O27)</f>
        <v>-8944714.1799896359</v>
      </c>
      <c r="P28" s="677"/>
      <c r="Q28" s="677"/>
    </row>
    <row r="29" spans="1:17">
      <c r="A29" s="193"/>
      <c r="B29" s="679"/>
      <c r="C29" s="679"/>
      <c r="D29" s="679"/>
      <c r="E29" s="679"/>
      <c r="F29" s="678"/>
      <c r="G29" s="678"/>
      <c r="H29" s="678"/>
      <c r="I29" s="678"/>
      <c r="J29" s="682"/>
      <c r="K29" s="681"/>
      <c r="L29" s="678"/>
      <c r="M29" s="678"/>
      <c r="N29" s="678"/>
      <c r="O29" s="678"/>
      <c r="P29" s="677"/>
      <c r="Q29" s="677"/>
    </row>
    <row r="30" spans="1:17">
      <c r="A30" s="193">
        <v>300</v>
      </c>
      <c r="B30" s="683" t="s">
        <v>849</v>
      </c>
      <c r="C30" s="683" t="s">
        <v>847</v>
      </c>
      <c r="D30" s="694">
        <v>190</v>
      </c>
      <c r="E30" s="694"/>
      <c r="F30" s="693">
        <v>17561674.454120003</v>
      </c>
      <c r="G30" s="693">
        <v>-600946.78582808108</v>
      </c>
      <c r="H30" s="693">
        <v>203620.53502808063</v>
      </c>
      <c r="I30" s="693">
        <v>17164348.203320004</v>
      </c>
      <c r="J30" s="692" t="s">
        <v>846</v>
      </c>
      <c r="K30" s="794">
        <v>0.22680814926774853</v>
      </c>
      <c r="L30" s="691">
        <f t="shared" ref="L30:O32" si="4">F30*$K30</f>
        <v>3983130.8809816558</v>
      </c>
      <c r="M30" s="691">
        <f t="shared" si="4"/>
        <v>-136299.62830206912</v>
      </c>
      <c r="N30" s="691">
        <f t="shared" si="4"/>
        <v>46182.796702627733</v>
      </c>
      <c r="O30" s="691">
        <f t="shared" si="4"/>
        <v>3893014.0493822149</v>
      </c>
      <c r="P30" s="677"/>
      <c r="Q30" s="677"/>
    </row>
    <row r="31" spans="1:17">
      <c r="A31" s="193">
        <f>A30+1</f>
        <v>301</v>
      </c>
      <c r="B31" s="683" t="s">
        <v>848</v>
      </c>
      <c r="C31" s="683" t="s">
        <v>847</v>
      </c>
      <c r="D31" s="694">
        <v>283</v>
      </c>
      <c r="E31" s="694"/>
      <c r="F31" s="693">
        <v>-7666834.9986399999</v>
      </c>
      <c r="G31" s="693">
        <v>252124.91239802589</v>
      </c>
      <c r="H31" s="693">
        <v>-47821.048038026282</v>
      </c>
      <c r="I31" s="693">
        <v>-7462531.1342799999</v>
      </c>
      <c r="J31" s="692" t="s">
        <v>846</v>
      </c>
      <c r="K31" s="794">
        <v>0.22680814926774853</v>
      </c>
      <c r="L31" s="691">
        <f t="shared" si="4"/>
        <v>-1738900.6567827398</v>
      </c>
      <c r="M31" s="691">
        <f t="shared" si="4"/>
        <v>57183.984765289475</v>
      </c>
      <c r="N31" s="691">
        <f t="shared" si="4"/>
        <v>-10846.203401548837</v>
      </c>
      <c r="O31" s="691">
        <f t="shared" si="4"/>
        <v>-1692562.875418999</v>
      </c>
      <c r="P31" s="677"/>
      <c r="Q31" s="677"/>
    </row>
    <row r="32" spans="1:17">
      <c r="A32" s="193">
        <f>A31+1</f>
        <v>302</v>
      </c>
      <c r="B32" s="690" t="s">
        <v>275</v>
      </c>
      <c r="C32" s="690"/>
      <c r="D32" s="690"/>
      <c r="E32" s="689"/>
      <c r="F32" s="688"/>
      <c r="G32" s="687"/>
      <c r="H32" s="687"/>
      <c r="I32" s="687"/>
      <c r="J32" s="687"/>
      <c r="K32" s="686"/>
      <c r="L32" s="685">
        <f t="shared" si="4"/>
        <v>0</v>
      </c>
      <c r="M32" s="685">
        <f t="shared" si="4"/>
        <v>0</v>
      </c>
      <c r="N32" s="685">
        <f t="shared" si="4"/>
        <v>0</v>
      </c>
      <c r="O32" s="685">
        <f t="shared" si="4"/>
        <v>0</v>
      </c>
      <c r="P32" s="684"/>
      <c r="Q32" s="684"/>
    </row>
    <row r="33" spans="1:17">
      <c r="A33" s="193">
        <v>350</v>
      </c>
      <c r="B33" s="679" t="s">
        <v>845</v>
      </c>
      <c r="C33" s="679"/>
      <c r="F33" s="678">
        <f>SUM(F30:F32)</f>
        <v>9894839.4554800019</v>
      </c>
      <c r="G33" s="678">
        <f>SUM(G30:G32)</f>
        <v>-348821.87343005522</v>
      </c>
      <c r="H33" s="678">
        <f>SUM(H30:H32)</f>
        <v>155799.48699005434</v>
      </c>
      <c r="I33" s="678">
        <f>SUM(I30:I32)</f>
        <v>9701817.0690400042</v>
      </c>
      <c r="J33" s="682"/>
      <c r="K33" s="681"/>
      <c r="L33" s="678">
        <f>SUM(L30:L32)</f>
        <v>2244230.224198916</v>
      </c>
      <c r="M33" s="678">
        <f>SUM(M30:M32)</f>
        <v>-79115.643536779651</v>
      </c>
      <c r="N33" s="678">
        <f>SUM(N30:N32)</f>
        <v>35336.593301078894</v>
      </c>
      <c r="O33" s="678">
        <f>SUM(O30:O32)</f>
        <v>2200451.1739632161</v>
      </c>
      <c r="P33" s="677"/>
      <c r="Q33" s="677"/>
    </row>
    <row r="34" spans="1:17">
      <c r="A34" s="193">
        <f>A33+1</f>
        <v>351</v>
      </c>
      <c r="B34" s="679"/>
      <c r="C34" s="679"/>
      <c r="F34" s="678"/>
      <c r="G34" s="678"/>
      <c r="H34" s="678"/>
      <c r="I34" s="678"/>
      <c r="J34" s="682"/>
      <c r="K34" s="681"/>
      <c r="L34" s="678"/>
      <c r="M34" s="678"/>
      <c r="N34" s="678"/>
      <c r="O34" s="678"/>
      <c r="P34" s="677"/>
      <c r="Q34" s="677"/>
    </row>
    <row r="35" spans="1:17">
      <c r="A35" s="193">
        <f>A34+1</f>
        <v>352</v>
      </c>
      <c r="B35" s="679" t="s">
        <v>844</v>
      </c>
      <c r="C35" s="679"/>
      <c r="D35" s="679"/>
      <c r="E35" s="679"/>
      <c r="F35" s="678">
        <f>F28+F33</f>
        <v>-30331137.544519998</v>
      </c>
      <c r="G35" s="678">
        <f>G28+G33</f>
        <v>1076336.9492127588</v>
      </c>
      <c r="H35" s="678">
        <f>H28+H33</f>
        <v>-480740.33565275627</v>
      </c>
      <c r="I35" s="678">
        <f>I28+I33</f>
        <v>-29735540.930959996</v>
      </c>
      <c r="J35" s="682"/>
      <c r="K35" s="681"/>
      <c r="L35" s="678">
        <f>L28+L33</f>
        <v>-6879349.1716581034</v>
      </c>
      <c r="M35" s="678">
        <f>M28+M33</f>
        <v>244121.99143944043</v>
      </c>
      <c r="N35" s="678">
        <f>N28+N33</f>
        <v>-109035.82580775788</v>
      </c>
      <c r="O35" s="678">
        <f>O28+O33</f>
        <v>-6744263.0060264198</v>
      </c>
      <c r="P35" s="677"/>
      <c r="Q35" s="677"/>
    </row>
    <row r="36" spans="1:17">
      <c r="A36" s="193"/>
      <c r="B36" s="679"/>
      <c r="C36" s="679"/>
      <c r="D36" s="679"/>
      <c r="E36" s="679"/>
      <c r="F36" s="678"/>
      <c r="G36" s="678"/>
      <c r="H36" s="678"/>
      <c r="I36" s="678"/>
      <c r="J36" s="682"/>
      <c r="K36" s="681"/>
      <c r="L36" s="678"/>
      <c r="M36" s="678"/>
      <c r="N36" s="678"/>
      <c r="O36" s="678"/>
      <c r="P36" s="677"/>
      <c r="Q36" s="677"/>
    </row>
    <row r="37" spans="1:17">
      <c r="A37" s="193">
        <v>353</v>
      </c>
      <c r="B37" s="940" t="s">
        <v>843</v>
      </c>
      <c r="C37" s="941"/>
      <c r="D37" s="941"/>
      <c r="E37" s="941"/>
      <c r="F37" s="941"/>
      <c r="G37" s="941"/>
      <c r="H37" s="941"/>
      <c r="I37" s="941"/>
      <c r="J37" s="941"/>
      <c r="K37" s="941"/>
      <c r="L37" s="941"/>
      <c r="M37" s="941"/>
      <c r="N37" s="941"/>
      <c r="O37" s="941"/>
      <c r="P37" s="941"/>
      <c r="Q37" s="941"/>
    </row>
    <row r="38" spans="1:17">
      <c r="A38" s="193">
        <f t="shared" ref="A38:A43" si="5">A37+1</f>
        <v>354</v>
      </c>
      <c r="B38" s="679"/>
      <c r="C38" s="679"/>
      <c r="D38" s="683"/>
      <c r="E38" s="679"/>
      <c r="F38" s="678"/>
      <c r="G38" s="678"/>
      <c r="H38" s="678"/>
      <c r="I38" s="678"/>
      <c r="J38" s="682"/>
      <c r="K38" s="681"/>
      <c r="L38" s="678"/>
      <c r="M38" s="678"/>
      <c r="N38" s="678"/>
      <c r="O38" s="678"/>
      <c r="P38" s="677"/>
      <c r="Q38" s="677"/>
    </row>
    <row r="39" spans="1:17">
      <c r="A39" s="193">
        <f t="shared" si="5"/>
        <v>355</v>
      </c>
      <c r="B39" s="733" t="s">
        <v>1067</v>
      </c>
      <c r="C39" s="679"/>
      <c r="D39" s="679"/>
      <c r="E39" s="679"/>
      <c r="F39" s="678">
        <f>+F15+F28</f>
        <v>-40225977</v>
      </c>
      <c r="G39" s="678">
        <f>+G15+G28</f>
        <v>1425158.8226428141</v>
      </c>
      <c r="H39" s="678">
        <f>+H15+H28</f>
        <v>-636539.82264281064</v>
      </c>
      <c r="I39" s="678">
        <f>+I15+I28</f>
        <v>-39437358</v>
      </c>
      <c r="J39" s="739"/>
      <c r="K39" s="678"/>
      <c r="L39" s="678">
        <f>+L15+L28</f>
        <v>-9123579.3958570193</v>
      </c>
      <c r="M39" s="678">
        <f>+M15+M28</f>
        <v>323237.63497622008</v>
      </c>
      <c r="N39" s="678">
        <f>+N15+N28</f>
        <v>-144372.41910883677</v>
      </c>
      <c r="O39" s="678">
        <f>+O15+O28</f>
        <v>-8944714.1799896359</v>
      </c>
      <c r="P39" s="677"/>
      <c r="Q39" s="677"/>
    </row>
    <row r="40" spans="1:17">
      <c r="A40" s="193">
        <f t="shared" si="5"/>
        <v>356</v>
      </c>
      <c r="B40" s="679" t="s">
        <v>842</v>
      </c>
      <c r="C40" s="679"/>
      <c r="D40" s="679"/>
      <c r="E40" s="679"/>
      <c r="F40" s="680">
        <f>F19+F33</f>
        <v>9894839.4554800019</v>
      </c>
      <c r="G40" s="680">
        <f>G19+G33</f>
        <v>-348821.87343005522</v>
      </c>
      <c r="H40" s="680">
        <f>H19+H33</f>
        <v>155799.48699005434</v>
      </c>
      <c r="I40" s="680">
        <f>I19+I33</f>
        <v>9701817.0690400042</v>
      </c>
      <c r="J40" s="740"/>
      <c r="K40" s="680"/>
      <c r="L40" s="680">
        <f>L19+L33</f>
        <v>2244230.224198916</v>
      </c>
      <c r="M40" s="680">
        <f>M19+M33</f>
        <v>-79115.643536779651</v>
      </c>
      <c r="N40" s="680">
        <f>N19+N33</f>
        <v>35336.593301078894</v>
      </c>
      <c r="O40" s="680">
        <f>O19+O33</f>
        <v>2200451.1739632161</v>
      </c>
      <c r="P40" s="677"/>
      <c r="Q40" s="677"/>
    </row>
    <row r="41" spans="1:17">
      <c r="A41" s="193">
        <f t="shared" si="5"/>
        <v>357</v>
      </c>
      <c r="B41" s="679" t="s">
        <v>903</v>
      </c>
      <c r="C41" s="679"/>
      <c r="D41" s="679"/>
      <c r="E41" s="679"/>
      <c r="F41" s="678">
        <f>SUM(F39:F40)</f>
        <v>-30331137.544519998</v>
      </c>
      <c r="G41" s="678">
        <f>SUM(G39:G40)</f>
        <v>1076336.9492127588</v>
      </c>
      <c r="H41" s="678">
        <f>SUM(H39:H40)</f>
        <v>-480740.33565275627</v>
      </c>
      <c r="I41" s="678">
        <f>SUM(I39:I40)</f>
        <v>-29735540.930959996</v>
      </c>
      <c r="J41" s="739"/>
      <c r="K41" s="678"/>
      <c r="L41" s="678">
        <f>SUM(L39:L40)</f>
        <v>-6879349.1716581034</v>
      </c>
      <c r="M41" s="678">
        <f>SUM(M39:M40)</f>
        <v>244121.99143944043</v>
      </c>
      <c r="N41" s="678">
        <f>SUM(N39:N40)</f>
        <v>-109035.82580775788</v>
      </c>
      <c r="O41" s="678">
        <f>SUM(O39:O40)</f>
        <v>-6744263.0060264198</v>
      </c>
      <c r="P41" s="677"/>
      <c r="Q41" s="677"/>
    </row>
    <row r="42" spans="1:17">
      <c r="A42" s="193">
        <f t="shared" si="5"/>
        <v>358</v>
      </c>
      <c r="B42" s="679" t="s">
        <v>841</v>
      </c>
      <c r="C42" s="679"/>
      <c r="D42" s="679"/>
      <c r="E42" s="679"/>
      <c r="F42" s="678"/>
      <c r="G42" s="678"/>
      <c r="H42" s="678"/>
      <c r="I42" s="678">
        <f>(I39+F39)/2</f>
        <v>-39831667.5</v>
      </c>
      <c r="J42" s="739"/>
      <c r="K42" s="678"/>
      <c r="L42" s="678"/>
      <c r="M42" s="678"/>
      <c r="N42" s="678"/>
      <c r="O42" s="678">
        <f>(O39+L39)/2</f>
        <v>-9034146.7879233286</v>
      </c>
      <c r="Q42" s="677"/>
    </row>
    <row r="43" spans="1:17" ht="15.6">
      <c r="A43" s="193">
        <f t="shared" si="5"/>
        <v>359</v>
      </c>
      <c r="B43" s="679" t="s">
        <v>1068</v>
      </c>
      <c r="C43" s="679"/>
      <c r="D43" s="679"/>
      <c r="E43" s="679"/>
      <c r="F43" s="678"/>
      <c r="G43" s="678"/>
      <c r="H43" s="678"/>
      <c r="I43" s="175"/>
      <c r="J43" s="739"/>
      <c r="K43" s="678"/>
      <c r="L43" s="678"/>
      <c r="M43" s="678"/>
      <c r="N43" s="678"/>
      <c r="O43" s="810">
        <f>O41/I41</f>
        <v>0.2268081492677485</v>
      </c>
      <c r="Q43" s="677"/>
    </row>
    <row r="44" spans="1:17">
      <c r="A44" s="193"/>
      <c r="B44" s="679"/>
      <c r="C44" s="679"/>
      <c r="D44" s="679"/>
      <c r="E44" s="679"/>
      <c r="F44" s="678"/>
      <c r="G44" s="678"/>
      <c r="H44" s="678"/>
      <c r="I44" s="678"/>
      <c r="J44" s="739"/>
      <c r="K44" s="678"/>
      <c r="L44" s="678"/>
      <c r="M44" s="678"/>
      <c r="N44" s="678"/>
      <c r="P44" s="677"/>
      <c r="Q44" s="677"/>
    </row>
    <row r="45" spans="1:17">
      <c r="A45" s="354" t="s">
        <v>172</v>
      </c>
    </row>
    <row r="46" spans="1:17" ht="79.5" customHeight="1">
      <c r="A46" s="394" t="s">
        <v>76</v>
      </c>
      <c r="B46" s="944" t="s">
        <v>1084</v>
      </c>
      <c r="C46" s="944"/>
      <c r="D46" s="944"/>
      <c r="E46" s="944"/>
      <c r="F46" s="944"/>
      <c r="G46" s="944"/>
      <c r="H46" s="944"/>
      <c r="I46" s="944"/>
      <c r="J46" s="944"/>
      <c r="K46" s="944"/>
      <c r="L46" s="944"/>
      <c r="M46" s="944"/>
      <c r="N46" s="944"/>
      <c r="O46" s="944"/>
      <c r="P46" s="741"/>
      <c r="Q46" s="741"/>
    </row>
    <row r="47" spans="1:17" ht="21" customHeight="1">
      <c r="A47" s="394" t="s">
        <v>840</v>
      </c>
      <c r="B47" s="944" t="s">
        <v>1085</v>
      </c>
      <c r="C47" s="944"/>
      <c r="D47" s="944"/>
      <c r="E47" s="944"/>
      <c r="F47" s="944"/>
      <c r="G47" s="944"/>
      <c r="H47" s="944"/>
      <c r="I47" s="944"/>
      <c r="J47" s="944"/>
      <c r="K47" s="944"/>
      <c r="L47" s="944"/>
      <c r="M47" s="944"/>
      <c r="N47" s="944"/>
      <c r="O47" s="944"/>
      <c r="P47" s="741"/>
      <c r="Q47" s="741"/>
    </row>
    <row r="48" spans="1:17" ht="21" customHeight="1">
      <c r="A48" s="394" t="s">
        <v>77</v>
      </c>
      <c r="B48" s="945" t="s">
        <v>839</v>
      </c>
      <c r="C48" s="945"/>
      <c r="D48" s="945"/>
      <c r="E48" s="945"/>
      <c r="F48" s="945"/>
      <c r="G48" s="945"/>
      <c r="H48" s="945"/>
      <c r="I48" s="945"/>
      <c r="J48" s="945"/>
      <c r="K48" s="945"/>
      <c r="L48" s="945"/>
      <c r="M48" s="945"/>
      <c r="N48" s="945"/>
      <c r="O48" s="945"/>
      <c r="P48" s="742"/>
      <c r="Q48" s="742"/>
    </row>
    <row r="49" spans="1:17" ht="21" customHeight="1">
      <c r="A49" s="394" t="s">
        <v>78</v>
      </c>
      <c r="B49" s="945" t="s">
        <v>1086</v>
      </c>
      <c r="C49" s="945"/>
      <c r="D49" s="945"/>
      <c r="E49" s="945"/>
      <c r="F49" s="945"/>
      <c r="G49" s="945"/>
      <c r="H49" s="945"/>
      <c r="I49" s="945"/>
      <c r="J49" s="945"/>
      <c r="K49" s="945"/>
      <c r="L49" s="945"/>
      <c r="M49" s="945"/>
      <c r="N49" s="945"/>
      <c r="O49" s="945"/>
      <c r="P49" s="742"/>
      <c r="Q49" s="742"/>
    </row>
    <row r="50" spans="1:17" ht="21" customHeight="1">
      <c r="A50" s="394" t="s">
        <v>79</v>
      </c>
      <c r="B50" s="945" t="s">
        <v>838</v>
      </c>
      <c r="C50" s="945"/>
      <c r="D50" s="945"/>
      <c r="E50" s="945"/>
      <c r="F50" s="945"/>
      <c r="G50" s="945"/>
      <c r="H50" s="945"/>
      <c r="I50" s="945"/>
      <c r="J50" s="945"/>
      <c r="K50" s="945"/>
      <c r="L50" s="945"/>
      <c r="M50" s="945"/>
      <c r="N50" s="945"/>
      <c r="O50" s="945"/>
    </row>
    <row r="51" spans="1:17" ht="21" customHeight="1">
      <c r="A51" s="394" t="s">
        <v>80</v>
      </c>
      <c r="B51" s="944" t="s">
        <v>837</v>
      </c>
      <c r="C51" s="944"/>
      <c r="D51" s="944"/>
      <c r="E51" s="944"/>
      <c r="F51" s="944"/>
      <c r="G51" s="944"/>
      <c r="H51" s="944"/>
      <c r="I51" s="944"/>
      <c r="J51" s="944"/>
      <c r="K51" s="944"/>
      <c r="L51" s="944"/>
      <c r="M51" s="944"/>
      <c r="N51" s="944"/>
      <c r="O51" s="944"/>
    </row>
    <row r="52" spans="1:17" ht="32.4" customHeight="1">
      <c r="A52" s="394" t="s">
        <v>81</v>
      </c>
      <c r="B52" s="944" t="s">
        <v>1059</v>
      </c>
      <c r="C52" s="944"/>
      <c r="D52" s="944"/>
      <c r="E52" s="944"/>
      <c r="F52" s="944"/>
      <c r="G52" s="944"/>
      <c r="H52" s="944"/>
      <c r="I52" s="944"/>
      <c r="J52" s="944"/>
      <c r="K52" s="944"/>
      <c r="L52" s="944"/>
      <c r="M52" s="944"/>
      <c r="N52" s="944"/>
      <c r="O52" s="944"/>
    </row>
    <row r="53" spans="1:17" ht="32.4" customHeight="1">
      <c r="A53" s="394" t="s">
        <v>82</v>
      </c>
      <c r="B53" s="944" t="s">
        <v>1036</v>
      </c>
      <c r="C53" s="944"/>
      <c r="D53" s="944"/>
      <c r="E53" s="944"/>
      <c r="F53" s="944"/>
      <c r="G53" s="944"/>
      <c r="H53" s="944"/>
      <c r="I53" s="944"/>
      <c r="J53" s="944"/>
      <c r="K53" s="944"/>
      <c r="L53" s="944"/>
      <c r="M53" s="944"/>
      <c r="N53" s="944"/>
      <c r="O53" s="944"/>
    </row>
    <row r="54" spans="1:17" ht="21" customHeight="1">
      <c r="A54" s="394" t="s">
        <v>343</v>
      </c>
      <c r="B54" s="944" t="s">
        <v>836</v>
      </c>
      <c r="C54" s="944"/>
      <c r="D54" s="944"/>
      <c r="E54" s="944"/>
      <c r="F54" s="944"/>
      <c r="G54" s="944"/>
      <c r="H54" s="944"/>
      <c r="I54" s="944"/>
      <c r="J54" s="944"/>
      <c r="K54" s="944"/>
      <c r="L54" s="944"/>
      <c r="M54" s="944"/>
      <c r="N54" s="944"/>
      <c r="O54" s="944"/>
    </row>
    <row r="55" spans="1:17" ht="29.25" customHeight="1">
      <c r="A55" s="394" t="s">
        <v>83</v>
      </c>
      <c r="B55" s="945" t="s">
        <v>1058</v>
      </c>
      <c r="C55" s="945"/>
      <c r="D55" s="945"/>
      <c r="E55" s="945"/>
      <c r="F55" s="945"/>
      <c r="G55" s="945"/>
      <c r="H55" s="945"/>
      <c r="I55" s="945"/>
      <c r="J55" s="945"/>
      <c r="K55" s="945"/>
      <c r="L55" s="945"/>
      <c r="M55" s="945"/>
      <c r="N55" s="945"/>
      <c r="O55" s="945"/>
    </row>
    <row r="56" spans="1:17" ht="29.25" customHeight="1">
      <c r="A56" s="394" t="s">
        <v>84</v>
      </c>
      <c r="B56" s="945" t="s">
        <v>905</v>
      </c>
      <c r="C56" s="945"/>
      <c r="D56" s="945"/>
      <c r="E56" s="945"/>
      <c r="F56" s="945"/>
      <c r="G56" s="945"/>
      <c r="H56" s="945"/>
      <c r="I56" s="945"/>
      <c r="J56" s="945"/>
      <c r="K56" s="945"/>
      <c r="L56" s="945"/>
      <c r="M56" s="945"/>
      <c r="N56" s="945"/>
      <c r="O56" s="945"/>
    </row>
    <row r="57" spans="1:17" s="809" customFormat="1" ht="18" customHeight="1">
      <c r="A57" s="394" t="s">
        <v>85</v>
      </c>
      <c r="B57" s="944" t="s">
        <v>1060</v>
      </c>
      <c r="C57" s="944"/>
      <c r="D57" s="944"/>
      <c r="E57" s="944"/>
      <c r="F57" s="944"/>
      <c r="G57" s="944"/>
      <c r="H57" s="944"/>
      <c r="I57" s="944"/>
      <c r="J57" s="944"/>
      <c r="K57" s="944"/>
      <c r="L57" s="944"/>
      <c r="M57" s="944"/>
      <c r="N57" s="944"/>
      <c r="O57" s="944"/>
    </row>
    <row r="58" spans="1:17" ht="15.6">
      <c r="A58" s="181"/>
      <c r="B58" s="743"/>
    </row>
    <row r="59" spans="1:17">
      <c r="A59" s="786"/>
      <c r="B59" s="743"/>
    </row>
    <row r="60" spans="1:17">
      <c r="B60" s="743"/>
    </row>
    <row r="61" spans="1:17">
      <c r="B61" s="743"/>
    </row>
    <row r="62" spans="1:17">
      <c r="B62" s="743"/>
    </row>
    <row r="63" spans="1:17">
      <c r="B63" s="743"/>
    </row>
  </sheetData>
  <mergeCells count="21">
    <mergeCell ref="B46:O46"/>
    <mergeCell ref="A3:Q3"/>
    <mergeCell ref="B57:O57"/>
    <mergeCell ref="B53:O53"/>
    <mergeCell ref="B54:O54"/>
    <mergeCell ref="B47:O47"/>
    <mergeCell ref="B48:O48"/>
    <mergeCell ref="B50:O50"/>
    <mergeCell ref="B51:O51"/>
    <mergeCell ref="B52:O52"/>
    <mergeCell ref="B49:O49"/>
    <mergeCell ref="B55:O55"/>
    <mergeCell ref="B56:O56"/>
    <mergeCell ref="A2:Q2"/>
    <mergeCell ref="A4:Q4"/>
    <mergeCell ref="J8:K8"/>
    <mergeCell ref="B37:Q37"/>
    <mergeCell ref="A1:Q1"/>
    <mergeCell ref="J10:K10"/>
    <mergeCell ref="B12:Q12"/>
    <mergeCell ref="B23:Q23"/>
  </mergeCells>
  <pageMargins left="0.5" right="0.25" top="1" bottom="1" header="0.5" footer="0.5"/>
  <pageSetup scale="58" fitToHeight="0" orientation="portrait" r:id="rId1"/>
  <headerFooter alignWithMargins="0">
    <oddHeader xml:space="preserve">&amp;C&amp;"Times New Roman,Regular"&amp;KFF0000CUI//PRIV&amp;K000000
FOR SETTLEMENT PURPOSES ONLY 
SUBJECT TO RULES 602 AND 606
</oddHeader>
  </headerFooter>
  <colBreaks count="1" manualBreakCount="1">
    <brk id="5" max="56" man="1"/>
  </colBreaks>
  <ignoredErrors>
    <ignoredError sqref="D24:D25"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F1D53-1C37-4B88-8385-12F07470AE5E}">
  <sheetPr>
    <tabColor theme="6" tint="0.59999389629810485"/>
  </sheetPr>
  <dimension ref="A1:J62"/>
  <sheetViews>
    <sheetView topLeftCell="A26" zoomScale="80" zoomScaleNormal="80" workbookViewId="0">
      <selection activeCell="E38" sqref="E38"/>
    </sheetView>
  </sheetViews>
  <sheetFormatPr defaultColWidth="7.08984375" defaultRowHeight="13.2"/>
  <cols>
    <col min="1" max="1" width="4.90625" style="745" customWidth="1"/>
    <col min="2" max="2" width="26.08984375" style="744" customWidth="1"/>
    <col min="3" max="3" width="6.90625" style="744" bestFit="1" customWidth="1"/>
    <col min="4" max="4" width="9.90625" style="744" customWidth="1"/>
    <col min="5" max="5" width="9" style="744" customWidth="1"/>
    <col min="6" max="6" width="9.90625" style="744" customWidth="1"/>
    <col min="7" max="7" width="8.6328125" style="744" customWidth="1"/>
    <col min="8" max="8" width="10.08984375" style="744" customWidth="1"/>
    <col min="9" max="9" width="11.90625" style="744" customWidth="1"/>
    <col min="10" max="10" width="11" style="744" bestFit="1" customWidth="1"/>
    <col min="11" max="16384" width="7.08984375" style="744"/>
  </cols>
  <sheetData>
    <row r="1" spans="1:10" ht="15" customHeight="1">
      <c r="A1" s="946" t="s">
        <v>1023</v>
      </c>
      <c r="B1" s="946"/>
      <c r="C1" s="946"/>
      <c r="D1" s="946"/>
      <c r="E1" s="946"/>
      <c r="F1" s="946"/>
      <c r="G1" s="946"/>
      <c r="H1" s="946"/>
      <c r="I1" s="946"/>
      <c r="J1" s="206"/>
    </row>
    <row r="2" spans="1:10" ht="15" customHeight="1">
      <c r="A2" s="947" t="s">
        <v>1007</v>
      </c>
      <c r="B2" s="947"/>
      <c r="C2" s="947"/>
      <c r="D2" s="947"/>
      <c r="E2" s="947"/>
      <c r="F2" s="947"/>
      <c r="G2" s="947"/>
      <c r="H2" s="947"/>
      <c r="I2" s="947"/>
      <c r="J2" s="206"/>
    </row>
    <row r="3" spans="1:10" ht="15" customHeight="1">
      <c r="A3" s="952" t="s">
        <v>911</v>
      </c>
      <c r="B3" s="952"/>
      <c r="C3" s="952"/>
      <c r="D3" s="952"/>
      <c r="E3" s="952"/>
      <c r="F3" s="952"/>
      <c r="G3" s="952"/>
      <c r="H3" s="952"/>
      <c r="I3" s="952"/>
      <c r="J3" s="206"/>
    </row>
    <row r="4" spans="1:10" ht="15" customHeight="1">
      <c r="A4" s="946" t="str">
        <f>'Act Att-H'!K4</f>
        <v>Actuals - For the 12 months ended 12/31/2023</v>
      </c>
      <c r="B4" s="946"/>
      <c r="C4" s="946"/>
      <c r="D4" s="946"/>
      <c r="E4" s="946"/>
      <c r="F4" s="946"/>
      <c r="G4" s="946"/>
      <c r="H4" s="946"/>
      <c r="I4" s="946"/>
      <c r="J4" s="206"/>
    </row>
    <row r="5" spans="1:10" ht="12.75" customHeight="1">
      <c r="B5" s="746"/>
      <c r="C5" s="746"/>
      <c r="D5" s="746"/>
      <c r="E5" s="746"/>
      <c r="F5" s="746"/>
      <c r="G5" s="746"/>
      <c r="H5" s="760" t="s">
        <v>901</v>
      </c>
      <c r="I5" s="811" t="s">
        <v>1250</v>
      </c>
    </row>
    <row r="6" spans="1:10" ht="12.75" customHeight="1">
      <c r="B6" s="746"/>
      <c r="C6" s="746"/>
      <c r="D6" s="746"/>
      <c r="E6" s="746"/>
      <c r="F6" s="746"/>
      <c r="G6" s="746"/>
      <c r="H6" s="760" t="s">
        <v>900</v>
      </c>
      <c r="I6" s="811" t="s">
        <v>851</v>
      </c>
    </row>
    <row r="7" spans="1:10" ht="12.75" customHeight="1">
      <c r="A7" s="747"/>
      <c r="B7" s="748"/>
      <c r="C7" s="749"/>
      <c r="D7" s="749"/>
      <c r="E7" s="749"/>
      <c r="F7" s="749"/>
      <c r="G7" s="749"/>
      <c r="H7" s="760" t="s">
        <v>899</v>
      </c>
      <c r="I7" s="812">
        <v>0.20380499999999999</v>
      </c>
    </row>
    <row r="8" spans="1:10" ht="12.75" customHeight="1">
      <c r="A8" s="747"/>
      <c r="B8" s="748"/>
      <c r="C8" s="749"/>
      <c r="D8" s="749"/>
      <c r="E8" s="749"/>
      <c r="F8" s="749"/>
      <c r="G8" s="749"/>
      <c r="H8" s="760" t="s">
        <v>898</v>
      </c>
      <c r="I8" s="813">
        <v>1.32727565</v>
      </c>
    </row>
    <row r="9" spans="1:10" ht="12.75" customHeight="1">
      <c r="A9" s="747"/>
      <c r="B9" s="748"/>
      <c r="C9" s="749"/>
      <c r="D9" s="749"/>
      <c r="E9" s="749"/>
      <c r="F9" s="749"/>
      <c r="G9" s="749"/>
      <c r="H9" s="760" t="s">
        <v>897</v>
      </c>
      <c r="I9" s="813" t="s">
        <v>847</v>
      </c>
    </row>
    <row r="10" spans="1:10" ht="18.600000000000001" customHeight="1" thickBot="1">
      <c r="B10" s="761" t="s">
        <v>1009</v>
      </c>
      <c r="C10" s="761" t="s">
        <v>896</v>
      </c>
      <c r="D10" s="761" t="s">
        <v>1010</v>
      </c>
      <c r="E10" s="761" t="s">
        <v>1011</v>
      </c>
      <c r="F10" s="761" t="s">
        <v>1012</v>
      </c>
      <c r="G10" s="761" t="s">
        <v>1013</v>
      </c>
      <c r="H10" s="761" t="s">
        <v>895</v>
      </c>
      <c r="I10" s="761" t="s">
        <v>894</v>
      </c>
    </row>
    <row r="11" spans="1:10" ht="15.6" customHeight="1" thickBot="1">
      <c r="A11" s="747"/>
      <c r="B11" s="748"/>
      <c r="C11" s="750"/>
      <c r="D11" s="949" t="s">
        <v>893</v>
      </c>
      <c r="E11" s="950"/>
      <c r="F11" s="950"/>
      <c r="G11" s="950"/>
      <c r="H11" s="950"/>
      <c r="I11" s="951"/>
    </row>
    <row r="12" spans="1:10" ht="39" customHeight="1" thickBot="1">
      <c r="A12" s="747"/>
      <c r="B12" s="748"/>
      <c r="C12" s="751"/>
      <c r="D12" s="762" t="s">
        <v>685</v>
      </c>
      <c r="E12" s="762" t="s">
        <v>685</v>
      </c>
      <c r="F12" s="762" t="s">
        <v>1087</v>
      </c>
      <c r="G12" s="762" t="s">
        <v>1014</v>
      </c>
      <c r="H12" s="763" t="s">
        <v>892</v>
      </c>
      <c r="I12" s="764" t="s">
        <v>891</v>
      </c>
      <c r="J12" s="760"/>
    </row>
    <row r="13" spans="1:10" s="752" customFormat="1" ht="105" customHeight="1" thickBot="1">
      <c r="A13" s="761" t="s">
        <v>1019</v>
      </c>
      <c r="B13" s="750"/>
      <c r="C13" s="762" t="s">
        <v>187</v>
      </c>
      <c r="D13" s="762" t="s">
        <v>890</v>
      </c>
      <c r="E13" s="814" t="s">
        <v>889</v>
      </c>
      <c r="F13" s="814" t="s">
        <v>1015</v>
      </c>
      <c r="G13" s="814" t="s">
        <v>888</v>
      </c>
      <c r="H13" s="815" t="s">
        <v>887</v>
      </c>
      <c r="I13" s="815" t="s">
        <v>886</v>
      </c>
    </row>
    <row r="14" spans="1:10" ht="12.9" customHeight="1">
      <c r="A14" s="765">
        <v>1</v>
      </c>
      <c r="B14" s="766" t="s">
        <v>885</v>
      </c>
      <c r="C14" s="753"/>
      <c r="D14" s="748"/>
      <c r="E14" s="748"/>
      <c r="F14" s="748"/>
      <c r="G14" s="748"/>
    </row>
    <row r="15" spans="1:10">
      <c r="A15" s="765">
        <v>2</v>
      </c>
      <c r="B15" s="767" t="s">
        <v>1016</v>
      </c>
      <c r="C15" s="816">
        <v>282</v>
      </c>
      <c r="D15" s="817">
        <v>-458889652.28000003</v>
      </c>
      <c r="E15" s="817">
        <v>-155873342.63820902</v>
      </c>
      <c r="F15" s="768">
        <f>+D15*$I$7</f>
        <v>-93524005.582925394</v>
      </c>
      <c r="G15" s="768">
        <f>+E15-F15</f>
        <v>-62349337.055283621</v>
      </c>
      <c r="H15" s="769">
        <f>+G15*$I$8</f>
        <v>-82754756.867120653</v>
      </c>
      <c r="I15" s="756">
        <f>+G15-H15</f>
        <v>20405419.811837032</v>
      </c>
      <c r="J15" s="770"/>
    </row>
    <row r="16" spans="1:10" ht="12.9" customHeight="1">
      <c r="A16" s="765">
        <v>3</v>
      </c>
      <c r="B16" s="767" t="s">
        <v>884</v>
      </c>
      <c r="C16" s="816">
        <v>282</v>
      </c>
      <c r="D16" s="818">
        <v>12501555.460000001</v>
      </c>
      <c r="E16" s="817">
        <v>4246465.8508755006</v>
      </c>
      <c r="F16" s="768">
        <f>+D16*$I$7</f>
        <v>2547879.5105253002</v>
      </c>
      <c r="G16" s="770">
        <f>+E16-F16</f>
        <v>1698586.3403502004</v>
      </c>
      <c r="H16" s="769">
        <f>+G16*$I$8</f>
        <v>2254492.2889694334</v>
      </c>
      <c r="I16" s="756">
        <f>+G16-H16</f>
        <v>-555905.94861923298</v>
      </c>
      <c r="J16" s="770"/>
    </row>
    <row r="17" spans="1:10">
      <c r="A17" s="765">
        <v>4</v>
      </c>
      <c r="B17" s="767" t="s">
        <v>1017</v>
      </c>
      <c r="C17" s="816">
        <v>190</v>
      </c>
      <c r="D17" s="817">
        <v>195816643.08754742</v>
      </c>
      <c r="E17" s="817">
        <v>66514018.240762673</v>
      </c>
      <c r="F17" s="768">
        <f>+D17*$I$7</f>
        <v>39908410.944457598</v>
      </c>
      <c r="G17" s="768">
        <f>+E17-F17</f>
        <v>26605607.296305075</v>
      </c>
      <c r="H17" s="769">
        <f>+G17*$I$8</f>
        <v>35312974.717848063</v>
      </c>
      <c r="I17" s="756">
        <f>+G17-H17</f>
        <v>-8707367.4215429872</v>
      </c>
      <c r="J17" s="770"/>
    </row>
    <row r="18" spans="1:10">
      <c r="A18" s="765">
        <v>5</v>
      </c>
      <c r="B18" s="819" t="s">
        <v>275</v>
      </c>
      <c r="C18" s="819"/>
      <c r="D18" s="820"/>
      <c r="E18" s="820"/>
      <c r="F18" s="771">
        <f>+D18*$I$7</f>
        <v>0</v>
      </c>
      <c r="G18" s="771">
        <f>+E18-F18</f>
        <v>0</v>
      </c>
      <c r="H18" s="772">
        <f>+G18*$I$8</f>
        <v>0</v>
      </c>
      <c r="I18" s="773">
        <f>+G18-H18</f>
        <v>0</v>
      </c>
      <c r="J18" s="770"/>
    </row>
    <row r="19" spans="1:10">
      <c r="A19" s="765">
        <v>99</v>
      </c>
      <c r="B19" s="750"/>
      <c r="C19" s="750"/>
      <c r="D19" s="768">
        <f t="shared" ref="D19:I19" si="0">SUM(D15:D18)</f>
        <v>-250571453.73245263</v>
      </c>
      <c r="E19" s="768">
        <f t="shared" si="0"/>
        <v>-85112858.546570837</v>
      </c>
      <c r="F19" s="768">
        <f t="shared" si="0"/>
        <v>-51067715.127942495</v>
      </c>
      <c r="G19" s="768">
        <f t="shared" si="0"/>
        <v>-34045143.418628342</v>
      </c>
      <c r="H19" s="768">
        <f t="shared" si="0"/>
        <v>-45187289.860303164</v>
      </c>
      <c r="I19" s="768">
        <f t="shared" si="0"/>
        <v>11142146.441674814</v>
      </c>
      <c r="J19" s="770"/>
    </row>
    <row r="20" spans="1:10">
      <c r="A20" s="765"/>
      <c r="B20" s="754"/>
      <c r="C20" s="750"/>
      <c r="D20" s="768"/>
      <c r="E20" s="768"/>
      <c r="F20" s="768"/>
      <c r="G20" s="768"/>
      <c r="H20" s="768"/>
      <c r="I20" s="768"/>
      <c r="J20" s="770"/>
    </row>
    <row r="21" spans="1:10" ht="12.9" customHeight="1">
      <c r="A21" s="765">
        <v>100</v>
      </c>
      <c r="B21" s="766" t="s">
        <v>883</v>
      </c>
      <c r="C21" s="750"/>
      <c r="D21" s="755"/>
      <c r="E21" s="755"/>
      <c r="F21" s="755"/>
      <c r="G21" s="755"/>
      <c r="H21" s="769"/>
      <c r="J21" s="770"/>
    </row>
    <row r="22" spans="1:10" ht="12.9" customHeight="1">
      <c r="A22" s="765">
        <v>101</v>
      </c>
      <c r="B22" s="767" t="s">
        <v>1075</v>
      </c>
      <c r="C22" s="816">
        <v>282</v>
      </c>
      <c r="D22" s="817">
        <v>3480140.7399999998</v>
      </c>
      <c r="E22" s="817">
        <v>1182116.8058594998</v>
      </c>
      <c r="F22" s="768">
        <f t="shared" ref="F22:F30" si="1">+D22*$I$7</f>
        <v>709270.08351569995</v>
      </c>
      <c r="G22" s="768">
        <f t="shared" ref="G22:G30" si="2">+E22-F22</f>
        <v>472846.72234379989</v>
      </c>
      <c r="H22" s="769">
        <f t="shared" ref="H22:H30" si="3">+G22*$I$8</f>
        <v>627597.9407492365</v>
      </c>
      <c r="I22" s="756">
        <f t="shared" ref="I22:I30" si="4">+G22-H22</f>
        <v>-154751.21840543661</v>
      </c>
      <c r="J22" s="770"/>
    </row>
    <row r="23" spans="1:10">
      <c r="A23" s="765">
        <v>102</v>
      </c>
      <c r="B23" s="827" t="s">
        <v>1073</v>
      </c>
      <c r="C23" s="816">
        <v>282</v>
      </c>
      <c r="D23" s="817">
        <v>-1367948.28</v>
      </c>
      <c r="E23" s="817">
        <v>-464657.83200900001</v>
      </c>
      <c r="F23" s="768">
        <f t="shared" si="1"/>
        <v>-278794.69920540001</v>
      </c>
      <c r="G23" s="768">
        <f t="shared" si="2"/>
        <v>-185863.13280359999</v>
      </c>
      <c r="H23" s="769">
        <f t="shared" si="3"/>
        <v>-246691.61040293452</v>
      </c>
      <c r="I23" s="756">
        <f t="shared" si="4"/>
        <v>60828.477599334525</v>
      </c>
      <c r="J23" s="770"/>
    </row>
    <row r="24" spans="1:10" ht="12.9" customHeight="1">
      <c r="A24" s="765">
        <v>103</v>
      </c>
      <c r="B24" s="767" t="s">
        <v>1072</v>
      </c>
      <c r="C24" s="816">
        <v>282</v>
      </c>
      <c r="D24" s="817">
        <v>-18147933.350000001</v>
      </c>
      <c r="E24" s="817">
        <v>-6164399.2606612509</v>
      </c>
      <c r="F24" s="768">
        <f t="shared" si="1"/>
        <v>-3698639.5563967503</v>
      </c>
      <c r="G24" s="768">
        <f t="shared" si="2"/>
        <v>-2465759.7042645006</v>
      </c>
      <c r="H24" s="769">
        <f t="shared" si="3"/>
        <v>-3272742.8142214729</v>
      </c>
      <c r="I24" s="756">
        <f t="shared" si="4"/>
        <v>806983.1099569723</v>
      </c>
      <c r="J24" s="770"/>
    </row>
    <row r="25" spans="1:10" ht="12.9" customHeight="1">
      <c r="A25" s="765">
        <v>104</v>
      </c>
      <c r="B25" s="767" t="s">
        <v>1074</v>
      </c>
      <c r="C25" s="816">
        <v>282</v>
      </c>
      <c r="D25" s="817">
        <v>1890375.2929999996</v>
      </c>
      <c r="E25" s="817">
        <v>642113.22764977487</v>
      </c>
      <c r="F25" s="768">
        <f t="shared" ref="F25:F27" si="5">+D25*$I$7</f>
        <v>385267.9365898649</v>
      </c>
      <c r="G25" s="768">
        <f t="shared" ref="G25:G27" si="6">+E25-F25</f>
        <v>256845.29105990997</v>
      </c>
      <c r="H25" s="769">
        <f t="shared" ref="H25:H27" si="7">+G25*$I$8</f>
        <v>340904.50064098119</v>
      </c>
      <c r="I25" s="756">
        <f t="shared" ref="I25:I27" si="8">+G25-H25</f>
        <v>-84059.20958107122</v>
      </c>
      <c r="J25" s="770"/>
    </row>
    <row r="26" spans="1:10" ht="12.9" customHeight="1">
      <c r="A26" s="765">
        <v>105</v>
      </c>
      <c r="B26" s="767" t="s">
        <v>990</v>
      </c>
      <c r="C26" s="816">
        <v>282</v>
      </c>
      <c r="D26" s="817">
        <v>252398.55999999997</v>
      </c>
      <c r="E26" s="817">
        <v>85733.480867999984</v>
      </c>
      <c r="F26" s="768">
        <f t="shared" si="5"/>
        <v>51440.088520799989</v>
      </c>
      <c r="G26" s="768">
        <f t="shared" si="6"/>
        <v>34293.392347199995</v>
      </c>
      <c r="H26" s="769">
        <f t="shared" si="7"/>
        <v>45516.784618334903</v>
      </c>
      <c r="I26" s="756">
        <f t="shared" si="8"/>
        <v>-11223.392271134908</v>
      </c>
      <c r="J26" s="770"/>
    </row>
    <row r="27" spans="1:10" ht="12.9" customHeight="1">
      <c r="A27" s="765">
        <v>106</v>
      </c>
      <c r="B27" s="767" t="s">
        <v>991</v>
      </c>
      <c r="C27" s="816">
        <v>282</v>
      </c>
      <c r="D27" s="818">
        <v>22703547.91</v>
      </c>
      <c r="E27" s="817">
        <v>7711827.6363292504</v>
      </c>
      <c r="F27" s="768">
        <f t="shared" si="5"/>
        <v>4627096.5817975495</v>
      </c>
      <c r="G27" s="768">
        <f t="shared" si="6"/>
        <v>3084731.0545317009</v>
      </c>
      <c r="H27" s="769">
        <f t="shared" si="7"/>
        <v>4094288.4154787487</v>
      </c>
      <c r="I27" s="756">
        <f t="shared" si="8"/>
        <v>-1009557.3609470478</v>
      </c>
      <c r="J27" s="770"/>
    </row>
    <row r="28" spans="1:10" ht="12.9" customHeight="1">
      <c r="A28" s="765">
        <f>A27+1</f>
        <v>107</v>
      </c>
      <c r="B28" s="767" t="s">
        <v>992</v>
      </c>
      <c r="C28" s="816">
        <v>282</v>
      </c>
      <c r="D28" s="818">
        <v>-35693415.770000003</v>
      </c>
      <c r="E28" s="817">
        <v>-12124161.001674751</v>
      </c>
      <c r="F28" s="768">
        <f t="shared" si="1"/>
        <v>-7274496.6010048501</v>
      </c>
      <c r="G28" s="770">
        <f t="shared" si="2"/>
        <v>-4849664.4006699007</v>
      </c>
      <c r="H28" s="769">
        <f t="shared" si="3"/>
        <v>-6436841.4696810031</v>
      </c>
      <c r="I28" s="756">
        <f t="shared" si="4"/>
        <v>1587177.0690111024</v>
      </c>
      <c r="J28" s="770"/>
    </row>
    <row r="29" spans="1:10" ht="12.9" customHeight="1">
      <c r="A29" s="765">
        <f>A28+1</f>
        <v>108</v>
      </c>
      <c r="B29" s="744" t="s">
        <v>993</v>
      </c>
      <c r="C29" s="816">
        <v>282</v>
      </c>
      <c r="D29" s="818">
        <v>-21027219.380000003</v>
      </c>
      <c r="E29" s="817">
        <v>-7142420.7429015012</v>
      </c>
      <c r="F29" s="768">
        <f t="shared" si="1"/>
        <v>-4285452.4457409</v>
      </c>
      <c r="G29" s="770">
        <f t="shared" si="2"/>
        <v>-2856968.2971606012</v>
      </c>
      <c r="H29" s="769">
        <f t="shared" si="3"/>
        <v>-3791984.4536432303</v>
      </c>
      <c r="I29" s="756">
        <f t="shared" si="4"/>
        <v>935016.15648262901</v>
      </c>
      <c r="J29" s="770"/>
    </row>
    <row r="30" spans="1:10" ht="12.9" customHeight="1">
      <c r="A30" s="765">
        <f>A29+1</f>
        <v>109</v>
      </c>
      <c r="B30" s="819" t="s">
        <v>275</v>
      </c>
      <c r="C30" s="816"/>
      <c r="D30" s="821"/>
      <c r="E30" s="821"/>
      <c r="F30" s="771">
        <f t="shared" si="1"/>
        <v>0</v>
      </c>
      <c r="G30" s="771">
        <f t="shared" si="2"/>
        <v>0</v>
      </c>
      <c r="H30" s="772">
        <f t="shared" si="3"/>
        <v>0</v>
      </c>
      <c r="I30" s="773">
        <f t="shared" si="4"/>
        <v>0</v>
      </c>
      <c r="J30" s="770"/>
    </row>
    <row r="31" spans="1:10">
      <c r="A31" s="765">
        <v>199</v>
      </c>
      <c r="B31" s="748"/>
      <c r="C31" s="748"/>
      <c r="D31" s="770">
        <f t="shared" ref="D31:I31" si="9">SUM(D22:D30)</f>
        <v>-47910054.27700001</v>
      </c>
      <c r="E31" s="770">
        <f t="shared" si="9"/>
        <v>-16273847.686539978</v>
      </c>
      <c r="F31" s="770">
        <f t="shared" si="9"/>
        <v>-9764308.6119239852</v>
      </c>
      <c r="G31" s="770">
        <f t="shared" si="9"/>
        <v>-6509539.0746159917</v>
      </c>
      <c r="H31" s="770">
        <f t="shared" si="9"/>
        <v>-8639952.7064613402</v>
      </c>
      <c r="I31" s="770">
        <f t="shared" si="9"/>
        <v>2130413.6318453476</v>
      </c>
      <c r="J31" s="770"/>
    </row>
    <row r="32" spans="1:10">
      <c r="D32" s="757"/>
      <c r="E32" s="757"/>
      <c r="F32" s="757"/>
      <c r="G32" s="757"/>
      <c r="H32" s="757"/>
      <c r="J32" s="770"/>
    </row>
    <row r="33" spans="1:10" ht="13.5" customHeight="1" thickBot="1">
      <c r="A33" s="765">
        <v>200</v>
      </c>
      <c r="B33" s="826" t="s">
        <v>904</v>
      </c>
      <c r="C33" s="760"/>
      <c r="D33" s="774">
        <f t="shared" ref="D33:I33" si="10">+D19+D31</f>
        <v>-298481508.00945264</v>
      </c>
      <c r="E33" s="774">
        <f t="shared" si="10"/>
        <v>-101386706.23311082</v>
      </c>
      <c r="F33" s="774">
        <f t="shared" si="10"/>
        <v>-60832023.73986648</v>
      </c>
      <c r="G33" s="774">
        <f t="shared" si="10"/>
        <v>-40554682.493244335</v>
      </c>
      <c r="H33" s="774">
        <f t="shared" si="10"/>
        <v>-53827242.566764504</v>
      </c>
      <c r="I33" s="774">
        <f t="shared" si="10"/>
        <v>13272560.073520161</v>
      </c>
      <c r="J33" s="770"/>
    </row>
    <row r="34" spans="1:10" ht="13.8" thickTop="1">
      <c r="A34" s="765"/>
      <c r="B34" s="775"/>
      <c r="C34" s="775"/>
      <c r="D34" s="770"/>
      <c r="E34" s="770"/>
      <c r="F34" s="770"/>
      <c r="G34" s="770"/>
      <c r="H34" s="770"/>
      <c r="I34" s="770"/>
      <c r="J34" s="770"/>
    </row>
    <row r="35" spans="1:10" ht="12.9" customHeight="1">
      <c r="A35" s="776">
        <v>300</v>
      </c>
      <c r="B35" s="777" t="s">
        <v>1076</v>
      </c>
      <c r="C35" s="778"/>
      <c r="D35" s="758"/>
      <c r="E35" s="758"/>
      <c r="F35" s="758"/>
      <c r="G35" s="758"/>
      <c r="H35" s="769"/>
      <c r="J35" s="770"/>
    </row>
    <row r="36" spans="1:10" ht="12.9" customHeight="1">
      <c r="A36" s="776">
        <v>301</v>
      </c>
      <c r="B36" s="767" t="s">
        <v>994</v>
      </c>
      <c r="C36" s="816">
        <v>190</v>
      </c>
      <c r="D36" s="817">
        <v>186258.31</v>
      </c>
      <c r="E36" s="817">
        <v>63267.291449249999</v>
      </c>
      <c r="F36" s="768">
        <f t="shared" ref="F36:F51" si="11">+D36*$I$7</f>
        <v>37960.374869549996</v>
      </c>
      <c r="G36" s="768">
        <f t="shared" ref="G36:G51" si="12">+E36-F36</f>
        <v>25306.916579700002</v>
      </c>
      <c r="H36" s="769">
        <f t="shared" ref="H36:H51" si="13">+G36*$I$8</f>
        <v>33589.254152817099</v>
      </c>
      <c r="I36" s="756">
        <f t="shared" ref="I36:I51" si="14">+G36-H36</f>
        <v>-8282.3375731170963</v>
      </c>
      <c r="J36" s="770"/>
    </row>
    <row r="37" spans="1:10" ht="12.9" customHeight="1">
      <c r="A37" s="776">
        <v>302</v>
      </c>
      <c r="B37" s="767" t="s">
        <v>882</v>
      </c>
      <c r="C37" s="816">
        <v>190</v>
      </c>
      <c r="D37" s="817">
        <v>7766143.3500000006</v>
      </c>
      <c r="E37" s="817">
        <v>2637964.7424112502</v>
      </c>
      <c r="F37" s="768">
        <f t="shared" si="11"/>
        <v>1582778.8454467501</v>
      </c>
      <c r="G37" s="768">
        <f t="shared" si="12"/>
        <v>1055185.8969645002</v>
      </c>
      <c r="H37" s="769">
        <f t="shared" si="13"/>
        <v>1400522.5472643902</v>
      </c>
      <c r="I37" s="756">
        <f t="shared" si="14"/>
        <v>-345336.65029988997</v>
      </c>
      <c r="J37" s="770"/>
    </row>
    <row r="38" spans="1:10">
      <c r="A38" s="776">
        <v>303</v>
      </c>
      <c r="B38" s="767" t="s">
        <v>876</v>
      </c>
      <c r="C38" s="816">
        <v>283</v>
      </c>
      <c r="D38" s="817">
        <v>-378023.27</v>
      </c>
      <c r="E38" s="817">
        <v>-128405.05423725001</v>
      </c>
      <c r="F38" s="768">
        <f t="shared" si="11"/>
        <v>-77043.032542350003</v>
      </c>
      <c r="G38" s="768">
        <f t="shared" si="12"/>
        <v>-51362.021694900002</v>
      </c>
      <c r="H38" s="769">
        <f t="shared" si="13"/>
        <v>-68171.560730412501</v>
      </c>
      <c r="I38" s="756">
        <f t="shared" si="14"/>
        <v>16809.539035512498</v>
      </c>
      <c r="J38" s="770"/>
    </row>
    <row r="39" spans="1:10" ht="12.9" customHeight="1">
      <c r="A39" s="776">
        <v>304</v>
      </c>
      <c r="B39" s="767" t="s">
        <v>995</v>
      </c>
      <c r="C39" s="816">
        <v>190</v>
      </c>
      <c r="D39" s="817">
        <v>530487.19999999995</v>
      </c>
      <c r="E39" s="817">
        <v>180193.23965999999</v>
      </c>
      <c r="F39" s="768">
        <f t="shared" si="11"/>
        <v>108115.94379599998</v>
      </c>
      <c r="G39" s="768">
        <f t="shared" si="12"/>
        <v>72077.295864000014</v>
      </c>
      <c r="H39" s="769">
        <f t="shared" si="13"/>
        <v>95666.439718132926</v>
      </c>
      <c r="I39" s="756">
        <f t="shared" si="14"/>
        <v>-23589.143854132912</v>
      </c>
      <c r="J39" s="770"/>
    </row>
    <row r="40" spans="1:10" ht="12.9" customHeight="1">
      <c r="A40" s="776">
        <v>305</v>
      </c>
      <c r="B40" s="767" t="s">
        <v>996</v>
      </c>
      <c r="C40" s="816">
        <v>190</v>
      </c>
      <c r="D40" s="817">
        <v>128516.5</v>
      </c>
      <c r="E40" s="817">
        <v>43653.842137500003</v>
      </c>
      <c r="F40" s="768">
        <f t="shared" si="11"/>
        <v>26192.305282499998</v>
      </c>
      <c r="G40" s="768">
        <f t="shared" si="12"/>
        <v>17461.536855000006</v>
      </c>
      <c r="H40" s="779">
        <f t="shared" si="13"/>
        <v>23176.272679219088</v>
      </c>
      <c r="I40" s="756">
        <f t="shared" si="14"/>
        <v>-5714.7358242190821</v>
      </c>
      <c r="J40" s="770"/>
    </row>
    <row r="41" spans="1:10" ht="12.9" customHeight="1">
      <c r="A41" s="776">
        <v>306</v>
      </c>
      <c r="B41" s="767" t="s">
        <v>997</v>
      </c>
      <c r="C41" s="816">
        <v>190</v>
      </c>
      <c r="D41" s="817">
        <v>20319.93</v>
      </c>
      <c r="E41" s="817">
        <v>6902.1722227500004</v>
      </c>
      <c r="F41" s="768">
        <f t="shared" si="11"/>
        <v>4141.3033336499993</v>
      </c>
      <c r="G41" s="768">
        <f t="shared" si="12"/>
        <v>2760.8688891000011</v>
      </c>
      <c r="H41" s="779">
        <f t="shared" si="13"/>
        <v>3664.4340493449818</v>
      </c>
      <c r="I41" s="756">
        <f t="shared" si="14"/>
        <v>-903.56516024498069</v>
      </c>
      <c r="J41" s="770"/>
    </row>
    <row r="42" spans="1:10" ht="12.9" customHeight="1">
      <c r="A42" s="776">
        <v>307</v>
      </c>
      <c r="B42" s="767" t="s">
        <v>878</v>
      </c>
      <c r="C42" s="816">
        <v>190</v>
      </c>
      <c r="D42" s="817">
        <v>2992922.5500000003</v>
      </c>
      <c r="E42" s="817">
        <v>1016620.9671712501</v>
      </c>
      <c r="F42" s="768">
        <f t="shared" si="11"/>
        <v>609972.58030274999</v>
      </c>
      <c r="G42" s="768">
        <f t="shared" si="12"/>
        <v>406648.38686850015</v>
      </c>
      <c r="H42" s="779">
        <f t="shared" si="13"/>
        <v>539734.50200234004</v>
      </c>
      <c r="I42" s="756">
        <f t="shared" si="14"/>
        <v>-133086.11513383989</v>
      </c>
      <c r="J42" s="770"/>
    </row>
    <row r="43" spans="1:10" ht="12.9" customHeight="1">
      <c r="A43" s="776">
        <v>308</v>
      </c>
      <c r="B43" s="767" t="s">
        <v>998</v>
      </c>
      <c r="C43" s="816">
        <v>283</v>
      </c>
      <c r="D43" s="817">
        <v>-9890835.7400000002</v>
      </c>
      <c r="E43" s="817">
        <v>-3359669.6299844999</v>
      </c>
      <c r="F43" s="768">
        <f t="shared" si="11"/>
        <v>-2015801.7779907</v>
      </c>
      <c r="G43" s="768">
        <f t="shared" si="12"/>
        <v>-1343867.8519937999</v>
      </c>
      <c r="H43" s="779">
        <f t="shared" si="13"/>
        <v>-1783683.0767691745</v>
      </c>
      <c r="I43" s="756">
        <f t="shared" si="14"/>
        <v>439815.22477537463</v>
      </c>
      <c r="J43" s="770"/>
    </row>
    <row r="44" spans="1:10" ht="12.9" customHeight="1">
      <c r="A44" s="776">
        <v>309</v>
      </c>
      <c r="B44" s="767" t="s">
        <v>999</v>
      </c>
      <c r="C44" s="816">
        <v>190</v>
      </c>
      <c r="D44" s="817">
        <v>10088.17</v>
      </c>
      <c r="E44" s="817">
        <v>3426.69914475</v>
      </c>
      <c r="F44" s="768">
        <f t="shared" si="11"/>
        <v>2056.0194868499998</v>
      </c>
      <c r="G44" s="768">
        <f t="shared" si="12"/>
        <v>1370.6796579000002</v>
      </c>
      <c r="H44" s="779">
        <f t="shared" si="13"/>
        <v>1819.2697338810003</v>
      </c>
      <c r="I44" s="756">
        <f t="shared" si="14"/>
        <v>-448.59007598100015</v>
      </c>
      <c r="J44" s="770"/>
    </row>
    <row r="45" spans="1:10" ht="12.9" customHeight="1">
      <c r="A45" s="776">
        <v>310</v>
      </c>
      <c r="B45" s="767" t="s">
        <v>1000</v>
      </c>
      <c r="C45" s="816">
        <v>190</v>
      </c>
      <c r="D45" s="817">
        <v>859042.77</v>
      </c>
      <c r="E45" s="817">
        <v>291795.35289975</v>
      </c>
      <c r="F45" s="768">
        <f t="shared" si="11"/>
        <v>175077.21173985</v>
      </c>
      <c r="G45" s="768">
        <f t="shared" si="12"/>
        <v>116718.1411599</v>
      </c>
      <c r="H45" s="779">
        <f t="shared" si="13"/>
        <v>154917.14667479802</v>
      </c>
      <c r="I45" s="756">
        <f t="shared" si="14"/>
        <v>-38199.005514898017</v>
      </c>
      <c r="J45" s="770"/>
    </row>
    <row r="46" spans="1:10" ht="12.9" customHeight="1">
      <c r="A46" s="776">
        <v>311</v>
      </c>
      <c r="B46" s="767" t="s">
        <v>877</v>
      </c>
      <c r="C46" s="816">
        <v>283</v>
      </c>
      <c r="D46" s="817">
        <v>-985985.08</v>
      </c>
      <c r="E46" s="817">
        <v>-334914.48204899998</v>
      </c>
      <c r="F46" s="768">
        <f t="shared" si="11"/>
        <v>-200948.68922939998</v>
      </c>
      <c r="G46" s="768">
        <f t="shared" si="12"/>
        <v>-133965.7928196</v>
      </c>
      <c r="H46" s="779">
        <f t="shared" si="13"/>
        <v>-177809.53474239993</v>
      </c>
      <c r="I46" s="756">
        <f t="shared" si="14"/>
        <v>43843.741922799934</v>
      </c>
      <c r="J46" s="770"/>
    </row>
    <row r="47" spans="1:10" ht="12.9" customHeight="1">
      <c r="A47" s="776">
        <v>312</v>
      </c>
      <c r="B47" s="767" t="s">
        <v>881</v>
      </c>
      <c r="C47" s="816">
        <v>190</v>
      </c>
      <c r="D47" s="817">
        <v>465927.65</v>
      </c>
      <c r="E47" s="817">
        <v>158263.97451375</v>
      </c>
      <c r="F47" s="768">
        <f t="shared" si="11"/>
        <v>94958.38470825</v>
      </c>
      <c r="G47" s="768">
        <f t="shared" si="12"/>
        <v>63305.5898055</v>
      </c>
      <c r="H47" s="779">
        <f t="shared" si="13"/>
        <v>84023.967857728392</v>
      </c>
      <c r="I47" s="756">
        <f t="shared" si="14"/>
        <v>-20718.378052228392</v>
      </c>
      <c r="J47" s="770"/>
    </row>
    <row r="48" spans="1:10" ht="12.9" customHeight="1">
      <c r="A48" s="776">
        <v>313</v>
      </c>
      <c r="B48" s="767" t="s">
        <v>1055</v>
      </c>
      <c r="C48" s="816">
        <v>283</v>
      </c>
      <c r="D48" s="817">
        <v>-1088216.26</v>
      </c>
      <c r="E48" s="817">
        <v>-369639.85811550001</v>
      </c>
      <c r="F48" s="768">
        <f t="shared" si="11"/>
        <v>-221783.91486929997</v>
      </c>
      <c r="G48" s="768">
        <f t="shared" si="12"/>
        <v>-147855.94324620004</v>
      </c>
      <c r="H48" s="779">
        <f t="shared" si="13"/>
        <v>-196245.59317846328</v>
      </c>
      <c r="I48" s="756">
        <f t="shared" si="14"/>
        <v>48389.649932263244</v>
      </c>
      <c r="J48" s="770"/>
    </row>
    <row r="49" spans="1:10" ht="12.9" customHeight="1">
      <c r="A49" s="776">
        <v>314</v>
      </c>
      <c r="B49" s="767" t="s">
        <v>879</v>
      </c>
      <c r="C49" s="816">
        <v>190</v>
      </c>
      <c r="D49" s="817">
        <v>5648113.3200000003</v>
      </c>
      <c r="E49" s="817">
        <v>1918522.891971</v>
      </c>
      <c r="F49" s="768">
        <f t="shared" ref="F49" si="15">+D49*$I$7</f>
        <v>1151113.7351826001</v>
      </c>
      <c r="G49" s="768">
        <f t="shared" ref="G49" si="16">+E49-F49</f>
        <v>767409.15678839991</v>
      </c>
      <c r="H49" s="779">
        <f t="shared" ref="H49" si="17">+G49*$I$8</f>
        <v>1018563.4873922755</v>
      </c>
      <c r="I49" s="756">
        <f t="shared" ref="I49" si="18">+G49-H49</f>
        <v>-251154.33060387557</v>
      </c>
      <c r="J49" s="770"/>
    </row>
    <row r="50" spans="1:10">
      <c r="A50" s="776">
        <v>315</v>
      </c>
      <c r="B50" s="767" t="s">
        <v>880</v>
      </c>
      <c r="C50" s="816">
        <v>190</v>
      </c>
      <c r="D50" s="817">
        <v>364754.71</v>
      </c>
      <c r="E50" s="817">
        <v>123898.05611925</v>
      </c>
      <c r="F50" s="768">
        <f t="shared" si="11"/>
        <v>74338.833671550005</v>
      </c>
      <c r="G50" s="768">
        <f t="shared" si="12"/>
        <v>49559.222447699998</v>
      </c>
      <c r="H50" s="779">
        <f t="shared" si="13"/>
        <v>65778.749187765614</v>
      </c>
      <c r="I50" s="756">
        <f t="shared" si="14"/>
        <v>-16219.526740065616</v>
      </c>
      <c r="J50" s="770"/>
    </row>
    <row r="51" spans="1:10">
      <c r="A51" s="776">
        <v>316</v>
      </c>
      <c r="B51" s="819" t="s">
        <v>275</v>
      </c>
      <c r="C51" s="822"/>
      <c r="D51" s="823"/>
      <c r="E51" s="823"/>
      <c r="F51" s="768">
        <f t="shared" si="11"/>
        <v>0</v>
      </c>
      <c r="G51" s="771">
        <f t="shared" si="12"/>
        <v>0</v>
      </c>
      <c r="H51" s="769">
        <f t="shared" si="13"/>
        <v>0</v>
      </c>
      <c r="I51" s="756">
        <f t="shared" si="14"/>
        <v>0</v>
      </c>
      <c r="J51" s="770"/>
    </row>
    <row r="52" spans="1:10" ht="12.9" customHeight="1">
      <c r="A52" s="765">
        <v>400</v>
      </c>
      <c r="B52" s="760" t="s">
        <v>1018</v>
      </c>
      <c r="C52" s="760"/>
      <c r="D52" s="780">
        <f t="shared" ref="D52:I52" si="19">SUM(D36:D51)</f>
        <v>6629514.1100000003</v>
      </c>
      <c r="E52" s="780">
        <f t="shared" si="19"/>
        <v>2251880.2053142511</v>
      </c>
      <c r="F52" s="780">
        <f t="shared" si="19"/>
        <v>1351128.1231885508</v>
      </c>
      <c r="G52" s="781">
        <f t="shared" si="19"/>
        <v>900752.08212570031</v>
      </c>
      <c r="H52" s="782">
        <f t="shared" si="19"/>
        <v>1195546.3052922424</v>
      </c>
      <c r="I52" s="780">
        <f t="shared" si="19"/>
        <v>-294794.22316654224</v>
      </c>
      <c r="J52" s="770"/>
    </row>
    <row r="53" spans="1:10">
      <c r="A53" s="747"/>
      <c r="B53" s="748"/>
      <c r="C53" s="748"/>
      <c r="D53" s="759"/>
      <c r="E53" s="780">
        <f>+E32+E51</f>
        <v>0</v>
      </c>
      <c r="F53" s="759"/>
      <c r="G53" s="759"/>
      <c r="H53" s="769"/>
      <c r="J53" s="770"/>
    </row>
    <row r="54" spans="1:10" ht="12.9" customHeight="1">
      <c r="A54" s="765">
        <v>500</v>
      </c>
      <c r="B54" s="760" t="s">
        <v>1077</v>
      </c>
      <c r="C54" s="760"/>
      <c r="D54" s="780">
        <f>+D33+D52</f>
        <v>-291851993.89945263</v>
      </c>
      <c r="E54" s="780">
        <f>+E33+E52</f>
        <v>-99134826.027796566</v>
      </c>
      <c r="F54" s="780">
        <f>+F33+F52</f>
        <v>-59480895.616677932</v>
      </c>
      <c r="G54" s="780">
        <f>+G33+G52</f>
        <v>-39653930.411118634</v>
      </c>
      <c r="H54" s="780">
        <f>+H33+H52</f>
        <v>-52631696.261472262</v>
      </c>
      <c r="I54" s="780">
        <f>+I33+I52</f>
        <v>12977765.850353619</v>
      </c>
      <c r="J54" s="770"/>
    </row>
    <row r="55" spans="1:10">
      <c r="D55" s="769"/>
      <c r="H55" s="783"/>
      <c r="J55" s="770"/>
    </row>
    <row r="56" spans="1:10">
      <c r="A56" s="354" t="s">
        <v>172</v>
      </c>
      <c r="B56" s="738"/>
      <c r="C56" s="738"/>
      <c r="D56" s="738"/>
      <c r="E56" s="738"/>
      <c r="F56" s="738"/>
      <c r="G56" s="738"/>
      <c r="H56" s="784"/>
      <c r="I56" s="738"/>
      <c r="J56" s="770"/>
    </row>
    <row r="57" spans="1:10" ht="38.1" customHeight="1">
      <c r="A57" s="785" t="s">
        <v>76</v>
      </c>
      <c r="B57" s="948" t="s">
        <v>1002</v>
      </c>
      <c r="C57" s="948"/>
      <c r="D57" s="948"/>
      <c r="E57" s="948"/>
      <c r="F57" s="948"/>
      <c r="G57" s="948"/>
      <c r="H57" s="948"/>
      <c r="I57" s="948"/>
      <c r="J57" s="770"/>
    </row>
    <row r="58" spans="1:10" ht="50.1" customHeight="1">
      <c r="A58" s="785" t="s">
        <v>77</v>
      </c>
      <c r="B58" s="948" t="s">
        <v>875</v>
      </c>
      <c r="C58" s="948"/>
      <c r="D58" s="948"/>
      <c r="E58" s="948"/>
      <c r="F58" s="948"/>
      <c r="G58" s="948"/>
      <c r="H58" s="948"/>
      <c r="I58" s="948"/>
      <c r="J58" s="805"/>
    </row>
    <row r="60" spans="1:10">
      <c r="H60" s="712"/>
    </row>
    <row r="61" spans="1:10">
      <c r="H61" s="783"/>
    </row>
    <row r="62" spans="1:10">
      <c r="H62" s="783"/>
    </row>
  </sheetData>
  <mergeCells count="7">
    <mergeCell ref="A1:I1"/>
    <mergeCell ref="A2:I2"/>
    <mergeCell ref="A4:I4"/>
    <mergeCell ref="B58:I58"/>
    <mergeCell ref="D11:I11"/>
    <mergeCell ref="B57:I57"/>
    <mergeCell ref="A3:I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colBreaks count="1" manualBreakCount="1">
    <brk id="9" max="1048575" man="1"/>
  </colBreaks>
  <ignoredErrors>
    <ignoredError sqref="H30:H51 H28:H29 H15:H24"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59999389629810485"/>
  </sheetPr>
  <dimension ref="A1:N143"/>
  <sheetViews>
    <sheetView topLeftCell="A110" zoomScale="80" zoomScaleNormal="80" workbookViewId="0">
      <selection activeCell="I121" sqref="I121"/>
    </sheetView>
  </sheetViews>
  <sheetFormatPr defaultColWidth="8.6328125" defaultRowHeight="13.2"/>
  <cols>
    <col min="1" max="1" width="5.6328125" style="1" customWidth="1"/>
    <col min="2" max="2" width="26.54296875" style="2" customWidth="1"/>
    <col min="3" max="6" width="15.08984375" style="2" customWidth="1"/>
    <col min="7" max="7" width="16.6328125" style="2" customWidth="1"/>
    <col min="8" max="9" width="15.08984375" style="2" customWidth="1"/>
    <col min="10" max="10" width="11.6328125" style="2" customWidth="1"/>
    <col min="11" max="11" width="14.08984375" style="2" customWidth="1"/>
    <col min="12" max="12" width="12.08984375" style="2" customWidth="1"/>
    <col min="13" max="13" width="15.54296875" style="2" customWidth="1"/>
    <col min="14" max="14" width="13.6328125" style="2" customWidth="1"/>
    <col min="15" max="15" width="10.08984375" style="2" customWidth="1"/>
    <col min="16" max="16" width="10.6328125" style="2" customWidth="1"/>
    <col min="17" max="16384" width="8.6328125" style="2"/>
  </cols>
  <sheetData>
    <row r="1" spans="1:12">
      <c r="C1" s="3"/>
      <c r="E1" s="414" t="s">
        <v>414</v>
      </c>
      <c r="F1" s="3"/>
      <c r="H1" s="3"/>
      <c r="I1" s="3"/>
      <c r="J1" s="3"/>
    </row>
    <row r="2" spans="1:12">
      <c r="A2" s="5"/>
      <c r="C2" s="3"/>
      <c r="D2" s="3"/>
      <c r="E2" s="13" t="s">
        <v>279</v>
      </c>
      <c r="F2" s="3"/>
      <c r="H2" s="3"/>
      <c r="I2" s="3"/>
      <c r="J2" s="3"/>
      <c r="L2" s="6"/>
    </row>
    <row r="3" spans="1:12">
      <c r="A3" s="5"/>
      <c r="C3" s="3"/>
      <c r="D3" s="3"/>
      <c r="E3" s="415" t="str">
        <f>'Act Att-H'!C7</f>
        <v>Black Hills Colorado Electric, LLC</v>
      </c>
      <c r="F3" s="3"/>
      <c r="H3" s="3"/>
      <c r="I3" s="174" t="s">
        <v>720</v>
      </c>
      <c r="J3" s="3"/>
    </row>
    <row r="4" spans="1:12">
      <c r="A4" s="5"/>
      <c r="C4" s="3"/>
      <c r="D4" s="3"/>
      <c r="E4" s="3"/>
      <c r="F4" s="3"/>
      <c r="G4" s="3"/>
      <c r="H4" s="3"/>
      <c r="I4" s="3"/>
    </row>
    <row r="5" spans="1:12" ht="15" customHeight="1">
      <c r="A5" s="5"/>
      <c r="B5" s="7"/>
      <c r="C5" s="954" t="s">
        <v>697</v>
      </c>
      <c r="D5" s="955"/>
      <c r="E5" s="955"/>
      <c r="F5" s="955"/>
      <c r="G5" s="956"/>
      <c r="H5" s="8" t="s">
        <v>250</v>
      </c>
      <c r="I5" s="8" t="s">
        <v>251</v>
      </c>
    </row>
    <row r="6" spans="1:12">
      <c r="A6" s="5"/>
      <c r="B6" s="7"/>
    </row>
    <row r="7" spans="1:12" s="12" customFormat="1" ht="30" customHeight="1">
      <c r="A7" s="9" t="s">
        <v>252</v>
      </c>
      <c r="B7" s="10" t="s">
        <v>219</v>
      </c>
      <c r="C7" s="10" t="s">
        <v>253</v>
      </c>
      <c r="D7" s="10" t="s">
        <v>21</v>
      </c>
      <c r="E7" s="10" t="s">
        <v>254</v>
      </c>
      <c r="F7" s="10" t="s">
        <v>255</v>
      </c>
      <c r="G7" s="11" t="s">
        <v>167</v>
      </c>
      <c r="H7" s="10" t="s">
        <v>256</v>
      </c>
      <c r="I7" s="10" t="s">
        <v>257</v>
      </c>
    </row>
    <row r="8" spans="1:12" s="16" customFormat="1">
      <c r="A8" s="5"/>
      <c r="B8" s="13" t="s">
        <v>138</v>
      </c>
      <c r="C8" s="13" t="s">
        <v>139</v>
      </c>
      <c r="D8" s="13" t="s">
        <v>140</v>
      </c>
      <c r="E8" s="10" t="s">
        <v>141</v>
      </c>
      <c r="F8" s="10" t="s">
        <v>142</v>
      </c>
      <c r="G8" s="10" t="s">
        <v>143</v>
      </c>
      <c r="H8" s="10" t="s">
        <v>144</v>
      </c>
      <c r="I8" s="14" t="s">
        <v>145</v>
      </c>
    </row>
    <row r="9" spans="1:12" s="16" customFormat="1" ht="39.6" customHeight="1">
      <c r="A9" s="5"/>
      <c r="B9" s="17" t="s">
        <v>259</v>
      </c>
      <c r="C9" s="10" t="s">
        <v>1020</v>
      </c>
      <c r="D9" s="10" t="s">
        <v>1021</v>
      </c>
      <c r="E9" s="10" t="s">
        <v>1022</v>
      </c>
      <c r="F9" s="10" t="s">
        <v>1238</v>
      </c>
      <c r="G9" s="10" t="s">
        <v>1255</v>
      </c>
      <c r="H9" s="13" t="s">
        <v>1244</v>
      </c>
      <c r="I9" s="13" t="s">
        <v>1245</v>
      </c>
    </row>
    <row r="10" spans="1:12">
      <c r="A10" s="5">
        <v>1</v>
      </c>
      <c r="B10" s="18" t="s">
        <v>260</v>
      </c>
      <c r="C10" s="19">
        <v>424929260.89000005</v>
      </c>
      <c r="D10" s="19">
        <v>264303962.91</v>
      </c>
      <c r="E10" s="19">
        <v>410978289.37000006</v>
      </c>
      <c r="F10" s="19">
        <v>44375263.81000001</v>
      </c>
      <c r="G10" s="19">
        <v>22745275</v>
      </c>
      <c r="H10" s="19">
        <v>0</v>
      </c>
      <c r="I10" s="19">
        <v>0</v>
      </c>
      <c r="J10" s="16"/>
      <c r="K10" s="16"/>
    </row>
    <row r="11" spans="1:12">
      <c r="A11" s="5">
        <v>2</v>
      </c>
      <c r="B11" s="18" t="s">
        <v>146</v>
      </c>
      <c r="C11" s="19">
        <v>425006755.32000005</v>
      </c>
      <c r="D11" s="19">
        <v>264395923.39999998</v>
      </c>
      <c r="E11" s="19">
        <v>413670442.95000005</v>
      </c>
      <c r="F11" s="19">
        <v>44421459.870000005</v>
      </c>
      <c r="G11" s="19">
        <v>23309909</v>
      </c>
      <c r="H11" s="19">
        <v>0</v>
      </c>
      <c r="I11" s="19">
        <v>0</v>
      </c>
      <c r="J11" s="16"/>
      <c r="K11" s="16"/>
    </row>
    <row r="12" spans="1:12">
      <c r="A12" s="5">
        <v>3</v>
      </c>
      <c r="B12" s="3" t="s">
        <v>147</v>
      </c>
      <c r="C12" s="19">
        <v>426215072.30000001</v>
      </c>
      <c r="D12" s="19">
        <v>312387587.11000001</v>
      </c>
      <c r="E12" s="19">
        <v>419378645.01000005</v>
      </c>
      <c r="F12" s="19">
        <v>44222580.010000005</v>
      </c>
      <c r="G12" s="19">
        <v>23328150</v>
      </c>
      <c r="H12" s="19">
        <v>0</v>
      </c>
      <c r="I12" s="19">
        <v>0</v>
      </c>
      <c r="J12" s="16"/>
      <c r="K12" s="16"/>
    </row>
    <row r="13" spans="1:12">
      <c r="A13" s="5">
        <v>4</v>
      </c>
      <c r="B13" s="3" t="s">
        <v>261</v>
      </c>
      <c r="C13" s="19">
        <v>425143466.0200001</v>
      </c>
      <c r="D13" s="19">
        <v>312078751.65999997</v>
      </c>
      <c r="E13" s="19">
        <v>420713911.43999994</v>
      </c>
      <c r="F13" s="19">
        <v>44620658.280000001</v>
      </c>
      <c r="G13" s="19">
        <v>23646037</v>
      </c>
      <c r="H13" s="19">
        <v>0</v>
      </c>
      <c r="I13" s="19">
        <v>0</v>
      </c>
      <c r="J13" s="16"/>
      <c r="K13" s="16"/>
    </row>
    <row r="14" spans="1:12">
      <c r="A14" s="5">
        <v>5</v>
      </c>
      <c r="B14" s="3" t="s">
        <v>148</v>
      </c>
      <c r="C14" s="19">
        <v>426902245.80000001</v>
      </c>
      <c r="D14" s="19">
        <v>311697620.93000001</v>
      </c>
      <c r="E14" s="19">
        <v>422588052.90000004</v>
      </c>
      <c r="F14" s="19">
        <v>44722279.470000006</v>
      </c>
      <c r="G14" s="19">
        <v>23709406</v>
      </c>
      <c r="H14" s="19">
        <v>0</v>
      </c>
      <c r="I14" s="19">
        <v>0</v>
      </c>
      <c r="J14" s="16"/>
      <c r="K14" s="16"/>
    </row>
    <row r="15" spans="1:12">
      <c r="A15" s="5">
        <v>6</v>
      </c>
      <c r="B15" s="3" t="s">
        <v>149</v>
      </c>
      <c r="C15" s="19">
        <v>426922864.81</v>
      </c>
      <c r="D15" s="19">
        <v>311380397.76000005</v>
      </c>
      <c r="E15" s="19">
        <v>426536161.12000012</v>
      </c>
      <c r="F15" s="19">
        <v>44460075.359999992</v>
      </c>
      <c r="G15" s="19">
        <v>23516789</v>
      </c>
      <c r="H15" s="19">
        <v>0</v>
      </c>
      <c r="I15" s="19">
        <v>0</v>
      </c>
      <c r="J15" s="16"/>
      <c r="K15" s="16"/>
    </row>
    <row r="16" spans="1:12">
      <c r="A16" s="5">
        <v>7</v>
      </c>
      <c r="B16" s="3" t="s">
        <v>150</v>
      </c>
      <c r="C16" s="19">
        <v>425095867.96000004</v>
      </c>
      <c r="D16" s="19">
        <v>310988610.90999997</v>
      </c>
      <c r="E16" s="19">
        <v>427703050.62495488</v>
      </c>
      <c r="F16" s="19">
        <v>45345628.040000007</v>
      </c>
      <c r="G16" s="19">
        <v>23523377</v>
      </c>
      <c r="H16" s="19">
        <v>0</v>
      </c>
      <c r="I16" s="19">
        <v>0</v>
      </c>
      <c r="J16" s="16"/>
      <c r="K16" s="16"/>
    </row>
    <row r="17" spans="1:11">
      <c r="A17" s="5">
        <v>8</v>
      </c>
      <c r="B17" s="3" t="s">
        <v>151</v>
      </c>
      <c r="C17" s="19">
        <v>425095867.96000004</v>
      </c>
      <c r="D17" s="19">
        <v>309964055.55000007</v>
      </c>
      <c r="E17" s="19">
        <v>430507289.77999991</v>
      </c>
      <c r="F17" s="19">
        <v>45888406.880000003</v>
      </c>
      <c r="G17" s="19">
        <v>23657228</v>
      </c>
      <c r="H17" s="19">
        <v>0</v>
      </c>
      <c r="I17" s="19">
        <v>0</v>
      </c>
      <c r="J17" s="16"/>
      <c r="K17" s="16"/>
    </row>
    <row r="18" spans="1:11">
      <c r="A18" s="5">
        <v>9</v>
      </c>
      <c r="B18" s="3" t="s">
        <v>262</v>
      </c>
      <c r="C18" s="19">
        <v>425095867.96000004</v>
      </c>
      <c r="D18" s="19">
        <v>317295018.21000004</v>
      </c>
      <c r="E18" s="19">
        <v>433137493.32000005</v>
      </c>
      <c r="F18" s="19">
        <v>46148082.370000005</v>
      </c>
      <c r="G18" s="19">
        <v>23120890</v>
      </c>
      <c r="H18" s="19">
        <v>0</v>
      </c>
      <c r="I18" s="19">
        <v>0</v>
      </c>
      <c r="J18" s="16"/>
      <c r="K18" s="16"/>
    </row>
    <row r="19" spans="1:11">
      <c r="A19" s="5">
        <v>10</v>
      </c>
      <c r="B19" s="3" t="s">
        <v>152</v>
      </c>
      <c r="C19" s="19">
        <v>425297733.32999998</v>
      </c>
      <c r="D19" s="19">
        <v>317429689.13</v>
      </c>
      <c r="E19" s="19">
        <v>433380069.74219221</v>
      </c>
      <c r="F19" s="19">
        <v>45375134.68</v>
      </c>
      <c r="G19" s="19">
        <v>23103995</v>
      </c>
      <c r="H19" s="19">
        <v>0</v>
      </c>
      <c r="I19" s="19">
        <v>0</v>
      </c>
      <c r="J19" s="16"/>
      <c r="K19" s="16"/>
    </row>
    <row r="20" spans="1:11">
      <c r="A20" s="5">
        <v>11</v>
      </c>
      <c r="B20" s="3" t="s">
        <v>153</v>
      </c>
      <c r="C20" s="19">
        <v>425297733.32999998</v>
      </c>
      <c r="D20" s="19">
        <v>317961697.27000004</v>
      </c>
      <c r="E20" s="19">
        <v>435889899.57000005</v>
      </c>
      <c r="F20" s="19">
        <v>45504155.539999999</v>
      </c>
      <c r="G20" s="19">
        <v>23375641</v>
      </c>
      <c r="H20" s="19">
        <v>0</v>
      </c>
      <c r="I20" s="19">
        <v>0</v>
      </c>
      <c r="J20" s="16"/>
      <c r="K20" s="16"/>
    </row>
    <row r="21" spans="1:11">
      <c r="A21" s="5">
        <v>12</v>
      </c>
      <c r="B21" s="3" t="s">
        <v>154</v>
      </c>
      <c r="C21" s="19">
        <v>427707896.25999999</v>
      </c>
      <c r="D21" s="19">
        <v>318516932.87</v>
      </c>
      <c r="E21" s="19">
        <v>437121289.75999999</v>
      </c>
      <c r="F21" s="19">
        <v>45132401.140000001</v>
      </c>
      <c r="G21" s="19">
        <v>23437679</v>
      </c>
      <c r="H21" s="19">
        <v>0</v>
      </c>
      <c r="I21" s="19">
        <v>0</v>
      </c>
      <c r="J21" s="16"/>
      <c r="K21" s="16"/>
    </row>
    <row r="22" spans="1:11">
      <c r="A22" s="5">
        <v>13</v>
      </c>
      <c r="B22" s="3" t="s">
        <v>263</v>
      </c>
      <c r="C22" s="19">
        <v>427684092.15999997</v>
      </c>
      <c r="D22" s="19">
        <v>318162522.33999997</v>
      </c>
      <c r="E22" s="19">
        <v>437813045.59263802</v>
      </c>
      <c r="F22" s="19">
        <v>45655275.060000002</v>
      </c>
      <c r="G22" s="19">
        <v>26045763</v>
      </c>
      <c r="H22" s="19">
        <v>0</v>
      </c>
      <c r="I22" s="19">
        <v>0</v>
      </c>
      <c r="J22" s="16"/>
      <c r="K22" s="16"/>
    </row>
    <row r="23" spans="1:11" ht="13.8" thickBot="1">
      <c r="A23" s="5">
        <v>14</v>
      </c>
      <c r="B23" s="20" t="s">
        <v>264</v>
      </c>
      <c r="C23" s="21">
        <f>SUM(C10:C22)/13</f>
        <v>425876517.23846155</v>
      </c>
      <c r="D23" s="21">
        <f>SUM(D10:D22)/13</f>
        <v>306658674.61923081</v>
      </c>
      <c r="E23" s="21">
        <f t="shared" ref="E23:I23" si="0">SUM(E10:E22)/13</f>
        <v>426878280.09075266</v>
      </c>
      <c r="F23" s="21">
        <f t="shared" si="0"/>
        <v>45067030.808461539</v>
      </c>
      <c r="G23" s="21">
        <f t="shared" si="0"/>
        <v>23578472.230769232</v>
      </c>
      <c r="H23" s="21">
        <f t="shared" si="0"/>
        <v>0</v>
      </c>
      <c r="I23" s="21">
        <f t="shared" si="0"/>
        <v>0</v>
      </c>
      <c r="J23" s="16"/>
      <c r="K23" s="16"/>
    </row>
    <row r="24" spans="1:11" ht="13.8" thickTop="1">
      <c r="A24" s="5"/>
      <c r="B24" s="3"/>
      <c r="C24" s="22"/>
      <c r="D24" s="23"/>
      <c r="E24" s="23"/>
      <c r="F24" s="23"/>
      <c r="G24" s="22"/>
      <c r="H24" s="22"/>
      <c r="I24" s="22"/>
    </row>
    <row r="25" spans="1:11">
      <c r="A25" s="5"/>
      <c r="B25" s="3"/>
      <c r="C25" s="22"/>
      <c r="D25" s="23"/>
      <c r="E25" s="23"/>
      <c r="F25" s="23"/>
      <c r="G25" s="22"/>
      <c r="H25" s="22"/>
      <c r="I25" s="22"/>
    </row>
    <row r="26" spans="1:11">
      <c r="A26" s="5"/>
      <c r="B26" s="3"/>
      <c r="C26" s="22"/>
      <c r="D26" s="23"/>
      <c r="E26" s="23"/>
      <c r="F26" s="23"/>
      <c r="G26" s="22"/>
      <c r="H26" s="22"/>
      <c r="I26" s="22"/>
    </row>
    <row r="27" spans="1:11">
      <c r="A27" s="5"/>
      <c r="B27" s="3"/>
      <c r="C27" s="3"/>
    </row>
    <row r="28" spans="1:11">
      <c r="A28" s="5"/>
      <c r="B28" s="3"/>
      <c r="C28" s="562"/>
      <c r="D28" s="561"/>
      <c r="E28" s="957" t="s">
        <v>698</v>
      </c>
      <c r="F28" s="958"/>
      <c r="G28" s="958"/>
      <c r="H28" s="958"/>
      <c r="I28" s="959"/>
    </row>
    <row r="29" spans="1:11">
      <c r="A29" s="5"/>
      <c r="B29" s="3"/>
    </row>
    <row r="30" spans="1:11" ht="26.4">
      <c r="A30" s="9" t="s">
        <v>252</v>
      </c>
      <c r="B30" s="10" t="s">
        <v>219</v>
      </c>
      <c r="C30" s="10" t="s">
        <v>723</v>
      </c>
      <c r="D30" s="10" t="s">
        <v>723</v>
      </c>
      <c r="E30" s="10" t="s">
        <v>253</v>
      </c>
      <c r="F30" s="10" t="s">
        <v>21</v>
      </c>
      <c r="G30" s="10" t="s">
        <v>254</v>
      </c>
      <c r="H30" s="10" t="s">
        <v>255</v>
      </c>
      <c r="I30" s="10" t="s">
        <v>167</v>
      </c>
    </row>
    <row r="31" spans="1:11">
      <c r="A31" s="5"/>
      <c r="B31" s="13" t="s">
        <v>138</v>
      </c>
      <c r="C31" s="13" t="s">
        <v>139</v>
      </c>
      <c r="D31" s="13" t="s">
        <v>140</v>
      </c>
      <c r="E31" s="10" t="s">
        <v>141</v>
      </c>
      <c r="F31" s="10" t="s">
        <v>142</v>
      </c>
      <c r="G31" s="10" t="s">
        <v>143</v>
      </c>
      <c r="H31" s="10" t="s">
        <v>144</v>
      </c>
      <c r="I31" s="14" t="s">
        <v>145</v>
      </c>
    </row>
    <row r="32" spans="1:11" ht="41.4" customHeight="1">
      <c r="A32" s="5"/>
      <c r="B32" s="17" t="s">
        <v>259</v>
      </c>
      <c r="C32" s="10"/>
      <c r="D32" s="13"/>
      <c r="E32" s="828" t="s">
        <v>1090</v>
      </c>
      <c r="F32" s="828" t="s">
        <v>1091</v>
      </c>
      <c r="G32" s="828" t="s">
        <v>1092</v>
      </c>
      <c r="H32" s="828" t="s">
        <v>1267</v>
      </c>
      <c r="I32" s="828" t="s">
        <v>1256</v>
      </c>
    </row>
    <row r="33" spans="1:9">
      <c r="A33" s="5">
        <v>15</v>
      </c>
      <c r="B33" s="18" t="s">
        <v>260</v>
      </c>
      <c r="C33" s="10"/>
      <c r="D33" s="10"/>
      <c r="E33" s="19">
        <v>127508996.98853941</v>
      </c>
      <c r="F33" s="19">
        <v>48570088.338654973</v>
      </c>
      <c r="G33" s="19">
        <v>156334456.51929522</v>
      </c>
      <c r="H33" s="19">
        <v>22582171.933510415</v>
      </c>
      <c r="I33" s="19">
        <v>6269229</v>
      </c>
    </row>
    <row r="34" spans="1:9">
      <c r="A34" s="5">
        <v>16</v>
      </c>
      <c r="B34" s="18" t="s">
        <v>146</v>
      </c>
      <c r="C34" s="10"/>
      <c r="D34" s="10"/>
      <c r="E34" s="19">
        <v>129400452.58</v>
      </c>
      <c r="F34" s="19">
        <v>47906451.780000009</v>
      </c>
      <c r="G34" s="19">
        <v>157818444.30000001</v>
      </c>
      <c r="H34" s="19">
        <v>22952555.890000001</v>
      </c>
      <c r="I34" s="19">
        <v>6768124</v>
      </c>
    </row>
    <row r="35" spans="1:9">
      <c r="A35" s="5">
        <v>17</v>
      </c>
      <c r="B35" s="3" t="s">
        <v>147</v>
      </c>
      <c r="C35" s="10"/>
      <c r="D35" s="10"/>
      <c r="E35" s="19">
        <v>130659100.41000001</v>
      </c>
      <c r="F35" s="19">
        <v>48315674.579999998</v>
      </c>
      <c r="G35" s="19">
        <v>158461824.59999999</v>
      </c>
      <c r="H35" s="19">
        <v>22981962.359999999</v>
      </c>
      <c r="I35" s="19">
        <v>7049551</v>
      </c>
    </row>
    <row r="36" spans="1:9">
      <c r="A36" s="5">
        <v>18</v>
      </c>
      <c r="B36" s="3" t="s">
        <v>261</v>
      </c>
      <c r="C36" s="10"/>
      <c r="D36" s="10"/>
      <c r="E36" s="19">
        <v>130832914.35999998</v>
      </c>
      <c r="F36" s="19">
        <v>48627860.13000001</v>
      </c>
      <c r="G36" s="19">
        <v>158934361.09</v>
      </c>
      <c r="H36" s="19">
        <v>23131636.169999994</v>
      </c>
      <c r="I36" s="19">
        <v>7331509</v>
      </c>
    </row>
    <row r="37" spans="1:9">
      <c r="A37" s="5">
        <v>19</v>
      </c>
      <c r="B37" s="3" t="s">
        <v>148</v>
      </c>
      <c r="C37" s="10"/>
      <c r="D37" s="10"/>
      <c r="E37" s="19">
        <v>133022126.81</v>
      </c>
      <c r="F37" s="19">
        <v>49084878.220000006</v>
      </c>
      <c r="G37" s="19">
        <v>159557252.94</v>
      </c>
      <c r="H37" s="19">
        <v>23481533.319999997</v>
      </c>
      <c r="I37" s="19">
        <v>7514878</v>
      </c>
    </row>
    <row r="38" spans="1:9">
      <c r="A38" s="5">
        <v>20</v>
      </c>
      <c r="B38" s="3" t="s">
        <v>149</v>
      </c>
      <c r="C38" s="10"/>
      <c r="D38" s="10"/>
      <c r="E38" s="19">
        <v>134284546.15000001</v>
      </c>
      <c r="F38" s="19">
        <v>49505932.49000001</v>
      </c>
      <c r="G38" s="19">
        <v>159703298.91000003</v>
      </c>
      <c r="H38" s="19">
        <v>23457185.509999998</v>
      </c>
      <c r="I38" s="19">
        <v>7564282</v>
      </c>
    </row>
    <row r="39" spans="1:9">
      <c r="A39" s="5">
        <v>21</v>
      </c>
      <c r="B39" s="3" t="s">
        <v>150</v>
      </c>
      <c r="C39" s="10"/>
      <c r="D39" s="10"/>
      <c r="E39" s="19">
        <v>134589150.96000001</v>
      </c>
      <c r="F39" s="19">
        <v>49891891.160000004</v>
      </c>
      <c r="G39" s="19">
        <v>159956354.49495494</v>
      </c>
      <c r="H39" s="19">
        <v>23816782.109999999</v>
      </c>
      <c r="I39" s="19">
        <v>7833304</v>
      </c>
    </row>
    <row r="40" spans="1:9">
      <c r="A40" s="5">
        <v>22</v>
      </c>
      <c r="B40" s="3" t="s">
        <v>151</v>
      </c>
      <c r="C40" s="10"/>
      <c r="D40" s="10"/>
      <c r="E40" s="19">
        <v>135845759.34000003</v>
      </c>
      <c r="F40" s="19">
        <v>50291724.580000006</v>
      </c>
      <c r="G40" s="19">
        <v>161373275.11000001</v>
      </c>
      <c r="H40" s="19">
        <v>24253356.969999991</v>
      </c>
      <c r="I40" s="19">
        <v>8099351</v>
      </c>
    </row>
    <row r="41" spans="1:9">
      <c r="A41" s="5">
        <v>23</v>
      </c>
      <c r="B41" s="3" t="s">
        <v>262</v>
      </c>
      <c r="C41" s="10"/>
      <c r="D41" s="10"/>
      <c r="E41" s="19">
        <v>137102914.81000003</v>
      </c>
      <c r="F41" s="19">
        <v>50743715.119999997</v>
      </c>
      <c r="G41" s="19">
        <v>162182948.39000008</v>
      </c>
      <c r="H41" s="19">
        <v>24354357.07</v>
      </c>
      <c r="I41" s="19">
        <v>8246955</v>
      </c>
    </row>
    <row r="42" spans="1:9">
      <c r="A42" s="5">
        <v>24</v>
      </c>
      <c r="B42" s="3" t="s">
        <v>152</v>
      </c>
      <c r="C42" s="10"/>
      <c r="D42" s="10"/>
      <c r="E42" s="19">
        <v>138360362.73000002</v>
      </c>
      <c r="F42" s="19">
        <v>50686922.780000001</v>
      </c>
      <c r="G42" s="19">
        <v>162022757.79219216</v>
      </c>
      <c r="H42" s="19">
        <v>23558595.699999996</v>
      </c>
      <c r="I42" s="19">
        <v>8442168</v>
      </c>
    </row>
    <row r="43" spans="1:9">
      <c r="A43" s="5">
        <v>25</v>
      </c>
      <c r="B43" s="3" t="s">
        <v>153</v>
      </c>
      <c r="C43" s="10"/>
      <c r="D43" s="10"/>
      <c r="E43" s="19">
        <v>139617760.86000004</v>
      </c>
      <c r="F43" s="19">
        <v>51651378.329999998</v>
      </c>
      <c r="G43" s="19">
        <v>163599182.44999999</v>
      </c>
      <c r="H43" s="19">
        <v>23792970.439999994</v>
      </c>
      <c r="I43" s="19">
        <v>8712248</v>
      </c>
    </row>
    <row r="44" spans="1:9">
      <c r="A44" s="5">
        <v>26</v>
      </c>
      <c r="B44" s="3" t="s">
        <v>154</v>
      </c>
      <c r="C44" s="10"/>
      <c r="D44" s="10"/>
      <c r="E44" s="19">
        <v>140878430.49999997</v>
      </c>
      <c r="F44" s="19">
        <v>52084738.969999999</v>
      </c>
      <c r="G44" s="19">
        <v>164228805.87000003</v>
      </c>
      <c r="H44" s="19">
        <v>23551434.149999999</v>
      </c>
      <c r="I44" s="19">
        <v>8962477</v>
      </c>
    </row>
    <row r="45" spans="1:9">
      <c r="A45" s="5">
        <v>27</v>
      </c>
      <c r="B45" s="3" t="s">
        <v>263</v>
      </c>
      <c r="C45" s="10"/>
      <c r="D45" s="10"/>
      <c r="E45" s="19">
        <v>142142557.37</v>
      </c>
      <c r="F45" s="19">
        <v>51935611.219999999</v>
      </c>
      <c r="G45" s="19">
        <v>163933249.87263796</v>
      </c>
      <c r="H45" s="19">
        <v>23667929.41</v>
      </c>
      <c r="I45" s="19">
        <v>9226628</v>
      </c>
    </row>
    <row r="46" spans="1:9" ht="13.8" thickBot="1">
      <c r="A46" s="5">
        <v>28</v>
      </c>
      <c r="B46" s="20" t="s">
        <v>264</v>
      </c>
      <c r="C46" s="21"/>
      <c r="D46" s="21"/>
      <c r="E46" s="21">
        <f t="shared" ref="E46:I46" si="1">SUM(E33:E45)/13</f>
        <v>134941928.75911841</v>
      </c>
      <c r="F46" s="21">
        <f t="shared" si="1"/>
        <v>49945912.899896547</v>
      </c>
      <c r="G46" s="21">
        <f t="shared" si="1"/>
        <v>160623554.79531392</v>
      </c>
      <c r="H46" s="21">
        <f t="shared" si="1"/>
        <v>23506343.925654646</v>
      </c>
      <c r="I46" s="21">
        <f t="shared" si="1"/>
        <v>7847746.461538462</v>
      </c>
    </row>
    <row r="47" spans="1:9" ht="13.8" thickTop="1">
      <c r="A47" s="5"/>
      <c r="B47" s="3"/>
    </row>
    <row r="48" spans="1:9">
      <c r="A48" s="5"/>
      <c r="B48" s="3"/>
    </row>
    <row r="49" spans="1:9">
      <c r="A49" s="725"/>
      <c r="B49" s="3"/>
      <c r="C49" s="726"/>
      <c r="D49" s="727"/>
      <c r="E49" s="726"/>
      <c r="F49" s="726"/>
      <c r="G49" s="726"/>
      <c r="H49" s="726"/>
      <c r="I49" s="726"/>
    </row>
    <row r="50" spans="1:9" s="831" customFormat="1" ht="26.4">
      <c r="A50" s="829"/>
      <c r="B50" s="828" t="s">
        <v>219</v>
      </c>
      <c r="C50" s="828" t="s">
        <v>961</v>
      </c>
      <c r="D50" s="828" t="s">
        <v>962</v>
      </c>
      <c r="E50" s="828" t="s">
        <v>1088</v>
      </c>
      <c r="F50" s="828" t="s">
        <v>1089</v>
      </c>
      <c r="G50" s="828" t="s">
        <v>963</v>
      </c>
      <c r="H50" s="828" t="s">
        <v>964</v>
      </c>
      <c r="I50" s="14" t="s">
        <v>1126</v>
      </c>
    </row>
    <row r="51" spans="1:9" s="831" customFormat="1">
      <c r="A51" s="829"/>
      <c r="B51" s="832" t="s">
        <v>138</v>
      </c>
      <c r="C51" s="832" t="s">
        <v>139</v>
      </c>
      <c r="D51" s="832" t="s">
        <v>140</v>
      </c>
      <c r="E51" s="832" t="s">
        <v>141</v>
      </c>
      <c r="F51" s="832" t="s">
        <v>142</v>
      </c>
      <c r="G51" s="832" t="s">
        <v>143</v>
      </c>
      <c r="H51" s="832" t="s">
        <v>144</v>
      </c>
      <c r="I51" s="14" t="s">
        <v>145</v>
      </c>
    </row>
    <row r="52" spans="1:9" s="831" customFormat="1">
      <c r="A52" s="829"/>
      <c r="B52" s="833" t="s">
        <v>259</v>
      </c>
      <c r="C52" s="828"/>
      <c r="D52" s="828"/>
      <c r="E52" s="828" t="s">
        <v>216</v>
      </c>
      <c r="F52" s="828" t="s">
        <v>216</v>
      </c>
      <c r="G52" s="828" t="s">
        <v>216</v>
      </c>
      <c r="H52" s="828" t="s">
        <v>216</v>
      </c>
      <c r="I52" s="10" t="s">
        <v>1127</v>
      </c>
    </row>
    <row r="53" spans="1:9" s="831" customFormat="1">
      <c r="A53" s="829">
        <f>A46+1</f>
        <v>29</v>
      </c>
      <c r="B53" s="834" t="s">
        <v>260</v>
      </c>
      <c r="C53" s="835">
        <v>7196224</v>
      </c>
      <c r="D53" s="835">
        <v>2499891</v>
      </c>
      <c r="E53" s="835">
        <v>261441404</v>
      </c>
      <c r="F53" s="835">
        <v>143792772</v>
      </c>
      <c r="G53" s="835">
        <v>1151569</v>
      </c>
      <c r="H53" s="835">
        <v>475160</v>
      </c>
      <c r="I53" s="19"/>
    </row>
    <row r="54" spans="1:9" s="831" customFormat="1">
      <c r="A54" s="829">
        <f>A53+1</f>
        <v>30</v>
      </c>
      <c r="B54" s="834" t="s">
        <v>146</v>
      </c>
      <c r="C54" s="835">
        <v>7196224</v>
      </c>
      <c r="D54" s="835">
        <v>2525067</v>
      </c>
      <c r="E54" s="835">
        <v>261441404</v>
      </c>
      <c r="F54" s="835">
        <v>144882111</v>
      </c>
      <c r="G54" s="835">
        <v>1151569</v>
      </c>
      <c r="H54" s="835">
        <v>484042</v>
      </c>
      <c r="I54" s="19"/>
    </row>
    <row r="55" spans="1:9" s="831" customFormat="1">
      <c r="A55" s="829">
        <f t="shared" ref="A55:A66" si="2">A54+1</f>
        <v>31</v>
      </c>
      <c r="B55" s="834" t="s">
        <v>147</v>
      </c>
      <c r="C55" s="835">
        <v>7196224</v>
      </c>
      <c r="D55" s="835">
        <v>2550242</v>
      </c>
      <c r="E55" s="835">
        <v>261441404</v>
      </c>
      <c r="F55" s="835">
        <v>145971450</v>
      </c>
      <c r="G55" s="835">
        <v>1151569</v>
      </c>
      <c r="H55" s="835">
        <v>492940</v>
      </c>
      <c r="I55" s="19"/>
    </row>
    <row r="56" spans="1:9" s="831" customFormat="1">
      <c r="A56" s="829">
        <f t="shared" si="2"/>
        <v>32</v>
      </c>
      <c r="B56" s="834" t="s">
        <v>261</v>
      </c>
      <c r="C56" s="835">
        <v>7196224</v>
      </c>
      <c r="D56" s="835">
        <v>2575418</v>
      </c>
      <c r="E56" s="835">
        <v>261441404</v>
      </c>
      <c r="F56" s="835">
        <v>147060789</v>
      </c>
      <c r="G56" s="835">
        <v>1160478</v>
      </c>
      <c r="H56" s="835">
        <v>501436</v>
      </c>
      <c r="I56" s="19"/>
    </row>
    <row r="57" spans="1:9" s="831" customFormat="1">
      <c r="A57" s="829">
        <f t="shared" si="2"/>
        <v>33</v>
      </c>
      <c r="B57" s="834" t="s">
        <v>148</v>
      </c>
      <c r="C57" s="835">
        <v>7196224</v>
      </c>
      <c r="D57" s="835">
        <v>2600593</v>
      </c>
      <c r="E57" s="835">
        <v>261441404</v>
      </c>
      <c r="F57" s="835">
        <v>148150128</v>
      </c>
      <c r="G57" s="835">
        <v>1160478</v>
      </c>
      <c r="H57" s="835">
        <v>510468</v>
      </c>
      <c r="I57" s="19"/>
    </row>
    <row r="58" spans="1:9" s="831" customFormat="1">
      <c r="A58" s="829">
        <f t="shared" si="2"/>
        <v>34</v>
      </c>
      <c r="B58" s="834" t="s">
        <v>149</v>
      </c>
      <c r="C58" s="835">
        <v>7196224</v>
      </c>
      <c r="D58" s="835">
        <v>2625769</v>
      </c>
      <c r="E58" s="835">
        <v>261441404</v>
      </c>
      <c r="F58" s="835">
        <v>149239467</v>
      </c>
      <c r="G58" s="835">
        <v>1160478</v>
      </c>
      <c r="H58" s="835">
        <v>519516</v>
      </c>
      <c r="I58" s="19"/>
    </row>
    <row r="59" spans="1:9" s="831" customFormat="1">
      <c r="A59" s="829">
        <f t="shared" si="2"/>
        <v>35</v>
      </c>
      <c r="B59" s="834" t="s">
        <v>150</v>
      </c>
      <c r="C59" s="835">
        <v>7196224</v>
      </c>
      <c r="D59" s="835">
        <v>2650944</v>
      </c>
      <c r="E59" s="835">
        <v>261441404</v>
      </c>
      <c r="F59" s="835">
        <v>150328807</v>
      </c>
      <c r="G59" s="835">
        <v>1160478</v>
      </c>
      <c r="H59" s="835">
        <v>528582</v>
      </c>
      <c r="I59" s="19"/>
    </row>
    <row r="60" spans="1:9" s="831" customFormat="1">
      <c r="A60" s="829">
        <f t="shared" si="2"/>
        <v>36</v>
      </c>
      <c r="B60" s="834" t="s">
        <v>151</v>
      </c>
      <c r="C60" s="835">
        <v>7196224</v>
      </c>
      <c r="D60" s="835">
        <v>2676120</v>
      </c>
      <c r="E60" s="835">
        <v>261441404</v>
      </c>
      <c r="F60" s="835">
        <v>151418146</v>
      </c>
      <c r="G60" s="835">
        <v>1160478</v>
      </c>
      <c r="H60" s="835">
        <v>537664</v>
      </c>
      <c r="I60" s="19"/>
    </row>
    <row r="61" spans="1:9" s="831" customFormat="1">
      <c r="A61" s="829">
        <f t="shared" si="2"/>
        <v>37</v>
      </c>
      <c r="B61" s="834" t="s">
        <v>262</v>
      </c>
      <c r="C61" s="835">
        <v>7196224</v>
      </c>
      <c r="D61" s="835">
        <v>2701295</v>
      </c>
      <c r="E61" s="835">
        <v>261441404</v>
      </c>
      <c r="F61" s="835">
        <v>152507485</v>
      </c>
      <c r="G61" s="835">
        <v>1160478</v>
      </c>
      <c r="H61" s="835">
        <v>552963</v>
      </c>
      <c r="I61" s="19"/>
    </row>
    <row r="62" spans="1:9" s="831" customFormat="1">
      <c r="A62" s="829">
        <f t="shared" si="2"/>
        <v>38</v>
      </c>
      <c r="B62" s="834" t="s">
        <v>152</v>
      </c>
      <c r="C62" s="835">
        <v>7196224</v>
      </c>
      <c r="D62" s="835">
        <v>2726470</v>
      </c>
      <c r="E62" s="835">
        <v>261441404</v>
      </c>
      <c r="F62" s="835">
        <v>153596824</v>
      </c>
      <c r="G62" s="835">
        <v>1086540</v>
      </c>
      <c r="H62" s="835">
        <v>485042</v>
      </c>
      <c r="I62" s="19"/>
    </row>
    <row r="63" spans="1:9" s="831" customFormat="1">
      <c r="A63" s="829">
        <f t="shared" si="2"/>
        <v>39</v>
      </c>
      <c r="B63" s="834" t="s">
        <v>153</v>
      </c>
      <c r="C63" s="835">
        <v>7196224</v>
      </c>
      <c r="D63" s="835">
        <v>2752788</v>
      </c>
      <c r="E63" s="835">
        <v>261441404</v>
      </c>
      <c r="F63" s="835">
        <v>154686163</v>
      </c>
      <c r="G63" s="835">
        <v>1086540</v>
      </c>
      <c r="H63" s="835">
        <v>491076</v>
      </c>
      <c r="I63" s="19"/>
    </row>
    <row r="64" spans="1:9" s="831" customFormat="1">
      <c r="A64" s="829">
        <f t="shared" si="2"/>
        <v>40</v>
      </c>
      <c r="B64" s="834" t="s">
        <v>154</v>
      </c>
      <c r="C64" s="835">
        <v>7196224</v>
      </c>
      <c r="D64" s="835">
        <v>2779106</v>
      </c>
      <c r="E64" s="835">
        <v>261441404</v>
      </c>
      <c r="F64" s="835">
        <v>155775503</v>
      </c>
      <c r="G64" s="835">
        <v>1086540</v>
      </c>
      <c r="H64" s="835">
        <v>497128</v>
      </c>
      <c r="I64" s="19"/>
    </row>
    <row r="65" spans="1:12" s="831" customFormat="1">
      <c r="A65" s="829">
        <f t="shared" si="2"/>
        <v>41</v>
      </c>
      <c r="B65" s="834" t="s">
        <v>263</v>
      </c>
      <c r="C65" s="835">
        <v>7196224</v>
      </c>
      <c r="D65" s="835">
        <v>2815708</v>
      </c>
      <c r="E65" s="835">
        <v>261441404</v>
      </c>
      <c r="F65" s="835">
        <v>156864842</v>
      </c>
      <c r="G65" s="835">
        <v>1086540</v>
      </c>
      <c r="H65" s="835">
        <v>500676</v>
      </c>
      <c r="I65" s="19"/>
    </row>
    <row r="66" spans="1:12" s="831" customFormat="1" ht="13.8" thickBot="1">
      <c r="A66" s="829">
        <f t="shared" si="2"/>
        <v>42</v>
      </c>
      <c r="B66" s="834" t="s">
        <v>264</v>
      </c>
      <c r="C66" s="836">
        <f>SUM(C53:C65)/13</f>
        <v>7196224</v>
      </c>
      <c r="D66" s="836">
        <f t="shared" ref="D66:I66" si="3">SUM(D53:D65)/13</f>
        <v>2652262.3846153845</v>
      </c>
      <c r="E66" s="836">
        <f t="shared" si="3"/>
        <v>261441404</v>
      </c>
      <c r="F66" s="836">
        <f t="shared" si="3"/>
        <v>150328806.69230768</v>
      </c>
      <c r="G66" s="836">
        <f t="shared" si="3"/>
        <v>1135671.923076923</v>
      </c>
      <c r="H66" s="836">
        <f t="shared" si="3"/>
        <v>505899.46153846156</v>
      </c>
      <c r="I66" s="836">
        <f t="shared" si="3"/>
        <v>0</v>
      </c>
    </row>
    <row r="67" spans="1:12" ht="13.8" thickTop="1">
      <c r="A67" s="5"/>
      <c r="B67" s="3"/>
      <c r="C67" s="22"/>
      <c r="D67" s="23"/>
      <c r="E67" s="23"/>
      <c r="F67" s="23"/>
      <c r="G67" s="22"/>
      <c r="H67" s="22"/>
      <c r="I67" s="22"/>
    </row>
    <row r="68" spans="1:12">
      <c r="C68" s="3"/>
      <c r="E68" s="414" t="str">
        <f>E1</f>
        <v>Worksheet A4</v>
      </c>
      <c r="F68" s="3"/>
      <c r="H68" s="3"/>
      <c r="I68" s="3"/>
      <c r="J68" s="3"/>
    </row>
    <row r="69" spans="1:12">
      <c r="A69" s="5"/>
      <c r="C69" s="3"/>
      <c r="D69" s="3"/>
      <c r="E69" s="13" t="str">
        <f>E2</f>
        <v>Rate Base Worksheet</v>
      </c>
      <c r="F69" s="3"/>
      <c r="H69" s="3"/>
      <c r="I69" s="3"/>
      <c r="J69" s="3"/>
      <c r="L69" s="6"/>
    </row>
    <row r="70" spans="1:12">
      <c r="A70" s="5"/>
      <c r="C70" s="3"/>
      <c r="E70" s="214" t="str">
        <f>E3</f>
        <v>Black Hills Colorado Electric, LLC</v>
      </c>
      <c r="F70" s="3"/>
      <c r="H70" s="3"/>
      <c r="I70" s="174" t="s">
        <v>721</v>
      </c>
      <c r="J70" s="3"/>
    </row>
    <row r="71" spans="1:12">
      <c r="A71" s="5"/>
      <c r="B71" s="3"/>
      <c r="C71" s="22"/>
      <c r="D71" s="23"/>
      <c r="E71" s="23"/>
      <c r="F71" s="23"/>
      <c r="G71" s="22"/>
      <c r="H71" s="22"/>
      <c r="I71" s="22"/>
    </row>
    <row r="72" spans="1:12">
      <c r="A72" s="5"/>
      <c r="B72" s="24"/>
      <c r="C72" s="957" t="s">
        <v>699</v>
      </c>
      <c r="D72" s="958"/>
      <c r="E72" s="958"/>
      <c r="F72" s="958"/>
      <c r="G72" s="958"/>
      <c r="H72" s="958"/>
      <c r="I72" s="959"/>
    </row>
    <row r="73" spans="1:12" ht="102" customHeight="1">
      <c r="A73" s="5" t="s">
        <v>252</v>
      </c>
      <c r="B73" s="13" t="s">
        <v>219</v>
      </c>
      <c r="C73" s="14" t="s">
        <v>265</v>
      </c>
      <c r="D73" s="14" t="s">
        <v>266</v>
      </c>
      <c r="E73" s="14" t="s">
        <v>267</v>
      </c>
      <c r="F73" s="14" t="s">
        <v>268</v>
      </c>
      <c r="G73" s="14" t="s">
        <v>269</v>
      </c>
      <c r="H73" s="14" t="s">
        <v>270</v>
      </c>
      <c r="I73" s="14" t="s">
        <v>793</v>
      </c>
    </row>
    <row r="74" spans="1:12" s="16" customFormat="1">
      <c r="A74" s="5"/>
      <c r="B74" s="13" t="s">
        <v>138</v>
      </c>
      <c r="C74" s="14" t="s">
        <v>139</v>
      </c>
      <c r="D74" s="14" t="s">
        <v>140</v>
      </c>
      <c r="E74" s="14" t="s">
        <v>141</v>
      </c>
      <c r="F74" s="14" t="s">
        <v>142</v>
      </c>
      <c r="G74" s="14" t="s">
        <v>143</v>
      </c>
      <c r="H74" s="14" t="s">
        <v>144</v>
      </c>
      <c r="I74" s="14" t="s">
        <v>145</v>
      </c>
    </row>
    <row r="75" spans="1:12" s="16" customFormat="1" ht="57" customHeight="1">
      <c r="A75" s="5"/>
      <c r="B75" s="17" t="s">
        <v>259</v>
      </c>
      <c r="C75" s="10" t="s">
        <v>271</v>
      </c>
      <c r="D75" s="14" t="s">
        <v>747</v>
      </c>
      <c r="E75" s="14" t="s">
        <v>796</v>
      </c>
      <c r="F75" s="14" t="s">
        <v>796</v>
      </c>
      <c r="G75" s="14" t="s">
        <v>796</v>
      </c>
      <c r="H75" s="14" t="s">
        <v>796</v>
      </c>
      <c r="I75" s="14">
        <v>111.57</v>
      </c>
    </row>
    <row r="76" spans="1:12">
      <c r="A76" s="5">
        <v>1</v>
      </c>
      <c r="B76" s="18" t="s">
        <v>260</v>
      </c>
      <c r="C76" s="19">
        <v>0</v>
      </c>
      <c r="D76" s="19">
        <v>0</v>
      </c>
      <c r="E76" s="160">
        <f>'A3-ADIT'!D12</f>
        <v>0</v>
      </c>
      <c r="F76" s="160">
        <f>'A3-ADIT'!D13</f>
        <v>-132909277</v>
      </c>
      <c r="G76" s="160">
        <f>'A3-ADIT'!D14</f>
        <v>-70683636</v>
      </c>
      <c r="H76" s="160">
        <f>'A3-ADIT'!D15</f>
        <v>73130366</v>
      </c>
      <c r="I76" s="19">
        <v>1578987</v>
      </c>
    </row>
    <row r="77" spans="1:12">
      <c r="A77" s="5">
        <v>2</v>
      </c>
      <c r="B77" s="18" t="s">
        <v>146</v>
      </c>
      <c r="C77" s="19">
        <v>0</v>
      </c>
      <c r="D77" s="19">
        <v>0</v>
      </c>
      <c r="E77" s="25"/>
      <c r="F77" s="25"/>
      <c r="G77" s="25"/>
      <c r="H77" s="25"/>
      <c r="I77" s="19">
        <v>1641558</v>
      </c>
    </row>
    <row r="78" spans="1:12">
      <c r="A78" s="5">
        <v>3</v>
      </c>
      <c r="B78" s="3" t="s">
        <v>147</v>
      </c>
      <c r="C78" s="19">
        <v>0</v>
      </c>
      <c r="D78" s="19">
        <v>0</v>
      </c>
      <c r="E78" s="25"/>
      <c r="F78" s="25"/>
      <c r="G78" s="25"/>
      <c r="H78" s="25"/>
      <c r="I78" s="19">
        <v>1236776</v>
      </c>
    </row>
    <row r="79" spans="1:12">
      <c r="A79" s="5">
        <v>4</v>
      </c>
      <c r="B79" s="3" t="s">
        <v>261</v>
      </c>
      <c r="C79" s="19">
        <v>0</v>
      </c>
      <c r="D79" s="19">
        <v>0</v>
      </c>
      <c r="E79" s="25"/>
      <c r="F79" s="25"/>
      <c r="G79" s="25"/>
      <c r="H79" s="25"/>
      <c r="I79" s="19">
        <v>1565893</v>
      </c>
    </row>
    <row r="80" spans="1:12">
      <c r="A80" s="5">
        <v>5</v>
      </c>
      <c r="B80" s="3" t="s">
        <v>148</v>
      </c>
      <c r="C80" s="19">
        <v>0</v>
      </c>
      <c r="D80" s="19">
        <v>0</v>
      </c>
      <c r="E80" s="25"/>
      <c r="F80" s="25"/>
      <c r="G80" s="25"/>
      <c r="H80" s="25"/>
      <c r="I80" s="19">
        <v>1259661</v>
      </c>
    </row>
    <row r="81" spans="1:12">
      <c r="A81" s="5">
        <v>6</v>
      </c>
      <c r="B81" s="3" t="s">
        <v>149</v>
      </c>
      <c r="C81" s="19">
        <v>0</v>
      </c>
      <c r="D81" s="19">
        <v>0</v>
      </c>
      <c r="E81" s="25"/>
      <c r="F81" s="25"/>
      <c r="G81" s="25"/>
      <c r="H81" s="25"/>
      <c r="I81" s="19">
        <v>954558</v>
      </c>
    </row>
    <row r="82" spans="1:12">
      <c r="A82" s="5">
        <v>7</v>
      </c>
      <c r="B82" s="3" t="s">
        <v>150</v>
      </c>
      <c r="C82" s="19">
        <v>0</v>
      </c>
      <c r="D82" s="19">
        <v>0</v>
      </c>
      <c r="E82" s="25"/>
      <c r="F82" s="25"/>
      <c r="G82" s="25"/>
      <c r="H82" s="25"/>
      <c r="I82" s="19">
        <v>1154235</v>
      </c>
    </row>
    <row r="83" spans="1:12">
      <c r="A83" s="5">
        <v>8</v>
      </c>
      <c r="B83" s="3" t="s">
        <v>151</v>
      </c>
      <c r="C83" s="19">
        <v>0</v>
      </c>
      <c r="D83" s="19">
        <v>0</v>
      </c>
      <c r="E83" s="25"/>
      <c r="F83" s="25"/>
      <c r="G83" s="25"/>
      <c r="H83" s="25"/>
      <c r="I83" s="19">
        <v>902637</v>
      </c>
    </row>
    <row r="84" spans="1:12">
      <c r="A84" s="5">
        <v>9</v>
      </c>
      <c r="B84" s="3" t="s">
        <v>262</v>
      </c>
      <c r="C84" s="19">
        <v>0</v>
      </c>
      <c r="D84" s="19">
        <v>0</v>
      </c>
      <c r="E84" s="25"/>
      <c r="F84" s="25"/>
      <c r="G84" s="25"/>
      <c r="H84" s="25"/>
      <c r="I84" s="19">
        <v>592846</v>
      </c>
    </row>
    <row r="85" spans="1:12">
      <c r="A85" s="5">
        <v>10</v>
      </c>
      <c r="B85" s="3" t="s">
        <v>152</v>
      </c>
      <c r="C85" s="19">
        <v>0</v>
      </c>
      <c r="D85" s="19">
        <v>0</v>
      </c>
      <c r="E85" s="25"/>
      <c r="F85" s="25"/>
      <c r="G85" s="25"/>
      <c r="H85" s="25"/>
      <c r="I85" s="19">
        <v>787161</v>
      </c>
    </row>
    <row r="86" spans="1:12">
      <c r="A86" s="5">
        <v>11</v>
      </c>
      <c r="B86" s="3" t="s">
        <v>153</v>
      </c>
      <c r="C86" s="19">
        <v>0</v>
      </c>
      <c r="D86" s="19">
        <v>0</v>
      </c>
      <c r="E86" s="25"/>
      <c r="F86" s="25"/>
      <c r="G86" s="25"/>
      <c r="H86" s="25"/>
      <c r="I86" s="19">
        <v>1640647</v>
      </c>
    </row>
    <row r="87" spans="1:12">
      <c r="A87" s="5">
        <v>12</v>
      </c>
      <c r="B87" s="3" t="s">
        <v>154</v>
      </c>
      <c r="C87" s="19">
        <v>0</v>
      </c>
      <c r="D87" s="19">
        <v>0</v>
      </c>
      <c r="E87" s="25"/>
      <c r="F87" s="25"/>
      <c r="G87" s="25"/>
      <c r="H87" s="25"/>
      <c r="I87" s="19">
        <v>1523384</v>
      </c>
    </row>
    <row r="88" spans="1:12">
      <c r="A88" s="5">
        <v>13</v>
      </c>
      <c r="B88" s="3" t="s">
        <v>263</v>
      </c>
      <c r="C88" s="19">
        <v>0</v>
      </c>
      <c r="D88" s="19">
        <v>0</v>
      </c>
      <c r="E88" s="160">
        <f>'A3-ADIT'!E12</f>
        <v>0</v>
      </c>
      <c r="F88" s="160">
        <f>'A3-ADIT'!E13</f>
        <v>-137999967</v>
      </c>
      <c r="G88" s="160">
        <f>'A3-ADIT'!E14</f>
        <v>-61775900</v>
      </c>
      <c r="H88" s="160">
        <f>'A3-ADIT'!E15</f>
        <v>75736193</v>
      </c>
      <c r="I88" s="19">
        <v>1201186</v>
      </c>
    </row>
    <row r="89" spans="1:12" ht="13.8" thickBot="1">
      <c r="A89" s="5">
        <v>14</v>
      </c>
      <c r="B89" s="17" t="s">
        <v>272</v>
      </c>
      <c r="C89" s="21">
        <f>SUM(C76:C88)/13</f>
        <v>0</v>
      </c>
      <c r="D89" s="26">
        <f>SUM(D76:D88)/13</f>
        <v>0</v>
      </c>
      <c r="E89" s="402">
        <f>'A3-ADIT'!F12</f>
        <v>0</v>
      </c>
      <c r="F89" s="402">
        <f>'A3-ADIT'!F13</f>
        <v>-135454622</v>
      </c>
      <c r="G89" s="402">
        <f>'A3-ADIT'!F14</f>
        <v>-66229768</v>
      </c>
      <c r="H89" s="402">
        <f>'A3-ADIT'!F15</f>
        <v>74433279.5</v>
      </c>
      <c r="I89" s="617">
        <f t="shared" ref="I89" si="4">SUM(I76:I88)/13</f>
        <v>1233809.923076923</v>
      </c>
    </row>
    <row r="90" spans="1:12" ht="13.8" thickTop="1">
      <c r="A90" s="5">
        <v>15</v>
      </c>
      <c r="B90" s="3" t="s">
        <v>780</v>
      </c>
      <c r="E90" s="27"/>
      <c r="F90" s="27"/>
      <c r="G90" s="27"/>
      <c r="H90" s="27"/>
      <c r="I90" s="23"/>
    </row>
    <row r="91" spans="1:12" s="16" customFormat="1">
      <c r="A91" s="5"/>
      <c r="B91" s="28"/>
      <c r="C91" s="29"/>
      <c r="D91" s="29"/>
      <c r="E91" s="29"/>
      <c r="F91" s="29"/>
      <c r="G91" s="29"/>
      <c r="H91" s="2"/>
      <c r="I91" s="2"/>
      <c r="J91" s="2"/>
    </row>
    <row r="92" spans="1:12" s="16" customFormat="1">
      <c r="A92" s="5"/>
      <c r="B92" s="28"/>
      <c r="C92" s="29"/>
      <c r="D92" s="29"/>
      <c r="E92" s="29"/>
      <c r="F92" s="29"/>
      <c r="G92" s="29"/>
      <c r="H92" s="2"/>
      <c r="I92" s="2"/>
      <c r="J92" s="2"/>
      <c r="K92" s="2"/>
      <c r="L92" s="2"/>
    </row>
    <row r="93" spans="1:12" s="16" customFormat="1">
      <c r="A93" s="5"/>
      <c r="B93" s="172" t="s">
        <v>273</v>
      </c>
      <c r="C93" s="29"/>
      <c r="D93" s="29"/>
      <c r="E93" s="29"/>
      <c r="F93" s="29"/>
      <c r="G93" s="29"/>
      <c r="H93" s="2"/>
      <c r="I93" s="2"/>
      <c r="J93" s="2"/>
      <c r="L93" s="2"/>
    </row>
    <row r="94" spans="1:12" s="16" customFormat="1" ht="39.6" customHeight="1">
      <c r="A94" s="5">
        <f>+A89+1</f>
        <v>15</v>
      </c>
      <c r="B94" s="30" t="s">
        <v>274</v>
      </c>
      <c r="C94" s="31"/>
      <c r="D94" s="32" t="s">
        <v>1138</v>
      </c>
      <c r="E94" s="33" t="s">
        <v>1139</v>
      </c>
      <c r="F94" s="33" t="s">
        <v>1140</v>
      </c>
      <c r="G94" s="30"/>
      <c r="H94" s="30"/>
      <c r="I94" s="30"/>
    </row>
    <row r="95" spans="1:12" s="16" customFormat="1">
      <c r="A95" s="5">
        <v>16</v>
      </c>
      <c r="B95" s="30" t="s">
        <v>1129</v>
      </c>
      <c r="C95" s="30"/>
      <c r="D95" s="19">
        <v>-407358.76923076925</v>
      </c>
      <c r="E95" s="897">
        <f>'Act Att-H'!G48</f>
        <v>0.13228055028384053</v>
      </c>
      <c r="F95" s="34">
        <f>D95*E95</f>
        <v>-53885.642156794165</v>
      </c>
      <c r="G95" s="2"/>
      <c r="H95" s="2"/>
      <c r="I95" s="2"/>
    </row>
    <row r="96" spans="1:12" s="16" customFormat="1">
      <c r="A96" s="5">
        <v>17</v>
      </c>
      <c r="B96" s="30" t="s">
        <v>1130</v>
      </c>
      <c r="C96" s="30"/>
      <c r="D96" s="19">
        <v>-146793.38461538462</v>
      </c>
      <c r="E96" s="897">
        <f>E95</f>
        <v>0.13228055028384053</v>
      </c>
      <c r="F96" s="34">
        <f t="shared" ref="F96:F103" si="5">D96*E96</f>
        <v>-19417.909694950529</v>
      </c>
      <c r="G96" s="2"/>
      <c r="H96" s="2"/>
      <c r="I96" s="2"/>
    </row>
    <row r="97" spans="1:12" s="16" customFormat="1">
      <c r="A97" s="5">
        <v>18</v>
      </c>
      <c r="B97" s="30" t="s">
        <v>1131</v>
      </c>
      <c r="C97" s="30"/>
      <c r="D97" s="19">
        <v>-2029798.3846153845</v>
      </c>
      <c r="E97" s="897">
        <f t="shared" ref="E97:E103" si="6">E96</f>
        <v>0.13228055028384053</v>
      </c>
      <c r="F97" s="34">
        <f t="shared" si="5"/>
        <v>-268502.84728217364</v>
      </c>
      <c r="G97" s="2"/>
      <c r="H97" s="2"/>
      <c r="I97" s="2"/>
    </row>
    <row r="98" spans="1:12" s="16" customFormat="1">
      <c r="A98" s="5">
        <v>19</v>
      </c>
      <c r="B98" s="30" t="s">
        <v>1132</v>
      </c>
      <c r="C98" s="30"/>
      <c r="D98" s="19">
        <v>-2844267.4615384615</v>
      </c>
      <c r="E98" s="897">
        <f t="shared" si="6"/>
        <v>0.13228055028384053</v>
      </c>
      <c r="F98" s="34">
        <f t="shared" si="5"/>
        <v>-376241.26496672991</v>
      </c>
      <c r="G98" s="2"/>
      <c r="H98" s="2"/>
      <c r="I98" s="2"/>
    </row>
    <row r="99" spans="1:12" s="16" customFormat="1">
      <c r="A99" s="5">
        <v>20</v>
      </c>
      <c r="B99" s="30" t="s">
        <v>1133</v>
      </c>
      <c r="C99" s="30"/>
      <c r="D99" s="19">
        <v>-569341.92307692312</v>
      </c>
      <c r="E99" s="897">
        <f t="shared" si="6"/>
        <v>0.13228055028384053</v>
      </c>
      <c r="F99" s="34">
        <f t="shared" si="5"/>
        <v>-75312.862884275397</v>
      </c>
      <c r="G99" s="2"/>
      <c r="H99" s="2"/>
      <c r="I99" s="2"/>
    </row>
    <row r="100" spans="1:12" s="16" customFormat="1">
      <c r="A100" s="5">
        <v>21</v>
      </c>
      <c r="B100" s="30" t="s">
        <v>1134</v>
      </c>
      <c r="C100" s="30"/>
      <c r="D100" s="19">
        <v>-359923.07692307694</v>
      </c>
      <c r="E100" s="897">
        <f t="shared" si="6"/>
        <v>0.13228055028384053</v>
      </c>
      <c r="F100" s="34">
        <f t="shared" si="5"/>
        <v>-47610.82267523768</v>
      </c>
      <c r="G100" s="2"/>
      <c r="H100" s="2"/>
      <c r="I100" s="2"/>
    </row>
    <row r="101" spans="1:12" s="16" customFormat="1">
      <c r="A101" s="5">
        <v>22</v>
      </c>
      <c r="B101" s="30" t="s">
        <v>1135</v>
      </c>
      <c r="C101" s="30"/>
      <c r="D101" s="19">
        <v>-615.38461538461536</v>
      </c>
      <c r="E101" s="897">
        <f t="shared" si="6"/>
        <v>0.13228055028384053</v>
      </c>
      <c r="F101" s="34">
        <f t="shared" si="5"/>
        <v>-81.403415559286472</v>
      </c>
      <c r="G101" s="2"/>
      <c r="H101" s="2"/>
      <c r="I101" s="2"/>
    </row>
    <row r="102" spans="1:12" s="16" customFormat="1">
      <c r="A102" s="5">
        <v>23</v>
      </c>
      <c r="B102" s="30" t="s">
        <v>1136</v>
      </c>
      <c r="C102" s="30"/>
      <c r="D102" s="19">
        <v>-491441.84615384613</v>
      </c>
      <c r="E102" s="897">
        <f t="shared" si="6"/>
        <v>0.13228055028384053</v>
      </c>
      <c r="F102" s="34">
        <f t="shared" si="5"/>
        <v>-65008.197841737267</v>
      </c>
      <c r="G102" s="2"/>
      <c r="H102" s="2"/>
      <c r="I102" s="2"/>
    </row>
    <row r="103" spans="1:12" s="16" customFormat="1">
      <c r="A103" s="5">
        <v>24</v>
      </c>
      <c r="B103" s="30" t="s">
        <v>1137</v>
      </c>
      <c r="C103" s="30"/>
      <c r="D103" s="19"/>
      <c r="E103" s="897">
        <f t="shared" si="6"/>
        <v>0.13228055028384053</v>
      </c>
      <c r="F103" s="34">
        <f t="shared" si="5"/>
        <v>0</v>
      </c>
      <c r="G103" s="2"/>
      <c r="H103" s="2"/>
      <c r="I103" s="2"/>
    </row>
    <row r="104" spans="1:12" s="16" customFormat="1">
      <c r="A104" s="5">
        <v>25</v>
      </c>
      <c r="B104" s="428"/>
      <c r="C104" s="861" t="s">
        <v>9</v>
      </c>
      <c r="D104" s="208">
        <f>SUM(D95:D103)</f>
        <v>-6849540.230769231</v>
      </c>
      <c r="E104" s="208">
        <f>SUM(E95:E103)</f>
        <v>1.1905249525545647</v>
      </c>
      <c r="F104" s="862">
        <f>SUM(F95:F103)</f>
        <v>-906060.95091745793</v>
      </c>
      <c r="G104" s="2"/>
      <c r="H104" s="2"/>
    </row>
    <row r="105" spans="1:12">
      <c r="C105" s="3"/>
      <c r="E105" s="414" t="str">
        <f>E1</f>
        <v>Worksheet A4</v>
      </c>
      <c r="F105" s="3"/>
      <c r="H105" s="3"/>
      <c r="I105" s="3"/>
      <c r="J105" s="3"/>
    </row>
    <row r="106" spans="1:12">
      <c r="A106" s="5"/>
      <c r="C106" s="3"/>
      <c r="D106" s="3"/>
      <c r="E106" s="414" t="str">
        <f>E2</f>
        <v>Rate Base Worksheet</v>
      </c>
      <c r="F106" s="3"/>
      <c r="H106" s="3"/>
      <c r="I106" s="3"/>
      <c r="J106" s="3"/>
      <c r="L106" s="6"/>
    </row>
    <row r="107" spans="1:12" ht="15">
      <c r="A107" s="5"/>
      <c r="C107" s="3"/>
      <c r="E107" s="414" t="str">
        <f>E3</f>
        <v>Black Hills Colorado Electric, LLC</v>
      </c>
      <c r="F107" s="3"/>
      <c r="H107"/>
      <c r="I107" s="174" t="s">
        <v>710</v>
      </c>
      <c r="J107" s="3"/>
    </row>
    <row r="108" spans="1:12" ht="15">
      <c r="A108" s="5"/>
      <c r="B108" s="3"/>
      <c r="C108" s="22"/>
      <c r="D108" s="23"/>
      <c r="E108" s="23"/>
      <c r="F108" s="23"/>
      <c r="H108"/>
      <c r="I108" s="22"/>
    </row>
    <row r="109" spans="1:12" ht="15">
      <c r="A109" s="5"/>
      <c r="B109" s="24"/>
      <c r="C109" s="957" t="s">
        <v>711</v>
      </c>
      <c r="D109" s="958"/>
      <c r="E109" s="958"/>
      <c r="F109" s="958"/>
      <c r="H109"/>
      <c r="I109" s="22"/>
    </row>
    <row r="110" spans="1:12" ht="58.5" customHeight="1">
      <c r="A110" s="5" t="s">
        <v>252</v>
      </c>
      <c r="B110" s="13" t="s">
        <v>219</v>
      </c>
      <c r="C110" s="14" t="s">
        <v>713</v>
      </c>
      <c r="D110" s="14" t="s">
        <v>714</v>
      </c>
      <c r="E110" s="14" t="s">
        <v>715</v>
      </c>
      <c r="F110" s="14" t="s">
        <v>258</v>
      </c>
      <c r="H110"/>
      <c r="I110" s="563"/>
    </row>
    <row r="111" spans="1:12" s="16" customFormat="1" ht="15">
      <c r="A111" s="5"/>
      <c r="B111" s="13" t="s">
        <v>138</v>
      </c>
      <c r="C111" s="14" t="s">
        <v>139</v>
      </c>
      <c r="D111" s="14" t="s">
        <v>140</v>
      </c>
      <c r="E111" s="14" t="s">
        <v>141</v>
      </c>
      <c r="F111" s="14" t="s">
        <v>142</v>
      </c>
      <c r="G111" s="2"/>
      <c r="H111"/>
      <c r="I111" s="317"/>
    </row>
    <row r="112" spans="1:12" s="16" customFormat="1" ht="30.75" customHeight="1">
      <c r="A112" s="5"/>
      <c r="B112" s="17" t="s">
        <v>259</v>
      </c>
      <c r="C112" s="13" t="s">
        <v>716</v>
      </c>
      <c r="D112" s="13" t="s">
        <v>717</v>
      </c>
      <c r="E112" s="13" t="s">
        <v>718</v>
      </c>
      <c r="F112" s="13" t="s">
        <v>719</v>
      </c>
      <c r="G112" s="2"/>
      <c r="H112"/>
      <c r="I112" s="10"/>
    </row>
    <row r="113" spans="1:9" ht="15" customHeight="1">
      <c r="A113" s="5">
        <v>1</v>
      </c>
      <c r="B113" s="18" t="s">
        <v>260</v>
      </c>
      <c r="C113" s="19">
        <v>10628.801782743581</v>
      </c>
      <c r="D113" s="19">
        <v>1307851</v>
      </c>
      <c r="E113" s="19">
        <v>5292099.2080589896</v>
      </c>
      <c r="F113" s="560">
        <f>SUM(C113:E113)</f>
        <v>6610579.0098417327</v>
      </c>
      <c r="G113" s="960"/>
      <c r="H113" s="960"/>
      <c r="I113" s="960"/>
    </row>
    <row r="114" spans="1:9" ht="15">
      <c r="A114" s="5">
        <v>2</v>
      </c>
      <c r="B114" s="18" t="s">
        <v>146</v>
      </c>
      <c r="C114" s="19">
        <v>10441.756548266714</v>
      </c>
      <c r="D114" s="19">
        <v>1229755</v>
      </c>
      <c r="E114" s="19">
        <v>5198969.0549637154</v>
      </c>
      <c r="F114" s="560">
        <f t="shared" ref="F114:F125" si="7">SUM(C114:E114)</f>
        <v>6439165.8115119822</v>
      </c>
      <c r="G114" s="14"/>
      <c r="H114"/>
      <c r="I114" s="10"/>
    </row>
    <row r="115" spans="1:9" ht="15">
      <c r="A115" s="5">
        <v>3</v>
      </c>
      <c r="B115" s="3" t="s">
        <v>147</v>
      </c>
      <c r="C115" s="19">
        <v>10548.199830493233</v>
      </c>
      <c r="D115" s="19">
        <v>1224526</v>
      </c>
      <c r="E115" s="19">
        <v>5251967.3534632437</v>
      </c>
      <c r="F115" s="560">
        <f t="shared" si="7"/>
        <v>6487041.5532937367</v>
      </c>
      <c r="G115" s="14"/>
      <c r="H115"/>
      <c r="I115" s="10"/>
    </row>
    <row r="116" spans="1:9" ht="15">
      <c r="A116" s="5">
        <v>4</v>
      </c>
      <c r="B116" s="3" t="s">
        <v>261</v>
      </c>
      <c r="C116" s="19">
        <v>10545.309868710938</v>
      </c>
      <c r="D116" s="19">
        <v>1144799</v>
      </c>
      <c r="E116" s="19">
        <v>5250528.4363800185</v>
      </c>
      <c r="F116" s="560">
        <f t="shared" si="7"/>
        <v>6405872.7462487295</v>
      </c>
      <c r="G116" s="14"/>
      <c r="H116"/>
      <c r="I116" s="10"/>
    </row>
    <row r="117" spans="1:9" ht="15">
      <c r="A117" s="5">
        <v>5</v>
      </c>
      <c r="B117" s="3" t="s">
        <v>148</v>
      </c>
      <c r="C117" s="19">
        <v>10910.19924149094</v>
      </c>
      <c r="D117" s="19">
        <v>1243335</v>
      </c>
      <c r="E117" s="19">
        <v>5432207.5005105883</v>
      </c>
      <c r="F117" s="560">
        <f t="shared" si="7"/>
        <v>6686452.6997520793</v>
      </c>
      <c r="G117" s="14"/>
      <c r="H117"/>
      <c r="I117" s="10"/>
    </row>
    <row r="118" spans="1:9" ht="15">
      <c r="A118" s="5">
        <v>6</v>
      </c>
      <c r="B118" s="3" t="s">
        <v>149</v>
      </c>
      <c r="C118" s="19">
        <v>11036.212068252325</v>
      </c>
      <c r="D118" s="19">
        <v>1358551</v>
      </c>
      <c r="E118" s="19">
        <v>5494949.5098490175</v>
      </c>
      <c r="F118" s="560">
        <f t="shared" si="7"/>
        <v>6864536.7219172698</v>
      </c>
      <c r="G118" s="14"/>
      <c r="H118"/>
      <c r="I118" s="10"/>
    </row>
    <row r="119" spans="1:9" ht="15">
      <c r="A119" s="5">
        <v>7</v>
      </c>
      <c r="B119" s="3" t="s">
        <v>150</v>
      </c>
      <c r="C119" s="19">
        <v>11331.59589272065</v>
      </c>
      <c r="D119" s="19">
        <v>1254534</v>
      </c>
      <c r="E119" s="19">
        <v>5642021.6385324402</v>
      </c>
      <c r="F119" s="560">
        <f t="shared" si="7"/>
        <v>6907887.234425161</v>
      </c>
      <c r="G119" s="14"/>
      <c r="H119"/>
      <c r="I119" s="10"/>
    </row>
    <row r="120" spans="1:9" ht="15">
      <c r="A120" s="5">
        <v>8</v>
      </c>
      <c r="B120" s="3" t="s">
        <v>151</v>
      </c>
      <c r="C120" s="19">
        <v>11444.747077919157</v>
      </c>
      <c r="D120" s="19">
        <v>1189115</v>
      </c>
      <c r="E120" s="19">
        <v>5698359.8137867898</v>
      </c>
      <c r="F120" s="560">
        <f t="shared" si="7"/>
        <v>6898919.5608647093</v>
      </c>
      <c r="G120" s="14"/>
      <c r="H120"/>
      <c r="I120" s="10"/>
    </row>
    <row r="121" spans="1:9" ht="15">
      <c r="A121" s="5">
        <v>9</v>
      </c>
      <c r="B121" s="3" t="s">
        <v>262</v>
      </c>
      <c r="C121" s="19">
        <v>11542.193659907378</v>
      </c>
      <c r="D121" s="19">
        <v>1196426</v>
      </c>
      <c r="E121" s="19">
        <v>5746878.6393241305</v>
      </c>
      <c r="F121" s="560">
        <f t="shared" si="7"/>
        <v>6954846.8329840377</v>
      </c>
      <c r="G121" s="14"/>
      <c r="H121"/>
      <c r="I121" s="10"/>
    </row>
    <row r="122" spans="1:9" ht="15">
      <c r="A122" s="5">
        <v>10</v>
      </c>
      <c r="B122" s="3" t="s">
        <v>152</v>
      </c>
      <c r="C122" s="19">
        <v>12118.093963850546</v>
      </c>
      <c r="D122" s="19">
        <v>1205825</v>
      </c>
      <c r="E122" s="19">
        <v>6033620.4193210732</v>
      </c>
      <c r="F122" s="560">
        <f t="shared" si="7"/>
        <v>7251563.5132849235</v>
      </c>
      <c r="G122" s="14"/>
      <c r="H122"/>
      <c r="I122" s="10"/>
    </row>
    <row r="123" spans="1:9" ht="15">
      <c r="A123" s="5">
        <v>11</v>
      </c>
      <c r="B123" s="3" t="s">
        <v>153</v>
      </c>
      <c r="C123" s="19">
        <v>11996.443405422417</v>
      </c>
      <c r="D123" s="19">
        <v>1273508</v>
      </c>
      <c r="E123" s="19">
        <v>5973050.391101839</v>
      </c>
      <c r="F123" s="560">
        <f t="shared" si="7"/>
        <v>7258554.8345072614</v>
      </c>
      <c r="G123" s="14"/>
      <c r="H123"/>
      <c r="I123" s="10"/>
    </row>
    <row r="124" spans="1:9" ht="15">
      <c r="A124" s="5">
        <v>12</v>
      </c>
      <c r="B124" s="3" t="s">
        <v>154</v>
      </c>
      <c r="C124" s="19">
        <v>12125.514520030574</v>
      </c>
      <c r="D124" s="19">
        <v>1278478</v>
      </c>
      <c r="E124" s="661">
        <v>6037315.1273687333</v>
      </c>
      <c r="F124" s="560">
        <f t="shared" si="7"/>
        <v>7327918.6418887638</v>
      </c>
      <c r="G124" s="14"/>
      <c r="H124"/>
      <c r="I124" s="10"/>
    </row>
    <row r="125" spans="1:9" ht="15">
      <c r="A125" s="5">
        <v>13</v>
      </c>
      <c r="B125" s="3" t="s">
        <v>263</v>
      </c>
      <c r="C125" s="19">
        <v>12155.001093026392</v>
      </c>
      <c r="D125" s="19">
        <v>980699</v>
      </c>
      <c r="E125" s="19">
        <v>6051996.5442197742</v>
      </c>
      <c r="F125" s="560">
        <f t="shared" si="7"/>
        <v>7044850.5453128004</v>
      </c>
      <c r="G125" s="14"/>
      <c r="H125"/>
      <c r="I125" s="10"/>
    </row>
    <row r="126" spans="1:9" ht="15">
      <c r="A126" s="5">
        <v>14</v>
      </c>
      <c r="B126" s="17" t="s">
        <v>272</v>
      </c>
      <c r="C126" s="559">
        <f>SUM(C113:C125)/13</f>
        <v>11294.159150218067</v>
      </c>
      <c r="D126" s="559">
        <f t="shared" ref="D126:E126" si="8">SUM(D113:D125)/13</f>
        <v>1222107.8461538462</v>
      </c>
      <c r="E126" s="559">
        <f t="shared" si="8"/>
        <v>5623381.8182215653</v>
      </c>
      <c r="F126" s="559">
        <f>SUM(F113:F125)/13</f>
        <v>6856783.8235256309</v>
      </c>
      <c r="G126" s="14"/>
      <c r="H126"/>
      <c r="I126"/>
    </row>
    <row r="127" spans="1:9" ht="15">
      <c r="A127" s="5">
        <v>15</v>
      </c>
      <c r="B127" s="17" t="s">
        <v>10</v>
      </c>
      <c r="C127" s="557" t="s">
        <v>11</v>
      </c>
      <c r="D127" s="557" t="s">
        <v>31</v>
      </c>
      <c r="E127" s="557" t="s">
        <v>27</v>
      </c>
      <c r="F127" s="556"/>
      <c r="G127" s="14"/>
      <c r="H127"/>
      <c r="I127" s="10"/>
    </row>
    <row r="128" spans="1:9" ht="15">
      <c r="A128" s="5">
        <v>16</v>
      </c>
      <c r="B128" s="17" t="s">
        <v>908</v>
      </c>
      <c r="C128" s="558">
        <f>'Act Att-H'!I175</f>
        <v>0.92887970882503001</v>
      </c>
      <c r="D128" s="558">
        <f>'Act Att-H'!I192</f>
        <v>0.13228055028384053</v>
      </c>
      <c r="E128" s="558">
        <v>0</v>
      </c>
      <c r="F128" s="556"/>
      <c r="G128" s="14"/>
      <c r="H128"/>
      <c r="I128" s="10"/>
    </row>
    <row r="129" spans="1:14" ht="15.6" thickBot="1">
      <c r="A129" s="5">
        <v>17</v>
      </c>
      <c r="B129" s="17" t="s">
        <v>712</v>
      </c>
      <c r="C129" s="21">
        <f>C128*C126</f>
        <v>10490.915262878107</v>
      </c>
      <c r="D129" s="21">
        <f t="shared" ref="D129:E129" si="9">D128*D126</f>
        <v>161661.0983954299</v>
      </c>
      <c r="E129" s="21">
        <f t="shared" si="9"/>
        <v>0</v>
      </c>
      <c r="F129" s="21">
        <f>C129+D129+E129</f>
        <v>172152.01365830802</v>
      </c>
      <c r="G129" s="14"/>
      <c r="H129"/>
      <c r="I129" s="10"/>
    </row>
    <row r="130" spans="1:14" s="16" customFormat="1" ht="15.6" thickTop="1">
      <c r="A130" s="5">
        <v>18</v>
      </c>
      <c r="B130" s="28"/>
      <c r="C130" s="29"/>
      <c r="D130" s="29"/>
      <c r="E130" s="29"/>
      <c r="F130" s="29"/>
      <c r="G130" s="37"/>
      <c r="H130"/>
      <c r="I130" s="2"/>
      <c r="J130" s="2"/>
      <c r="K130" s="2"/>
    </row>
    <row r="131" spans="1:14" s="16" customFormat="1" ht="15">
      <c r="A131" s="5"/>
      <c r="B131" s="28"/>
      <c r="C131" s="29"/>
      <c r="D131" s="29"/>
      <c r="E131" s="29"/>
      <c r="F131" s="29"/>
      <c r="H131"/>
      <c r="I131" s="2"/>
      <c r="J131" s="2"/>
      <c r="K131" s="2"/>
    </row>
    <row r="132" spans="1:14">
      <c r="A132" s="173" t="s">
        <v>172</v>
      </c>
    </row>
    <row r="133" spans="1:14" ht="15" customHeight="1">
      <c r="A133" s="40" t="s">
        <v>76</v>
      </c>
      <c r="B133" s="912" t="s">
        <v>1122</v>
      </c>
      <c r="C133" s="912"/>
      <c r="D133" s="912"/>
      <c r="E133" s="912"/>
      <c r="F133" s="912"/>
      <c r="G133" s="912"/>
      <c r="H133" s="912"/>
      <c r="I133" s="912"/>
      <c r="J133" s="280"/>
      <c r="K133" s="280"/>
    </row>
    <row r="134" spans="1:14" ht="30" customHeight="1">
      <c r="A134" s="40" t="s">
        <v>77</v>
      </c>
      <c r="B134" s="912" t="s">
        <v>1117</v>
      </c>
      <c r="C134" s="912"/>
      <c r="D134" s="912"/>
      <c r="E134" s="912"/>
      <c r="F134" s="912"/>
      <c r="G134" s="912"/>
      <c r="H134" s="912"/>
      <c r="I134" s="912"/>
      <c r="J134" s="280"/>
      <c r="K134" s="280"/>
      <c r="L134" s="6"/>
    </row>
    <row r="135" spans="1:14" ht="58.5" customHeight="1">
      <c r="A135" s="40" t="s">
        <v>78</v>
      </c>
      <c r="B135" s="912" t="s">
        <v>974</v>
      </c>
      <c r="C135" s="912"/>
      <c r="D135" s="912"/>
      <c r="E135" s="912"/>
      <c r="F135" s="912"/>
      <c r="G135" s="912"/>
      <c r="H135" s="912"/>
      <c r="I135" s="912"/>
      <c r="J135" s="38"/>
      <c r="K135" s="38"/>
    </row>
    <row r="136" spans="1:14">
      <c r="A136" s="40" t="s">
        <v>79</v>
      </c>
      <c r="B136" s="912" t="s">
        <v>795</v>
      </c>
      <c r="C136" s="912"/>
      <c r="D136" s="912"/>
      <c r="E136" s="912"/>
      <c r="F136" s="912"/>
      <c r="G136" s="912"/>
      <c r="H136" s="912"/>
      <c r="I136" s="912"/>
    </row>
    <row r="137" spans="1:14" ht="18.75" customHeight="1">
      <c r="A137" s="40" t="s">
        <v>80</v>
      </c>
      <c r="B137" s="953" t="s">
        <v>1122</v>
      </c>
      <c r="C137" s="953"/>
      <c r="D137" s="953"/>
      <c r="E137" s="953"/>
      <c r="F137" s="953"/>
      <c r="G137" s="953"/>
      <c r="H137" s="953"/>
      <c r="I137" s="953"/>
      <c r="J137" s="281"/>
      <c r="K137" s="281"/>
      <c r="L137" s="281"/>
      <c r="M137" s="281"/>
      <c r="N137" s="281"/>
    </row>
    <row r="138" spans="1:14" ht="51.6" customHeight="1">
      <c r="A138" s="40" t="s">
        <v>81</v>
      </c>
      <c r="B138" s="912" t="s">
        <v>1234</v>
      </c>
      <c r="C138" s="912"/>
      <c r="D138" s="912"/>
      <c r="E138" s="912"/>
      <c r="F138" s="912"/>
      <c r="G138" s="912"/>
      <c r="H138" s="912"/>
      <c r="I138" s="912"/>
      <c r="J138" s="281"/>
      <c r="K138" s="281"/>
    </row>
    <row r="139" spans="1:14" ht="33.6" customHeight="1">
      <c r="A139" s="40" t="s">
        <v>82</v>
      </c>
      <c r="B139" s="953" t="s">
        <v>1239</v>
      </c>
      <c r="C139" s="953"/>
      <c r="D139" s="953"/>
      <c r="E139" s="953"/>
      <c r="F139" s="953"/>
      <c r="G139" s="953"/>
      <c r="H139" s="953"/>
      <c r="I139" s="953"/>
      <c r="J139" s="281"/>
      <c r="K139" s="281"/>
      <c r="L139" s="281"/>
      <c r="M139" s="281"/>
      <c r="N139" s="281"/>
    </row>
    <row r="140" spans="1:14" ht="27" customHeight="1">
      <c r="A140" s="40" t="s">
        <v>343</v>
      </c>
      <c r="B140" s="912" t="s">
        <v>989</v>
      </c>
      <c r="C140" s="912"/>
      <c r="D140" s="912"/>
      <c r="E140" s="912"/>
      <c r="F140" s="912"/>
      <c r="G140" s="912"/>
      <c r="H140" s="912"/>
      <c r="I140" s="912"/>
      <c r="J140" s="41"/>
      <c r="K140" s="41"/>
    </row>
    <row r="141" spans="1:14" ht="13.35" customHeight="1">
      <c r="A141" s="40" t="s">
        <v>83</v>
      </c>
      <c r="B141" s="953" t="s">
        <v>1146</v>
      </c>
      <c r="C141" s="953"/>
      <c r="D141" s="953"/>
      <c r="E141" s="953"/>
      <c r="F141" s="953"/>
      <c r="G141" s="953"/>
      <c r="H141" s="953"/>
      <c r="I141" s="953"/>
    </row>
    <row r="142" spans="1:14">
      <c r="A142" s="829" t="s">
        <v>84</v>
      </c>
      <c r="B142" s="830" t="s">
        <v>1003</v>
      </c>
    </row>
    <row r="143" spans="1:14">
      <c r="A143" s="829" t="s">
        <v>85</v>
      </c>
      <c r="B143" s="830" t="s">
        <v>1037</v>
      </c>
    </row>
  </sheetData>
  <mergeCells count="14">
    <mergeCell ref="B141:I141"/>
    <mergeCell ref="C5:G5"/>
    <mergeCell ref="E28:I28"/>
    <mergeCell ref="C72:I72"/>
    <mergeCell ref="B133:I133"/>
    <mergeCell ref="B134:I134"/>
    <mergeCell ref="B138:I138"/>
    <mergeCell ref="B135:I135"/>
    <mergeCell ref="B136:I136"/>
    <mergeCell ref="B137:I137"/>
    <mergeCell ref="C109:F109"/>
    <mergeCell ref="B140:I140"/>
    <mergeCell ref="B139:I139"/>
    <mergeCell ref="G113:I113"/>
  </mergeCells>
  <pageMargins left="0.5" right="0.25" top="1" bottom="1" header="0.5" footer="0.5"/>
  <pageSetup scale="58" fitToHeight="4" orientation="portrait" r:id="rId1"/>
  <headerFooter alignWithMargins="0">
    <oddHeader xml:space="preserve">&amp;C&amp;"Times New Roman,Regular"&amp;KFF0000CUI//PRIV&amp;K000000
FOR SETTLEMENT PURPOSES ONLY 
SUBJECT TO RULES 602 AND 606
</oddHeader>
  </headerFooter>
  <rowBreaks count="2" manualBreakCount="2">
    <brk id="67" max="16383" man="1"/>
    <brk id="104" max="16383" man="1"/>
  </rowBreaks>
  <ignoredErrors>
    <ignoredError sqref="I46" formulaRange="1"/>
    <ignoredError sqref="E68 E105:E107"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59999389629810485"/>
  </sheetPr>
  <dimension ref="A1:H74"/>
  <sheetViews>
    <sheetView zoomScale="80" zoomScaleNormal="80" workbookViewId="0">
      <selection activeCell="C43" sqref="C43"/>
    </sheetView>
  </sheetViews>
  <sheetFormatPr defaultColWidth="7.08984375" defaultRowHeight="13.2"/>
  <cols>
    <col min="1" max="1" width="2.08984375" style="190" customWidth="1"/>
    <col min="2" max="2" width="3.54296875" style="190" customWidth="1"/>
    <col min="3" max="4" width="1.6328125" style="190" customWidth="1"/>
    <col min="5" max="5" width="6.453125" style="190" customWidth="1"/>
    <col min="6" max="6" width="52.54296875" style="190" customWidth="1"/>
    <col min="7" max="7" width="1.6328125" style="190" customWidth="1"/>
    <col min="8" max="8" width="8.08984375" style="282" customWidth="1"/>
    <col min="9" max="9" width="8.08984375" style="190" customWidth="1"/>
    <col min="10" max="256" width="7.08984375" style="190"/>
    <col min="257" max="257" width="10.08984375" style="190" customWidth="1"/>
    <col min="258" max="258" width="3.54296875" style="190" customWidth="1"/>
    <col min="259" max="260" width="1.6328125" style="190" customWidth="1"/>
    <col min="261" max="261" width="4" style="190" customWidth="1"/>
    <col min="262" max="262" width="24.08984375" style="190" customWidth="1"/>
    <col min="263" max="263" width="1.6328125" style="190" customWidth="1"/>
    <col min="264" max="265" width="8.08984375" style="190" customWidth="1"/>
    <col min="266" max="512" width="7.08984375" style="190"/>
    <col min="513" max="513" width="10.08984375" style="190" customWidth="1"/>
    <col min="514" max="514" width="3.54296875" style="190" customWidth="1"/>
    <col min="515" max="516" width="1.6328125" style="190" customWidth="1"/>
    <col min="517" max="517" width="4" style="190" customWidth="1"/>
    <col min="518" max="518" width="24.08984375" style="190" customWidth="1"/>
    <col min="519" max="519" width="1.6328125" style="190" customWidth="1"/>
    <col min="520" max="521" width="8.08984375" style="190" customWidth="1"/>
    <col min="522" max="768" width="7.08984375" style="190"/>
    <col min="769" max="769" width="10.08984375" style="190" customWidth="1"/>
    <col min="770" max="770" width="3.54296875" style="190" customWidth="1"/>
    <col min="771" max="772" width="1.6328125" style="190" customWidth="1"/>
    <col min="773" max="773" width="4" style="190" customWidth="1"/>
    <col min="774" max="774" width="24.08984375" style="190" customWidth="1"/>
    <col min="775" max="775" width="1.6328125" style="190" customWidth="1"/>
    <col min="776" max="777" width="8.08984375" style="190" customWidth="1"/>
    <col min="778" max="1024" width="7.08984375" style="190"/>
    <col min="1025" max="1025" width="10.08984375" style="190" customWidth="1"/>
    <col min="1026" max="1026" width="3.54296875" style="190" customWidth="1"/>
    <col min="1027" max="1028" width="1.6328125" style="190" customWidth="1"/>
    <col min="1029" max="1029" width="4" style="190" customWidth="1"/>
    <col min="1030" max="1030" width="24.08984375" style="190" customWidth="1"/>
    <col min="1031" max="1031" width="1.6328125" style="190" customWidth="1"/>
    <col min="1032" max="1033" width="8.08984375" style="190" customWidth="1"/>
    <col min="1034" max="1280" width="7.08984375" style="190"/>
    <col min="1281" max="1281" width="10.08984375" style="190" customWidth="1"/>
    <col min="1282" max="1282" width="3.54296875" style="190" customWidth="1"/>
    <col min="1283" max="1284" width="1.6328125" style="190" customWidth="1"/>
    <col min="1285" max="1285" width="4" style="190" customWidth="1"/>
    <col min="1286" max="1286" width="24.08984375" style="190" customWidth="1"/>
    <col min="1287" max="1287" width="1.6328125" style="190" customWidth="1"/>
    <col min="1288" max="1289" width="8.08984375" style="190" customWidth="1"/>
    <col min="1290" max="1536" width="7.08984375" style="190"/>
    <col min="1537" max="1537" width="10.08984375" style="190" customWidth="1"/>
    <col min="1538" max="1538" width="3.54296875" style="190" customWidth="1"/>
    <col min="1539" max="1540" width="1.6328125" style="190" customWidth="1"/>
    <col min="1541" max="1541" width="4" style="190" customWidth="1"/>
    <col min="1542" max="1542" width="24.08984375" style="190" customWidth="1"/>
    <col min="1543" max="1543" width="1.6328125" style="190" customWidth="1"/>
    <col min="1544" max="1545" width="8.08984375" style="190" customWidth="1"/>
    <col min="1546" max="1792" width="7.08984375" style="190"/>
    <col min="1793" max="1793" width="10.08984375" style="190" customWidth="1"/>
    <col min="1794" max="1794" width="3.54296875" style="190" customWidth="1"/>
    <col min="1795" max="1796" width="1.6328125" style="190" customWidth="1"/>
    <col min="1797" max="1797" width="4" style="190" customWidth="1"/>
    <col min="1798" max="1798" width="24.08984375" style="190" customWidth="1"/>
    <col min="1799" max="1799" width="1.6328125" style="190" customWidth="1"/>
    <col min="1800" max="1801" width="8.08984375" style="190" customWidth="1"/>
    <col min="1802" max="2048" width="7.08984375" style="190"/>
    <col min="2049" max="2049" width="10.08984375" style="190" customWidth="1"/>
    <col min="2050" max="2050" width="3.54296875" style="190" customWidth="1"/>
    <col min="2051" max="2052" width="1.6328125" style="190" customWidth="1"/>
    <col min="2053" max="2053" width="4" style="190" customWidth="1"/>
    <col min="2054" max="2054" width="24.08984375" style="190" customWidth="1"/>
    <col min="2055" max="2055" width="1.6328125" style="190" customWidth="1"/>
    <col min="2056" max="2057" width="8.08984375" style="190" customWidth="1"/>
    <col min="2058" max="2304" width="7.08984375" style="190"/>
    <col min="2305" max="2305" width="10.08984375" style="190" customWidth="1"/>
    <col min="2306" max="2306" width="3.54296875" style="190" customWidth="1"/>
    <col min="2307" max="2308" width="1.6328125" style="190" customWidth="1"/>
    <col min="2309" max="2309" width="4" style="190" customWidth="1"/>
    <col min="2310" max="2310" width="24.08984375" style="190" customWidth="1"/>
    <col min="2311" max="2311" width="1.6328125" style="190" customWidth="1"/>
    <col min="2312" max="2313" width="8.08984375" style="190" customWidth="1"/>
    <col min="2314" max="2560" width="7.08984375" style="190"/>
    <col min="2561" max="2561" width="10.08984375" style="190" customWidth="1"/>
    <col min="2562" max="2562" width="3.54296875" style="190" customWidth="1"/>
    <col min="2563" max="2564" width="1.6328125" style="190" customWidth="1"/>
    <col min="2565" max="2565" width="4" style="190" customWidth="1"/>
    <col min="2566" max="2566" width="24.08984375" style="190" customWidth="1"/>
    <col min="2567" max="2567" width="1.6328125" style="190" customWidth="1"/>
    <col min="2568" max="2569" width="8.08984375" style="190" customWidth="1"/>
    <col min="2570" max="2816" width="7.08984375" style="190"/>
    <col min="2817" max="2817" width="10.08984375" style="190" customWidth="1"/>
    <col min="2818" max="2818" width="3.54296875" style="190" customWidth="1"/>
    <col min="2819" max="2820" width="1.6328125" style="190" customWidth="1"/>
    <col min="2821" max="2821" width="4" style="190" customWidth="1"/>
    <col min="2822" max="2822" width="24.08984375" style="190" customWidth="1"/>
    <col min="2823" max="2823" width="1.6328125" style="190" customWidth="1"/>
    <col min="2824" max="2825" width="8.08984375" style="190" customWidth="1"/>
    <col min="2826" max="3072" width="7.08984375" style="190"/>
    <col min="3073" max="3073" width="10.08984375" style="190" customWidth="1"/>
    <col min="3074" max="3074" width="3.54296875" style="190" customWidth="1"/>
    <col min="3075" max="3076" width="1.6328125" style="190" customWidth="1"/>
    <col min="3077" max="3077" width="4" style="190" customWidth="1"/>
    <col min="3078" max="3078" width="24.08984375" style="190" customWidth="1"/>
    <col min="3079" max="3079" width="1.6328125" style="190" customWidth="1"/>
    <col min="3080" max="3081" width="8.08984375" style="190" customWidth="1"/>
    <col min="3082" max="3328" width="7.08984375" style="190"/>
    <col min="3329" max="3329" width="10.08984375" style="190" customWidth="1"/>
    <col min="3330" max="3330" width="3.54296875" style="190" customWidth="1"/>
    <col min="3331" max="3332" width="1.6328125" style="190" customWidth="1"/>
    <col min="3333" max="3333" width="4" style="190" customWidth="1"/>
    <col min="3334" max="3334" width="24.08984375" style="190" customWidth="1"/>
    <col min="3335" max="3335" width="1.6328125" style="190" customWidth="1"/>
    <col min="3336" max="3337" width="8.08984375" style="190" customWidth="1"/>
    <col min="3338" max="3584" width="7.08984375" style="190"/>
    <col min="3585" max="3585" width="10.08984375" style="190" customWidth="1"/>
    <col min="3586" max="3586" width="3.54296875" style="190" customWidth="1"/>
    <col min="3587" max="3588" width="1.6328125" style="190" customWidth="1"/>
    <col min="3589" max="3589" width="4" style="190" customWidth="1"/>
    <col min="3590" max="3590" width="24.08984375" style="190" customWidth="1"/>
    <col min="3591" max="3591" width="1.6328125" style="190" customWidth="1"/>
    <col min="3592" max="3593" width="8.08984375" style="190" customWidth="1"/>
    <col min="3594" max="3840" width="7.08984375" style="190"/>
    <col min="3841" max="3841" width="10.08984375" style="190" customWidth="1"/>
    <col min="3842" max="3842" width="3.54296875" style="190" customWidth="1"/>
    <col min="3843" max="3844" width="1.6328125" style="190" customWidth="1"/>
    <col min="3845" max="3845" width="4" style="190" customWidth="1"/>
    <col min="3846" max="3846" width="24.08984375" style="190" customWidth="1"/>
    <col min="3847" max="3847" width="1.6328125" style="190" customWidth="1"/>
    <col min="3848" max="3849" width="8.08984375" style="190" customWidth="1"/>
    <col min="3850" max="4096" width="7.08984375" style="190"/>
    <col min="4097" max="4097" width="10.08984375" style="190" customWidth="1"/>
    <col min="4098" max="4098" width="3.54296875" style="190" customWidth="1"/>
    <col min="4099" max="4100" width="1.6328125" style="190" customWidth="1"/>
    <col min="4101" max="4101" width="4" style="190" customWidth="1"/>
    <col min="4102" max="4102" width="24.08984375" style="190" customWidth="1"/>
    <col min="4103" max="4103" width="1.6328125" style="190" customWidth="1"/>
    <col min="4104" max="4105" width="8.08984375" style="190" customWidth="1"/>
    <col min="4106" max="4352" width="7.08984375" style="190"/>
    <col min="4353" max="4353" width="10.08984375" style="190" customWidth="1"/>
    <col min="4354" max="4354" width="3.54296875" style="190" customWidth="1"/>
    <col min="4355" max="4356" width="1.6328125" style="190" customWidth="1"/>
    <col min="4357" max="4357" width="4" style="190" customWidth="1"/>
    <col min="4358" max="4358" width="24.08984375" style="190" customWidth="1"/>
    <col min="4359" max="4359" width="1.6328125" style="190" customWidth="1"/>
    <col min="4360" max="4361" width="8.08984375" style="190" customWidth="1"/>
    <col min="4362" max="4608" width="7.08984375" style="190"/>
    <col min="4609" max="4609" width="10.08984375" style="190" customWidth="1"/>
    <col min="4610" max="4610" width="3.54296875" style="190" customWidth="1"/>
    <col min="4611" max="4612" width="1.6328125" style="190" customWidth="1"/>
    <col min="4613" max="4613" width="4" style="190" customWidth="1"/>
    <col min="4614" max="4614" width="24.08984375" style="190" customWidth="1"/>
    <col min="4615" max="4615" width="1.6328125" style="190" customWidth="1"/>
    <col min="4616" max="4617" width="8.08984375" style="190" customWidth="1"/>
    <col min="4618" max="4864" width="7.08984375" style="190"/>
    <col min="4865" max="4865" width="10.08984375" style="190" customWidth="1"/>
    <col min="4866" max="4866" width="3.54296875" style="190" customWidth="1"/>
    <col min="4867" max="4868" width="1.6328125" style="190" customWidth="1"/>
    <col min="4869" max="4869" width="4" style="190" customWidth="1"/>
    <col min="4870" max="4870" width="24.08984375" style="190" customWidth="1"/>
    <col min="4871" max="4871" width="1.6328125" style="190" customWidth="1"/>
    <col min="4872" max="4873" width="8.08984375" style="190" customWidth="1"/>
    <col min="4874" max="5120" width="7.08984375" style="190"/>
    <col min="5121" max="5121" width="10.08984375" style="190" customWidth="1"/>
    <col min="5122" max="5122" width="3.54296875" style="190" customWidth="1"/>
    <col min="5123" max="5124" width="1.6328125" style="190" customWidth="1"/>
    <col min="5125" max="5125" width="4" style="190" customWidth="1"/>
    <col min="5126" max="5126" width="24.08984375" style="190" customWidth="1"/>
    <col min="5127" max="5127" width="1.6328125" style="190" customWidth="1"/>
    <col min="5128" max="5129" width="8.08984375" style="190" customWidth="1"/>
    <col min="5130" max="5376" width="7.08984375" style="190"/>
    <col min="5377" max="5377" width="10.08984375" style="190" customWidth="1"/>
    <col min="5378" max="5378" width="3.54296875" style="190" customWidth="1"/>
    <col min="5379" max="5380" width="1.6328125" style="190" customWidth="1"/>
    <col min="5381" max="5381" width="4" style="190" customWidth="1"/>
    <col min="5382" max="5382" width="24.08984375" style="190" customWidth="1"/>
    <col min="5383" max="5383" width="1.6328125" style="190" customWidth="1"/>
    <col min="5384" max="5385" width="8.08984375" style="190" customWidth="1"/>
    <col min="5386" max="5632" width="7.08984375" style="190"/>
    <col min="5633" max="5633" width="10.08984375" style="190" customWidth="1"/>
    <col min="5634" max="5634" width="3.54296875" style="190" customWidth="1"/>
    <col min="5635" max="5636" width="1.6328125" style="190" customWidth="1"/>
    <col min="5637" max="5637" width="4" style="190" customWidth="1"/>
    <col min="5638" max="5638" width="24.08984375" style="190" customWidth="1"/>
    <col min="5639" max="5639" width="1.6328125" style="190" customWidth="1"/>
    <col min="5640" max="5641" width="8.08984375" style="190" customWidth="1"/>
    <col min="5642" max="5888" width="7.08984375" style="190"/>
    <col min="5889" max="5889" width="10.08984375" style="190" customWidth="1"/>
    <col min="5890" max="5890" width="3.54296875" style="190" customWidth="1"/>
    <col min="5891" max="5892" width="1.6328125" style="190" customWidth="1"/>
    <col min="5893" max="5893" width="4" style="190" customWidth="1"/>
    <col min="5894" max="5894" width="24.08984375" style="190" customWidth="1"/>
    <col min="5895" max="5895" width="1.6328125" style="190" customWidth="1"/>
    <col min="5896" max="5897" width="8.08984375" style="190" customWidth="1"/>
    <col min="5898" max="6144" width="7.08984375" style="190"/>
    <col min="6145" max="6145" width="10.08984375" style="190" customWidth="1"/>
    <col min="6146" max="6146" width="3.54296875" style="190" customWidth="1"/>
    <col min="6147" max="6148" width="1.6328125" style="190" customWidth="1"/>
    <col min="6149" max="6149" width="4" style="190" customWidth="1"/>
    <col min="6150" max="6150" width="24.08984375" style="190" customWidth="1"/>
    <col min="6151" max="6151" width="1.6328125" style="190" customWidth="1"/>
    <col min="6152" max="6153" width="8.08984375" style="190" customWidth="1"/>
    <col min="6154" max="6400" width="7.08984375" style="190"/>
    <col min="6401" max="6401" width="10.08984375" style="190" customWidth="1"/>
    <col min="6402" max="6402" width="3.54296875" style="190" customWidth="1"/>
    <col min="6403" max="6404" width="1.6328125" style="190" customWidth="1"/>
    <col min="6405" max="6405" width="4" style="190" customWidth="1"/>
    <col min="6406" max="6406" width="24.08984375" style="190" customWidth="1"/>
    <col min="6407" max="6407" width="1.6328125" style="190" customWidth="1"/>
    <col min="6408" max="6409" width="8.08984375" style="190" customWidth="1"/>
    <col min="6410" max="6656" width="7.08984375" style="190"/>
    <col min="6657" max="6657" width="10.08984375" style="190" customWidth="1"/>
    <col min="6658" max="6658" width="3.54296875" style="190" customWidth="1"/>
    <col min="6659" max="6660" width="1.6328125" style="190" customWidth="1"/>
    <col min="6661" max="6661" width="4" style="190" customWidth="1"/>
    <col min="6662" max="6662" width="24.08984375" style="190" customWidth="1"/>
    <col min="6663" max="6663" width="1.6328125" style="190" customWidth="1"/>
    <col min="6664" max="6665" width="8.08984375" style="190" customWidth="1"/>
    <col min="6666" max="6912" width="7.08984375" style="190"/>
    <col min="6913" max="6913" width="10.08984375" style="190" customWidth="1"/>
    <col min="6914" max="6914" width="3.54296875" style="190" customWidth="1"/>
    <col min="6915" max="6916" width="1.6328125" style="190" customWidth="1"/>
    <col min="6917" max="6917" width="4" style="190" customWidth="1"/>
    <col min="6918" max="6918" width="24.08984375" style="190" customWidth="1"/>
    <col min="6919" max="6919" width="1.6328125" style="190" customWidth="1"/>
    <col min="6920" max="6921" width="8.08984375" style="190" customWidth="1"/>
    <col min="6922" max="7168" width="7.08984375" style="190"/>
    <col min="7169" max="7169" width="10.08984375" style="190" customWidth="1"/>
    <col min="7170" max="7170" width="3.54296875" style="190" customWidth="1"/>
    <col min="7171" max="7172" width="1.6328125" style="190" customWidth="1"/>
    <col min="7173" max="7173" width="4" style="190" customWidth="1"/>
    <col min="7174" max="7174" width="24.08984375" style="190" customWidth="1"/>
    <col min="7175" max="7175" width="1.6328125" style="190" customWidth="1"/>
    <col min="7176" max="7177" width="8.08984375" style="190" customWidth="1"/>
    <col min="7178" max="7424" width="7.08984375" style="190"/>
    <col min="7425" max="7425" width="10.08984375" style="190" customWidth="1"/>
    <col min="7426" max="7426" width="3.54296875" style="190" customWidth="1"/>
    <col min="7427" max="7428" width="1.6328125" style="190" customWidth="1"/>
    <col min="7429" max="7429" width="4" style="190" customWidth="1"/>
    <col min="7430" max="7430" width="24.08984375" style="190" customWidth="1"/>
    <col min="7431" max="7431" width="1.6328125" style="190" customWidth="1"/>
    <col min="7432" max="7433" width="8.08984375" style="190" customWidth="1"/>
    <col min="7434" max="7680" width="7.08984375" style="190"/>
    <col min="7681" max="7681" width="10.08984375" style="190" customWidth="1"/>
    <col min="7682" max="7682" width="3.54296875" style="190" customWidth="1"/>
    <col min="7683" max="7684" width="1.6328125" style="190" customWidth="1"/>
    <col min="7685" max="7685" width="4" style="190" customWidth="1"/>
    <col min="7686" max="7686" width="24.08984375" style="190" customWidth="1"/>
    <col min="7687" max="7687" width="1.6328125" style="190" customWidth="1"/>
    <col min="7688" max="7689" width="8.08984375" style="190" customWidth="1"/>
    <col min="7690" max="7936" width="7.08984375" style="190"/>
    <col min="7937" max="7937" width="10.08984375" style="190" customWidth="1"/>
    <col min="7938" max="7938" width="3.54296875" style="190" customWidth="1"/>
    <col min="7939" max="7940" width="1.6328125" style="190" customWidth="1"/>
    <col min="7941" max="7941" width="4" style="190" customWidth="1"/>
    <col min="7942" max="7942" width="24.08984375" style="190" customWidth="1"/>
    <col min="7943" max="7943" width="1.6328125" style="190" customWidth="1"/>
    <col min="7944" max="7945" width="8.08984375" style="190" customWidth="1"/>
    <col min="7946" max="8192" width="7.08984375" style="190"/>
    <col min="8193" max="8193" width="10.08984375" style="190" customWidth="1"/>
    <col min="8194" max="8194" width="3.54296875" style="190" customWidth="1"/>
    <col min="8195" max="8196" width="1.6328125" style="190" customWidth="1"/>
    <col min="8197" max="8197" width="4" style="190" customWidth="1"/>
    <col min="8198" max="8198" width="24.08984375" style="190" customWidth="1"/>
    <col min="8199" max="8199" width="1.6328125" style="190" customWidth="1"/>
    <col min="8200" max="8201" width="8.08984375" style="190" customWidth="1"/>
    <col min="8202" max="8448" width="7.08984375" style="190"/>
    <col min="8449" max="8449" width="10.08984375" style="190" customWidth="1"/>
    <col min="8450" max="8450" width="3.54296875" style="190" customWidth="1"/>
    <col min="8451" max="8452" width="1.6328125" style="190" customWidth="1"/>
    <col min="8453" max="8453" width="4" style="190" customWidth="1"/>
    <col min="8454" max="8454" width="24.08984375" style="190" customWidth="1"/>
    <col min="8455" max="8455" width="1.6328125" style="190" customWidth="1"/>
    <col min="8456" max="8457" width="8.08984375" style="190" customWidth="1"/>
    <col min="8458" max="8704" width="7.08984375" style="190"/>
    <col min="8705" max="8705" width="10.08984375" style="190" customWidth="1"/>
    <col min="8706" max="8706" width="3.54296875" style="190" customWidth="1"/>
    <col min="8707" max="8708" width="1.6328125" style="190" customWidth="1"/>
    <col min="8709" max="8709" width="4" style="190" customWidth="1"/>
    <col min="8710" max="8710" width="24.08984375" style="190" customWidth="1"/>
    <col min="8711" max="8711" width="1.6328125" style="190" customWidth="1"/>
    <col min="8712" max="8713" width="8.08984375" style="190" customWidth="1"/>
    <col min="8714" max="8960" width="7.08984375" style="190"/>
    <col min="8961" max="8961" width="10.08984375" style="190" customWidth="1"/>
    <col min="8962" max="8962" width="3.54296875" style="190" customWidth="1"/>
    <col min="8963" max="8964" width="1.6328125" style="190" customWidth="1"/>
    <col min="8965" max="8965" width="4" style="190" customWidth="1"/>
    <col min="8966" max="8966" width="24.08984375" style="190" customWidth="1"/>
    <col min="8967" max="8967" width="1.6328125" style="190" customWidth="1"/>
    <col min="8968" max="8969" width="8.08984375" style="190" customWidth="1"/>
    <col min="8970" max="9216" width="7.08984375" style="190"/>
    <col min="9217" max="9217" width="10.08984375" style="190" customWidth="1"/>
    <col min="9218" max="9218" width="3.54296875" style="190" customWidth="1"/>
    <col min="9219" max="9220" width="1.6328125" style="190" customWidth="1"/>
    <col min="9221" max="9221" width="4" style="190" customWidth="1"/>
    <col min="9222" max="9222" width="24.08984375" style="190" customWidth="1"/>
    <col min="9223" max="9223" width="1.6328125" style="190" customWidth="1"/>
    <col min="9224" max="9225" width="8.08984375" style="190" customWidth="1"/>
    <col min="9226" max="9472" width="7.08984375" style="190"/>
    <col min="9473" max="9473" width="10.08984375" style="190" customWidth="1"/>
    <col min="9474" max="9474" width="3.54296875" style="190" customWidth="1"/>
    <col min="9475" max="9476" width="1.6328125" style="190" customWidth="1"/>
    <col min="9477" max="9477" width="4" style="190" customWidth="1"/>
    <col min="9478" max="9478" width="24.08984375" style="190" customWidth="1"/>
    <col min="9479" max="9479" width="1.6328125" style="190" customWidth="1"/>
    <col min="9480" max="9481" width="8.08984375" style="190" customWidth="1"/>
    <col min="9482" max="9728" width="7.08984375" style="190"/>
    <col min="9729" max="9729" width="10.08984375" style="190" customWidth="1"/>
    <col min="9730" max="9730" width="3.54296875" style="190" customWidth="1"/>
    <col min="9731" max="9732" width="1.6328125" style="190" customWidth="1"/>
    <col min="9733" max="9733" width="4" style="190" customWidth="1"/>
    <col min="9734" max="9734" width="24.08984375" style="190" customWidth="1"/>
    <col min="9735" max="9735" width="1.6328125" style="190" customWidth="1"/>
    <col min="9736" max="9737" width="8.08984375" style="190" customWidth="1"/>
    <col min="9738" max="9984" width="7.08984375" style="190"/>
    <col min="9985" max="9985" width="10.08984375" style="190" customWidth="1"/>
    <col min="9986" max="9986" width="3.54296875" style="190" customWidth="1"/>
    <col min="9987" max="9988" width="1.6328125" style="190" customWidth="1"/>
    <col min="9989" max="9989" width="4" style="190" customWidth="1"/>
    <col min="9990" max="9990" width="24.08984375" style="190" customWidth="1"/>
    <col min="9991" max="9991" width="1.6328125" style="190" customWidth="1"/>
    <col min="9992" max="9993" width="8.08984375" style="190" customWidth="1"/>
    <col min="9994" max="10240" width="7.08984375" style="190"/>
    <col min="10241" max="10241" width="10.08984375" style="190" customWidth="1"/>
    <col min="10242" max="10242" width="3.54296875" style="190" customWidth="1"/>
    <col min="10243" max="10244" width="1.6328125" style="190" customWidth="1"/>
    <col min="10245" max="10245" width="4" style="190" customWidth="1"/>
    <col min="10246" max="10246" width="24.08984375" style="190" customWidth="1"/>
    <col min="10247" max="10247" width="1.6328125" style="190" customWidth="1"/>
    <col min="10248" max="10249" width="8.08984375" style="190" customWidth="1"/>
    <col min="10250" max="10496" width="7.08984375" style="190"/>
    <col min="10497" max="10497" width="10.08984375" style="190" customWidth="1"/>
    <col min="10498" max="10498" width="3.54296875" style="190" customWidth="1"/>
    <col min="10499" max="10500" width="1.6328125" style="190" customWidth="1"/>
    <col min="10501" max="10501" width="4" style="190" customWidth="1"/>
    <col min="10502" max="10502" width="24.08984375" style="190" customWidth="1"/>
    <col min="10503" max="10503" width="1.6328125" style="190" customWidth="1"/>
    <col min="10504" max="10505" width="8.08984375" style="190" customWidth="1"/>
    <col min="10506" max="10752" width="7.08984375" style="190"/>
    <col min="10753" max="10753" width="10.08984375" style="190" customWidth="1"/>
    <col min="10754" max="10754" width="3.54296875" style="190" customWidth="1"/>
    <col min="10755" max="10756" width="1.6328125" style="190" customWidth="1"/>
    <col min="10757" max="10757" width="4" style="190" customWidth="1"/>
    <col min="10758" max="10758" width="24.08984375" style="190" customWidth="1"/>
    <col min="10759" max="10759" width="1.6328125" style="190" customWidth="1"/>
    <col min="10760" max="10761" width="8.08984375" style="190" customWidth="1"/>
    <col min="10762" max="11008" width="7.08984375" style="190"/>
    <col min="11009" max="11009" width="10.08984375" style="190" customWidth="1"/>
    <col min="11010" max="11010" width="3.54296875" style="190" customWidth="1"/>
    <col min="11011" max="11012" width="1.6328125" style="190" customWidth="1"/>
    <col min="11013" max="11013" width="4" style="190" customWidth="1"/>
    <col min="11014" max="11014" width="24.08984375" style="190" customWidth="1"/>
    <col min="11015" max="11015" width="1.6328125" style="190" customWidth="1"/>
    <col min="11016" max="11017" width="8.08984375" style="190" customWidth="1"/>
    <col min="11018" max="11264" width="7.08984375" style="190"/>
    <col min="11265" max="11265" width="10.08984375" style="190" customWidth="1"/>
    <col min="11266" max="11266" width="3.54296875" style="190" customWidth="1"/>
    <col min="11267" max="11268" width="1.6328125" style="190" customWidth="1"/>
    <col min="11269" max="11269" width="4" style="190" customWidth="1"/>
    <col min="11270" max="11270" width="24.08984375" style="190" customWidth="1"/>
    <col min="11271" max="11271" width="1.6328125" style="190" customWidth="1"/>
    <col min="11272" max="11273" width="8.08984375" style="190" customWidth="1"/>
    <col min="11274" max="11520" width="7.08984375" style="190"/>
    <col min="11521" max="11521" width="10.08984375" style="190" customWidth="1"/>
    <col min="11522" max="11522" width="3.54296875" style="190" customWidth="1"/>
    <col min="11523" max="11524" width="1.6328125" style="190" customWidth="1"/>
    <col min="11525" max="11525" width="4" style="190" customWidth="1"/>
    <col min="11526" max="11526" width="24.08984375" style="190" customWidth="1"/>
    <col min="11527" max="11527" width="1.6328125" style="190" customWidth="1"/>
    <col min="11528" max="11529" width="8.08984375" style="190" customWidth="1"/>
    <col min="11530" max="11776" width="7.08984375" style="190"/>
    <col min="11777" max="11777" width="10.08984375" style="190" customWidth="1"/>
    <col min="11778" max="11778" width="3.54296875" style="190" customWidth="1"/>
    <col min="11779" max="11780" width="1.6328125" style="190" customWidth="1"/>
    <col min="11781" max="11781" width="4" style="190" customWidth="1"/>
    <col min="11782" max="11782" width="24.08984375" style="190" customWidth="1"/>
    <col min="11783" max="11783" width="1.6328125" style="190" customWidth="1"/>
    <col min="11784" max="11785" width="8.08984375" style="190" customWidth="1"/>
    <col min="11786" max="12032" width="7.08984375" style="190"/>
    <col min="12033" max="12033" width="10.08984375" style="190" customWidth="1"/>
    <col min="12034" max="12034" width="3.54296875" style="190" customWidth="1"/>
    <col min="12035" max="12036" width="1.6328125" style="190" customWidth="1"/>
    <col min="12037" max="12037" width="4" style="190" customWidth="1"/>
    <col min="12038" max="12038" width="24.08984375" style="190" customWidth="1"/>
    <col min="12039" max="12039" width="1.6328125" style="190" customWidth="1"/>
    <col min="12040" max="12041" width="8.08984375" style="190" customWidth="1"/>
    <col min="12042" max="12288" width="7.08984375" style="190"/>
    <col min="12289" max="12289" width="10.08984375" style="190" customWidth="1"/>
    <col min="12290" max="12290" width="3.54296875" style="190" customWidth="1"/>
    <col min="12291" max="12292" width="1.6328125" style="190" customWidth="1"/>
    <col min="12293" max="12293" width="4" style="190" customWidth="1"/>
    <col min="12294" max="12294" width="24.08984375" style="190" customWidth="1"/>
    <col min="12295" max="12295" width="1.6328125" style="190" customWidth="1"/>
    <col min="12296" max="12297" width="8.08984375" style="190" customWidth="1"/>
    <col min="12298" max="12544" width="7.08984375" style="190"/>
    <col min="12545" max="12545" width="10.08984375" style="190" customWidth="1"/>
    <col min="12546" max="12546" width="3.54296875" style="190" customWidth="1"/>
    <col min="12547" max="12548" width="1.6328125" style="190" customWidth="1"/>
    <col min="12549" max="12549" width="4" style="190" customWidth="1"/>
    <col min="12550" max="12550" width="24.08984375" style="190" customWidth="1"/>
    <col min="12551" max="12551" width="1.6328125" style="190" customWidth="1"/>
    <col min="12552" max="12553" width="8.08984375" style="190" customWidth="1"/>
    <col min="12554" max="12800" width="7.08984375" style="190"/>
    <col min="12801" max="12801" width="10.08984375" style="190" customWidth="1"/>
    <col min="12802" max="12802" width="3.54296875" style="190" customWidth="1"/>
    <col min="12803" max="12804" width="1.6328125" style="190" customWidth="1"/>
    <col min="12805" max="12805" width="4" style="190" customWidth="1"/>
    <col min="12806" max="12806" width="24.08984375" style="190" customWidth="1"/>
    <col min="12807" max="12807" width="1.6328125" style="190" customWidth="1"/>
    <col min="12808" max="12809" width="8.08984375" style="190" customWidth="1"/>
    <col min="12810" max="13056" width="7.08984375" style="190"/>
    <col min="13057" max="13057" width="10.08984375" style="190" customWidth="1"/>
    <col min="13058" max="13058" width="3.54296875" style="190" customWidth="1"/>
    <col min="13059" max="13060" width="1.6328125" style="190" customWidth="1"/>
    <col min="13061" max="13061" width="4" style="190" customWidth="1"/>
    <col min="13062" max="13062" width="24.08984375" style="190" customWidth="1"/>
    <col min="13063" max="13063" width="1.6328125" style="190" customWidth="1"/>
    <col min="13064" max="13065" width="8.08984375" style="190" customWidth="1"/>
    <col min="13066" max="13312" width="7.08984375" style="190"/>
    <col min="13313" max="13313" width="10.08984375" style="190" customWidth="1"/>
    <col min="13314" max="13314" width="3.54296875" style="190" customWidth="1"/>
    <col min="13315" max="13316" width="1.6328125" style="190" customWidth="1"/>
    <col min="13317" max="13317" width="4" style="190" customWidth="1"/>
    <col min="13318" max="13318" width="24.08984375" style="190" customWidth="1"/>
    <col min="13319" max="13319" width="1.6328125" style="190" customWidth="1"/>
    <col min="13320" max="13321" width="8.08984375" style="190" customWidth="1"/>
    <col min="13322" max="13568" width="7.08984375" style="190"/>
    <col min="13569" max="13569" width="10.08984375" style="190" customWidth="1"/>
    <col min="13570" max="13570" width="3.54296875" style="190" customWidth="1"/>
    <col min="13571" max="13572" width="1.6328125" style="190" customWidth="1"/>
    <col min="13573" max="13573" width="4" style="190" customWidth="1"/>
    <col min="13574" max="13574" width="24.08984375" style="190" customWidth="1"/>
    <col min="13575" max="13575" width="1.6328125" style="190" customWidth="1"/>
    <col min="13576" max="13577" width="8.08984375" style="190" customWidth="1"/>
    <col min="13578" max="13824" width="7.08984375" style="190"/>
    <col min="13825" max="13825" width="10.08984375" style="190" customWidth="1"/>
    <col min="13826" max="13826" width="3.54296875" style="190" customWidth="1"/>
    <col min="13827" max="13828" width="1.6328125" style="190" customWidth="1"/>
    <col min="13829" max="13829" width="4" style="190" customWidth="1"/>
    <col min="13830" max="13830" width="24.08984375" style="190" customWidth="1"/>
    <col min="13831" max="13831" width="1.6328125" style="190" customWidth="1"/>
    <col min="13832" max="13833" width="8.08984375" style="190" customWidth="1"/>
    <col min="13834" max="14080" width="7.08984375" style="190"/>
    <col min="14081" max="14081" width="10.08984375" style="190" customWidth="1"/>
    <col min="14082" max="14082" width="3.54296875" style="190" customWidth="1"/>
    <col min="14083" max="14084" width="1.6328125" style="190" customWidth="1"/>
    <col min="14085" max="14085" width="4" style="190" customWidth="1"/>
    <col min="14086" max="14086" width="24.08984375" style="190" customWidth="1"/>
    <col min="14087" max="14087" width="1.6328125" style="190" customWidth="1"/>
    <col min="14088" max="14089" width="8.08984375" style="190" customWidth="1"/>
    <col min="14090" max="14336" width="7.08984375" style="190"/>
    <col min="14337" max="14337" width="10.08984375" style="190" customWidth="1"/>
    <col min="14338" max="14338" width="3.54296875" style="190" customWidth="1"/>
    <col min="14339" max="14340" width="1.6328125" style="190" customWidth="1"/>
    <col min="14341" max="14341" width="4" style="190" customWidth="1"/>
    <col min="14342" max="14342" width="24.08984375" style="190" customWidth="1"/>
    <col min="14343" max="14343" width="1.6328125" style="190" customWidth="1"/>
    <col min="14344" max="14345" width="8.08984375" style="190" customWidth="1"/>
    <col min="14346" max="14592" width="7.08984375" style="190"/>
    <col min="14593" max="14593" width="10.08984375" style="190" customWidth="1"/>
    <col min="14594" max="14594" width="3.54296875" style="190" customWidth="1"/>
    <col min="14595" max="14596" width="1.6328125" style="190" customWidth="1"/>
    <col min="14597" max="14597" width="4" style="190" customWidth="1"/>
    <col min="14598" max="14598" width="24.08984375" style="190" customWidth="1"/>
    <col min="14599" max="14599" width="1.6328125" style="190" customWidth="1"/>
    <col min="14600" max="14601" width="8.08984375" style="190" customWidth="1"/>
    <col min="14602" max="14848" width="7.08984375" style="190"/>
    <col min="14849" max="14849" width="10.08984375" style="190" customWidth="1"/>
    <col min="14850" max="14850" width="3.54296875" style="190" customWidth="1"/>
    <col min="14851" max="14852" width="1.6328125" style="190" customWidth="1"/>
    <col min="14853" max="14853" width="4" style="190" customWidth="1"/>
    <col min="14854" max="14854" width="24.08984375" style="190" customWidth="1"/>
    <col min="14855" max="14855" width="1.6328125" style="190" customWidth="1"/>
    <col min="14856" max="14857" width="8.08984375" style="190" customWidth="1"/>
    <col min="14858" max="15104" width="7.08984375" style="190"/>
    <col min="15105" max="15105" width="10.08984375" style="190" customWidth="1"/>
    <col min="15106" max="15106" width="3.54296875" style="190" customWidth="1"/>
    <col min="15107" max="15108" width="1.6328125" style="190" customWidth="1"/>
    <col min="15109" max="15109" width="4" style="190" customWidth="1"/>
    <col min="15110" max="15110" width="24.08984375" style="190" customWidth="1"/>
    <col min="15111" max="15111" width="1.6328125" style="190" customWidth="1"/>
    <col min="15112" max="15113" width="8.08984375" style="190" customWidth="1"/>
    <col min="15114" max="15360" width="7.08984375" style="190"/>
    <col min="15361" max="15361" width="10.08984375" style="190" customWidth="1"/>
    <col min="15362" max="15362" width="3.54296875" style="190" customWidth="1"/>
    <col min="15363" max="15364" width="1.6328125" style="190" customWidth="1"/>
    <col min="15365" max="15365" width="4" style="190" customWidth="1"/>
    <col min="15366" max="15366" width="24.08984375" style="190" customWidth="1"/>
    <col min="15367" max="15367" width="1.6328125" style="190" customWidth="1"/>
    <col min="15368" max="15369" width="8.08984375" style="190" customWidth="1"/>
    <col min="15370" max="15616" width="7.08984375" style="190"/>
    <col min="15617" max="15617" width="10.08984375" style="190" customWidth="1"/>
    <col min="15618" max="15618" width="3.54296875" style="190" customWidth="1"/>
    <col min="15619" max="15620" width="1.6328125" style="190" customWidth="1"/>
    <col min="15621" max="15621" width="4" style="190" customWidth="1"/>
    <col min="15622" max="15622" width="24.08984375" style="190" customWidth="1"/>
    <col min="15623" max="15623" width="1.6328125" style="190" customWidth="1"/>
    <col min="15624" max="15625" width="8.08984375" style="190" customWidth="1"/>
    <col min="15626" max="15872" width="7.08984375" style="190"/>
    <col min="15873" max="15873" width="10.08984375" style="190" customWidth="1"/>
    <col min="15874" max="15874" width="3.54296875" style="190" customWidth="1"/>
    <col min="15875" max="15876" width="1.6328125" style="190" customWidth="1"/>
    <col min="15877" max="15877" width="4" style="190" customWidth="1"/>
    <col min="15878" max="15878" width="24.08984375" style="190" customWidth="1"/>
    <col min="15879" max="15879" width="1.6328125" style="190" customWidth="1"/>
    <col min="15880" max="15881" width="8.08984375" style="190" customWidth="1"/>
    <col min="15882" max="16128" width="7.08984375" style="190"/>
    <col min="16129" max="16129" width="10.08984375" style="190" customWidth="1"/>
    <col min="16130" max="16130" width="3.54296875" style="190" customWidth="1"/>
    <col min="16131" max="16132" width="1.6328125" style="190" customWidth="1"/>
    <col min="16133" max="16133" width="4" style="190" customWidth="1"/>
    <col min="16134" max="16134" width="24.08984375" style="190" customWidth="1"/>
    <col min="16135" max="16135" width="1.6328125" style="190" customWidth="1"/>
    <col min="16136" max="16137" width="8.08984375" style="190" customWidth="1"/>
    <col min="16138" max="16384" width="7.08984375" style="190"/>
  </cols>
  <sheetData>
    <row r="1" spans="1:8" ht="14.25" customHeight="1">
      <c r="A1" s="935" t="s">
        <v>415</v>
      </c>
      <c r="B1" s="935"/>
      <c r="C1" s="935"/>
      <c r="D1" s="935"/>
      <c r="E1" s="935"/>
      <c r="F1" s="935"/>
      <c r="G1" s="935"/>
      <c r="H1" s="935"/>
    </row>
    <row r="2" spans="1:8">
      <c r="A2" s="935" t="s">
        <v>135</v>
      </c>
      <c r="B2" s="935"/>
      <c r="C2" s="935"/>
      <c r="D2" s="935"/>
      <c r="E2" s="935"/>
      <c r="F2" s="935"/>
      <c r="G2" s="935"/>
      <c r="H2" s="935"/>
    </row>
    <row r="3" spans="1:8">
      <c r="A3" s="936" t="str">
        <f>'Act Att-H'!C7</f>
        <v>Black Hills Colorado Electric, LLC</v>
      </c>
      <c r="B3" s="936"/>
      <c r="C3" s="936"/>
      <c r="D3" s="936"/>
      <c r="E3" s="936"/>
      <c r="F3" s="936"/>
      <c r="G3" s="936"/>
      <c r="H3" s="936"/>
    </row>
    <row r="4" spans="1:8">
      <c r="F4" s="2"/>
      <c r="H4" s="282" t="s">
        <v>515</v>
      </c>
    </row>
    <row r="5" spans="1:8">
      <c r="A5" s="935"/>
      <c r="B5" s="935"/>
      <c r="C5" s="935"/>
      <c r="D5" s="935"/>
      <c r="E5" s="935"/>
      <c r="F5" s="935"/>
      <c r="G5" s="935"/>
      <c r="H5" s="935"/>
    </row>
    <row r="6" spans="1:8">
      <c r="B6" s="193" t="s">
        <v>4</v>
      </c>
      <c r="H6" s="190"/>
    </row>
    <row r="7" spans="1:8">
      <c r="B7" s="196" t="s">
        <v>6</v>
      </c>
      <c r="D7" s="215" t="s">
        <v>125</v>
      </c>
      <c r="E7" s="215"/>
      <c r="F7" s="215"/>
      <c r="H7" s="651" t="s">
        <v>136</v>
      </c>
    </row>
    <row r="8" spans="1:8">
      <c r="B8" s="193">
        <v>1</v>
      </c>
    </row>
    <row r="9" spans="1:8">
      <c r="B9" s="193">
        <f>B8+1</f>
        <v>2</v>
      </c>
      <c r="D9" s="206" t="s">
        <v>765</v>
      </c>
      <c r="E9" s="206"/>
    </row>
    <row r="10" spans="1:8">
      <c r="B10" s="193">
        <f t="shared" ref="B10:B57" si="0">B9+1</f>
        <v>3</v>
      </c>
      <c r="E10" s="652">
        <v>352</v>
      </c>
      <c r="F10" s="217" t="s">
        <v>519</v>
      </c>
      <c r="H10" s="283">
        <v>1.43E-2</v>
      </c>
    </row>
    <row r="11" spans="1:8">
      <c r="B11" s="193">
        <f t="shared" si="0"/>
        <v>4</v>
      </c>
      <c r="E11" s="652">
        <v>352.59</v>
      </c>
      <c r="F11" s="190" t="s">
        <v>918</v>
      </c>
      <c r="H11" s="283">
        <v>1.17E-2</v>
      </c>
    </row>
    <row r="12" spans="1:8">
      <c r="B12" s="193">
        <f t="shared" si="0"/>
        <v>5</v>
      </c>
      <c r="E12" s="652">
        <v>353</v>
      </c>
      <c r="F12" s="190" t="s">
        <v>520</v>
      </c>
      <c r="H12" s="283">
        <v>1.4500000000000001E-2</v>
      </c>
    </row>
    <row r="13" spans="1:8">
      <c r="B13" s="193">
        <f t="shared" si="0"/>
        <v>6</v>
      </c>
      <c r="E13" s="652">
        <v>353.59</v>
      </c>
      <c r="F13" s="190" t="s">
        <v>919</v>
      </c>
      <c r="H13" s="283">
        <v>1.17E-2</v>
      </c>
    </row>
    <row r="14" spans="1:8">
      <c r="B14" s="193">
        <f t="shared" si="0"/>
        <v>7</v>
      </c>
      <c r="E14" s="652">
        <v>355</v>
      </c>
      <c r="F14" s="190" t="s">
        <v>521</v>
      </c>
      <c r="H14" s="283">
        <v>2.0799999999999999E-2</v>
      </c>
    </row>
    <row r="15" spans="1:8">
      <c r="B15" s="193">
        <f t="shared" si="0"/>
        <v>8</v>
      </c>
      <c r="E15" s="652">
        <v>356</v>
      </c>
      <c r="F15" s="217" t="s">
        <v>522</v>
      </c>
      <c r="H15" s="283">
        <v>2.0299999999999999E-2</v>
      </c>
    </row>
    <row r="16" spans="1:8">
      <c r="B16" s="193">
        <f t="shared" si="0"/>
        <v>9</v>
      </c>
      <c r="E16" s="652">
        <v>357</v>
      </c>
      <c r="F16" s="217" t="s">
        <v>920</v>
      </c>
      <c r="H16" s="283">
        <v>2.2200000000000001E-2</v>
      </c>
    </row>
    <row r="17" spans="2:8">
      <c r="B17" s="193">
        <f t="shared" si="0"/>
        <v>10</v>
      </c>
      <c r="E17" s="652">
        <v>358</v>
      </c>
      <c r="F17" s="716" t="s">
        <v>921</v>
      </c>
      <c r="H17" s="717">
        <v>2.1700000000000001E-2</v>
      </c>
    </row>
    <row r="18" spans="2:8">
      <c r="B18" s="193">
        <f t="shared" si="0"/>
        <v>11</v>
      </c>
      <c r="F18" s="190" t="s">
        <v>523</v>
      </c>
      <c r="H18" s="623">
        <v>1.6500000000000001E-2</v>
      </c>
    </row>
    <row r="19" spans="2:8">
      <c r="B19" s="193">
        <f t="shared" si="0"/>
        <v>12</v>
      </c>
      <c r="H19" s="623"/>
    </row>
    <row r="20" spans="2:8">
      <c r="B20" s="193">
        <f t="shared" si="0"/>
        <v>13</v>
      </c>
      <c r="D20" s="206" t="s">
        <v>916</v>
      </c>
      <c r="H20" s="284"/>
    </row>
    <row r="21" spans="2:8">
      <c r="B21" s="193">
        <f t="shared" si="0"/>
        <v>14</v>
      </c>
      <c r="E21" s="652">
        <v>390.01</v>
      </c>
      <c r="F21" s="217" t="s">
        <v>922</v>
      </c>
      <c r="H21" s="283">
        <v>3.1199999999999999E-2</v>
      </c>
    </row>
    <row r="22" spans="2:8">
      <c r="B22" s="193">
        <f t="shared" si="0"/>
        <v>15</v>
      </c>
      <c r="E22" s="652">
        <v>391.01</v>
      </c>
      <c r="F22" s="190" t="s">
        <v>800</v>
      </c>
      <c r="H22" s="283">
        <v>6.9800000000000001E-2</v>
      </c>
    </row>
    <row r="23" spans="2:8">
      <c r="B23" s="193">
        <f t="shared" si="0"/>
        <v>16</v>
      </c>
      <c r="E23" s="652">
        <v>391.03</v>
      </c>
      <c r="F23" s="190" t="s">
        <v>801</v>
      </c>
      <c r="H23" s="283">
        <v>0.36280000000000001</v>
      </c>
    </row>
    <row r="24" spans="2:8">
      <c r="B24" s="193">
        <f t="shared" si="0"/>
        <v>17</v>
      </c>
      <c r="E24" s="652">
        <v>391.04</v>
      </c>
      <c r="F24" s="190" t="s">
        <v>923</v>
      </c>
      <c r="H24" s="283">
        <v>0.18429999999999999</v>
      </c>
    </row>
    <row r="25" spans="2:8">
      <c r="B25" s="193">
        <f t="shared" si="0"/>
        <v>18</v>
      </c>
      <c r="E25" s="653">
        <v>391.05</v>
      </c>
      <c r="F25" s="190" t="s">
        <v>821</v>
      </c>
      <c r="H25" s="283">
        <v>0.13719999999999999</v>
      </c>
    </row>
    <row r="26" spans="2:8">
      <c r="B26" s="193">
        <f t="shared" si="0"/>
        <v>19</v>
      </c>
      <c r="E26" s="652">
        <v>392</v>
      </c>
      <c r="F26" s="190" t="s">
        <v>802</v>
      </c>
      <c r="H26" s="283">
        <v>9.0200000000000002E-2</v>
      </c>
    </row>
    <row r="27" spans="2:8">
      <c r="B27" s="193">
        <f t="shared" si="0"/>
        <v>20</v>
      </c>
      <c r="E27" s="652">
        <v>393</v>
      </c>
      <c r="F27" s="190" t="s">
        <v>803</v>
      </c>
      <c r="H27" s="283">
        <v>6.0900000000000003E-2</v>
      </c>
    </row>
    <row r="28" spans="2:8">
      <c r="B28" s="193">
        <f t="shared" si="0"/>
        <v>21</v>
      </c>
      <c r="E28" s="652">
        <v>394</v>
      </c>
      <c r="F28" s="190" t="s">
        <v>804</v>
      </c>
      <c r="H28" s="283">
        <v>2.1000000000000001E-2</v>
      </c>
    </row>
    <row r="29" spans="2:8">
      <c r="B29" s="193">
        <f t="shared" si="0"/>
        <v>22</v>
      </c>
      <c r="E29" s="652">
        <v>395</v>
      </c>
      <c r="F29" s="190" t="s">
        <v>805</v>
      </c>
      <c r="H29" s="283">
        <v>1.26E-2</v>
      </c>
    </row>
    <row r="30" spans="2:8">
      <c r="B30" s="193">
        <f t="shared" si="0"/>
        <v>23</v>
      </c>
      <c r="E30" s="652">
        <v>396</v>
      </c>
      <c r="F30" s="190" t="s">
        <v>924</v>
      </c>
      <c r="H30" s="283">
        <v>5.6300000000000003E-2</v>
      </c>
    </row>
    <row r="31" spans="2:8">
      <c r="B31" s="193">
        <f t="shared" si="0"/>
        <v>24</v>
      </c>
      <c r="E31" s="652">
        <v>397</v>
      </c>
      <c r="F31" s="190" t="s">
        <v>925</v>
      </c>
      <c r="H31" s="283">
        <v>8.6300000000000002E-2</v>
      </c>
    </row>
    <row r="32" spans="2:8">
      <c r="B32" s="193">
        <f t="shared" si="0"/>
        <v>25</v>
      </c>
      <c r="E32" s="652">
        <v>398</v>
      </c>
      <c r="F32" s="190" t="s">
        <v>926</v>
      </c>
      <c r="H32" s="283">
        <v>5.8400000000000001E-2</v>
      </c>
    </row>
    <row r="33" spans="2:8">
      <c r="B33" s="193">
        <f t="shared" si="0"/>
        <v>26</v>
      </c>
      <c r="F33" s="285" t="s">
        <v>806</v>
      </c>
      <c r="H33" s="654">
        <v>8.3199999999999996E-2</v>
      </c>
    </row>
    <row r="34" spans="2:8">
      <c r="B34" s="193">
        <f t="shared" si="0"/>
        <v>27</v>
      </c>
      <c r="H34" s="623"/>
    </row>
    <row r="35" spans="2:8">
      <c r="B35" s="193">
        <f t="shared" si="0"/>
        <v>28</v>
      </c>
      <c r="D35" s="206" t="s">
        <v>807</v>
      </c>
      <c r="H35" s="623"/>
    </row>
    <row r="36" spans="2:8">
      <c r="B36" s="193">
        <f t="shared" si="0"/>
        <v>29</v>
      </c>
      <c r="E36" s="652">
        <v>301</v>
      </c>
      <c r="F36" s="217" t="s">
        <v>808</v>
      </c>
      <c r="H36" s="623">
        <v>0</v>
      </c>
    </row>
    <row r="37" spans="2:8">
      <c r="B37" s="193">
        <f t="shared" si="0"/>
        <v>30</v>
      </c>
      <c r="E37" s="652">
        <v>303</v>
      </c>
      <c r="F37" s="217" t="s">
        <v>927</v>
      </c>
      <c r="H37" s="623">
        <v>0</v>
      </c>
    </row>
    <row r="38" spans="2:8">
      <c r="B38" s="193">
        <f t="shared" si="0"/>
        <v>31</v>
      </c>
      <c r="F38" s="285" t="s">
        <v>809</v>
      </c>
      <c r="H38" s="286">
        <v>0</v>
      </c>
    </row>
    <row r="39" spans="2:8">
      <c r="B39" s="193">
        <f t="shared" si="0"/>
        <v>32</v>
      </c>
      <c r="H39" s="623"/>
    </row>
    <row r="40" spans="2:8">
      <c r="B40" s="193">
        <f t="shared" si="0"/>
        <v>33</v>
      </c>
      <c r="D40" s="206" t="s">
        <v>815</v>
      </c>
      <c r="H40" s="623"/>
    </row>
    <row r="41" spans="2:8">
      <c r="B41" s="193">
        <f t="shared" si="0"/>
        <v>34</v>
      </c>
      <c r="E41" s="206" t="s">
        <v>812</v>
      </c>
      <c r="H41" s="623"/>
    </row>
    <row r="42" spans="2:8">
      <c r="B42" s="193">
        <f t="shared" si="0"/>
        <v>35</v>
      </c>
      <c r="E42" s="652">
        <v>390.01</v>
      </c>
      <c r="F42" s="217" t="s">
        <v>799</v>
      </c>
      <c r="H42" s="623">
        <v>1.9900000000000001E-2</v>
      </c>
    </row>
    <row r="43" spans="2:8">
      <c r="B43" s="193">
        <f t="shared" si="0"/>
        <v>36</v>
      </c>
      <c r="E43" s="652">
        <v>391</v>
      </c>
      <c r="F43" s="190" t="s">
        <v>800</v>
      </c>
      <c r="H43" s="623">
        <v>0.1245</v>
      </c>
    </row>
    <row r="44" spans="2:8">
      <c r="B44" s="193">
        <f t="shared" si="0"/>
        <v>37</v>
      </c>
      <c r="E44" s="653">
        <v>392</v>
      </c>
      <c r="F44" s="190" t="s">
        <v>802</v>
      </c>
      <c r="H44" s="623">
        <v>8.6400000000000005E-2</v>
      </c>
    </row>
    <row r="45" spans="2:8">
      <c r="B45" s="193">
        <f t="shared" si="0"/>
        <v>38</v>
      </c>
      <c r="E45" s="652">
        <v>395</v>
      </c>
      <c r="F45" s="190" t="s">
        <v>805</v>
      </c>
      <c r="H45" s="623">
        <v>0.05</v>
      </c>
    </row>
    <row r="46" spans="2:8">
      <c r="B46" s="193">
        <f t="shared" si="0"/>
        <v>39</v>
      </c>
      <c r="E46" s="652">
        <v>397</v>
      </c>
      <c r="F46" s="190" t="s">
        <v>810</v>
      </c>
      <c r="H46" s="623">
        <v>6.6699999999999995E-2</v>
      </c>
    </row>
    <row r="47" spans="2:8">
      <c r="B47" s="193">
        <f t="shared" si="0"/>
        <v>40</v>
      </c>
      <c r="E47" s="652">
        <v>397.1</v>
      </c>
      <c r="F47" s="190" t="s">
        <v>811</v>
      </c>
      <c r="H47" s="623">
        <v>0.04</v>
      </c>
    </row>
    <row r="48" spans="2:8">
      <c r="B48" s="193">
        <f t="shared" si="0"/>
        <v>41</v>
      </c>
      <c r="F48" s="285" t="s">
        <v>806</v>
      </c>
      <c r="H48" s="654">
        <v>0.1206</v>
      </c>
    </row>
    <row r="49" spans="2:8">
      <c r="B49" s="193">
        <f t="shared" si="0"/>
        <v>42</v>
      </c>
      <c r="H49" s="655"/>
    </row>
    <row r="50" spans="2:8">
      <c r="B50" s="193">
        <f t="shared" si="0"/>
        <v>43</v>
      </c>
      <c r="E50" s="206" t="s">
        <v>1261</v>
      </c>
      <c r="H50" s="655"/>
    </row>
    <row r="51" spans="2:8">
      <c r="B51" s="193">
        <f t="shared" si="0"/>
        <v>44</v>
      </c>
      <c r="E51" s="652">
        <v>390.01</v>
      </c>
      <c r="F51" s="217" t="s">
        <v>823</v>
      </c>
      <c r="H51" s="655">
        <v>2.2499999999999999E-2</v>
      </c>
    </row>
    <row r="52" spans="2:8">
      <c r="B52" s="193">
        <f t="shared" si="0"/>
        <v>45</v>
      </c>
      <c r="E52" s="652">
        <v>391</v>
      </c>
      <c r="F52" s="190" t="s">
        <v>800</v>
      </c>
      <c r="H52" s="655">
        <v>8.1100000000000005E-2</v>
      </c>
    </row>
    <row r="53" spans="2:8">
      <c r="B53" s="193">
        <f t="shared" si="0"/>
        <v>46</v>
      </c>
      <c r="E53" s="652">
        <v>392</v>
      </c>
      <c r="F53" s="190" t="s">
        <v>822</v>
      </c>
      <c r="H53" s="655">
        <v>9.8299999999999998E-2</v>
      </c>
    </row>
    <row r="54" spans="2:8">
      <c r="B54" s="193">
        <f t="shared" si="0"/>
        <v>47</v>
      </c>
      <c r="E54" s="652">
        <v>394</v>
      </c>
      <c r="F54" s="190" t="s">
        <v>804</v>
      </c>
      <c r="H54" s="655">
        <v>0.04</v>
      </c>
    </row>
    <row r="55" spans="2:8">
      <c r="B55" s="193">
        <f t="shared" si="0"/>
        <v>48</v>
      </c>
      <c r="E55" s="652">
        <v>397</v>
      </c>
      <c r="F55" s="190" t="s">
        <v>814</v>
      </c>
      <c r="H55" s="655">
        <v>6.6699999999999995E-2</v>
      </c>
    </row>
    <row r="56" spans="2:8">
      <c r="B56" s="193">
        <f t="shared" si="0"/>
        <v>49</v>
      </c>
      <c r="E56" s="652">
        <v>398</v>
      </c>
      <c r="F56" s="190" t="s">
        <v>813</v>
      </c>
      <c r="H56" s="655">
        <v>0.05</v>
      </c>
    </row>
    <row r="57" spans="2:8">
      <c r="B57" s="193">
        <f t="shared" si="0"/>
        <v>50</v>
      </c>
      <c r="F57" s="285" t="s">
        <v>806</v>
      </c>
      <c r="H57" s="654">
        <v>7.9399999999999998E-2</v>
      </c>
    </row>
    <row r="58" spans="2:8">
      <c r="B58" s="193"/>
      <c r="H58" s="623"/>
    </row>
    <row r="59" spans="2:8" ht="16.350000000000001" customHeight="1">
      <c r="B59" s="354" t="s">
        <v>155</v>
      </c>
      <c r="D59" s="206"/>
      <c r="H59" s="284"/>
    </row>
    <row r="60" spans="2:8" ht="27.75" customHeight="1">
      <c r="B60" s="394" t="s">
        <v>76</v>
      </c>
      <c r="C60" s="961" t="s">
        <v>917</v>
      </c>
      <c r="D60" s="961"/>
      <c r="E60" s="961"/>
      <c r="F60" s="961"/>
      <c r="G60" s="961"/>
      <c r="H60" s="961"/>
    </row>
    <row r="61" spans="2:8" ht="32.4" customHeight="1">
      <c r="B61" s="394" t="s">
        <v>77</v>
      </c>
      <c r="C61" s="961" t="s">
        <v>1145</v>
      </c>
      <c r="D61" s="961"/>
      <c r="E61" s="961"/>
      <c r="F61" s="961"/>
      <c r="G61" s="961"/>
      <c r="H61" s="961"/>
    </row>
    <row r="62" spans="2:8" ht="16.350000000000001" customHeight="1">
      <c r="B62" s="193"/>
      <c r="D62" s="206"/>
      <c r="H62" s="284"/>
    </row>
    <row r="63" spans="2:8" ht="16.350000000000001" customHeight="1">
      <c r="B63" s="193"/>
      <c r="D63" s="206"/>
      <c r="H63" s="284"/>
    </row>
    <row r="64" spans="2:8" ht="16.350000000000001" customHeight="1">
      <c r="B64" s="193"/>
      <c r="D64" s="206"/>
      <c r="H64" s="284"/>
    </row>
    <row r="65" spans="2:8" ht="16.350000000000001" customHeight="1">
      <c r="B65" s="193"/>
      <c r="D65" s="206"/>
      <c r="H65" s="284"/>
    </row>
    <row r="66" spans="2:8" ht="16.350000000000001" customHeight="1">
      <c r="B66" s="193"/>
      <c r="D66" s="206"/>
      <c r="H66" s="284"/>
    </row>
    <row r="67" spans="2:8" ht="16.350000000000001" customHeight="1">
      <c r="B67" s="193"/>
      <c r="D67" s="206"/>
      <c r="H67" s="284"/>
    </row>
    <row r="68" spans="2:8" ht="16.350000000000001" customHeight="1">
      <c r="B68" s="193"/>
      <c r="D68" s="206"/>
      <c r="H68" s="284"/>
    </row>
    <row r="69" spans="2:8" ht="16.350000000000001" customHeight="1">
      <c r="B69" s="193"/>
      <c r="D69" s="206"/>
      <c r="H69" s="284"/>
    </row>
    <row r="70" spans="2:8" ht="16.350000000000001" customHeight="1">
      <c r="B70" s="193"/>
      <c r="D70" s="206"/>
      <c r="H70" s="284"/>
    </row>
    <row r="71" spans="2:8" ht="16.350000000000001" customHeight="1"/>
    <row r="72" spans="2:8" ht="16.350000000000001" customHeight="1"/>
    <row r="73" spans="2:8" ht="16.350000000000001" customHeight="1"/>
    <row r="74" spans="2:8" ht="16.350000000000001" customHeight="1"/>
  </sheetData>
  <mergeCells count="6">
    <mergeCell ref="C61:H61"/>
    <mergeCell ref="C60:H60"/>
    <mergeCell ref="A5:H5"/>
    <mergeCell ref="A1:H1"/>
    <mergeCell ref="A2:H2"/>
    <mergeCell ref="A3:H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sheetPr>
  <dimension ref="A1:I34"/>
  <sheetViews>
    <sheetView zoomScale="80" zoomScaleNormal="80" workbookViewId="0">
      <selection activeCell="P7" sqref="P7"/>
    </sheetView>
  </sheetViews>
  <sheetFormatPr defaultColWidth="7.08984375" defaultRowHeight="13.2"/>
  <cols>
    <col min="1" max="1" width="2.08984375" style="190" customWidth="1"/>
    <col min="2" max="2" width="4.6328125" style="190" customWidth="1"/>
    <col min="3" max="3" width="11.08984375" style="190" customWidth="1"/>
    <col min="4" max="4" width="9.453125" style="190" bestFit="1" customWidth="1"/>
    <col min="5" max="5" width="11.08984375" style="190" customWidth="1"/>
    <col min="6" max="6" width="13" style="190" customWidth="1"/>
    <col min="7" max="7" width="13.90625" style="190" customWidth="1"/>
    <col min="8" max="8" width="8.08984375" style="205" customWidth="1"/>
    <col min="9" max="9" width="8.08984375" style="190" customWidth="1"/>
    <col min="10" max="256" width="7.08984375" style="190"/>
    <col min="257" max="257" width="10.08984375" style="190" customWidth="1"/>
    <col min="258" max="258" width="3.54296875" style="190" customWidth="1"/>
    <col min="259" max="260" width="1.6328125" style="190" customWidth="1"/>
    <col min="261" max="261" width="4" style="190" customWidth="1"/>
    <col min="262" max="262" width="24.08984375" style="190" customWidth="1"/>
    <col min="263" max="263" width="1.6328125" style="190" customWidth="1"/>
    <col min="264" max="265" width="8.08984375" style="190" customWidth="1"/>
    <col min="266" max="512" width="7.08984375" style="190"/>
    <col min="513" max="513" width="10.08984375" style="190" customWidth="1"/>
    <col min="514" max="514" width="3.54296875" style="190" customWidth="1"/>
    <col min="515" max="516" width="1.6328125" style="190" customWidth="1"/>
    <col min="517" max="517" width="4" style="190" customWidth="1"/>
    <col min="518" max="518" width="24.08984375" style="190" customWidth="1"/>
    <col min="519" max="519" width="1.6328125" style="190" customWidth="1"/>
    <col min="520" max="521" width="8.08984375" style="190" customWidth="1"/>
    <col min="522" max="768" width="7.08984375" style="190"/>
    <col min="769" max="769" width="10.08984375" style="190" customWidth="1"/>
    <col min="770" max="770" width="3.54296875" style="190" customWidth="1"/>
    <col min="771" max="772" width="1.6328125" style="190" customWidth="1"/>
    <col min="773" max="773" width="4" style="190" customWidth="1"/>
    <col min="774" max="774" width="24.08984375" style="190" customWidth="1"/>
    <col min="775" max="775" width="1.6328125" style="190" customWidth="1"/>
    <col min="776" max="777" width="8.08984375" style="190" customWidth="1"/>
    <col min="778" max="1024" width="7.08984375" style="190"/>
    <col min="1025" max="1025" width="10.08984375" style="190" customWidth="1"/>
    <col min="1026" max="1026" width="3.54296875" style="190" customWidth="1"/>
    <col min="1027" max="1028" width="1.6328125" style="190" customWidth="1"/>
    <col min="1029" max="1029" width="4" style="190" customWidth="1"/>
    <col min="1030" max="1030" width="24.08984375" style="190" customWidth="1"/>
    <col min="1031" max="1031" width="1.6328125" style="190" customWidth="1"/>
    <col min="1032" max="1033" width="8.08984375" style="190" customWidth="1"/>
    <col min="1034" max="1280" width="7.08984375" style="190"/>
    <col min="1281" max="1281" width="10.08984375" style="190" customWidth="1"/>
    <col min="1282" max="1282" width="3.54296875" style="190" customWidth="1"/>
    <col min="1283" max="1284" width="1.6328125" style="190" customWidth="1"/>
    <col min="1285" max="1285" width="4" style="190" customWidth="1"/>
    <col min="1286" max="1286" width="24.08984375" style="190" customWidth="1"/>
    <col min="1287" max="1287" width="1.6328125" style="190" customWidth="1"/>
    <col min="1288" max="1289" width="8.08984375" style="190" customWidth="1"/>
    <col min="1290" max="1536" width="7.08984375" style="190"/>
    <col min="1537" max="1537" width="10.08984375" style="190" customWidth="1"/>
    <col min="1538" max="1538" width="3.54296875" style="190" customWidth="1"/>
    <col min="1539" max="1540" width="1.6328125" style="190" customWidth="1"/>
    <col min="1541" max="1541" width="4" style="190" customWidth="1"/>
    <col min="1542" max="1542" width="24.08984375" style="190" customWidth="1"/>
    <col min="1543" max="1543" width="1.6328125" style="190" customWidth="1"/>
    <col min="1544" max="1545" width="8.08984375" style="190" customWidth="1"/>
    <col min="1546" max="1792" width="7.08984375" style="190"/>
    <col min="1793" max="1793" width="10.08984375" style="190" customWidth="1"/>
    <col min="1794" max="1794" width="3.54296875" style="190" customWidth="1"/>
    <col min="1795" max="1796" width="1.6328125" style="190" customWidth="1"/>
    <col min="1797" max="1797" width="4" style="190" customWidth="1"/>
    <col min="1798" max="1798" width="24.08984375" style="190" customWidth="1"/>
    <col min="1799" max="1799" width="1.6328125" style="190" customWidth="1"/>
    <col min="1800" max="1801" width="8.08984375" style="190" customWidth="1"/>
    <col min="1802" max="2048" width="7.08984375" style="190"/>
    <col min="2049" max="2049" width="10.08984375" style="190" customWidth="1"/>
    <col min="2050" max="2050" width="3.54296875" style="190" customWidth="1"/>
    <col min="2051" max="2052" width="1.6328125" style="190" customWidth="1"/>
    <col min="2053" max="2053" width="4" style="190" customWidth="1"/>
    <col min="2054" max="2054" width="24.08984375" style="190" customWidth="1"/>
    <col min="2055" max="2055" width="1.6328125" style="190" customWidth="1"/>
    <col min="2056" max="2057" width="8.08984375" style="190" customWidth="1"/>
    <col min="2058" max="2304" width="7.08984375" style="190"/>
    <col min="2305" max="2305" width="10.08984375" style="190" customWidth="1"/>
    <col min="2306" max="2306" width="3.54296875" style="190" customWidth="1"/>
    <col min="2307" max="2308" width="1.6328125" style="190" customWidth="1"/>
    <col min="2309" max="2309" width="4" style="190" customWidth="1"/>
    <col min="2310" max="2310" width="24.08984375" style="190" customWidth="1"/>
    <col min="2311" max="2311" width="1.6328125" style="190" customWidth="1"/>
    <col min="2312" max="2313" width="8.08984375" style="190" customWidth="1"/>
    <col min="2314" max="2560" width="7.08984375" style="190"/>
    <col min="2561" max="2561" width="10.08984375" style="190" customWidth="1"/>
    <col min="2562" max="2562" width="3.54296875" style="190" customWidth="1"/>
    <col min="2563" max="2564" width="1.6328125" style="190" customWidth="1"/>
    <col min="2565" max="2565" width="4" style="190" customWidth="1"/>
    <col min="2566" max="2566" width="24.08984375" style="190" customWidth="1"/>
    <col min="2567" max="2567" width="1.6328125" style="190" customWidth="1"/>
    <col min="2568" max="2569" width="8.08984375" style="190" customWidth="1"/>
    <col min="2570" max="2816" width="7.08984375" style="190"/>
    <col min="2817" max="2817" width="10.08984375" style="190" customWidth="1"/>
    <col min="2818" max="2818" width="3.54296875" style="190" customWidth="1"/>
    <col min="2819" max="2820" width="1.6328125" style="190" customWidth="1"/>
    <col min="2821" max="2821" width="4" style="190" customWidth="1"/>
    <col min="2822" max="2822" width="24.08984375" style="190" customWidth="1"/>
    <col min="2823" max="2823" width="1.6328125" style="190" customWidth="1"/>
    <col min="2824" max="2825" width="8.08984375" style="190" customWidth="1"/>
    <col min="2826" max="3072" width="7.08984375" style="190"/>
    <col min="3073" max="3073" width="10.08984375" style="190" customWidth="1"/>
    <col min="3074" max="3074" width="3.54296875" style="190" customWidth="1"/>
    <col min="3075" max="3076" width="1.6328125" style="190" customWidth="1"/>
    <col min="3077" max="3077" width="4" style="190" customWidth="1"/>
    <col min="3078" max="3078" width="24.08984375" style="190" customWidth="1"/>
    <col min="3079" max="3079" width="1.6328125" style="190" customWidth="1"/>
    <col min="3080" max="3081" width="8.08984375" style="190" customWidth="1"/>
    <col min="3082" max="3328" width="7.08984375" style="190"/>
    <col min="3329" max="3329" width="10.08984375" style="190" customWidth="1"/>
    <col min="3330" max="3330" width="3.54296875" style="190" customWidth="1"/>
    <col min="3331" max="3332" width="1.6328125" style="190" customWidth="1"/>
    <col min="3333" max="3333" width="4" style="190" customWidth="1"/>
    <col min="3334" max="3334" width="24.08984375" style="190" customWidth="1"/>
    <col min="3335" max="3335" width="1.6328125" style="190" customWidth="1"/>
    <col min="3336" max="3337" width="8.08984375" style="190" customWidth="1"/>
    <col min="3338" max="3584" width="7.08984375" style="190"/>
    <col min="3585" max="3585" width="10.08984375" style="190" customWidth="1"/>
    <col min="3586" max="3586" width="3.54296875" style="190" customWidth="1"/>
    <col min="3587" max="3588" width="1.6328125" style="190" customWidth="1"/>
    <col min="3589" max="3589" width="4" style="190" customWidth="1"/>
    <col min="3590" max="3590" width="24.08984375" style="190" customWidth="1"/>
    <col min="3591" max="3591" width="1.6328125" style="190" customWidth="1"/>
    <col min="3592" max="3593" width="8.08984375" style="190" customWidth="1"/>
    <col min="3594" max="3840" width="7.08984375" style="190"/>
    <col min="3841" max="3841" width="10.08984375" style="190" customWidth="1"/>
    <col min="3842" max="3842" width="3.54296875" style="190" customWidth="1"/>
    <col min="3843" max="3844" width="1.6328125" style="190" customWidth="1"/>
    <col min="3845" max="3845" width="4" style="190" customWidth="1"/>
    <col min="3846" max="3846" width="24.08984375" style="190" customWidth="1"/>
    <col min="3847" max="3847" width="1.6328125" style="190" customWidth="1"/>
    <col min="3848" max="3849" width="8.08984375" style="190" customWidth="1"/>
    <col min="3850" max="4096" width="7.08984375" style="190"/>
    <col min="4097" max="4097" width="10.08984375" style="190" customWidth="1"/>
    <col min="4098" max="4098" width="3.54296875" style="190" customWidth="1"/>
    <col min="4099" max="4100" width="1.6328125" style="190" customWidth="1"/>
    <col min="4101" max="4101" width="4" style="190" customWidth="1"/>
    <col min="4102" max="4102" width="24.08984375" style="190" customWidth="1"/>
    <col min="4103" max="4103" width="1.6328125" style="190" customWidth="1"/>
    <col min="4104" max="4105" width="8.08984375" style="190" customWidth="1"/>
    <col min="4106" max="4352" width="7.08984375" style="190"/>
    <col min="4353" max="4353" width="10.08984375" style="190" customWidth="1"/>
    <col min="4354" max="4354" width="3.54296875" style="190" customWidth="1"/>
    <col min="4355" max="4356" width="1.6328125" style="190" customWidth="1"/>
    <col min="4357" max="4357" width="4" style="190" customWidth="1"/>
    <col min="4358" max="4358" width="24.08984375" style="190" customWidth="1"/>
    <col min="4359" max="4359" width="1.6328125" style="190" customWidth="1"/>
    <col min="4360" max="4361" width="8.08984375" style="190" customWidth="1"/>
    <col min="4362" max="4608" width="7.08984375" style="190"/>
    <col min="4609" max="4609" width="10.08984375" style="190" customWidth="1"/>
    <col min="4610" max="4610" width="3.54296875" style="190" customWidth="1"/>
    <col min="4611" max="4612" width="1.6328125" style="190" customWidth="1"/>
    <col min="4613" max="4613" width="4" style="190" customWidth="1"/>
    <col min="4614" max="4614" width="24.08984375" style="190" customWidth="1"/>
    <col min="4615" max="4615" width="1.6328125" style="190" customWidth="1"/>
    <col min="4616" max="4617" width="8.08984375" style="190" customWidth="1"/>
    <col min="4618" max="4864" width="7.08984375" style="190"/>
    <col min="4865" max="4865" width="10.08984375" style="190" customWidth="1"/>
    <col min="4866" max="4866" width="3.54296875" style="190" customWidth="1"/>
    <col min="4867" max="4868" width="1.6328125" style="190" customWidth="1"/>
    <col min="4869" max="4869" width="4" style="190" customWidth="1"/>
    <col min="4870" max="4870" width="24.08984375" style="190" customWidth="1"/>
    <col min="4871" max="4871" width="1.6328125" style="190" customWidth="1"/>
    <col min="4872" max="4873" width="8.08984375" style="190" customWidth="1"/>
    <col min="4874" max="5120" width="7.08984375" style="190"/>
    <col min="5121" max="5121" width="10.08984375" style="190" customWidth="1"/>
    <col min="5122" max="5122" width="3.54296875" style="190" customWidth="1"/>
    <col min="5123" max="5124" width="1.6328125" style="190" customWidth="1"/>
    <col min="5125" max="5125" width="4" style="190" customWidth="1"/>
    <col min="5126" max="5126" width="24.08984375" style="190" customWidth="1"/>
    <col min="5127" max="5127" width="1.6328125" style="190" customWidth="1"/>
    <col min="5128" max="5129" width="8.08984375" style="190" customWidth="1"/>
    <col min="5130" max="5376" width="7.08984375" style="190"/>
    <col min="5377" max="5377" width="10.08984375" style="190" customWidth="1"/>
    <col min="5378" max="5378" width="3.54296875" style="190" customWidth="1"/>
    <col min="5379" max="5380" width="1.6328125" style="190" customWidth="1"/>
    <col min="5381" max="5381" width="4" style="190" customWidth="1"/>
    <col min="5382" max="5382" width="24.08984375" style="190" customWidth="1"/>
    <col min="5383" max="5383" width="1.6328125" style="190" customWidth="1"/>
    <col min="5384" max="5385" width="8.08984375" style="190" customWidth="1"/>
    <col min="5386" max="5632" width="7.08984375" style="190"/>
    <col min="5633" max="5633" width="10.08984375" style="190" customWidth="1"/>
    <col min="5634" max="5634" width="3.54296875" style="190" customWidth="1"/>
    <col min="5635" max="5636" width="1.6328125" style="190" customWidth="1"/>
    <col min="5637" max="5637" width="4" style="190" customWidth="1"/>
    <col min="5638" max="5638" width="24.08984375" style="190" customWidth="1"/>
    <col min="5639" max="5639" width="1.6328125" style="190" customWidth="1"/>
    <col min="5640" max="5641" width="8.08984375" style="190" customWidth="1"/>
    <col min="5642" max="5888" width="7.08984375" style="190"/>
    <col min="5889" max="5889" width="10.08984375" style="190" customWidth="1"/>
    <col min="5890" max="5890" width="3.54296875" style="190" customWidth="1"/>
    <col min="5891" max="5892" width="1.6328125" style="190" customWidth="1"/>
    <col min="5893" max="5893" width="4" style="190" customWidth="1"/>
    <col min="5894" max="5894" width="24.08984375" style="190" customWidth="1"/>
    <col min="5895" max="5895" width="1.6328125" style="190" customWidth="1"/>
    <col min="5896" max="5897" width="8.08984375" style="190" customWidth="1"/>
    <col min="5898" max="6144" width="7.08984375" style="190"/>
    <col min="6145" max="6145" width="10.08984375" style="190" customWidth="1"/>
    <col min="6146" max="6146" width="3.54296875" style="190" customWidth="1"/>
    <col min="6147" max="6148" width="1.6328125" style="190" customWidth="1"/>
    <col min="6149" max="6149" width="4" style="190" customWidth="1"/>
    <col min="6150" max="6150" width="24.08984375" style="190" customWidth="1"/>
    <col min="6151" max="6151" width="1.6328125" style="190" customWidth="1"/>
    <col min="6152" max="6153" width="8.08984375" style="190" customWidth="1"/>
    <col min="6154" max="6400" width="7.08984375" style="190"/>
    <col min="6401" max="6401" width="10.08984375" style="190" customWidth="1"/>
    <col min="6402" max="6402" width="3.54296875" style="190" customWidth="1"/>
    <col min="6403" max="6404" width="1.6328125" style="190" customWidth="1"/>
    <col min="6405" max="6405" width="4" style="190" customWidth="1"/>
    <col min="6406" max="6406" width="24.08984375" style="190" customWidth="1"/>
    <col min="6407" max="6407" width="1.6328125" style="190" customWidth="1"/>
    <col min="6408" max="6409" width="8.08984375" style="190" customWidth="1"/>
    <col min="6410" max="6656" width="7.08984375" style="190"/>
    <col min="6657" max="6657" width="10.08984375" style="190" customWidth="1"/>
    <col min="6658" max="6658" width="3.54296875" style="190" customWidth="1"/>
    <col min="6659" max="6660" width="1.6328125" style="190" customWidth="1"/>
    <col min="6661" max="6661" width="4" style="190" customWidth="1"/>
    <col min="6662" max="6662" width="24.08984375" style="190" customWidth="1"/>
    <col min="6663" max="6663" width="1.6328125" style="190" customWidth="1"/>
    <col min="6664" max="6665" width="8.08984375" style="190" customWidth="1"/>
    <col min="6666" max="6912" width="7.08984375" style="190"/>
    <col min="6913" max="6913" width="10.08984375" style="190" customWidth="1"/>
    <col min="6914" max="6914" width="3.54296875" style="190" customWidth="1"/>
    <col min="6915" max="6916" width="1.6328125" style="190" customWidth="1"/>
    <col min="6917" max="6917" width="4" style="190" customWidth="1"/>
    <col min="6918" max="6918" width="24.08984375" style="190" customWidth="1"/>
    <col min="6919" max="6919" width="1.6328125" style="190" customWidth="1"/>
    <col min="6920" max="6921" width="8.08984375" style="190" customWidth="1"/>
    <col min="6922" max="7168" width="7.08984375" style="190"/>
    <col min="7169" max="7169" width="10.08984375" style="190" customWidth="1"/>
    <col min="7170" max="7170" width="3.54296875" style="190" customWidth="1"/>
    <col min="7171" max="7172" width="1.6328125" style="190" customWidth="1"/>
    <col min="7173" max="7173" width="4" style="190" customWidth="1"/>
    <col min="7174" max="7174" width="24.08984375" style="190" customWidth="1"/>
    <col min="7175" max="7175" width="1.6328125" style="190" customWidth="1"/>
    <col min="7176" max="7177" width="8.08984375" style="190" customWidth="1"/>
    <col min="7178" max="7424" width="7.08984375" style="190"/>
    <col min="7425" max="7425" width="10.08984375" style="190" customWidth="1"/>
    <col min="7426" max="7426" width="3.54296875" style="190" customWidth="1"/>
    <col min="7427" max="7428" width="1.6328125" style="190" customWidth="1"/>
    <col min="7429" max="7429" width="4" style="190" customWidth="1"/>
    <col min="7430" max="7430" width="24.08984375" style="190" customWidth="1"/>
    <col min="7431" max="7431" width="1.6328125" style="190" customWidth="1"/>
    <col min="7432" max="7433" width="8.08984375" style="190" customWidth="1"/>
    <col min="7434" max="7680" width="7.08984375" style="190"/>
    <col min="7681" max="7681" width="10.08984375" style="190" customWidth="1"/>
    <col min="7682" max="7682" width="3.54296875" style="190" customWidth="1"/>
    <col min="7683" max="7684" width="1.6328125" style="190" customWidth="1"/>
    <col min="7685" max="7685" width="4" style="190" customWidth="1"/>
    <col min="7686" max="7686" width="24.08984375" style="190" customWidth="1"/>
    <col min="7687" max="7687" width="1.6328125" style="190" customWidth="1"/>
    <col min="7688" max="7689" width="8.08984375" style="190" customWidth="1"/>
    <col min="7690" max="7936" width="7.08984375" style="190"/>
    <col min="7937" max="7937" width="10.08984375" style="190" customWidth="1"/>
    <col min="7938" max="7938" width="3.54296875" style="190" customWidth="1"/>
    <col min="7939" max="7940" width="1.6328125" style="190" customWidth="1"/>
    <col min="7941" max="7941" width="4" style="190" customWidth="1"/>
    <col min="7942" max="7942" width="24.08984375" style="190" customWidth="1"/>
    <col min="7943" max="7943" width="1.6328125" style="190" customWidth="1"/>
    <col min="7944" max="7945" width="8.08984375" style="190" customWidth="1"/>
    <col min="7946" max="8192" width="7.08984375" style="190"/>
    <col min="8193" max="8193" width="10.08984375" style="190" customWidth="1"/>
    <col min="8194" max="8194" width="3.54296875" style="190" customWidth="1"/>
    <col min="8195" max="8196" width="1.6328125" style="190" customWidth="1"/>
    <col min="8197" max="8197" width="4" style="190" customWidth="1"/>
    <col min="8198" max="8198" width="24.08984375" style="190" customWidth="1"/>
    <col min="8199" max="8199" width="1.6328125" style="190" customWidth="1"/>
    <col min="8200" max="8201" width="8.08984375" style="190" customWidth="1"/>
    <col min="8202" max="8448" width="7.08984375" style="190"/>
    <col min="8449" max="8449" width="10.08984375" style="190" customWidth="1"/>
    <col min="8450" max="8450" width="3.54296875" style="190" customWidth="1"/>
    <col min="8451" max="8452" width="1.6328125" style="190" customWidth="1"/>
    <col min="8453" max="8453" width="4" style="190" customWidth="1"/>
    <col min="8454" max="8454" width="24.08984375" style="190" customWidth="1"/>
    <col min="8455" max="8455" width="1.6328125" style="190" customWidth="1"/>
    <col min="8456" max="8457" width="8.08984375" style="190" customWidth="1"/>
    <col min="8458" max="8704" width="7.08984375" style="190"/>
    <col min="8705" max="8705" width="10.08984375" style="190" customWidth="1"/>
    <col min="8706" max="8706" width="3.54296875" style="190" customWidth="1"/>
    <col min="8707" max="8708" width="1.6328125" style="190" customWidth="1"/>
    <col min="8709" max="8709" width="4" style="190" customWidth="1"/>
    <col min="8710" max="8710" width="24.08984375" style="190" customWidth="1"/>
    <col min="8711" max="8711" width="1.6328125" style="190" customWidth="1"/>
    <col min="8712" max="8713" width="8.08984375" style="190" customWidth="1"/>
    <col min="8714" max="8960" width="7.08984375" style="190"/>
    <col min="8961" max="8961" width="10.08984375" style="190" customWidth="1"/>
    <col min="8962" max="8962" width="3.54296875" style="190" customWidth="1"/>
    <col min="8963" max="8964" width="1.6328125" style="190" customWidth="1"/>
    <col min="8965" max="8965" width="4" style="190" customWidth="1"/>
    <col min="8966" max="8966" width="24.08984375" style="190" customWidth="1"/>
    <col min="8967" max="8967" width="1.6328125" style="190" customWidth="1"/>
    <col min="8968" max="8969" width="8.08984375" style="190" customWidth="1"/>
    <col min="8970" max="9216" width="7.08984375" style="190"/>
    <col min="9217" max="9217" width="10.08984375" style="190" customWidth="1"/>
    <col min="9218" max="9218" width="3.54296875" style="190" customWidth="1"/>
    <col min="9219" max="9220" width="1.6328125" style="190" customWidth="1"/>
    <col min="9221" max="9221" width="4" style="190" customWidth="1"/>
    <col min="9222" max="9222" width="24.08984375" style="190" customWidth="1"/>
    <col min="9223" max="9223" width="1.6328125" style="190" customWidth="1"/>
    <col min="9224" max="9225" width="8.08984375" style="190" customWidth="1"/>
    <col min="9226" max="9472" width="7.08984375" style="190"/>
    <col min="9473" max="9473" width="10.08984375" style="190" customWidth="1"/>
    <col min="9474" max="9474" width="3.54296875" style="190" customWidth="1"/>
    <col min="9475" max="9476" width="1.6328125" style="190" customWidth="1"/>
    <col min="9477" max="9477" width="4" style="190" customWidth="1"/>
    <col min="9478" max="9478" width="24.08984375" style="190" customWidth="1"/>
    <col min="9479" max="9479" width="1.6328125" style="190" customWidth="1"/>
    <col min="9480" max="9481" width="8.08984375" style="190" customWidth="1"/>
    <col min="9482" max="9728" width="7.08984375" style="190"/>
    <col min="9729" max="9729" width="10.08984375" style="190" customWidth="1"/>
    <col min="9730" max="9730" width="3.54296875" style="190" customWidth="1"/>
    <col min="9731" max="9732" width="1.6328125" style="190" customWidth="1"/>
    <col min="9733" max="9733" width="4" style="190" customWidth="1"/>
    <col min="9734" max="9734" width="24.08984375" style="190" customWidth="1"/>
    <col min="9735" max="9735" width="1.6328125" style="190" customWidth="1"/>
    <col min="9736" max="9737" width="8.08984375" style="190" customWidth="1"/>
    <col min="9738" max="9984" width="7.08984375" style="190"/>
    <col min="9985" max="9985" width="10.08984375" style="190" customWidth="1"/>
    <col min="9986" max="9986" width="3.54296875" style="190" customWidth="1"/>
    <col min="9987" max="9988" width="1.6328125" style="190" customWidth="1"/>
    <col min="9989" max="9989" width="4" style="190" customWidth="1"/>
    <col min="9990" max="9990" width="24.08984375" style="190" customWidth="1"/>
    <col min="9991" max="9991" width="1.6328125" style="190" customWidth="1"/>
    <col min="9992" max="9993" width="8.08984375" style="190" customWidth="1"/>
    <col min="9994" max="10240" width="7.08984375" style="190"/>
    <col min="10241" max="10241" width="10.08984375" style="190" customWidth="1"/>
    <col min="10242" max="10242" width="3.54296875" style="190" customWidth="1"/>
    <col min="10243" max="10244" width="1.6328125" style="190" customWidth="1"/>
    <col min="10245" max="10245" width="4" style="190" customWidth="1"/>
    <col min="10246" max="10246" width="24.08984375" style="190" customWidth="1"/>
    <col min="10247" max="10247" width="1.6328125" style="190" customWidth="1"/>
    <col min="10248" max="10249" width="8.08984375" style="190" customWidth="1"/>
    <col min="10250" max="10496" width="7.08984375" style="190"/>
    <col min="10497" max="10497" width="10.08984375" style="190" customWidth="1"/>
    <col min="10498" max="10498" width="3.54296875" style="190" customWidth="1"/>
    <col min="10499" max="10500" width="1.6328125" style="190" customWidth="1"/>
    <col min="10501" max="10501" width="4" style="190" customWidth="1"/>
    <col min="10502" max="10502" width="24.08984375" style="190" customWidth="1"/>
    <col min="10503" max="10503" width="1.6328125" style="190" customWidth="1"/>
    <col min="10504" max="10505" width="8.08984375" style="190" customWidth="1"/>
    <col min="10506" max="10752" width="7.08984375" style="190"/>
    <col min="10753" max="10753" width="10.08984375" style="190" customWidth="1"/>
    <col min="10754" max="10754" width="3.54296875" style="190" customWidth="1"/>
    <col min="10755" max="10756" width="1.6328125" style="190" customWidth="1"/>
    <col min="10757" max="10757" width="4" style="190" customWidth="1"/>
    <col min="10758" max="10758" width="24.08984375" style="190" customWidth="1"/>
    <col min="10759" max="10759" width="1.6328125" style="190" customWidth="1"/>
    <col min="10760" max="10761" width="8.08984375" style="190" customWidth="1"/>
    <col min="10762" max="11008" width="7.08984375" style="190"/>
    <col min="11009" max="11009" width="10.08984375" style="190" customWidth="1"/>
    <col min="11010" max="11010" width="3.54296875" style="190" customWidth="1"/>
    <col min="11011" max="11012" width="1.6328125" style="190" customWidth="1"/>
    <col min="11013" max="11013" width="4" style="190" customWidth="1"/>
    <col min="11014" max="11014" width="24.08984375" style="190" customWidth="1"/>
    <col min="11015" max="11015" width="1.6328125" style="190" customWidth="1"/>
    <col min="11016" max="11017" width="8.08984375" style="190" customWidth="1"/>
    <col min="11018" max="11264" width="7.08984375" style="190"/>
    <col min="11265" max="11265" width="10.08984375" style="190" customWidth="1"/>
    <col min="11266" max="11266" width="3.54296875" style="190" customWidth="1"/>
    <col min="11267" max="11268" width="1.6328125" style="190" customWidth="1"/>
    <col min="11269" max="11269" width="4" style="190" customWidth="1"/>
    <col min="11270" max="11270" width="24.08984375" style="190" customWidth="1"/>
    <col min="11271" max="11271" width="1.6328125" style="190" customWidth="1"/>
    <col min="11272" max="11273" width="8.08984375" style="190" customWidth="1"/>
    <col min="11274" max="11520" width="7.08984375" style="190"/>
    <col min="11521" max="11521" width="10.08984375" style="190" customWidth="1"/>
    <col min="11522" max="11522" width="3.54296875" style="190" customWidth="1"/>
    <col min="11523" max="11524" width="1.6328125" style="190" customWidth="1"/>
    <col min="11525" max="11525" width="4" style="190" customWidth="1"/>
    <col min="11526" max="11526" width="24.08984375" style="190" customWidth="1"/>
    <col min="11527" max="11527" width="1.6328125" style="190" customWidth="1"/>
    <col min="11528" max="11529" width="8.08984375" style="190" customWidth="1"/>
    <col min="11530" max="11776" width="7.08984375" style="190"/>
    <col min="11777" max="11777" width="10.08984375" style="190" customWidth="1"/>
    <col min="11778" max="11778" width="3.54296875" style="190" customWidth="1"/>
    <col min="11779" max="11780" width="1.6328125" style="190" customWidth="1"/>
    <col min="11781" max="11781" width="4" style="190" customWidth="1"/>
    <col min="11782" max="11782" width="24.08984375" style="190" customWidth="1"/>
    <col min="11783" max="11783" width="1.6328125" style="190" customWidth="1"/>
    <col min="11784" max="11785" width="8.08984375" style="190" customWidth="1"/>
    <col min="11786" max="12032" width="7.08984375" style="190"/>
    <col min="12033" max="12033" width="10.08984375" style="190" customWidth="1"/>
    <col min="12034" max="12034" width="3.54296875" style="190" customWidth="1"/>
    <col min="12035" max="12036" width="1.6328125" style="190" customWidth="1"/>
    <col min="12037" max="12037" width="4" style="190" customWidth="1"/>
    <col min="12038" max="12038" width="24.08984375" style="190" customWidth="1"/>
    <col min="12039" max="12039" width="1.6328125" style="190" customWidth="1"/>
    <col min="12040" max="12041" width="8.08984375" style="190" customWidth="1"/>
    <col min="12042" max="12288" width="7.08984375" style="190"/>
    <col min="12289" max="12289" width="10.08984375" style="190" customWidth="1"/>
    <col min="12290" max="12290" width="3.54296875" style="190" customWidth="1"/>
    <col min="12291" max="12292" width="1.6328125" style="190" customWidth="1"/>
    <col min="12293" max="12293" width="4" style="190" customWidth="1"/>
    <col min="12294" max="12294" width="24.08984375" style="190" customWidth="1"/>
    <col min="12295" max="12295" width="1.6328125" style="190" customWidth="1"/>
    <col min="12296" max="12297" width="8.08984375" style="190" customWidth="1"/>
    <col min="12298" max="12544" width="7.08984375" style="190"/>
    <col min="12545" max="12545" width="10.08984375" style="190" customWidth="1"/>
    <col min="12546" max="12546" width="3.54296875" style="190" customWidth="1"/>
    <col min="12547" max="12548" width="1.6328125" style="190" customWidth="1"/>
    <col min="12549" max="12549" width="4" style="190" customWidth="1"/>
    <col min="12550" max="12550" width="24.08984375" style="190" customWidth="1"/>
    <col min="12551" max="12551" width="1.6328125" style="190" customWidth="1"/>
    <col min="12552" max="12553" width="8.08984375" style="190" customWidth="1"/>
    <col min="12554" max="12800" width="7.08984375" style="190"/>
    <col min="12801" max="12801" width="10.08984375" style="190" customWidth="1"/>
    <col min="12802" max="12802" width="3.54296875" style="190" customWidth="1"/>
    <col min="12803" max="12804" width="1.6328125" style="190" customWidth="1"/>
    <col min="12805" max="12805" width="4" style="190" customWidth="1"/>
    <col min="12806" max="12806" width="24.08984375" style="190" customWidth="1"/>
    <col min="12807" max="12807" width="1.6328125" style="190" customWidth="1"/>
    <col min="12808" max="12809" width="8.08984375" style="190" customWidth="1"/>
    <col min="12810" max="13056" width="7.08984375" style="190"/>
    <col min="13057" max="13057" width="10.08984375" style="190" customWidth="1"/>
    <col min="13058" max="13058" width="3.54296875" style="190" customWidth="1"/>
    <col min="13059" max="13060" width="1.6328125" style="190" customWidth="1"/>
    <col min="13061" max="13061" width="4" style="190" customWidth="1"/>
    <col min="13062" max="13062" width="24.08984375" style="190" customWidth="1"/>
    <col min="13063" max="13063" width="1.6328125" style="190" customWidth="1"/>
    <col min="13064" max="13065" width="8.08984375" style="190" customWidth="1"/>
    <col min="13066" max="13312" width="7.08984375" style="190"/>
    <col min="13313" max="13313" width="10.08984375" style="190" customWidth="1"/>
    <col min="13314" max="13314" width="3.54296875" style="190" customWidth="1"/>
    <col min="13315" max="13316" width="1.6328125" style="190" customWidth="1"/>
    <col min="13317" max="13317" width="4" style="190" customWidth="1"/>
    <col min="13318" max="13318" width="24.08984375" style="190" customWidth="1"/>
    <col min="13319" max="13319" width="1.6328125" style="190" customWidth="1"/>
    <col min="13320" max="13321" width="8.08984375" style="190" customWidth="1"/>
    <col min="13322" max="13568" width="7.08984375" style="190"/>
    <col min="13569" max="13569" width="10.08984375" style="190" customWidth="1"/>
    <col min="13570" max="13570" width="3.54296875" style="190" customWidth="1"/>
    <col min="13571" max="13572" width="1.6328125" style="190" customWidth="1"/>
    <col min="13573" max="13573" width="4" style="190" customWidth="1"/>
    <col min="13574" max="13574" width="24.08984375" style="190" customWidth="1"/>
    <col min="13575" max="13575" width="1.6328125" style="190" customWidth="1"/>
    <col min="13576" max="13577" width="8.08984375" style="190" customWidth="1"/>
    <col min="13578" max="13824" width="7.08984375" style="190"/>
    <col min="13825" max="13825" width="10.08984375" style="190" customWidth="1"/>
    <col min="13826" max="13826" width="3.54296875" style="190" customWidth="1"/>
    <col min="13827" max="13828" width="1.6328125" style="190" customWidth="1"/>
    <col min="13829" max="13829" width="4" style="190" customWidth="1"/>
    <col min="13830" max="13830" width="24.08984375" style="190" customWidth="1"/>
    <col min="13831" max="13831" width="1.6328125" style="190" customWidth="1"/>
    <col min="13832" max="13833" width="8.08984375" style="190" customWidth="1"/>
    <col min="13834" max="14080" width="7.08984375" style="190"/>
    <col min="14081" max="14081" width="10.08984375" style="190" customWidth="1"/>
    <col min="14082" max="14082" width="3.54296875" style="190" customWidth="1"/>
    <col min="14083" max="14084" width="1.6328125" style="190" customWidth="1"/>
    <col min="14085" max="14085" width="4" style="190" customWidth="1"/>
    <col min="14086" max="14086" width="24.08984375" style="190" customWidth="1"/>
    <col min="14087" max="14087" width="1.6328125" style="190" customWidth="1"/>
    <col min="14088" max="14089" width="8.08984375" style="190" customWidth="1"/>
    <col min="14090" max="14336" width="7.08984375" style="190"/>
    <col min="14337" max="14337" width="10.08984375" style="190" customWidth="1"/>
    <col min="14338" max="14338" width="3.54296875" style="190" customWidth="1"/>
    <col min="14339" max="14340" width="1.6328125" style="190" customWidth="1"/>
    <col min="14341" max="14341" width="4" style="190" customWidth="1"/>
    <col min="14342" max="14342" width="24.08984375" style="190" customWidth="1"/>
    <col min="14343" max="14343" width="1.6328125" style="190" customWidth="1"/>
    <col min="14344" max="14345" width="8.08984375" style="190" customWidth="1"/>
    <col min="14346" max="14592" width="7.08984375" style="190"/>
    <col min="14593" max="14593" width="10.08984375" style="190" customWidth="1"/>
    <col min="14594" max="14594" width="3.54296875" style="190" customWidth="1"/>
    <col min="14595" max="14596" width="1.6328125" style="190" customWidth="1"/>
    <col min="14597" max="14597" width="4" style="190" customWidth="1"/>
    <col min="14598" max="14598" width="24.08984375" style="190" customWidth="1"/>
    <col min="14599" max="14599" width="1.6328125" style="190" customWidth="1"/>
    <col min="14600" max="14601" width="8.08984375" style="190" customWidth="1"/>
    <col min="14602" max="14848" width="7.08984375" style="190"/>
    <col min="14849" max="14849" width="10.08984375" style="190" customWidth="1"/>
    <col min="14850" max="14850" width="3.54296875" style="190" customWidth="1"/>
    <col min="14851" max="14852" width="1.6328125" style="190" customWidth="1"/>
    <col min="14853" max="14853" width="4" style="190" customWidth="1"/>
    <col min="14854" max="14854" width="24.08984375" style="190" customWidth="1"/>
    <col min="14855" max="14855" width="1.6328125" style="190" customWidth="1"/>
    <col min="14856" max="14857" width="8.08984375" style="190" customWidth="1"/>
    <col min="14858" max="15104" width="7.08984375" style="190"/>
    <col min="15105" max="15105" width="10.08984375" style="190" customWidth="1"/>
    <col min="15106" max="15106" width="3.54296875" style="190" customWidth="1"/>
    <col min="15107" max="15108" width="1.6328125" style="190" customWidth="1"/>
    <col min="15109" max="15109" width="4" style="190" customWidth="1"/>
    <col min="15110" max="15110" width="24.08984375" style="190" customWidth="1"/>
    <col min="15111" max="15111" width="1.6328125" style="190" customWidth="1"/>
    <col min="15112" max="15113" width="8.08984375" style="190" customWidth="1"/>
    <col min="15114" max="15360" width="7.08984375" style="190"/>
    <col min="15361" max="15361" width="10.08984375" style="190" customWidth="1"/>
    <col min="15362" max="15362" width="3.54296875" style="190" customWidth="1"/>
    <col min="15363" max="15364" width="1.6328125" style="190" customWidth="1"/>
    <col min="15365" max="15365" width="4" style="190" customWidth="1"/>
    <col min="15366" max="15366" width="24.08984375" style="190" customWidth="1"/>
    <col min="15367" max="15367" width="1.6328125" style="190" customWidth="1"/>
    <col min="15368" max="15369" width="8.08984375" style="190" customWidth="1"/>
    <col min="15370" max="15616" width="7.08984375" style="190"/>
    <col min="15617" max="15617" width="10.08984375" style="190" customWidth="1"/>
    <col min="15618" max="15618" width="3.54296875" style="190" customWidth="1"/>
    <col min="15619" max="15620" width="1.6328125" style="190" customWidth="1"/>
    <col min="15621" max="15621" width="4" style="190" customWidth="1"/>
    <col min="15622" max="15622" width="24.08984375" style="190" customWidth="1"/>
    <col min="15623" max="15623" width="1.6328125" style="190" customWidth="1"/>
    <col min="15624" max="15625" width="8.08984375" style="190" customWidth="1"/>
    <col min="15626" max="15872" width="7.08984375" style="190"/>
    <col min="15873" max="15873" width="10.08984375" style="190" customWidth="1"/>
    <col min="15874" max="15874" width="3.54296875" style="190" customWidth="1"/>
    <col min="15875" max="15876" width="1.6328125" style="190" customWidth="1"/>
    <col min="15877" max="15877" width="4" style="190" customWidth="1"/>
    <col min="15878" max="15878" width="24.08984375" style="190" customWidth="1"/>
    <col min="15879" max="15879" width="1.6328125" style="190" customWidth="1"/>
    <col min="15880" max="15881" width="8.08984375" style="190" customWidth="1"/>
    <col min="15882" max="16128" width="7.08984375" style="190"/>
    <col min="16129" max="16129" width="10.08984375" style="190" customWidth="1"/>
    <col min="16130" max="16130" width="3.54296875" style="190" customWidth="1"/>
    <col min="16131" max="16132" width="1.6328125" style="190" customWidth="1"/>
    <col min="16133" max="16133" width="4" style="190" customWidth="1"/>
    <col min="16134" max="16134" width="24.08984375" style="190" customWidth="1"/>
    <col min="16135" max="16135" width="1.6328125" style="190" customWidth="1"/>
    <col min="16136" max="16137" width="8.08984375" style="190" customWidth="1"/>
    <col min="16138" max="16384" width="7.08984375" style="190"/>
  </cols>
  <sheetData>
    <row r="1" spans="1:9" ht="14.25" customHeight="1">
      <c r="A1" s="935" t="s">
        <v>416</v>
      </c>
      <c r="B1" s="935"/>
      <c r="C1" s="935"/>
      <c r="D1" s="935"/>
      <c r="E1" s="935"/>
      <c r="F1" s="935"/>
      <c r="G1" s="935"/>
      <c r="H1" s="206"/>
    </row>
    <row r="2" spans="1:9">
      <c r="A2" s="935" t="s">
        <v>1231</v>
      </c>
      <c r="B2" s="935"/>
      <c r="C2" s="935"/>
      <c r="D2" s="935"/>
      <c r="E2" s="935"/>
      <c r="F2" s="935"/>
      <c r="G2" s="935"/>
      <c r="H2" s="206"/>
    </row>
    <row r="3" spans="1:9">
      <c r="A3" s="936" t="str">
        <f>'Act Att-H'!C7</f>
        <v>Black Hills Colorado Electric, LLC</v>
      </c>
      <c r="B3" s="936"/>
      <c r="C3" s="936"/>
      <c r="D3" s="936"/>
      <c r="E3" s="936"/>
      <c r="F3" s="936"/>
      <c r="G3" s="936"/>
      <c r="H3" s="218"/>
    </row>
    <row r="4" spans="1:9">
      <c r="F4" s="2"/>
      <c r="G4" s="192" t="s">
        <v>515</v>
      </c>
    </row>
    <row r="5" spans="1:9">
      <c r="A5" s="206"/>
      <c r="B5" s="206"/>
      <c r="C5" s="206"/>
      <c r="D5" s="206"/>
      <c r="E5" s="206"/>
      <c r="F5" s="206"/>
      <c r="G5" s="206"/>
      <c r="H5" s="206"/>
    </row>
    <row r="6" spans="1:9" ht="60.75" customHeight="1">
      <c r="B6" s="116" t="s">
        <v>4</v>
      </c>
      <c r="C6" s="116" t="s">
        <v>219</v>
      </c>
      <c r="D6" s="219" t="s">
        <v>220</v>
      </c>
      <c r="E6" s="219" t="s">
        <v>1221</v>
      </c>
      <c r="F6" s="219" t="s">
        <v>1222</v>
      </c>
      <c r="G6" s="219" t="s">
        <v>1069</v>
      </c>
      <c r="H6" s="190"/>
    </row>
    <row r="7" spans="1:9" ht="15" customHeight="1">
      <c r="B7" s="215"/>
      <c r="C7" s="220" t="s">
        <v>138</v>
      </c>
      <c r="D7" s="221" t="s">
        <v>139</v>
      </c>
      <c r="E7" s="221" t="s">
        <v>140</v>
      </c>
      <c r="F7" s="221" t="s">
        <v>141</v>
      </c>
      <c r="G7" s="221" t="s">
        <v>142</v>
      </c>
      <c r="H7" s="190"/>
    </row>
    <row r="8" spans="1:9" ht="15" customHeight="1">
      <c r="B8" s="193">
        <v>1</v>
      </c>
      <c r="C8" s="392" t="s">
        <v>146</v>
      </c>
      <c r="D8" s="391">
        <v>2023</v>
      </c>
      <c r="E8" s="663">
        <f>(279+15+58)*1000</f>
        <v>352000</v>
      </c>
      <c r="F8" s="222">
        <f>E8</f>
        <v>352000</v>
      </c>
      <c r="G8" s="223"/>
      <c r="H8" s="190"/>
      <c r="I8" s="907"/>
    </row>
    <row r="9" spans="1:9" ht="15" customHeight="1">
      <c r="B9" s="193">
        <v>2</v>
      </c>
      <c r="C9" s="392" t="s">
        <v>147</v>
      </c>
      <c r="D9" s="393">
        <f>D8</f>
        <v>2023</v>
      </c>
      <c r="E9" s="663">
        <f>(282+15+58)*1000</f>
        <v>355000</v>
      </c>
      <c r="F9" s="222">
        <f t="shared" ref="F9:F15" si="0">E9</f>
        <v>355000</v>
      </c>
      <c r="G9" s="223"/>
      <c r="H9" s="190"/>
      <c r="I9" s="907"/>
    </row>
    <row r="10" spans="1:9" ht="15" customHeight="1">
      <c r="B10" s="193">
        <v>3</v>
      </c>
      <c r="C10" s="392" t="s">
        <v>397</v>
      </c>
      <c r="D10" s="393">
        <f t="shared" ref="D10:D19" si="1">D9</f>
        <v>2023</v>
      </c>
      <c r="E10" s="663">
        <f>(256+12+58)*1000</f>
        <v>326000</v>
      </c>
      <c r="F10" s="222">
        <f t="shared" si="0"/>
        <v>326000</v>
      </c>
      <c r="G10" s="223"/>
      <c r="H10" s="190"/>
      <c r="I10" s="907"/>
    </row>
    <row r="11" spans="1:9" ht="15" customHeight="1">
      <c r="B11" s="193">
        <v>4</v>
      </c>
      <c r="C11" s="392" t="s">
        <v>148</v>
      </c>
      <c r="D11" s="393">
        <f t="shared" si="1"/>
        <v>2023</v>
      </c>
      <c r="E11" s="663">
        <f>(240+10+58)*1000</f>
        <v>308000</v>
      </c>
      <c r="F11" s="222">
        <f t="shared" si="0"/>
        <v>308000</v>
      </c>
      <c r="G11" s="223"/>
      <c r="H11" s="190"/>
      <c r="I11" s="907"/>
    </row>
    <row r="12" spans="1:9" ht="15" customHeight="1">
      <c r="B12" s="193">
        <v>5</v>
      </c>
      <c r="C12" s="392" t="s">
        <v>149</v>
      </c>
      <c r="D12" s="393">
        <f t="shared" si="1"/>
        <v>2023</v>
      </c>
      <c r="E12" s="663">
        <f>(268+10+58)*1000</f>
        <v>336000</v>
      </c>
      <c r="F12" s="222">
        <f t="shared" si="0"/>
        <v>336000</v>
      </c>
      <c r="G12" s="223"/>
      <c r="H12" s="190"/>
      <c r="I12" s="907"/>
    </row>
    <row r="13" spans="1:9" ht="15" customHeight="1">
      <c r="B13" s="193">
        <v>6</v>
      </c>
      <c r="C13" s="392" t="s">
        <v>150</v>
      </c>
      <c r="D13" s="393">
        <f t="shared" si="1"/>
        <v>2023</v>
      </c>
      <c r="E13" s="663">
        <f>(361+14+58)*1000</f>
        <v>433000</v>
      </c>
      <c r="F13" s="222">
        <f t="shared" si="0"/>
        <v>433000</v>
      </c>
      <c r="G13" s="223"/>
      <c r="H13" s="190"/>
      <c r="I13" s="907"/>
    </row>
    <row r="14" spans="1:9" ht="15" customHeight="1">
      <c r="B14" s="193">
        <v>7</v>
      </c>
      <c r="C14" s="392" t="s">
        <v>151</v>
      </c>
      <c r="D14" s="393">
        <f t="shared" si="1"/>
        <v>2023</v>
      </c>
      <c r="E14" s="663">
        <f>(396+15+57)*1000</f>
        <v>468000</v>
      </c>
      <c r="F14" s="222">
        <f t="shared" si="0"/>
        <v>468000</v>
      </c>
      <c r="G14" s="223"/>
      <c r="H14" s="190"/>
      <c r="I14" s="907"/>
    </row>
    <row r="15" spans="1:9" ht="15" customHeight="1">
      <c r="B15" s="193">
        <v>8</v>
      </c>
      <c r="C15" s="392" t="s">
        <v>398</v>
      </c>
      <c r="D15" s="393">
        <f t="shared" si="1"/>
        <v>2023</v>
      </c>
      <c r="E15" s="663">
        <f>(402+15+58)*1000</f>
        <v>475000</v>
      </c>
      <c r="F15" s="222">
        <f t="shared" si="0"/>
        <v>475000</v>
      </c>
      <c r="G15" s="223"/>
      <c r="H15" s="190"/>
      <c r="I15" s="907"/>
    </row>
    <row r="16" spans="1:9" ht="15" customHeight="1">
      <c r="B16" s="193">
        <v>9</v>
      </c>
      <c r="C16" s="392" t="s">
        <v>152</v>
      </c>
      <c r="D16" s="393">
        <f t="shared" si="1"/>
        <v>2023</v>
      </c>
      <c r="E16" s="663">
        <f>(346+13+59)*1000</f>
        <v>418000</v>
      </c>
      <c r="F16" s="224"/>
      <c r="G16" s="225">
        <f>E16/F22</f>
        <v>1.0953160825417623</v>
      </c>
      <c r="H16" s="190"/>
      <c r="I16" s="907"/>
    </row>
    <row r="17" spans="2:9" ht="15.6">
      <c r="B17" s="193">
        <v>10</v>
      </c>
      <c r="C17" s="392" t="s">
        <v>153</v>
      </c>
      <c r="D17" s="393">
        <f t="shared" si="1"/>
        <v>2023</v>
      </c>
      <c r="E17" s="663">
        <f>(299+11+58)*1000</f>
        <v>368000</v>
      </c>
      <c r="F17" s="224"/>
      <c r="G17" s="225">
        <f>E17/F22</f>
        <v>0.96429741238126432</v>
      </c>
      <c r="H17" s="190"/>
      <c r="I17" s="907"/>
    </row>
    <row r="18" spans="2:9" ht="15.6">
      <c r="B18" s="193">
        <v>11</v>
      </c>
      <c r="C18" s="392" t="s">
        <v>154</v>
      </c>
      <c r="D18" s="393">
        <f t="shared" si="1"/>
        <v>2023</v>
      </c>
      <c r="E18" s="663">
        <f>(271+13+58)*1000</f>
        <v>342000</v>
      </c>
      <c r="F18" s="224"/>
      <c r="G18" s="225">
        <f>E18/F22</f>
        <v>0.89616770389780542</v>
      </c>
      <c r="H18" s="190"/>
      <c r="I18" s="907"/>
    </row>
    <row r="19" spans="2:9" ht="15.6">
      <c r="B19" s="193">
        <v>12</v>
      </c>
      <c r="C19" s="392" t="s">
        <v>399</v>
      </c>
      <c r="D19" s="393">
        <f t="shared" si="1"/>
        <v>2023</v>
      </c>
      <c r="E19" s="663">
        <f>(278+13+58)*1000</f>
        <v>349000</v>
      </c>
      <c r="F19" s="224"/>
      <c r="G19" s="225">
        <f>E19/F22</f>
        <v>0.91451031772027513</v>
      </c>
      <c r="H19" s="190"/>
      <c r="I19" s="907"/>
    </row>
    <row r="20" spans="2:9">
      <c r="B20" s="193">
        <v>13</v>
      </c>
      <c r="C20" s="226" t="s">
        <v>9</v>
      </c>
      <c r="D20" s="226"/>
      <c r="E20" s="227">
        <f t="shared" ref="E20" si="2">SUM(E8:E19)</f>
        <v>4530000</v>
      </c>
      <c r="G20" s="225"/>
      <c r="H20" s="190"/>
    </row>
    <row r="21" spans="2:9">
      <c r="B21" s="193">
        <v>14</v>
      </c>
      <c r="C21" s="226" t="s">
        <v>164</v>
      </c>
      <c r="D21" s="226"/>
      <c r="E21" s="228">
        <f t="shared" ref="E21" si="3">E20/12</f>
        <v>377500</v>
      </c>
      <c r="G21" s="229"/>
      <c r="H21" s="190"/>
    </row>
    <row r="22" spans="2:9">
      <c r="B22" s="193">
        <v>15</v>
      </c>
      <c r="C22" s="192" t="s">
        <v>438</v>
      </c>
      <c r="F22" s="222">
        <f>AVERAGE(F8:F19)</f>
        <v>381625</v>
      </c>
      <c r="G22" s="217"/>
      <c r="H22" s="190"/>
      <c r="I22" s="216"/>
    </row>
    <row r="23" spans="2:9">
      <c r="B23" s="193"/>
      <c r="H23" s="216"/>
    </row>
    <row r="24" spans="2:9">
      <c r="B24" s="193" t="s">
        <v>155</v>
      </c>
      <c r="H24" s="216"/>
    </row>
    <row r="25" spans="2:9">
      <c r="B25" s="193" t="s">
        <v>76</v>
      </c>
      <c r="C25" s="190" t="s">
        <v>951</v>
      </c>
      <c r="H25" s="216"/>
    </row>
    <row r="26" spans="2:9">
      <c r="B26" s="193" t="s">
        <v>77</v>
      </c>
      <c r="C26" s="551" t="s">
        <v>700</v>
      </c>
      <c r="H26" s="216"/>
    </row>
    <row r="27" spans="2:9">
      <c r="B27" s="193"/>
      <c r="H27" s="216"/>
    </row>
    <row r="28" spans="2:9">
      <c r="B28" s="193"/>
      <c r="H28" s="216"/>
    </row>
    <row r="29" spans="2:9">
      <c r="B29" s="193"/>
      <c r="H29" s="216"/>
    </row>
    <row r="30" spans="2:9">
      <c r="B30" s="193"/>
      <c r="H30" s="216"/>
    </row>
    <row r="31" spans="2:9">
      <c r="B31" s="193"/>
      <c r="H31" s="216"/>
    </row>
    <row r="32" spans="2:9">
      <c r="B32" s="193"/>
      <c r="H32" s="216"/>
    </row>
    <row r="33" spans="2:5">
      <c r="B33" s="193"/>
    </row>
    <row r="34" spans="2:5">
      <c r="B34" s="193"/>
      <c r="E34" s="192"/>
    </row>
  </sheetData>
  <mergeCells count="3">
    <mergeCell ref="A1:G1"/>
    <mergeCell ref="A2:G2"/>
    <mergeCell ref="A3:G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D9:D20"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59999389629810485"/>
  </sheetPr>
  <dimension ref="A1:S134"/>
  <sheetViews>
    <sheetView topLeftCell="A15" zoomScale="80" zoomScaleNormal="80" workbookViewId="0">
      <selection activeCell="C43" sqref="C43"/>
    </sheetView>
  </sheetViews>
  <sheetFormatPr defaultColWidth="8.6328125" defaultRowHeight="13.8"/>
  <cols>
    <col min="1" max="1" width="5" style="1" bestFit="1" customWidth="1"/>
    <col min="2" max="2" width="6.08984375" style="28" customWidth="1"/>
    <col min="3" max="6" width="12.6328125" style="2" customWidth="1"/>
    <col min="7" max="7" width="1.6328125" style="28" customWidth="1"/>
    <col min="8" max="15" width="12.6328125" style="2" customWidth="1"/>
    <col min="16" max="16" width="10.6328125" style="2" customWidth="1"/>
    <col min="17" max="17" width="8.6328125" style="4"/>
    <col min="18" max="16384" width="8.6328125" style="2"/>
  </cols>
  <sheetData>
    <row r="1" spans="1:19">
      <c r="A1" s="932" t="s">
        <v>524</v>
      </c>
      <c r="B1" s="932"/>
      <c r="C1" s="932"/>
      <c r="D1" s="932"/>
      <c r="E1" s="932"/>
      <c r="F1" s="932"/>
      <c r="G1" s="932"/>
      <c r="H1" s="932"/>
      <c r="I1" s="932"/>
      <c r="J1" s="932"/>
      <c r="K1" s="932"/>
      <c r="L1" s="932"/>
      <c r="M1" s="932"/>
      <c r="N1" s="932"/>
      <c r="O1" s="932"/>
    </row>
    <row r="2" spans="1:19">
      <c r="A2" s="963" t="s">
        <v>525</v>
      </c>
      <c r="B2" s="963"/>
      <c r="C2" s="963"/>
      <c r="D2" s="963"/>
      <c r="E2" s="963"/>
      <c r="F2" s="963"/>
      <c r="G2" s="963"/>
      <c r="H2" s="963"/>
      <c r="I2" s="963"/>
      <c r="J2" s="963"/>
      <c r="K2" s="963"/>
      <c r="L2" s="963"/>
      <c r="M2" s="963"/>
      <c r="N2" s="963"/>
      <c r="O2" s="963"/>
    </row>
    <row r="3" spans="1:19">
      <c r="A3" s="964" t="str">
        <f>'Act Att-H'!C7</f>
        <v>Black Hills Colorado Electric, LLC</v>
      </c>
      <c r="B3" s="964"/>
      <c r="C3" s="964"/>
      <c r="D3" s="964"/>
      <c r="E3" s="964"/>
      <c r="F3" s="964"/>
      <c r="G3" s="964"/>
      <c r="H3" s="964"/>
      <c r="I3" s="964"/>
      <c r="J3" s="964"/>
      <c r="K3" s="964"/>
      <c r="L3" s="964"/>
      <c r="M3" s="964"/>
      <c r="N3" s="964"/>
      <c r="O3" s="964"/>
    </row>
    <row r="4" spans="1:19">
      <c r="A4" s="5"/>
      <c r="C4" s="3"/>
      <c r="D4" s="3"/>
      <c r="E4" s="3"/>
      <c r="F4" s="3"/>
      <c r="G4" s="317"/>
      <c r="H4" s="3"/>
      <c r="I4" s="3"/>
      <c r="O4" s="174" t="s">
        <v>515</v>
      </c>
    </row>
    <row r="5" spans="1:19" ht="15" customHeight="1">
      <c r="A5" s="35"/>
      <c r="C5" s="37"/>
      <c r="D5" s="37"/>
      <c r="E5" s="37"/>
      <c r="F5" s="37"/>
      <c r="G5" s="318"/>
    </row>
    <row r="6" spans="1:19" s="287" customFormat="1">
      <c r="A6" s="321" t="s">
        <v>4</v>
      </c>
      <c r="G6" s="296"/>
      <c r="H6" s="327" t="s">
        <v>533</v>
      </c>
      <c r="I6" s="552" t="s">
        <v>704</v>
      </c>
      <c r="P6" s="2"/>
      <c r="Q6" s="4"/>
      <c r="R6" s="2"/>
      <c r="S6" s="2"/>
    </row>
    <row r="7" spans="1:19" s="287" customFormat="1">
      <c r="A7" s="319">
        <v>1</v>
      </c>
      <c r="B7" s="296"/>
      <c r="G7" s="296"/>
      <c r="H7" s="288" t="s">
        <v>526</v>
      </c>
      <c r="I7" s="309" t="s">
        <v>534</v>
      </c>
      <c r="J7" s="309"/>
      <c r="K7" s="312"/>
      <c r="L7" s="288" t="s">
        <v>526</v>
      </c>
      <c r="M7" s="309" t="s">
        <v>536</v>
      </c>
      <c r="N7" s="309"/>
      <c r="O7" s="333"/>
      <c r="P7" s="2"/>
      <c r="Q7" s="4"/>
      <c r="R7" s="2"/>
      <c r="S7" s="2"/>
    </row>
    <row r="8" spans="1:19" s="287" customFormat="1">
      <c r="A8" s="319">
        <f>A7+1</f>
        <v>2</v>
      </c>
      <c r="B8" s="296"/>
      <c r="G8" s="296"/>
      <c r="H8" s="289" t="s">
        <v>535</v>
      </c>
      <c r="I8" s="310" t="s">
        <v>527</v>
      </c>
      <c r="L8" s="289" t="s">
        <v>535</v>
      </c>
      <c r="M8" s="310" t="s">
        <v>527</v>
      </c>
      <c r="O8" s="290"/>
      <c r="P8" s="2"/>
      <c r="Q8" s="4"/>
      <c r="R8" s="2"/>
      <c r="S8" s="2"/>
    </row>
    <row r="9" spans="1:19" s="287" customFormat="1">
      <c r="A9" s="319">
        <f t="shared" ref="A9:A14" si="0">A8+1</f>
        <v>3</v>
      </c>
      <c r="B9" s="296"/>
      <c r="G9" s="296"/>
      <c r="H9" s="289" t="s">
        <v>528</v>
      </c>
      <c r="I9" s="311">
        <v>0</v>
      </c>
      <c r="J9" s="287" t="s">
        <v>483</v>
      </c>
      <c r="L9" s="289" t="s">
        <v>528</v>
      </c>
      <c r="M9" s="311">
        <v>0</v>
      </c>
      <c r="N9" s="287" t="s">
        <v>483</v>
      </c>
      <c r="O9" s="290"/>
      <c r="P9" s="2"/>
      <c r="Q9" s="4"/>
      <c r="R9" s="2"/>
      <c r="S9" s="2"/>
    </row>
    <row r="10" spans="1:19" s="287" customFormat="1">
      <c r="A10" s="319">
        <f t="shared" si="0"/>
        <v>4</v>
      </c>
      <c r="B10" s="296"/>
      <c r="G10" s="296"/>
      <c r="H10" s="289" t="s">
        <v>529</v>
      </c>
      <c r="I10" s="311">
        <v>0</v>
      </c>
      <c r="J10" s="287" t="s">
        <v>539</v>
      </c>
      <c r="L10" s="289" t="s">
        <v>529</v>
      </c>
      <c r="M10" s="311">
        <v>0</v>
      </c>
      <c r="N10" s="287" t="s">
        <v>539</v>
      </c>
      <c r="O10" s="290"/>
      <c r="P10" s="2"/>
      <c r="Q10" s="4"/>
      <c r="R10" s="2"/>
      <c r="S10" s="2"/>
    </row>
    <row r="11" spans="1:19" s="287" customFormat="1">
      <c r="A11" s="319">
        <f t="shared" si="0"/>
        <v>5</v>
      </c>
      <c r="B11" s="296"/>
      <c r="G11" s="296"/>
      <c r="H11" s="289" t="s">
        <v>549</v>
      </c>
      <c r="I11" s="291">
        <f>I10*'Act Att-H'!E204</f>
        <v>0</v>
      </c>
      <c r="L11" s="289" t="s">
        <v>549</v>
      </c>
      <c r="M11" s="291">
        <f>M10*'Act Att-H'!E204</f>
        <v>0</v>
      </c>
      <c r="O11" s="290"/>
      <c r="P11" s="2"/>
      <c r="Q11" s="4"/>
      <c r="R11" s="2"/>
      <c r="S11" s="2"/>
    </row>
    <row r="12" spans="1:19" s="287" customFormat="1">
      <c r="A12" s="319">
        <f t="shared" si="0"/>
        <v>6</v>
      </c>
      <c r="B12" s="296"/>
      <c r="G12" s="296"/>
      <c r="H12" s="289" t="s">
        <v>530</v>
      </c>
      <c r="I12" s="313"/>
      <c r="L12" s="289" t="s">
        <v>530</v>
      </c>
      <c r="M12" s="313"/>
      <c r="O12" s="290"/>
      <c r="P12" s="2"/>
      <c r="Q12" s="4"/>
      <c r="R12" s="2"/>
      <c r="S12" s="2"/>
    </row>
    <row r="13" spans="1:19" s="287" customFormat="1">
      <c r="A13" s="319">
        <f t="shared" si="0"/>
        <v>7</v>
      </c>
      <c r="G13" s="296"/>
      <c r="H13" s="289"/>
      <c r="L13" s="289"/>
      <c r="O13" s="290"/>
      <c r="P13" s="2"/>
      <c r="Q13" s="4"/>
      <c r="R13" s="2"/>
      <c r="S13" s="2"/>
    </row>
    <row r="14" spans="1:19" s="287" customFormat="1">
      <c r="A14" s="319">
        <f t="shared" si="0"/>
        <v>8</v>
      </c>
      <c r="B14" s="296"/>
      <c r="C14" s="962" t="s">
        <v>9</v>
      </c>
      <c r="D14" s="962"/>
      <c r="E14" s="962"/>
      <c r="F14" s="962"/>
      <c r="G14" s="296"/>
      <c r="H14" s="289"/>
      <c r="L14" s="289"/>
      <c r="O14" s="290"/>
      <c r="P14" s="2"/>
      <c r="Q14" s="4"/>
      <c r="R14" s="2"/>
      <c r="S14" s="2"/>
    </row>
    <row r="15" spans="1:19" s="287" customFormat="1">
      <c r="A15" s="296"/>
      <c r="B15" s="296"/>
      <c r="G15" s="296"/>
      <c r="H15" s="289"/>
      <c r="K15" s="287" t="s">
        <v>796</v>
      </c>
      <c r="L15" s="289"/>
      <c r="O15" s="290" t="s">
        <v>796</v>
      </c>
      <c r="P15" s="2"/>
      <c r="Q15" s="4"/>
      <c r="R15" s="2"/>
      <c r="S15" s="2"/>
    </row>
    <row r="16" spans="1:19" s="287" customFormat="1" ht="57" customHeight="1">
      <c r="A16" s="296"/>
      <c r="B16" s="316" t="s">
        <v>220</v>
      </c>
      <c r="C16" s="316" t="s">
        <v>531</v>
      </c>
      <c r="D16" s="316" t="s">
        <v>375</v>
      </c>
      <c r="E16" s="316" t="s">
        <v>532</v>
      </c>
      <c r="F16" s="316" t="s">
        <v>544</v>
      </c>
      <c r="G16" s="334"/>
      <c r="H16" s="295" t="s">
        <v>531</v>
      </c>
      <c r="I16" s="646" t="s">
        <v>768</v>
      </c>
      <c r="J16" s="296" t="s">
        <v>532</v>
      </c>
      <c r="K16" s="646" t="s">
        <v>798</v>
      </c>
      <c r="L16" s="295" t="s">
        <v>531</v>
      </c>
      <c r="M16" s="646" t="s">
        <v>768</v>
      </c>
      <c r="N16" s="296" t="s">
        <v>532</v>
      </c>
      <c r="O16" s="647"/>
      <c r="P16" s="2"/>
      <c r="Q16" s="4"/>
      <c r="R16" s="2"/>
      <c r="S16" s="2"/>
    </row>
    <row r="17" spans="1:19" s="287" customFormat="1">
      <c r="A17" s="296"/>
      <c r="B17" s="294" t="s">
        <v>138</v>
      </c>
      <c r="C17" s="294" t="s">
        <v>139</v>
      </c>
      <c r="D17" s="294" t="s">
        <v>140</v>
      </c>
      <c r="E17" s="294" t="s">
        <v>141</v>
      </c>
      <c r="F17" s="294" t="s">
        <v>142</v>
      </c>
      <c r="G17" s="292"/>
      <c r="H17" s="294" t="s">
        <v>143</v>
      </c>
      <c r="I17" s="619" t="s">
        <v>144</v>
      </c>
      <c r="J17" s="294" t="s">
        <v>145</v>
      </c>
      <c r="K17" s="648" t="s">
        <v>161</v>
      </c>
      <c r="L17" s="294" t="s">
        <v>162</v>
      </c>
      <c r="M17" s="619" t="s">
        <v>871</v>
      </c>
      <c r="N17" s="294" t="s">
        <v>870</v>
      </c>
      <c r="O17" s="648" t="s">
        <v>928</v>
      </c>
      <c r="P17" s="2"/>
      <c r="Q17" s="4"/>
      <c r="R17" s="2"/>
      <c r="S17" s="2"/>
    </row>
    <row r="18" spans="1:19" s="287" customFormat="1">
      <c r="A18" s="296"/>
      <c r="B18" s="296"/>
      <c r="G18" s="296"/>
      <c r="H18" s="295"/>
      <c r="I18" s="296"/>
      <c r="J18" s="296"/>
      <c r="K18" s="296"/>
      <c r="L18" s="295"/>
      <c r="M18" s="296"/>
      <c r="N18" s="296"/>
      <c r="O18" s="297"/>
      <c r="P18" s="2"/>
      <c r="Q18" s="4"/>
      <c r="R18" s="2"/>
      <c r="S18" s="2"/>
    </row>
    <row r="19" spans="1:19" s="287" customFormat="1">
      <c r="A19" s="319">
        <f>A14+1</f>
        <v>9</v>
      </c>
      <c r="B19" s="718" t="s">
        <v>929</v>
      </c>
      <c r="C19" s="298">
        <f>+H19+L19</f>
        <v>0</v>
      </c>
      <c r="D19" s="298">
        <f>+I19+M19</f>
        <v>0</v>
      </c>
      <c r="E19" s="298">
        <f>+J19+N19</f>
        <v>0</v>
      </c>
      <c r="F19" s="298">
        <f>+K19+O19</f>
        <v>0</v>
      </c>
      <c r="G19" s="319"/>
      <c r="H19" s="314">
        <v>0</v>
      </c>
      <c r="I19" s="315">
        <v>0</v>
      </c>
      <c r="J19" s="620">
        <f>+H19-I19</f>
        <v>0</v>
      </c>
      <c r="K19" s="299">
        <f>ROUND(J19*I$11,2)</f>
        <v>0</v>
      </c>
      <c r="L19" s="314">
        <v>0</v>
      </c>
      <c r="M19" s="315">
        <v>0</v>
      </c>
      <c r="N19" s="620">
        <f>+L19-M19</f>
        <v>0</v>
      </c>
      <c r="O19" s="300">
        <f>ROUND(N19*M$11,2)</f>
        <v>0</v>
      </c>
      <c r="P19" s="2"/>
      <c r="Q19" s="4"/>
      <c r="R19" s="2"/>
      <c r="S19" s="2"/>
    </row>
    <row r="20" spans="1:19" s="287" customFormat="1">
      <c r="A20" s="319">
        <f t="shared" ref="A20:A42" si="1">A19+1</f>
        <v>10</v>
      </c>
      <c r="B20" s="718" t="s">
        <v>929</v>
      </c>
      <c r="C20" s="298">
        <f t="shared" ref="C20:C42" si="2">+H20+L20</f>
        <v>0</v>
      </c>
      <c r="D20" s="298">
        <f t="shared" ref="D20:D42" si="3">+I20+M20</f>
        <v>0</v>
      </c>
      <c r="E20" s="298">
        <f t="shared" ref="E20:E42" si="4">+J20+N20</f>
        <v>0</v>
      </c>
      <c r="F20" s="298">
        <f t="shared" ref="F20:F42" si="5">+K20+O20</f>
        <v>0</v>
      </c>
      <c r="G20" s="319"/>
      <c r="H20" s="314">
        <v>0</v>
      </c>
      <c r="I20" s="620">
        <f>(H20*$I$9)+I19</f>
        <v>0</v>
      </c>
      <c r="J20" s="299">
        <f>+H20-I20</f>
        <v>0</v>
      </c>
      <c r="K20" s="299">
        <f t="shared" ref="K20:K42" si="6">ROUND(J20*I$11,2)</f>
        <v>0</v>
      </c>
      <c r="L20" s="314">
        <v>0</v>
      </c>
      <c r="M20" s="620">
        <f>(L20*$M$9)+M19</f>
        <v>0</v>
      </c>
      <c r="N20" s="299">
        <f>+L20-M20</f>
        <v>0</v>
      </c>
      <c r="O20" s="300">
        <f t="shared" ref="O20:O42" si="7">ROUND(N20*M$11,2)</f>
        <v>0</v>
      </c>
      <c r="P20" s="2"/>
      <c r="Q20" s="4"/>
      <c r="R20" s="2"/>
      <c r="S20" s="2"/>
    </row>
    <row r="21" spans="1:19" s="287" customFormat="1">
      <c r="A21" s="319">
        <f t="shared" si="1"/>
        <v>11</v>
      </c>
      <c r="B21" s="718" t="s">
        <v>929</v>
      </c>
      <c r="C21" s="298">
        <f t="shared" si="2"/>
        <v>0</v>
      </c>
      <c r="D21" s="298">
        <f t="shared" si="3"/>
        <v>0</v>
      </c>
      <c r="E21" s="298">
        <f t="shared" si="4"/>
        <v>0</v>
      </c>
      <c r="F21" s="298">
        <f t="shared" si="5"/>
        <v>0</v>
      </c>
      <c r="G21" s="319"/>
      <c r="H21" s="314">
        <v>0</v>
      </c>
      <c r="I21" s="620">
        <f t="shared" ref="I21:I42" si="8">(H21*$I$9)+I20</f>
        <v>0</v>
      </c>
      <c r="J21" s="299">
        <f>+H21-I21</f>
        <v>0</v>
      </c>
      <c r="K21" s="299">
        <f t="shared" si="6"/>
        <v>0</v>
      </c>
      <c r="L21" s="314">
        <v>0</v>
      </c>
      <c r="M21" s="620">
        <f t="shared" ref="M21:M42" si="9">(L21*$M$9)+M20</f>
        <v>0</v>
      </c>
      <c r="N21" s="299">
        <f>+L21-M21</f>
        <v>0</v>
      </c>
      <c r="O21" s="300">
        <f t="shared" si="7"/>
        <v>0</v>
      </c>
      <c r="P21" s="2"/>
      <c r="Q21" s="4"/>
      <c r="R21" s="2"/>
      <c r="S21" s="2"/>
    </row>
    <row r="22" spans="1:19" s="287" customFormat="1">
      <c r="A22" s="319">
        <f t="shared" si="1"/>
        <v>12</v>
      </c>
      <c r="B22" s="718" t="s">
        <v>929</v>
      </c>
      <c r="C22" s="298">
        <f t="shared" si="2"/>
        <v>0</v>
      </c>
      <c r="D22" s="298">
        <f t="shared" si="3"/>
        <v>0</v>
      </c>
      <c r="E22" s="298">
        <f t="shared" si="4"/>
        <v>0</v>
      </c>
      <c r="F22" s="298">
        <f t="shared" si="5"/>
        <v>0</v>
      </c>
      <c r="G22" s="319"/>
      <c r="H22" s="314">
        <v>0</v>
      </c>
      <c r="I22" s="620">
        <f t="shared" si="8"/>
        <v>0</v>
      </c>
      <c r="J22" s="299">
        <f>+H22-I22</f>
        <v>0</v>
      </c>
      <c r="K22" s="299">
        <f t="shared" si="6"/>
        <v>0</v>
      </c>
      <c r="L22" s="314">
        <v>0</v>
      </c>
      <c r="M22" s="620">
        <f t="shared" si="9"/>
        <v>0</v>
      </c>
      <c r="N22" s="299">
        <f>+L22-M22</f>
        <v>0</v>
      </c>
      <c r="O22" s="300">
        <f t="shared" si="7"/>
        <v>0</v>
      </c>
      <c r="P22" s="2"/>
      <c r="Q22" s="4"/>
      <c r="R22" s="2"/>
      <c r="S22" s="2"/>
    </row>
    <row r="23" spans="1:19" s="287" customFormat="1">
      <c r="A23" s="319">
        <f t="shared" si="1"/>
        <v>13</v>
      </c>
      <c r="B23" s="718" t="s">
        <v>929</v>
      </c>
      <c r="C23" s="298">
        <f t="shared" si="2"/>
        <v>0</v>
      </c>
      <c r="D23" s="298">
        <f t="shared" si="3"/>
        <v>0</v>
      </c>
      <c r="E23" s="298">
        <f t="shared" si="4"/>
        <v>0</v>
      </c>
      <c r="F23" s="298">
        <f t="shared" si="5"/>
        <v>0</v>
      </c>
      <c r="G23" s="319"/>
      <c r="H23" s="314">
        <v>0</v>
      </c>
      <c r="I23" s="620">
        <f t="shared" si="8"/>
        <v>0</v>
      </c>
      <c r="J23" s="299">
        <f t="shared" ref="J23:J42" si="10">+H23-I23</f>
        <v>0</v>
      </c>
      <c r="K23" s="299">
        <f t="shared" si="6"/>
        <v>0</v>
      </c>
      <c r="L23" s="314">
        <v>0</v>
      </c>
      <c r="M23" s="620">
        <f t="shared" si="9"/>
        <v>0</v>
      </c>
      <c r="N23" s="299">
        <f t="shared" ref="N23:N42" si="11">+L23-M23</f>
        <v>0</v>
      </c>
      <c r="O23" s="300">
        <f t="shared" si="7"/>
        <v>0</v>
      </c>
      <c r="P23" s="2"/>
      <c r="Q23" s="4"/>
      <c r="R23" s="2"/>
      <c r="S23" s="2"/>
    </row>
    <row r="24" spans="1:19" s="287" customFormat="1">
      <c r="A24" s="319">
        <f t="shared" si="1"/>
        <v>14</v>
      </c>
      <c r="B24" s="718" t="s">
        <v>929</v>
      </c>
      <c r="C24" s="298">
        <f t="shared" si="2"/>
        <v>0</v>
      </c>
      <c r="D24" s="298">
        <f t="shared" si="3"/>
        <v>0</v>
      </c>
      <c r="E24" s="298">
        <f t="shared" si="4"/>
        <v>0</v>
      </c>
      <c r="F24" s="298">
        <f t="shared" si="5"/>
        <v>0</v>
      </c>
      <c r="G24" s="319"/>
      <c r="H24" s="314">
        <v>0</v>
      </c>
      <c r="I24" s="620">
        <f t="shared" si="8"/>
        <v>0</v>
      </c>
      <c r="J24" s="299">
        <f t="shared" si="10"/>
        <v>0</v>
      </c>
      <c r="K24" s="299">
        <f t="shared" si="6"/>
        <v>0</v>
      </c>
      <c r="L24" s="314">
        <v>0</v>
      </c>
      <c r="M24" s="620">
        <f t="shared" si="9"/>
        <v>0</v>
      </c>
      <c r="N24" s="299">
        <f t="shared" si="11"/>
        <v>0</v>
      </c>
      <c r="O24" s="300">
        <f t="shared" si="7"/>
        <v>0</v>
      </c>
      <c r="P24" s="2"/>
      <c r="Q24" s="4"/>
      <c r="R24" s="2"/>
      <c r="S24" s="2"/>
    </row>
    <row r="25" spans="1:19" s="287" customFormat="1">
      <c r="A25" s="319">
        <f t="shared" si="1"/>
        <v>15</v>
      </c>
      <c r="B25" s="718" t="s">
        <v>929</v>
      </c>
      <c r="C25" s="298">
        <f t="shared" si="2"/>
        <v>0</v>
      </c>
      <c r="D25" s="298">
        <f t="shared" si="3"/>
        <v>0</v>
      </c>
      <c r="E25" s="298">
        <f t="shared" si="4"/>
        <v>0</v>
      </c>
      <c r="F25" s="298">
        <f t="shared" si="5"/>
        <v>0</v>
      </c>
      <c r="G25" s="319"/>
      <c r="H25" s="314">
        <v>0</v>
      </c>
      <c r="I25" s="620">
        <f t="shared" si="8"/>
        <v>0</v>
      </c>
      <c r="J25" s="299">
        <f t="shared" si="10"/>
        <v>0</v>
      </c>
      <c r="K25" s="299">
        <f t="shared" si="6"/>
        <v>0</v>
      </c>
      <c r="L25" s="314">
        <v>0</v>
      </c>
      <c r="M25" s="620">
        <f t="shared" si="9"/>
        <v>0</v>
      </c>
      <c r="N25" s="299">
        <f t="shared" si="11"/>
        <v>0</v>
      </c>
      <c r="O25" s="300">
        <f t="shared" si="7"/>
        <v>0</v>
      </c>
      <c r="P25" s="2"/>
      <c r="Q25" s="4"/>
      <c r="R25" s="2"/>
      <c r="S25" s="2"/>
    </row>
    <row r="26" spans="1:19" s="287" customFormat="1">
      <c r="A26" s="319">
        <f t="shared" si="1"/>
        <v>16</v>
      </c>
      <c r="B26" s="718" t="s">
        <v>929</v>
      </c>
      <c r="C26" s="298">
        <f t="shared" si="2"/>
        <v>0</v>
      </c>
      <c r="D26" s="298">
        <f t="shared" si="3"/>
        <v>0</v>
      </c>
      <c r="E26" s="298">
        <f t="shared" si="4"/>
        <v>0</v>
      </c>
      <c r="F26" s="298">
        <f t="shared" si="5"/>
        <v>0</v>
      </c>
      <c r="G26" s="319"/>
      <c r="H26" s="314">
        <v>0</v>
      </c>
      <c r="I26" s="620">
        <f t="shared" si="8"/>
        <v>0</v>
      </c>
      <c r="J26" s="299">
        <f t="shared" si="10"/>
        <v>0</v>
      </c>
      <c r="K26" s="299">
        <f t="shared" si="6"/>
        <v>0</v>
      </c>
      <c r="L26" s="314">
        <v>0</v>
      </c>
      <c r="M26" s="620">
        <f t="shared" si="9"/>
        <v>0</v>
      </c>
      <c r="N26" s="299">
        <f t="shared" si="11"/>
        <v>0</v>
      </c>
      <c r="O26" s="300">
        <f t="shared" si="7"/>
        <v>0</v>
      </c>
      <c r="P26" s="2"/>
      <c r="Q26" s="4"/>
      <c r="R26" s="2"/>
      <c r="S26" s="2"/>
    </row>
    <row r="27" spans="1:19" s="287" customFormat="1">
      <c r="A27" s="319">
        <f t="shared" si="1"/>
        <v>17</v>
      </c>
      <c r="B27" s="718" t="s">
        <v>929</v>
      </c>
      <c r="C27" s="298">
        <f t="shared" si="2"/>
        <v>0</v>
      </c>
      <c r="D27" s="298">
        <f t="shared" si="3"/>
        <v>0</v>
      </c>
      <c r="E27" s="298">
        <f t="shared" si="4"/>
        <v>0</v>
      </c>
      <c r="F27" s="298">
        <f t="shared" si="5"/>
        <v>0</v>
      </c>
      <c r="G27" s="319"/>
      <c r="H27" s="314">
        <v>0</v>
      </c>
      <c r="I27" s="620">
        <f t="shared" si="8"/>
        <v>0</v>
      </c>
      <c r="J27" s="299">
        <f t="shared" si="10"/>
        <v>0</v>
      </c>
      <c r="K27" s="299">
        <f t="shared" si="6"/>
        <v>0</v>
      </c>
      <c r="L27" s="314">
        <v>0</v>
      </c>
      <c r="M27" s="620">
        <f t="shared" si="9"/>
        <v>0</v>
      </c>
      <c r="N27" s="299">
        <f t="shared" si="11"/>
        <v>0</v>
      </c>
      <c r="O27" s="300">
        <f t="shared" si="7"/>
        <v>0</v>
      </c>
      <c r="P27" s="2"/>
      <c r="Q27" s="4"/>
      <c r="R27" s="2"/>
      <c r="S27" s="2"/>
    </row>
    <row r="28" spans="1:19" s="287" customFormat="1">
      <c r="A28" s="319">
        <f t="shared" si="1"/>
        <v>18</v>
      </c>
      <c r="B28" s="718" t="s">
        <v>929</v>
      </c>
      <c r="C28" s="298">
        <f t="shared" si="2"/>
        <v>0</v>
      </c>
      <c r="D28" s="298">
        <f t="shared" si="3"/>
        <v>0</v>
      </c>
      <c r="E28" s="298">
        <f t="shared" si="4"/>
        <v>0</v>
      </c>
      <c r="F28" s="298">
        <f t="shared" si="5"/>
        <v>0</v>
      </c>
      <c r="G28" s="319"/>
      <c r="H28" s="314">
        <v>0</v>
      </c>
      <c r="I28" s="620">
        <f t="shared" si="8"/>
        <v>0</v>
      </c>
      <c r="J28" s="299">
        <f t="shared" si="10"/>
        <v>0</v>
      </c>
      <c r="K28" s="299">
        <f t="shared" si="6"/>
        <v>0</v>
      </c>
      <c r="L28" s="314">
        <v>0</v>
      </c>
      <c r="M28" s="620">
        <f t="shared" si="9"/>
        <v>0</v>
      </c>
      <c r="N28" s="299">
        <f t="shared" si="11"/>
        <v>0</v>
      </c>
      <c r="O28" s="300">
        <f t="shared" si="7"/>
        <v>0</v>
      </c>
      <c r="P28" s="2"/>
      <c r="Q28" s="4"/>
      <c r="R28" s="2"/>
      <c r="S28" s="2"/>
    </row>
    <row r="29" spans="1:19" s="287" customFormat="1">
      <c r="A29" s="319">
        <f t="shared" si="1"/>
        <v>19</v>
      </c>
      <c r="B29" s="718" t="s">
        <v>929</v>
      </c>
      <c r="C29" s="298">
        <f t="shared" si="2"/>
        <v>0</v>
      </c>
      <c r="D29" s="298">
        <f t="shared" si="3"/>
        <v>0</v>
      </c>
      <c r="E29" s="298">
        <f t="shared" si="4"/>
        <v>0</v>
      </c>
      <c r="F29" s="298">
        <f t="shared" si="5"/>
        <v>0</v>
      </c>
      <c r="G29" s="319"/>
      <c r="H29" s="314">
        <v>0</v>
      </c>
      <c r="I29" s="620">
        <f t="shared" si="8"/>
        <v>0</v>
      </c>
      <c r="J29" s="299">
        <f t="shared" si="10"/>
        <v>0</v>
      </c>
      <c r="K29" s="299">
        <f t="shared" si="6"/>
        <v>0</v>
      </c>
      <c r="L29" s="314">
        <v>0</v>
      </c>
      <c r="M29" s="620">
        <f t="shared" si="9"/>
        <v>0</v>
      </c>
      <c r="N29" s="299">
        <f t="shared" si="11"/>
        <v>0</v>
      </c>
      <c r="O29" s="300">
        <f t="shared" si="7"/>
        <v>0</v>
      </c>
      <c r="P29" s="2"/>
      <c r="Q29" s="4"/>
      <c r="R29" s="2"/>
      <c r="S29" s="2"/>
    </row>
    <row r="30" spans="1:19" s="287" customFormat="1">
      <c r="A30" s="319">
        <f t="shared" si="1"/>
        <v>20</v>
      </c>
      <c r="B30" s="718" t="s">
        <v>929</v>
      </c>
      <c r="C30" s="298">
        <f t="shared" si="2"/>
        <v>0</v>
      </c>
      <c r="D30" s="298">
        <f t="shared" si="3"/>
        <v>0</v>
      </c>
      <c r="E30" s="298">
        <f t="shared" si="4"/>
        <v>0</v>
      </c>
      <c r="F30" s="298">
        <f t="shared" si="5"/>
        <v>0</v>
      </c>
      <c r="G30" s="319"/>
      <c r="H30" s="314">
        <v>0</v>
      </c>
      <c r="I30" s="620">
        <f t="shared" si="8"/>
        <v>0</v>
      </c>
      <c r="J30" s="299">
        <f t="shared" si="10"/>
        <v>0</v>
      </c>
      <c r="K30" s="299">
        <f t="shared" si="6"/>
        <v>0</v>
      </c>
      <c r="L30" s="314">
        <v>0</v>
      </c>
      <c r="M30" s="620">
        <f t="shared" si="9"/>
        <v>0</v>
      </c>
      <c r="N30" s="299">
        <f t="shared" si="11"/>
        <v>0</v>
      </c>
      <c r="O30" s="300">
        <f t="shared" si="7"/>
        <v>0</v>
      </c>
      <c r="P30" s="2"/>
      <c r="Q30" s="4"/>
      <c r="R30" s="2"/>
      <c r="S30" s="2"/>
    </row>
    <row r="31" spans="1:19" s="287" customFormat="1">
      <c r="A31" s="319">
        <f t="shared" si="1"/>
        <v>21</v>
      </c>
      <c r="B31" s="718" t="s">
        <v>929</v>
      </c>
      <c r="C31" s="298">
        <f t="shared" si="2"/>
        <v>0</v>
      </c>
      <c r="D31" s="298">
        <f t="shared" si="3"/>
        <v>0</v>
      </c>
      <c r="E31" s="298">
        <f t="shared" si="4"/>
        <v>0</v>
      </c>
      <c r="F31" s="298">
        <f t="shared" si="5"/>
        <v>0</v>
      </c>
      <c r="G31" s="319"/>
      <c r="H31" s="314">
        <v>0</v>
      </c>
      <c r="I31" s="620">
        <f t="shared" si="8"/>
        <v>0</v>
      </c>
      <c r="J31" s="299">
        <f t="shared" si="10"/>
        <v>0</v>
      </c>
      <c r="K31" s="299">
        <f t="shared" si="6"/>
        <v>0</v>
      </c>
      <c r="L31" s="314">
        <v>0</v>
      </c>
      <c r="M31" s="620">
        <f t="shared" si="9"/>
        <v>0</v>
      </c>
      <c r="N31" s="299">
        <f t="shared" si="11"/>
        <v>0</v>
      </c>
      <c r="O31" s="300">
        <f t="shared" si="7"/>
        <v>0</v>
      </c>
      <c r="P31" s="2"/>
      <c r="Q31" s="4"/>
      <c r="R31" s="2"/>
      <c r="S31" s="2"/>
    </row>
    <row r="32" spans="1:19" s="287" customFormat="1">
      <c r="A32" s="319">
        <f t="shared" si="1"/>
        <v>22</v>
      </c>
      <c r="B32" s="718" t="s">
        <v>929</v>
      </c>
      <c r="C32" s="298">
        <f t="shared" si="2"/>
        <v>0</v>
      </c>
      <c r="D32" s="298">
        <f t="shared" si="3"/>
        <v>0</v>
      </c>
      <c r="E32" s="298">
        <f t="shared" si="4"/>
        <v>0</v>
      </c>
      <c r="F32" s="298">
        <f t="shared" si="5"/>
        <v>0</v>
      </c>
      <c r="G32" s="319"/>
      <c r="H32" s="314">
        <v>0</v>
      </c>
      <c r="I32" s="620">
        <f t="shared" si="8"/>
        <v>0</v>
      </c>
      <c r="J32" s="299">
        <f t="shared" si="10"/>
        <v>0</v>
      </c>
      <c r="K32" s="299">
        <f t="shared" si="6"/>
        <v>0</v>
      </c>
      <c r="L32" s="314">
        <v>0</v>
      </c>
      <c r="M32" s="620">
        <f t="shared" si="9"/>
        <v>0</v>
      </c>
      <c r="N32" s="299">
        <f t="shared" si="11"/>
        <v>0</v>
      </c>
      <c r="O32" s="300">
        <f t="shared" si="7"/>
        <v>0</v>
      </c>
      <c r="P32" s="2"/>
      <c r="Q32" s="4"/>
      <c r="R32" s="2"/>
      <c r="S32" s="2"/>
    </row>
    <row r="33" spans="1:19" s="287" customFormat="1">
      <c r="A33" s="319">
        <f t="shared" si="1"/>
        <v>23</v>
      </c>
      <c r="B33" s="718" t="s">
        <v>929</v>
      </c>
      <c r="C33" s="298">
        <f t="shared" si="2"/>
        <v>0</v>
      </c>
      <c r="D33" s="298">
        <f t="shared" si="3"/>
        <v>0</v>
      </c>
      <c r="E33" s="298">
        <f t="shared" si="4"/>
        <v>0</v>
      </c>
      <c r="F33" s="298">
        <f t="shared" si="5"/>
        <v>0</v>
      </c>
      <c r="G33" s="319"/>
      <c r="H33" s="314">
        <v>0</v>
      </c>
      <c r="I33" s="620">
        <f t="shared" si="8"/>
        <v>0</v>
      </c>
      <c r="J33" s="299">
        <f t="shared" si="10"/>
        <v>0</v>
      </c>
      <c r="K33" s="299">
        <f t="shared" si="6"/>
        <v>0</v>
      </c>
      <c r="L33" s="314">
        <v>0</v>
      </c>
      <c r="M33" s="620">
        <f t="shared" si="9"/>
        <v>0</v>
      </c>
      <c r="N33" s="299">
        <f t="shared" si="11"/>
        <v>0</v>
      </c>
      <c r="O33" s="300">
        <f t="shared" si="7"/>
        <v>0</v>
      </c>
      <c r="P33" s="2"/>
      <c r="Q33" s="4"/>
      <c r="R33" s="2"/>
      <c r="S33" s="2"/>
    </row>
    <row r="34" spans="1:19" s="287" customFormat="1">
      <c r="A34" s="319">
        <f t="shared" si="1"/>
        <v>24</v>
      </c>
      <c r="B34" s="718" t="s">
        <v>929</v>
      </c>
      <c r="C34" s="298">
        <f t="shared" si="2"/>
        <v>0</v>
      </c>
      <c r="D34" s="298">
        <f t="shared" si="3"/>
        <v>0</v>
      </c>
      <c r="E34" s="298">
        <f t="shared" si="4"/>
        <v>0</v>
      </c>
      <c r="F34" s="298">
        <f t="shared" si="5"/>
        <v>0</v>
      </c>
      <c r="G34" s="319"/>
      <c r="H34" s="314">
        <v>0</v>
      </c>
      <c r="I34" s="620">
        <f t="shared" si="8"/>
        <v>0</v>
      </c>
      <c r="J34" s="299">
        <f t="shared" si="10"/>
        <v>0</v>
      </c>
      <c r="K34" s="299">
        <f t="shared" si="6"/>
        <v>0</v>
      </c>
      <c r="L34" s="314">
        <v>0</v>
      </c>
      <c r="M34" s="620">
        <f t="shared" si="9"/>
        <v>0</v>
      </c>
      <c r="N34" s="299">
        <f t="shared" si="11"/>
        <v>0</v>
      </c>
      <c r="O34" s="300">
        <f t="shared" si="7"/>
        <v>0</v>
      </c>
      <c r="P34" s="2"/>
      <c r="Q34" s="4"/>
      <c r="R34" s="2"/>
      <c r="S34" s="2"/>
    </row>
    <row r="35" spans="1:19" s="287" customFormat="1">
      <c r="A35" s="319">
        <f t="shared" si="1"/>
        <v>25</v>
      </c>
      <c r="B35" s="718" t="s">
        <v>929</v>
      </c>
      <c r="C35" s="298">
        <f t="shared" si="2"/>
        <v>0</v>
      </c>
      <c r="D35" s="298">
        <f t="shared" si="3"/>
        <v>0</v>
      </c>
      <c r="E35" s="298">
        <f t="shared" si="4"/>
        <v>0</v>
      </c>
      <c r="F35" s="298">
        <f t="shared" si="5"/>
        <v>0</v>
      </c>
      <c r="G35" s="319"/>
      <c r="H35" s="314">
        <v>0</v>
      </c>
      <c r="I35" s="620">
        <f t="shared" si="8"/>
        <v>0</v>
      </c>
      <c r="J35" s="299">
        <f t="shared" si="10"/>
        <v>0</v>
      </c>
      <c r="K35" s="299">
        <f t="shared" si="6"/>
        <v>0</v>
      </c>
      <c r="L35" s="314">
        <v>0</v>
      </c>
      <c r="M35" s="620">
        <f t="shared" si="9"/>
        <v>0</v>
      </c>
      <c r="N35" s="299">
        <f t="shared" si="11"/>
        <v>0</v>
      </c>
      <c r="O35" s="300">
        <f t="shared" si="7"/>
        <v>0</v>
      </c>
      <c r="P35" s="2"/>
      <c r="Q35" s="4"/>
      <c r="R35" s="2"/>
      <c r="S35" s="2"/>
    </row>
    <row r="36" spans="1:19" s="287" customFormat="1">
      <c r="A36" s="319">
        <f t="shared" si="1"/>
        <v>26</v>
      </c>
      <c r="B36" s="718" t="s">
        <v>929</v>
      </c>
      <c r="C36" s="298">
        <f t="shared" si="2"/>
        <v>0</v>
      </c>
      <c r="D36" s="298">
        <f t="shared" si="3"/>
        <v>0</v>
      </c>
      <c r="E36" s="298">
        <f t="shared" si="4"/>
        <v>0</v>
      </c>
      <c r="F36" s="298">
        <f t="shared" si="5"/>
        <v>0</v>
      </c>
      <c r="G36" s="319"/>
      <c r="H36" s="314">
        <v>0</v>
      </c>
      <c r="I36" s="620">
        <f t="shared" si="8"/>
        <v>0</v>
      </c>
      <c r="J36" s="299">
        <f t="shared" si="10"/>
        <v>0</v>
      </c>
      <c r="K36" s="299">
        <f t="shared" si="6"/>
        <v>0</v>
      </c>
      <c r="L36" s="314">
        <v>0</v>
      </c>
      <c r="M36" s="620">
        <f t="shared" si="9"/>
        <v>0</v>
      </c>
      <c r="N36" s="299">
        <f t="shared" si="11"/>
        <v>0</v>
      </c>
      <c r="O36" s="300">
        <f t="shared" si="7"/>
        <v>0</v>
      </c>
      <c r="P36" s="2"/>
      <c r="Q36" s="4"/>
      <c r="R36" s="2"/>
      <c r="S36" s="2"/>
    </row>
    <row r="37" spans="1:19" s="287" customFormat="1">
      <c r="A37" s="319">
        <f t="shared" si="1"/>
        <v>27</v>
      </c>
      <c r="B37" s="718" t="s">
        <v>929</v>
      </c>
      <c r="C37" s="298">
        <f t="shared" si="2"/>
        <v>0</v>
      </c>
      <c r="D37" s="298">
        <f t="shared" si="3"/>
        <v>0</v>
      </c>
      <c r="E37" s="298">
        <f t="shared" si="4"/>
        <v>0</v>
      </c>
      <c r="F37" s="298">
        <f t="shared" si="5"/>
        <v>0</v>
      </c>
      <c r="G37" s="319"/>
      <c r="H37" s="314">
        <v>0</v>
      </c>
      <c r="I37" s="620">
        <f t="shared" si="8"/>
        <v>0</v>
      </c>
      <c r="J37" s="299">
        <f t="shared" si="10"/>
        <v>0</v>
      </c>
      <c r="K37" s="299">
        <f t="shared" si="6"/>
        <v>0</v>
      </c>
      <c r="L37" s="314">
        <v>0</v>
      </c>
      <c r="M37" s="620">
        <f t="shared" si="9"/>
        <v>0</v>
      </c>
      <c r="N37" s="299">
        <f t="shared" si="11"/>
        <v>0</v>
      </c>
      <c r="O37" s="300">
        <f t="shared" si="7"/>
        <v>0</v>
      </c>
      <c r="P37" s="2"/>
      <c r="Q37" s="4"/>
      <c r="R37" s="2"/>
      <c r="S37" s="2"/>
    </row>
    <row r="38" spans="1:19" s="287" customFormat="1">
      <c r="A38" s="319">
        <f t="shared" si="1"/>
        <v>28</v>
      </c>
      <c r="B38" s="718" t="s">
        <v>929</v>
      </c>
      <c r="C38" s="298">
        <f t="shared" si="2"/>
        <v>0</v>
      </c>
      <c r="D38" s="298">
        <f t="shared" si="3"/>
        <v>0</v>
      </c>
      <c r="E38" s="298">
        <f t="shared" si="4"/>
        <v>0</v>
      </c>
      <c r="F38" s="298">
        <f t="shared" si="5"/>
        <v>0</v>
      </c>
      <c r="G38" s="319"/>
      <c r="H38" s="314">
        <v>0</v>
      </c>
      <c r="I38" s="620">
        <f t="shared" si="8"/>
        <v>0</v>
      </c>
      <c r="J38" s="299">
        <f t="shared" si="10"/>
        <v>0</v>
      </c>
      <c r="K38" s="299">
        <f t="shared" si="6"/>
        <v>0</v>
      </c>
      <c r="L38" s="314">
        <v>0</v>
      </c>
      <c r="M38" s="620">
        <f t="shared" si="9"/>
        <v>0</v>
      </c>
      <c r="N38" s="299">
        <f t="shared" si="11"/>
        <v>0</v>
      </c>
      <c r="O38" s="300">
        <f t="shared" si="7"/>
        <v>0</v>
      </c>
      <c r="P38" s="2"/>
      <c r="Q38" s="4"/>
      <c r="R38" s="2"/>
      <c r="S38" s="2"/>
    </row>
    <row r="39" spans="1:19" s="287" customFormat="1">
      <c r="A39" s="319">
        <f t="shared" si="1"/>
        <v>29</v>
      </c>
      <c r="B39" s="718" t="s">
        <v>929</v>
      </c>
      <c r="C39" s="298">
        <f t="shared" si="2"/>
        <v>0</v>
      </c>
      <c r="D39" s="298">
        <f t="shared" si="3"/>
        <v>0</v>
      </c>
      <c r="E39" s="298">
        <f t="shared" si="4"/>
        <v>0</v>
      </c>
      <c r="F39" s="298">
        <f t="shared" si="5"/>
        <v>0</v>
      </c>
      <c r="G39" s="319"/>
      <c r="H39" s="314">
        <v>0</v>
      </c>
      <c r="I39" s="620">
        <f t="shared" si="8"/>
        <v>0</v>
      </c>
      <c r="J39" s="299">
        <f t="shared" si="10"/>
        <v>0</v>
      </c>
      <c r="K39" s="299">
        <f t="shared" si="6"/>
        <v>0</v>
      </c>
      <c r="L39" s="314">
        <v>0</v>
      </c>
      <c r="M39" s="620">
        <f t="shared" si="9"/>
        <v>0</v>
      </c>
      <c r="N39" s="299">
        <f t="shared" si="11"/>
        <v>0</v>
      </c>
      <c r="O39" s="300">
        <f t="shared" si="7"/>
        <v>0</v>
      </c>
      <c r="P39" s="2"/>
      <c r="Q39" s="4"/>
      <c r="R39" s="2"/>
      <c r="S39" s="2"/>
    </row>
    <row r="40" spans="1:19" s="287" customFormat="1">
      <c r="A40" s="319">
        <f t="shared" si="1"/>
        <v>30</v>
      </c>
      <c r="B40" s="718" t="s">
        <v>929</v>
      </c>
      <c r="C40" s="298">
        <f t="shared" si="2"/>
        <v>0</v>
      </c>
      <c r="D40" s="298">
        <f t="shared" si="3"/>
        <v>0</v>
      </c>
      <c r="E40" s="298">
        <f t="shared" si="4"/>
        <v>0</v>
      </c>
      <c r="F40" s="298">
        <f t="shared" si="5"/>
        <v>0</v>
      </c>
      <c r="G40" s="319"/>
      <c r="H40" s="314">
        <v>0</v>
      </c>
      <c r="I40" s="620">
        <f t="shared" si="8"/>
        <v>0</v>
      </c>
      <c r="J40" s="299">
        <f t="shared" si="10"/>
        <v>0</v>
      </c>
      <c r="K40" s="299">
        <f t="shared" si="6"/>
        <v>0</v>
      </c>
      <c r="L40" s="314">
        <v>0</v>
      </c>
      <c r="M40" s="620">
        <f t="shared" si="9"/>
        <v>0</v>
      </c>
      <c r="N40" s="299">
        <f t="shared" si="11"/>
        <v>0</v>
      </c>
      <c r="O40" s="300">
        <f t="shared" si="7"/>
        <v>0</v>
      </c>
      <c r="P40" s="2"/>
      <c r="Q40" s="4"/>
      <c r="R40" s="2"/>
      <c r="S40" s="2"/>
    </row>
    <row r="41" spans="1:19" s="287" customFormat="1">
      <c r="A41" s="319">
        <f t="shared" si="1"/>
        <v>31</v>
      </c>
      <c r="B41" s="718" t="s">
        <v>929</v>
      </c>
      <c r="C41" s="298">
        <f t="shared" si="2"/>
        <v>0</v>
      </c>
      <c r="D41" s="298">
        <f t="shared" si="3"/>
        <v>0</v>
      </c>
      <c r="E41" s="298">
        <f t="shared" si="4"/>
        <v>0</v>
      </c>
      <c r="F41" s="298">
        <f t="shared" si="5"/>
        <v>0</v>
      </c>
      <c r="G41" s="319"/>
      <c r="H41" s="314">
        <v>0</v>
      </c>
      <c r="I41" s="620">
        <f t="shared" si="8"/>
        <v>0</v>
      </c>
      <c r="J41" s="299">
        <f t="shared" si="10"/>
        <v>0</v>
      </c>
      <c r="K41" s="299">
        <f t="shared" si="6"/>
        <v>0</v>
      </c>
      <c r="L41" s="314">
        <v>0</v>
      </c>
      <c r="M41" s="620">
        <f t="shared" si="9"/>
        <v>0</v>
      </c>
      <c r="N41" s="299">
        <f t="shared" si="11"/>
        <v>0</v>
      </c>
      <c r="O41" s="300">
        <f t="shared" si="7"/>
        <v>0</v>
      </c>
      <c r="P41" s="2"/>
      <c r="Q41" s="4"/>
      <c r="R41" s="2"/>
      <c r="S41" s="2"/>
    </row>
    <row r="42" spans="1:19" s="287" customFormat="1">
      <c r="A42" s="319">
        <f t="shared" si="1"/>
        <v>32</v>
      </c>
      <c r="B42" s="718" t="s">
        <v>929</v>
      </c>
      <c r="C42" s="298">
        <f t="shared" si="2"/>
        <v>0</v>
      </c>
      <c r="D42" s="298">
        <f t="shared" si="3"/>
        <v>0</v>
      </c>
      <c r="E42" s="298">
        <f t="shared" si="4"/>
        <v>0</v>
      </c>
      <c r="F42" s="298">
        <f t="shared" si="5"/>
        <v>0</v>
      </c>
      <c r="G42" s="319"/>
      <c r="H42" s="314">
        <v>0</v>
      </c>
      <c r="I42" s="620">
        <f t="shared" si="8"/>
        <v>0</v>
      </c>
      <c r="J42" s="299">
        <f t="shared" si="10"/>
        <v>0</v>
      </c>
      <c r="K42" s="299">
        <f t="shared" si="6"/>
        <v>0</v>
      </c>
      <c r="L42" s="314">
        <v>0</v>
      </c>
      <c r="M42" s="620">
        <f t="shared" si="9"/>
        <v>0</v>
      </c>
      <c r="N42" s="299">
        <f t="shared" si="11"/>
        <v>0</v>
      </c>
      <c r="O42" s="300">
        <f t="shared" si="7"/>
        <v>0</v>
      </c>
      <c r="P42" s="2"/>
      <c r="Q42" s="4"/>
      <c r="R42" s="2"/>
      <c r="S42" s="2"/>
    </row>
    <row r="43" spans="1:19" s="287" customFormat="1">
      <c r="A43" s="296"/>
      <c r="B43" s="319"/>
      <c r="G43" s="319"/>
      <c r="H43" s="301"/>
      <c r="I43" s="302"/>
      <c r="J43" s="302"/>
      <c r="K43" s="302"/>
      <c r="L43" s="303"/>
      <c r="M43" s="302"/>
      <c r="N43" s="304"/>
      <c r="O43" s="305"/>
      <c r="P43" s="2"/>
      <c r="Q43" s="4"/>
      <c r="R43" s="2"/>
      <c r="S43" s="2"/>
    </row>
    <row r="44" spans="1:19" s="287" customFormat="1">
      <c r="A44" s="321" t="s">
        <v>155</v>
      </c>
      <c r="B44" s="319"/>
      <c r="G44" s="319"/>
      <c r="H44" s="306"/>
      <c r="I44" s="306"/>
      <c r="J44" s="306"/>
      <c r="K44" s="306"/>
      <c r="L44" s="307"/>
      <c r="M44" s="306"/>
      <c r="N44" s="308"/>
      <c r="O44" s="308"/>
      <c r="P44" s="2"/>
      <c r="Q44" s="4"/>
      <c r="R44" s="2"/>
      <c r="S44" s="2"/>
    </row>
    <row r="45" spans="1:19" s="287" customFormat="1">
      <c r="A45" s="296" t="s">
        <v>76</v>
      </c>
      <c r="B45" s="320" t="s">
        <v>537</v>
      </c>
      <c r="G45" s="319"/>
      <c r="H45" s="306"/>
      <c r="I45" s="306"/>
      <c r="J45" s="306"/>
      <c r="K45" s="306"/>
      <c r="L45" s="307"/>
      <c r="M45" s="306"/>
      <c r="N45" s="308"/>
      <c r="O45" s="308"/>
      <c r="P45" s="2"/>
      <c r="Q45" s="4"/>
      <c r="R45" s="2"/>
      <c r="S45" s="2"/>
    </row>
    <row r="46" spans="1:19" s="16" customFormat="1" ht="15" customHeight="1">
      <c r="A46" s="296" t="s">
        <v>77</v>
      </c>
      <c r="B46" s="320" t="s">
        <v>538</v>
      </c>
      <c r="C46" s="37"/>
      <c r="D46" s="37"/>
      <c r="E46" s="37"/>
      <c r="F46" s="37"/>
      <c r="G46" s="318"/>
      <c r="H46" s="2"/>
      <c r="I46" s="2"/>
      <c r="P46" s="2"/>
      <c r="Q46" s="4"/>
      <c r="R46" s="2"/>
      <c r="S46" s="2"/>
    </row>
    <row r="47" spans="1:19" s="16" customFormat="1" ht="28.2" customHeight="1">
      <c r="A47" s="296" t="s">
        <v>78</v>
      </c>
      <c r="B47" s="965" t="s">
        <v>1262</v>
      </c>
      <c r="C47" s="965"/>
      <c r="D47" s="965"/>
      <c r="E47" s="965"/>
      <c r="F47" s="965"/>
      <c r="G47" s="965"/>
      <c r="H47" s="965"/>
      <c r="I47" s="965"/>
      <c r="J47" s="965"/>
      <c r="K47" s="965"/>
      <c r="L47" s="965"/>
      <c r="M47" s="965"/>
      <c r="N47" s="965"/>
      <c r="O47" s="965"/>
      <c r="P47" s="2"/>
      <c r="Q47" s="4"/>
      <c r="R47" s="2"/>
      <c r="S47" s="2"/>
    </row>
    <row r="48" spans="1:19" ht="15" customHeight="1">
      <c r="A48" s="296" t="s">
        <v>79</v>
      </c>
      <c r="B48" s="320" t="s">
        <v>797</v>
      </c>
      <c r="C48" s="37"/>
      <c r="D48" s="37"/>
      <c r="E48" s="37"/>
      <c r="F48" s="37"/>
      <c r="G48" s="318"/>
    </row>
    <row r="49" spans="1:7" ht="15" customHeight="1">
      <c r="A49" s="35"/>
      <c r="B49" s="36"/>
      <c r="C49" s="37"/>
      <c r="D49" s="37"/>
      <c r="E49" s="37"/>
      <c r="F49" s="37"/>
      <c r="G49" s="318"/>
    </row>
    <row r="50" spans="1:7" ht="15" customHeight="1">
      <c r="A50" s="35"/>
      <c r="B50" s="36"/>
      <c r="C50" s="37"/>
      <c r="D50" s="37"/>
      <c r="E50" s="37"/>
      <c r="F50" s="37"/>
      <c r="G50" s="318"/>
    </row>
    <row r="51" spans="1:7" ht="15" customHeight="1">
      <c r="A51" s="35"/>
      <c r="B51" s="36"/>
      <c r="C51" s="37"/>
      <c r="D51" s="37"/>
      <c r="E51" s="37"/>
      <c r="F51" s="37"/>
      <c r="G51" s="318"/>
    </row>
    <row r="52" spans="1:7" ht="15" customHeight="1">
      <c r="A52" s="35"/>
      <c r="B52" s="36"/>
      <c r="C52" s="37"/>
      <c r="D52" s="37"/>
      <c r="E52" s="37"/>
      <c r="F52" s="37"/>
      <c r="G52" s="318"/>
    </row>
    <row r="53" spans="1:7" ht="15" customHeight="1">
      <c r="A53" s="35"/>
      <c r="B53" s="36"/>
      <c r="C53" s="37"/>
      <c r="D53" s="37"/>
      <c r="E53" s="37"/>
      <c r="F53" s="37"/>
      <c r="G53" s="318"/>
    </row>
    <row r="54" spans="1:7">
      <c r="A54" s="35"/>
      <c r="B54" s="36"/>
      <c r="C54" s="37"/>
      <c r="D54" s="37"/>
      <c r="E54" s="37"/>
      <c r="F54" s="37"/>
      <c r="G54" s="318"/>
    </row>
    <row r="55" spans="1:7">
      <c r="A55" s="35"/>
      <c r="B55" s="36"/>
      <c r="C55" s="37"/>
      <c r="D55" s="37"/>
      <c r="E55" s="37"/>
      <c r="F55" s="37"/>
      <c r="G55" s="318"/>
    </row>
    <row r="56" spans="1:7">
      <c r="A56" s="35"/>
      <c r="B56" s="36"/>
      <c r="C56" s="37"/>
      <c r="D56" s="37"/>
      <c r="E56" s="37"/>
      <c r="F56" s="37"/>
      <c r="G56" s="318"/>
    </row>
    <row r="57" spans="1:7">
      <c r="A57" s="35"/>
      <c r="B57" s="36"/>
      <c r="C57" s="37"/>
      <c r="D57" s="37"/>
      <c r="E57" s="37"/>
      <c r="F57" s="37"/>
      <c r="G57" s="318"/>
    </row>
    <row r="58" spans="1:7">
      <c r="A58" s="35"/>
      <c r="B58" s="36"/>
      <c r="C58" s="37"/>
      <c r="D58" s="37"/>
      <c r="E58" s="37"/>
      <c r="F58" s="37"/>
      <c r="G58" s="318"/>
    </row>
    <row r="59" spans="1:7">
      <c r="A59" s="35"/>
      <c r="B59" s="36"/>
      <c r="C59" s="37"/>
      <c r="D59" s="37"/>
      <c r="E59" s="37"/>
      <c r="F59" s="37"/>
      <c r="G59" s="318"/>
    </row>
    <row r="60" spans="1:7">
      <c r="A60" s="35"/>
      <c r="B60" s="36"/>
      <c r="C60" s="37"/>
      <c r="D60" s="37"/>
      <c r="E60" s="37"/>
      <c r="F60" s="37"/>
      <c r="G60" s="318"/>
    </row>
    <row r="61" spans="1:7">
      <c r="A61" s="35"/>
      <c r="B61" s="36"/>
      <c r="C61" s="37"/>
      <c r="D61" s="37"/>
      <c r="E61" s="37"/>
      <c r="F61" s="37"/>
      <c r="G61" s="318"/>
    </row>
    <row r="62" spans="1:7">
      <c r="A62" s="35"/>
      <c r="B62" s="36"/>
      <c r="C62" s="37"/>
      <c r="D62" s="37"/>
      <c r="E62" s="37"/>
      <c r="F62" s="37"/>
      <c r="G62" s="318"/>
    </row>
    <row r="63" spans="1:7">
      <c r="A63" s="35"/>
      <c r="B63" s="36"/>
      <c r="C63" s="37"/>
      <c r="D63" s="37"/>
      <c r="E63" s="37"/>
      <c r="F63" s="37"/>
      <c r="G63" s="318"/>
    </row>
    <row r="64" spans="1:7">
      <c r="A64" s="35"/>
      <c r="B64" s="36"/>
      <c r="C64" s="37"/>
      <c r="D64" s="37"/>
      <c r="E64" s="37"/>
      <c r="F64" s="37"/>
      <c r="G64" s="318"/>
    </row>
    <row r="87" spans="1:17">
      <c r="J87" s="3"/>
    </row>
    <row r="88" spans="1:17">
      <c r="J88" s="3"/>
      <c r="L88" s="6"/>
    </row>
    <row r="89" spans="1:17">
      <c r="J89" s="3"/>
    </row>
    <row r="92" spans="1:17" ht="102" customHeight="1"/>
    <row r="93" spans="1:17" s="16" customFormat="1">
      <c r="A93" s="1"/>
      <c r="B93" s="28"/>
      <c r="C93" s="2"/>
      <c r="D93" s="2"/>
      <c r="E93" s="2"/>
      <c r="F93" s="2"/>
      <c r="G93" s="28"/>
      <c r="H93" s="2"/>
      <c r="I93" s="2"/>
      <c r="Q93" s="15"/>
    </row>
    <row r="94" spans="1:17" s="16" customFormat="1" ht="63.75" customHeight="1">
      <c r="A94" s="1"/>
      <c r="B94" s="28"/>
      <c r="C94" s="2"/>
      <c r="D94" s="2"/>
      <c r="E94" s="2"/>
      <c r="F94" s="2"/>
      <c r="G94" s="28"/>
      <c r="H94" s="2"/>
      <c r="I94" s="2"/>
      <c r="Q94" s="15"/>
    </row>
    <row r="110" spans="1:17" s="16" customFormat="1">
      <c r="A110" s="1"/>
      <c r="B110" s="28"/>
      <c r="C110" s="2"/>
      <c r="D110" s="2"/>
      <c r="E110" s="2"/>
      <c r="F110" s="2"/>
      <c r="G110" s="28"/>
      <c r="H110" s="2"/>
      <c r="I110" s="2"/>
      <c r="J110" s="2"/>
      <c r="Q110" s="15"/>
    </row>
    <row r="111" spans="1:17" s="16" customFormat="1">
      <c r="A111" s="1"/>
      <c r="B111" s="28"/>
      <c r="C111" s="2"/>
      <c r="D111" s="2"/>
      <c r="E111" s="2"/>
      <c r="F111" s="2"/>
      <c r="G111" s="28"/>
      <c r="H111" s="2"/>
      <c r="I111" s="2"/>
      <c r="J111" s="2"/>
      <c r="K111" s="2"/>
      <c r="L111" s="2"/>
      <c r="Q111" s="15"/>
    </row>
    <row r="112" spans="1:17" s="16" customFormat="1">
      <c r="A112" s="1"/>
      <c r="B112" s="28"/>
      <c r="C112" s="2"/>
      <c r="D112" s="2"/>
      <c r="E112" s="2"/>
      <c r="F112" s="2"/>
      <c r="G112" s="28"/>
      <c r="H112" s="2"/>
      <c r="I112" s="2"/>
      <c r="J112" s="2"/>
      <c r="L112" s="2"/>
      <c r="Q112" s="15"/>
    </row>
    <row r="113" spans="1:17" s="16" customFormat="1" ht="82.5" customHeight="1">
      <c r="A113" s="1"/>
      <c r="B113" s="28"/>
      <c r="C113" s="2"/>
      <c r="D113" s="2"/>
      <c r="E113" s="2"/>
      <c r="F113" s="2"/>
      <c r="G113" s="28"/>
      <c r="H113" s="2"/>
      <c r="I113" s="2"/>
      <c r="J113" s="30"/>
      <c r="K113" s="30"/>
      <c r="L113" s="30"/>
      <c r="Q113" s="15"/>
    </row>
    <row r="114" spans="1:17" s="16" customFormat="1">
      <c r="A114" s="1"/>
      <c r="B114" s="28"/>
      <c r="C114" s="2"/>
      <c r="D114" s="2"/>
      <c r="E114" s="2"/>
      <c r="F114" s="2"/>
      <c r="G114" s="28"/>
      <c r="H114" s="2"/>
      <c r="I114" s="2"/>
      <c r="J114" s="2"/>
      <c r="K114" s="2"/>
      <c r="L114" s="2"/>
      <c r="Q114" s="15"/>
    </row>
    <row r="115" spans="1:17" s="16" customFormat="1">
      <c r="A115" s="1"/>
      <c r="B115" s="28"/>
      <c r="C115" s="2"/>
      <c r="D115" s="2"/>
      <c r="E115" s="2"/>
      <c r="F115" s="2"/>
      <c r="G115" s="28"/>
      <c r="H115" s="2"/>
      <c r="I115" s="2"/>
      <c r="J115" s="2"/>
      <c r="K115" s="2"/>
      <c r="L115" s="2"/>
      <c r="Q115" s="15"/>
    </row>
    <row r="116" spans="1:17" s="16" customFormat="1">
      <c r="A116" s="1"/>
      <c r="B116" s="28"/>
      <c r="C116" s="2"/>
      <c r="D116" s="2"/>
      <c r="E116" s="2"/>
      <c r="F116" s="2"/>
      <c r="G116" s="28"/>
      <c r="H116" s="2"/>
      <c r="I116" s="2"/>
      <c r="J116" s="2"/>
      <c r="K116" s="2"/>
      <c r="L116" s="2"/>
      <c r="Q116" s="15"/>
    </row>
    <row r="117" spans="1:17" s="16" customFormat="1">
      <c r="A117" s="1"/>
      <c r="B117" s="28"/>
      <c r="C117" s="2"/>
      <c r="D117" s="2"/>
      <c r="E117" s="2"/>
      <c r="F117" s="2"/>
      <c r="G117" s="28"/>
      <c r="H117" s="2"/>
      <c r="I117" s="2"/>
      <c r="J117" s="2"/>
      <c r="K117" s="2"/>
      <c r="L117" s="2"/>
      <c r="Q117" s="15"/>
    </row>
    <row r="118" spans="1:17" s="16" customFormat="1">
      <c r="A118" s="1"/>
      <c r="B118" s="28"/>
      <c r="C118" s="2"/>
      <c r="D118" s="2"/>
      <c r="E118" s="2"/>
      <c r="F118" s="2"/>
      <c r="G118" s="28"/>
      <c r="H118" s="2"/>
      <c r="I118" s="2"/>
      <c r="J118" s="2"/>
      <c r="K118" s="2"/>
      <c r="L118" s="2"/>
      <c r="Q118" s="15"/>
    </row>
    <row r="119" spans="1:17" s="16" customFormat="1">
      <c r="A119" s="1"/>
      <c r="B119" s="28"/>
      <c r="C119" s="2"/>
      <c r="D119" s="2"/>
      <c r="E119" s="2"/>
      <c r="F119" s="2"/>
      <c r="G119" s="28"/>
      <c r="H119" s="2"/>
      <c r="I119" s="2"/>
      <c r="J119" s="2"/>
      <c r="K119" s="2"/>
      <c r="L119" s="2"/>
      <c r="Q119" s="15"/>
    </row>
    <row r="120" spans="1:17" s="16" customFormat="1">
      <c r="A120" s="1"/>
      <c r="B120" s="28"/>
      <c r="C120" s="2"/>
      <c r="D120" s="2"/>
      <c r="E120" s="2"/>
      <c r="F120" s="2"/>
      <c r="G120" s="28"/>
      <c r="H120" s="2"/>
      <c r="I120" s="2"/>
      <c r="J120" s="2"/>
      <c r="K120" s="2"/>
      <c r="Q120" s="15"/>
    </row>
    <row r="121" spans="1:17" s="16" customFormat="1">
      <c r="A121" s="1"/>
      <c r="B121" s="28"/>
      <c r="C121" s="2"/>
      <c r="D121" s="2"/>
      <c r="E121" s="2"/>
      <c r="F121" s="2"/>
      <c r="G121" s="28"/>
      <c r="H121" s="2"/>
      <c r="I121" s="2"/>
      <c r="J121" s="2"/>
      <c r="K121" s="2"/>
      <c r="Q121" s="15"/>
    </row>
    <row r="123" spans="1:17" ht="15" customHeight="1">
      <c r="J123" s="280"/>
      <c r="K123" s="280"/>
    </row>
    <row r="124" spans="1:17" ht="15" customHeight="1">
      <c r="J124" s="280"/>
      <c r="K124" s="280"/>
      <c r="L124" s="6"/>
    </row>
    <row r="125" spans="1:17" ht="30.75" customHeight="1">
      <c r="J125" s="38"/>
      <c r="K125" s="38"/>
    </row>
    <row r="126" spans="1:17">
      <c r="J126" s="38"/>
      <c r="K126" s="38"/>
    </row>
    <row r="127" spans="1:17">
      <c r="J127" s="39"/>
      <c r="K127" s="39"/>
      <c r="L127" s="39"/>
      <c r="M127" s="39"/>
    </row>
    <row r="129" spans="10:14" ht="30.75" customHeight="1">
      <c r="J129" s="281"/>
      <c r="K129" s="281"/>
      <c r="L129" s="281"/>
      <c r="M129" s="281"/>
      <c r="N129" s="281"/>
    </row>
    <row r="130" spans="10:14" ht="15" customHeight="1">
      <c r="J130" s="281"/>
      <c r="K130" s="281"/>
    </row>
    <row r="131" spans="10:14" ht="82.5" customHeight="1">
      <c r="J131" s="281"/>
      <c r="K131" s="281"/>
      <c r="L131" s="281"/>
      <c r="M131" s="281"/>
      <c r="N131" s="281"/>
    </row>
    <row r="132" spans="10:14" ht="15" customHeight="1">
      <c r="J132" s="41"/>
      <c r="K132" s="41"/>
    </row>
    <row r="133" spans="10:14">
      <c r="J133" s="41"/>
      <c r="K133" s="41"/>
    </row>
    <row r="134" spans="10:14" ht="69.75" customHeight="1">
      <c r="J134" s="41"/>
      <c r="K134" s="41"/>
    </row>
  </sheetData>
  <mergeCells count="5">
    <mergeCell ref="C14:F14"/>
    <mergeCell ref="A1:O1"/>
    <mergeCell ref="A2:O2"/>
    <mergeCell ref="A3:O3"/>
    <mergeCell ref="B47:O47"/>
  </mergeCells>
  <pageMargins left="0.5" right="0.25" top="1" bottom="1" header="0.5" footer="0.5"/>
  <pageSetup scale="58" fitToHeight="2" orientation="portrait" r:id="rId1"/>
  <headerFooter alignWithMargins="0">
    <oddHeader xml:space="preserve">&amp;C&amp;"Times New Roman,Regular"&amp;KFF0000CUI//PRIV&amp;K000000
FOR SETTLEMENT PURPOSES ONLY 
SUBJECT TO RULES 602 AND 606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59999389629810485"/>
  </sheetPr>
  <dimension ref="A1:K25"/>
  <sheetViews>
    <sheetView zoomScale="80" zoomScaleNormal="80" workbookViewId="0">
      <selection activeCell="E18" sqref="E18"/>
    </sheetView>
  </sheetViews>
  <sheetFormatPr defaultColWidth="7.08984375" defaultRowHeight="13.2"/>
  <cols>
    <col min="1" max="1" width="2.08984375" style="190" customWidth="1"/>
    <col min="2" max="2" width="4.6328125" style="190" customWidth="1"/>
    <col min="3" max="3" width="17.453125" style="190" customWidth="1"/>
    <col min="4" max="4" width="36.6328125" style="190" bestFit="1" customWidth="1"/>
    <col min="5" max="5" width="10.453125" style="190" customWidth="1"/>
    <col min="6" max="6" width="7.08984375" style="190" customWidth="1"/>
    <col min="7" max="7" width="7.54296875" style="190" customWidth="1"/>
    <col min="8" max="8" width="9.08984375" style="205" customWidth="1"/>
    <col min="9" max="9" width="8.08984375" style="190" customWidth="1"/>
    <col min="10" max="256" width="7.08984375" style="190"/>
    <col min="257" max="257" width="10.08984375" style="190" customWidth="1"/>
    <col min="258" max="258" width="3.54296875" style="190" customWidth="1"/>
    <col min="259" max="260" width="1.6328125" style="190" customWidth="1"/>
    <col min="261" max="261" width="4" style="190" customWidth="1"/>
    <col min="262" max="262" width="24.08984375" style="190" customWidth="1"/>
    <col min="263" max="263" width="1.6328125" style="190" customWidth="1"/>
    <col min="264" max="265" width="8.08984375" style="190" customWidth="1"/>
    <col min="266" max="512" width="7.08984375" style="190"/>
    <col min="513" max="513" width="10.08984375" style="190" customWidth="1"/>
    <col min="514" max="514" width="3.54296875" style="190" customWidth="1"/>
    <col min="515" max="516" width="1.6328125" style="190" customWidth="1"/>
    <col min="517" max="517" width="4" style="190" customWidth="1"/>
    <col min="518" max="518" width="24.08984375" style="190" customWidth="1"/>
    <col min="519" max="519" width="1.6328125" style="190" customWidth="1"/>
    <col min="520" max="521" width="8.08984375" style="190" customWidth="1"/>
    <col min="522" max="768" width="7.08984375" style="190"/>
    <col min="769" max="769" width="10.08984375" style="190" customWidth="1"/>
    <col min="770" max="770" width="3.54296875" style="190" customWidth="1"/>
    <col min="771" max="772" width="1.6328125" style="190" customWidth="1"/>
    <col min="773" max="773" width="4" style="190" customWidth="1"/>
    <col min="774" max="774" width="24.08984375" style="190" customWidth="1"/>
    <col min="775" max="775" width="1.6328125" style="190" customWidth="1"/>
    <col min="776" max="777" width="8.08984375" style="190" customWidth="1"/>
    <col min="778" max="1024" width="7.08984375" style="190"/>
    <col min="1025" max="1025" width="10.08984375" style="190" customWidth="1"/>
    <col min="1026" max="1026" width="3.54296875" style="190" customWidth="1"/>
    <col min="1027" max="1028" width="1.6328125" style="190" customWidth="1"/>
    <col min="1029" max="1029" width="4" style="190" customWidth="1"/>
    <col min="1030" max="1030" width="24.08984375" style="190" customWidth="1"/>
    <col min="1031" max="1031" width="1.6328125" style="190" customWidth="1"/>
    <col min="1032" max="1033" width="8.08984375" style="190" customWidth="1"/>
    <col min="1034" max="1280" width="7.08984375" style="190"/>
    <col min="1281" max="1281" width="10.08984375" style="190" customWidth="1"/>
    <col min="1282" max="1282" width="3.54296875" style="190" customWidth="1"/>
    <col min="1283" max="1284" width="1.6328125" style="190" customWidth="1"/>
    <col min="1285" max="1285" width="4" style="190" customWidth="1"/>
    <col min="1286" max="1286" width="24.08984375" style="190" customWidth="1"/>
    <col min="1287" max="1287" width="1.6328125" style="190" customWidth="1"/>
    <col min="1288" max="1289" width="8.08984375" style="190" customWidth="1"/>
    <col min="1290" max="1536" width="7.08984375" style="190"/>
    <col min="1537" max="1537" width="10.08984375" style="190" customWidth="1"/>
    <col min="1538" max="1538" width="3.54296875" style="190" customWidth="1"/>
    <col min="1539" max="1540" width="1.6328125" style="190" customWidth="1"/>
    <col min="1541" max="1541" width="4" style="190" customWidth="1"/>
    <col min="1542" max="1542" width="24.08984375" style="190" customWidth="1"/>
    <col min="1543" max="1543" width="1.6328125" style="190" customWidth="1"/>
    <col min="1544" max="1545" width="8.08984375" style="190" customWidth="1"/>
    <col min="1546" max="1792" width="7.08984375" style="190"/>
    <col min="1793" max="1793" width="10.08984375" style="190" customWidth="1"/>
    <col min="1794" max="1794" width="3.54296875" style="190" customWidth="1"/>
    <col min="1795" max="1796" width="1.6328125" style="190" customWidth="1"/>
    <col min="1797" max="1797" width="4" style="190" customWidth="1"/>
    <col min="1798" max="1798" width="24.08984375" style="190" customWidth="1"/>
    <col min="1799" max="1799" width="1.6328125" style="190" customWidth="1"/>
    <col min="1800" max="1801" width="8.08984375" style="190" customWidth="1"/>
    <col min="1802" max="2048" width="7.08984375" style="190"/>
    <col min="2049" max="2049" width="10.08984375" style="190" customWidth="1"/>
    <col min="2050" max="2050" width="3.54296875" style="190" customWidth="1"/>
    <col min="2051" max="2052" width="1.6328125" style="190" customWidth="1"/>
    <col min="2053" max="2053" width="4" style="190" customWidth="1"/>
    <col min="2054" max="2054" width="24.08984375" style="190" customWidth="1"/>
    <col min="2055" max="2055" width="1.6328125" style="190" customWidth="1"/>
    <col min="2056" max="2057" width="8.08984375" style="190" customWidth="1"/>
    <col min="2058" max="2304" width="7.08984375" style="190"/>
    <col min="2305" max="2305" width="10.08984375" style="190" customWidth="1"/>
    <col min="2306" max="2306" width="3.54296875" style="190" customWidth="1"/>
    <col min="2307" max="2308" width="1.6328125" style="190" customWidth="1"/>
    <col min="2309" max="2309" width="4" style="190" customWidth="1"/>
    <col min="2310" max="2310" width="24.08984375" style="190" customWidth="1"/>
    <col min="2311" max="2311" width="1.6328125" style="190" customWidth="1"/>
    <col min="2312" max="2313" width="8.08984375" style="190" customWidth="1"/>
    <col min="2314" max="2560" width="7.08984375" style="190"/>
    <col min="2561" max="2561" width="10.08984375" style="190" customWidth="1"/>
    <col min="2562" max="2562" width="3.54296875" style="190" customWidth="1"/>
    <col min="2563" max="2564" width="1.6328125" style="190" customWidth="1"/>
    <col min="2565" max="2565" width="4" style="190" customWidth="1"/>
    <col min="2566" max="2566" width="24.08984375" style="190" customWidth="1"/>
    <col min="2567" max="2567" width="1.6328125" style="190" customWidth="1"/>
    <col min="2568" max="2569" width="8.08984375" style="190" customWidth="1"/>
    <col min="2570" max="2816" width="7.08984375" style="190"/>
    <col min="2817" max="2817" width="10.08984375" style="190" customWidth="1"/>
    <col min="2818" max="2818" width="3.54296875" style="190" customWidth="1"/>
    <col min="2819" max="2820" width="1.6328125" style="190" customWidth="1"/>
    <col min="2821" max="2821" width="4" style="190" customWidth="1"/>
    <col min="2822" max="2822" width="24.08984375" style="190" customWidth="1"/>
    <col min="2823" max="2823" width="1.6328125" style="190" customWidth="1"/>
    <col min="2824" max="2825" width="8.08984375" style="190" customWidth="1"/>
    <col min="2826" max="3072" width="7.08984375" style="190"/>
    <col min="3073" max="3073" width="10.08984375" style="190" customWidth="1"/>
    <col min="3074" max="3074" width="3.54296875" style="190" customWidth="1"/>
    <col min="3075" max="3076" width="1.6328125" style="190" customWidth="1"/>
    <col min="3077" max="3077" width="4" style="190" customWidth="1"/>
    <col min="3078" max="3078" width="24.08984375" style="190" customWidth="1"/>
    <col min="3079" max="3079" width="1.6328125" style="190" customWidth="1"/>
    <col min="3080" max="3081" width="8.08984375" style="190" customWidth="1"/>
    <col min="3082" max="3328" width="7.08984375" style="190"/>
    <col min="3329" max="3329" width="10.08984375" style="190" customWidth="1"/>
    <col min="3330" max="3330" width="3.54296875" style="190" customWidth="1"/>
    <col min="3331" max="3332" width="1.6328125" style="190" customWidth="1"/>
    <col min="3333" max="3333" width="4" style="190" customWidth="1"/>
    <col min="3334" max="3334" width="24.08984375" style="190" customWidth="1"/>
    <col min="3335" max="3335" width="1.6328125" style="190" customWidth="1"/>
    <col min="3336" max="3337" width="8.08984375" style="190" customWidth="1"/>
    <col min="3338" max="3584" width="7.08984375" style="190"/>
    <col min="3585" max="3585" width="10.08984375" style="190" customWidth="1"/>
    <col min="3586" max="3586" width="3.54296875" style="190" customWidth="1"/>
    <col min="3587" max="3588" width="1.6328125" style="190" customWidth="1"/>
    <col min="3589" max="3589" width="4" style="190" customWidth="1"/>
    <col min="3590" max="3590" width="24.08984375" style="190" customWidth="1"/>
    <col min="3591" max="3591" width="1.6328125" style="190" customWidth="1"/>
    <col min="3592" max="3593" width="8.08984375" style="190" customWidth="1"/>
    <col min="3594" max="3840" width="7.08984375" style="190"/>
    <col min="3841" max="3841" width="10.08984375" style="190" customWidth="1"/>
    <col min="3842" max="3842" width="3.54296875" style="190" customWidth="1"/>
    <col min="3843" max="3844" width="1.6328125" style="190" customWidth="1"/>
    <col min="3845" max="3845" width="4" style="190" customWidth="1"/>
    <col min="3846" max="3846" width="24.08984375" style="190" customWidth="1"/>
    <col min="3847" max="3847" width="1.6328125" style="190" customWidth="1"/>
    <col min="3848" max="3849" width="8.08984375" style="190" customWidth="1"/>
    <col min="3850" max="4096" width="7.08984375" style="190"/>
    <col min="4097" max="4097" width="10.08984375" style="190" customWidth="1"/>
    <col min="4098" max="4098" width="3.54296875" style="190" customWidth="1"/>
    <col min="4099" max="4100" width="1.6328125" style="190" customWidth="1"/>
    <col min="4101" max="4101" width="4" style="190" customWidth="1"/>
    <col min="4102" max="4102" width="24.08984375" style="190" customWidth="1"/>
    <col min="4103" max="4103" width="1.6328125" style="190" customWidth="1"/>
    <col min="4104" max="4105" width="8.08984375" style="190" customWidth="1"/>
    <col min="4106" max="4352" width="7.08984375" style="190"/>
    <col min="4353" max="4353" width="10.08984375" style="190" customWidth="1"/>
    <col min="4354" max="4354" width="3.54296875" style="190" customWidth="1"/>
    <col min="4355" max="4356" width="1.6328125" style="190" customWidth="1"/>
    <col min="4357" max="4357" width="4" style="190" customWidth="1"/>
    <col min="4358" max="4358" width="24.08984375" style="190" customWidth="1"/>
    <col min="4359" max="4359" width="1.6328125" style="190" customWidth="1"/>
    <col min="4360" max="4361" width="8.08984375" style="190" customWidth="1"/>
    <col min="4362" max="4608" width="7.08984375" style="190"/>
    <col min="4609" max="4609" width="10.08984375" style="190" customWidth="1"/>
    <col min="4610" max="4610" width="3.54296875" style="190" customWidth="1"/>
    <col min="4611" max="4612" width="1.6328125" style="190" customWidth="1"/>
    <col min="4613" max="4613" width="4" style="190" customWidth="1"/>
    <col min="4614" max="4614" width="24.08984375" style="190" customWidth="1"/>
    <col min="4615" max="4615" width="1.6328125" style="190" customWidth="1"/>
    <col min="4616" max="4617" width="8.08984375" style="190" customWidth="1"/>
    <col min="4618" max="4864" width="7.08984375" style="190"/>
    <col min="4865" max="4865" width="10.08984375" style="190" customWidth="1"/>
    <col min="4866" max="4866" width="3.54296875" style="190" customWidth="1"/>
    <col min="4867" max="4868" width="1.6328125" style="190" customWidth="1"/>
    <col min="4869" max="4869" width="4" style="190" customWidth="1"/>
    <col min="4870" max="4870" width="24.08984375" style="190" customWidth="1"/>
    <col min="4871" max="4871" width="1.6328125" style="190" customWidth="1"/>
    <col min="4872" max="4873" width="8.08984375" style="190" customWidth="1"/>
    <col min="4874" max="5120" width="7.08984375" style="190"/>
    <col min="5121" max="5121" width="10.08984375" style="190" customWidth="1"/>
    <col min="5122" max="5122" width="3.54296875" style="190" customWidth="1"/>
    <col min="5123" max="5124" width="1.6328125" style="190" customWidth="1"/>
    <col min="5125" max="5125" width="4" style="190" customWidth="1"/>
    <col min="5126" max="5126" width="24.08984375" style="190" customWidth="1"/>
    <col min="5127" max="5127" width="1.6328125" style="190" customWidth="1"/>
    <col min="5128" max="5129" width="8.08984375" style="190" customWidth="1"/>
    <col min="5130" max="5376" width="7.08984375" style="190"/>
    <col min="5377" max="5377" width="10.08984375" style="190" customWidth="1"/>
    <col min="5378" max="5378" width="3.54296875" style="190" customWidth="1"/>
    <col min="5379" max="5380" width="1.6328125" style="190" customWidth="1"/>
    <col min="5381" max="5381" width="4" style="190" customWidth="1"/>
    <col min="5382" max="5382" width="24.08984375" style="190" customWidth="1"/>
    <col min="5383" max="5383" width="1.6328125" style="190" customWidth="1"/>
    <col min="5384" max="5385" width="8.08984375" style="190" customWidth="1"/>
    <col min="5386" max="5632" width="7.08984375" style="190"/>
    <col min="5633" max="5633" width="10.08984375" style="190" customWidth="1"/>
    <col min="5634" max="5634" width="3.54296875" style="190" customWidth="1"/>
    <col min="5635" max="5636" width="1.6328125" style="190" customWidth="1"/>
    <col min="5637" max="5637" width="4" style="190" customWidth="1"/>
    <col min="5638" max="5638" width="24.08984375" style="190" customWidth="1"/>
    <col min="5639" max="5639" width="1.6328125" style="190" customWidth="1"/>
    <col min="5640" max="5641" width="8.08984375" style="190" customWidth="1"/>
    <col min="5642" max="5888" width="7.08984375" style="190"/>
    <col min="5889" max="5889" width="10.08984375" style="190" customWidth="1"/>
    <col min="5890" max="5890" width="3.54296875" style="190" customWidth="1"/>
    <col min="5891" max="5892" width="1.6328125" style="190" customWidth="1"/>
    <col min="5893" max="5893" width="4" style="190" customWidth="1"/>
    <col min="5894" max="5894" width="24.08984375" style="190" customWidth="1"/>
    <col min="5895" max="5895" width="1.6328125" style="190" customWidth="1"/>
    <col min="5896" max="5897" width="8.08984375" style="190" customWidth="1"/>
    <col min="5898" max="6144" width="7.08984375" style="190"/>
    <col min="6145" max="6145" width="10.08984375" style="190" customWidth="1"/>
    <col min="6146" max="6146" width="3.54296875" style="190" customWidth="1"/>
    <col min="6147" max="6148" width="1.6328125" style="190" customWidth="1"/>
    <col min="6149" max="6149" width="4" style="190" customWidth="1"/>
    <col min="6150" max="6150" width="24.08984375" style="190" customWidth="1"/>
    <col min="6151" max="6151" width="1.6328125" style="190" customWidth="1"/>
    <col min="6152" max="6153" width="8.08984375" style="190" customWidth="1"/>
    <col min="6154" max="6400" width="7.08984375" style="190"/>
    <col min="6401" max="6401" width="10.08984375" style="190" customWidth="1"/>
    <col min="6402" max="6402" width="3.54296875" style="190" customWidth="1"/>
    <col min="6403" max="6404" width="1.6328125" style="190" customWidth="1"/>
    <col min="6405" max="6405" width="4" style="190" customWidth="1"/>
    <col min="6406" max="6406" width="24.08984375" style="190" customWidth="1"/>
    <col min="6407" max="6407" width="1.6328125" style="190" customWidth="1"/>
    <col min="6408" max="6409" width="8.08984375" style="190" customWidth="1"/>
    <col min="6410" max="6656" width="7.08984375" style="190"/>
    <col min="6657" max="6657" width="10.08984375" style="190" customWidth="1"/>
    <col min="6658" max="6658" width="3.54296875" style="190" customWidth="1"/>
    <col min="6659" max="6660" width="1.6328125" style="190" customWidth="1"/>
    <col min="6661" max="6661" width="4" style="190" customWidth="1"/>
    <col min="6662" max="6662" width="24.08984375" style="190" customWidth="1"/>
    <col min="6663" max="6663" width="1.6328125" style="190" customWidth="1"/>
    <col min="6664" max="6665" width="8.08984375" style="190" customWidth="1"/>
    <col min="6666" max="6912" width="7.08984375" style="190"/>
    <col min="6913" max="6913" width="10.08984375" style="190" customWidth="1"/>
    <col min="6914" max="6914" width="3.54296875" style="190" customWidth="1"/>
    <col min="6915" max="6916" width="1.6328125" style="190" customWidth="1"/>
    <col min="6917" max="6917" width="4" style="190" customWidth="1"/>
    <col min="6918" max="6918" width="24.08984375" style="190" customWidth="1"/>
    <col min="6919" max="6919" width="1.6328125" style="190" customWidth="1"/>
    <col min="6920" max="6921" width="8.08984375" style="190" customWidth="1"/>
    <col min="6922" max="7168" width="7.08984375" style="190"/>
    <col min="7169" max="7169" width="10.08984375" style="190" customWidth="1"/>
    <col min="7170" max="7170" width="3.54296875" style="190" customWidth="1"/>
    <col min="7171" max="7172" width="1.6328125" style="190" customWidth="1"/>
    <col min="7173" max="7173" width="4" style="190" customWidth="1"/>
    <col min="7174" max="7174" width="24.08984375" style="190" customWidth="1"/>
    <col min="7175" max="7175" width="1.6328125" style="190" customWidth="1"/>
    <col min="7176" max="7177" width="8.08984375" style="190" customWidth="1"/>
    <col min="7178" max="7424" width="7.08984375" style="190"/>
    <col min="7425" max="7425" width="10.08984375" style="190" customWidth="1"/>
    <col min="7426" max="7426" width="3.54296875" style="190" customWidth="1"/>
    <col min="7427" max="7428" width="1.6328125" style="190" customWidth="1"/>
    <col min="7429" max="7429" width="4" style="190" customWidth="1"/>
    <col min="7430" max="7430" width="24.08984375" style="190" customWidth="1"/>
    <col min="7431" max="7431" width="1.6328125" style="190" customWidth="1"/>
    <col min="7432" max="7433" width="8.08984375" style="190" customWidth="1"/>
    <col min="7434" max="7680" width="7.08984375" style="190"/>
    <col min="7681" max="7681" width="10.08984375" style="190" customWidth="1"/>
    <col min="7682" max="7682" width="3.54296875" style="190" customWidth="1"/>
    <col min="7683" max="7684" width="1.6328125" style="190" customWidth="1"/>
    <col min="7685" max="7685" width="4" style="190" customWidth="1"/>
    <col min="7686" max="7686" width="24.08984375" style="190" customWidth="1"/>
    <col min="7687" max="7687" width="1.6328125" style="190" customWidth="1"/>
    <col min="7688" max="7689" width="8.08984375" style="190" customWidth="1"/>
    <col min="7690" max="7936" width="7.08984375" style="190"/>
    <col min="7937" max="7937" width="10.08984375" style="190" customWidth="1"/>
    <col min="7938" max="7938" width="3.54296875" style="190" customWidth="1"/>
    <col min="7939" max="7940" width="1.6328125" style="190" customWidth="1"/>
    <col min="7941" max="7941" width="4" style="190" customWidth="1"/>
    <col min="7942" max="7942" width="24.08984375" style="190" customWidth="1"/>
    <col min="7943" max="7943" width="1.6328125" style="190" customWidth="1"/>
    <col min="7944" max="7945" width="8.08984375" style="190" customWidth="1"/>
    <col min="7946" max="8192" width="7.08984375" style="190"/>
    <col min="8193" max="8193" width="10.08984375" style="190" customWidth="1"/>
    <col min="8194" max="8194" width="3.54296875" style="190" customWidth="1"/>
    <col min="8195" max="8196" width="1.6328125" style="190" customWidth="1"/>
    <col min="8197" max="8197" width="4" style="190" customWidth="1"/>
    <col min="8198" max="8198" width="24.08984375" style="190" customWidth="1"/>
    <col min="8199" max="8199" width="1.6328125" style="190" customWidth="1"/>
    <col min="8200" max="8201" width="8.08984375" style="190" customWidth="1"/>
    <col min="8202" max="8448" width="7.08984375" style="190"/>
    <col min="8449" max="8449" width="10.08984375" style="190" customWidth="1"/>
    <col min="8450" max="8450" width="3.54296875" style="190" customWidth="1"/>
    <col min="8451" max="8452" width="1.6328125" style="190" customWidth="1"/>
    <col min="8453" max="8453" width="4" style="190" customWidth="1"/>
    <col min="8454" max="8454" width="24.08984375" style="190" customWidth="1"/>
    <col min="8455" max="8455" width="1.6328125" style="190" customWidth="1"/>
    <col min="8456" max="8457" width="8.08984375" style="190" customWidth="1"/>
    <col min="8458" max="8704" width="7.08984375" style="190"/>
    <col min="8705" max="8705" width="10.08984375" style="190" customWidth="1"/>
    <col min="8706" max="8706" width="3.54296875" style="190" customWidth="1"/>
    <col min="8707" max="8708" width="1.6328125" style="190" customWidth="1"/>
    <col min="8709" max="8709" width="4" style="190" customWidth="1"/>
    <col min="8710" max="8710" width="24.08984375" style="190" customWidth="1"/>
    <col min="8711" max="8711" width="1.6328125" style="190" customWidth="1"/>
    <col min="8712" max="8713" width="8.08984375" style="190" customWidth="1"/>
    <col min="8714" max="8960" width="7.08984375" style="190"/>
    <col min="8961" max="8961" width="10.08984375" style="190" customWidth="1"/>
    <col min="8962" max="8962" width="3.54296875" style="190" customWidth="1"/>
    <col min="8963" max="8964" width="1.6328125" style="190" customWidth="1"/>
    <col min="8965" max="8965" width="4" style="190" customWidth="1"/>
    <col min="8966" max="8966" width="24.08984375" style="190" customWidth="1"/>
    <col min="8967" max="8967" width="1.6328125" style="190" customWidth="1"/>
    <col min="8968" max="8969" width="8.08984375" style="190" customWidth="1"/>
    <col min="8970" max="9216" width="7.08984375" style="190"/>
    <col min="9217" max="9217" width="10.08984375" style="190" customWidth="1"/>
    <col min="9218" max="9218" width="3.54296875" style="190" customWidth="1"/>
    <col min="9219" max="9220" width="1.6328125" style="190" customWidth="1"/>
    <col min="9221" max="9221" width="4" style="190" customWidth="1"/>
    <col min="9222" max="9222" width="24.08984375" style="190" customWidth="1"/>
    <col min="9223" max="9223" width="1.6328125" style="190" customWidth="1"/>
    <col min="9224" max="9225" width="8.08984375" style="190" customWidth="1"/>
    <col min="9226" max="9472" width="7.08984375" style="190"/>
    <col min="9473" max="9473" width="10.08984375" style="190" customWidth="1"/>
    <col min="9474" max="9474" width="3.54296875" style="190" customWidth="1"/>
    <col min="9475" max="9476" width="1.6328125" style="190" customWidth="1"/>
    <col min="9477" max="9477" width="4" style="190" customWidth="1"/>
    <col min="9478" max="9478" width="24.08984375" style="190" customWidth="1"/>
    <col min="9479" max="9479" width="1.6328125" style="190" customWidth="1"/>
    <col min="9480" max="9481" width="8.08984375" style="190" customWidth="1"/>
    <col min="9482" max="9728" width="7.08984375" style="190"/>
    <col min="9729" max="9729" width="10.08984375" style="190" customWidth="1"/>
    <col min="9730" max="9730" width="3.54296875" style="190" customWidth="1"/>
    <col min="9731" max="9732" width="1.6328125" style="190" customWidth="1"/>
    <col min="9733" max="9733" width="4" style="190" customWidth="1"/>
    <col min="9734" max="9734" width="24.08984375" style="190" customWidth="1"/>
    <col min="9735" max="9735" width="1.6328125" style="190" customWidth="1"/>
    <col min="9736" max="9737" width="8.08984375" style="190" customWidth="1"/>
    <col min="9738" max="9984" width="7.08984375" style="190"/>
    <col min="9985" max="9985" width="10.08984375" style="190" customWidth="1"/>
    <col min="9986" max="9986" width="3.54296875" style="190" customWidth="1"/>
    <col min="9987" max="9988" width="1.6328125" style="190" customWidth="1"/>
    <col min="9989" max="9989" width="4" style="190" customWidth="1"/>
    <col min="9990" max="9990" width="24.08984375" style="190" customWidth="1"/>
    <col min="9991" max="9991" width="1.6328125" style="190" customWidth="1"/>
    <col min="9992" max="9993" width="8.08984375" style="190" customWidth="1"/>
    <col min="9994" max="10240" width="7.08984375" style="190"/>
    <col min="10241" max="10241" width="10.08984375" style="190" customWidth="1"/>
    <col min="10242" max="10242" width="3.54296875" style="190" customWidth="1"/>
    <col min="10243" max="10244" width="1.6328125" style="190" customWidth="1"/>
    <col min="10245" max="10245" width="4" style="190" customWidth="1"/>
    <col min="10246" max="10246" width="24.08984375" style="190" customWidth="1"/>
    <col min="10247" max="10247" width="1.6328125" style="190" customWidth="1"/>
    <col min="10248" max="10249" width="8.08984375" style="190" customWidth="1"/>
    <col min="10250" max="10496" width="7.08984375" style="190"/>
    <col min="10497" max="10497" width="10.08984375" style="190" customWidth="1"/>
    <col min="10498" max="10498" width="3.54296875" style="190" customWidth="1"/>
    <col min="10499" max="10500" width="1.6328125" style="190" customWidth="1"/>
    <col min="10501" max="10501" width="4" style="190" customWidth="1"/>
    <col min="10502" max="10502" width="24.08984375" style="190" customWidth="1"/>
    <col min="10503" max="10503" width="1.6328125" style="190" customWidth="1"/>
    <col min="10504" max="10505" width="8.08984375" style="190" customWidth="1"/>
    <col min="10506" max="10752" width="7.08984375" style="190"/>
    <col min="10753" max="10753" width="10.08984375" style="190" customWidth="1"/>
    <col min="10754" max="10754" width="3.54296875" style="190" customWidth="1"/>
    <col min="10755" max="10756" width="1.6328125" style="190" customWidth="1"/>
    <col min="10757" max="10757" width="4" style="190" customWidth="1"/>
    <col min="10758" max="10758" width="24.08984375" style="190" customWidth="1"/>
    <col min="10759" max="10759" width="1.6328125" style="190" customWidth="1"/>
    <col min="10760" max="10761" width="8.08984375" style="190" customWidth="1"/>
    <col min="10762" max="11008" width="7.08984375" style="190"/>
    <col min="11009" max="11009" width="10.08984375" style="190" customWidth="1"/>
    <col min="11010" max="11010" width="3.54296875" style="190" customWidth="1"/>
    <col min="11011" max="11012" width="1.6328125" style="190" customWidth="1"/>
    <col min="11013" max="11013" width="4" style="190" customWidth="1"/>
    <col min="11014" max="11014" width="24.08984375" style="190" customWidth="1"/>
    <col min="11015" max="11015" width="1.6328125" style="190" customWidth="1"/>
    <col min="11016" max="11017" width="8.08984375" style="190" customWidth="1"/>
    <col min="11018" max="11264" width="7.08984375" style="190"/>
    <col min="11265" max="11265" width="10.08984375" style="190" customWidth="1"/>
    <col min="11266" max="11266" width="3.54296875" style="190" customWidth="1"/>
    <col min="11267" max="11268" width="1.6328125" style="190" customWidth="1"/>
    <col min="11269" max="11269" width="4" style="190" customWidth="1"/>
    <col min="11270" max="11270" width="24.08984375" style="190" customWidth="1"/>
    <col min="11271" max="11271" width="1.6328125" style="190" customWidth="1"/>
    <col min="11272" max="11273" width="8.08984375" style="190" customWidth="1"/>
    <col min="11274" max="11520" width="7.08984375" style="190"/>
    <col min="11521" max="11521" width="10.08984375" style="190" customWidth="1"/>
    <col min="11522" max="11522" width="3.54296875" style="190" customWidth="1"/>
    <col min="11523" max="11524" width="1.6328125" style="190" customWidth="1"/>
    <col min="11525" max="11525" width="4" style="190" customWidth="1"/>
    <col min="11526" max="11526" width="24.08984375" style="190" customWidth="1"/>
    <col min="11527" max="11527" width="1.6328125" style="190" customWidth="1"/>
    <col min="11528" max="11529" width="8.08984375" style="190" customWidth="1"/>
    <col min="11530" max="11776" width="7.08984375" style="190"/>
    <col min="11777" max="11777" width="10.08984375" style="190" customWidth="1"/>
    <col min="11778" max="11778" width="3.54296875" style="190" customWidth="1"/>
    <col min="11779" max="11780" width="1.6328125" style="190" customWidth="1"/>
    <col min="11781" max="11781" width="4" style="190" customWidth="1"/>
    <col min="11782" max="11782" width="24.08984375" style="190" customWidth="1"/>
    <col min="11783" max="11783" width="1.6328125" style="190" customWidth="1"/>
    <col min="11784" max="11785" width="8.08984375" style="190" customWidth="1"/>
    <col min="11786" max="12032" width="7.08984375" style="190"/>
    <col min="12033" max="12033" width="10.08984375" style="190" customWidth="1"/>
    <col min="12034" max="12034" width="3.54296875" style="190" customWidth="1"/>
    <col min="12035" max="12036" width="1.6328125" style="190" customWidth="1"/>
    <col min="12037" max="12037" width="4" style="190" customWidth="1"/>
    <col min="12038" max="12038" width="24.08984375" style="190" customWidth="1"/>
    <col min="12039" max="12039" width="1.6328125" style="190" customWidth="1"/>
    <col min="12040" max="12041" width="8.08984375" style="190" customWidth="1"/>
    <col min="12042" max="12288" width="7.08984375" style="190"/>
    <col min="12289" max="12289" width="10.08984375" style="190" customWidth="1"/>
    <col min="12290" max="12290" width="3.54296875" style="190" customWidth="1"/>
    <col min="12291" max="12292" width="1.6328125" style="190" customWidth="1"/>
    <col min="12293" max="12293" width="4" style="190" customWidth="1"/>
    <col min="12294" max="12294" width="24.08984375" style="190" customWidth="1"/>
    <col min="12295" max="12295" width="1.6328125" style="190" customWidth="1"/>
    <col min="12296" max="12297" width="8.08984375" style="190" customWidth="1"/>
    <col min="12298" max="12544" width="7.08984375" style="190"/>
    <col min="12545" max="12545" width="10.08984375" style="190" customWidth="1"/>
    <col min="12546" max="12546" width="3.54296875" style="190" customWidth="1"/>
    <col min="12547" max="12548" width="1.6328125" style="190" customWidth="1"/>
    <col min="12549" max="12549" width="4" style="190" customWidth="1"/>
    <col min="12550" max="12550" width="24.08984375" style="190" customWidth="1"/>
    <col min="12551" max="12551" width="1.6328125" style="190" customWidth="1"/>
    <col min="12552" max="12553" width="8.08984375" style="190" customWidth="1"/>
    <col min="12554" max="12800" width="7.08984375" style="190"/>
    <col min="12801" max="12801" width="10.08984375" style="190" customWidth="1"/>
    <col min="12802" max="12802" width="3.54296875" style="190" customWidth="1"/>
    <col min="12803" max="12804" width="1.6328125" style="190" customWidth="1"/>
    <col min="12805" max="12805" width="4" style="190" customWidth="1"/>
    <col min="12806" max="12806" width="24.08984375" style="190" customWidth="1"/>
    <col min="12807" max="12807" width="1.6328125" style="190" customWidth="1"/>
    <col min="12808" max="12809" width="8.08984375" style="190" customWidth="1"/>
    <col min="12810" max="13056" width="7.08984375" style="190"/>
    <col min="13057" max="13057" width="10.08984375" style="190" customWidth="1"/>
    <col min="13058" max="13058" width="3.54296875" style="190" customWidth="1"/>
    <col min="13059" max="13060" width="1.6328125" style="190" customWidth="1"/>
    <col min="13061" max="13061" width="4" style="190" customWidth="1"/>
    <col min="13062" max="13062" width="24.08984375" style="190" customWidth="1"/>
    <col min="13063" max="13063" width="1.6328125" style="190" customWidth="1"/>
    <col min="13064" max="13065" width="8.08984375" style="190" customWidth="1"/>
    <col min="13066" max="13312" width="7.08984375" style="190"/>
    <col min="13313" max="13313" width="10.08984375" style="190" customWidth="1"/>
    <col min="13314" max="13314" width="3.54296875" style="190" customWidth="1"/>
    <col min="13315" max="13316" width="1.6328125" style="190" customWidth="1"/>
    <col min="13317" max="13317" width="4" style="190" customWidth="1"/>
    <col min="13318" max="13318" width="24.08984375" style="190" customWidth="1"/>
    <col min="13319" max="13319" width="1.6328125" style="190" customWidth="1"/>
    <col min="13320" max="13321" width="8.08984375" style="190" customWidth="1"/>
    <col min="13322" max="13568" width="7.08984375" style="190"/>
    <col min="13569" max="13569" width="10.08984375" style="190" customWidth="1"/>
    <col min="13570" max="13570" width="3.54296875" style="190" customWidth="1"/>
    <col min="13571" max="13572" width="1.6328125" style="190" customWidth="1"/>
    <col min="13573" max="13573" width="4" style="190" customWidth="1"/>
    <col min="13574" max="13574" width="24.08984375" style="190" customWidth="1"/>
    <col min="13575" max="13575" width="1.6328125" style="190" customWidth="1"/>
    <col min="13576" max="13577" width="8.08984375" style="190" customWidth="1"/>
    <col min="13578" max="13824" width="7.08984375" style="190"/>
    <col min="13825" max="13825" width="10.08984375" style="190" customWidth="1"/>
    <col min="13826" max="13826" width="3.54296875" style="190" customWidth="1"/>
    <col min="13827" max="13828" width="1.6328125" style="190" customWidth="1"/>
    <col min="13829" max="13829" width="4" style="190" customWidth="1"/>
    <col min="13830" max="13830" width="24.08984375" style="190" customWidth="1"/>
    <col min="13831" max="13831" width="1.6328125" style="190" customWidth="1"/>
    <col min="13832" max="13833" width="8.08984375" style="190" customWidth="1"/>
    <col min="13834" max="14080" width="7.08984375" style="190"/>
    <col min="14081" max="14081" width="10.08984375" style="190" customWidth="1"/>
    <col min="14082" max="14082" width="3.54296875" style="190" customWidth="1"/>
    <col min="14083" max="14084" width="1.6328125" style="190" customWidth="1"/>
    <col min="14085" max="14085" width="4" style="190" customWidth="1"/>
    <col min="14086" max="14086" width="24.08984375" style="190" customWidth="1"/>
    <col min="14087" max="14087" width="1.6328125" style="190" customWidth="1"/>
    <col min="14088" max="14089" width="8.08984375" style="190" customWidth="1"/>
    <col min="14090" max="14336" width="7.08984375" style="190"/>
    <col min="14337" max="14337" width="10.08984375" style="190" customWidth="1"/>
    <col min="14338" max="14338" width="3.54296875" style="190" customWidth="1"/>
    <col min="14339" max="14340" width="1.6328125" style="190" customWidth="1"/>
    <col min="14341" max="14341" width="4" style="190" customWidth="1"/>
    <col min="14342" max="14342" width="24.08984375" style="190" customWidth="1"/>
    <col min="14343" max="14343" width="1.6328125" style="190" customWidth="1"/>
    <col min="14344" max="14345" width="8.08984375" style="190" customWidth="1"/>
    <col min="14346" max="14592" width="7.08984375" style="190"/>
    <col min="14593" max="14593" width="10.08984375" style="190" customWidth="1"/>
    <col min="14594" max="14594" width="3.54296875" style="190" customWidth="1"/>
    <col min="14595" max="14596" width="1.6328125" style="190" customWidth="1"/>
    <col min="14597" max="14597" width="4" style="190" customWidth="1"/>
    <col min="14598" max="14598" width="24.08984375" style="190" customWidth="1"/>
    <col min="14599" max="14599" width="1.6328125" style="190" customWidth="1"/>
    <col min="14600" max="14601" width="8.08984375" style="190" customWidth="1"/>
    <col min="14602" max="14848" width="7.08984375" style="190"/>
    <col min="14849" max="14849" width="10.08984375" style="190" customWidth="1"/>
    <col min="14850" max="14850" width="3.54296875" style="190" customWidth="1"/>
    <col min="14851" max="14852" width="1.6328125" style="190" customWidth="1"/>
    <col min="14853" max="14853" width="4" style="190" customWidth="1"/>
    <col min="14854" max="14854" width="24.08984375" style="190" customWidth="1"/>
    <col min="14855" max="14855" width="1.6328125" style="190" customWidth="1"/>
    <col min="14856" max="14857" width="8.08984375" style="190" customWidth="1"/>
    <col min="14858" max="15104" width="7.08984375" style="190"/>
    <col min="15105" max="15105" width="10.08984375" style="190" customWidth="1"/>
    <col min="15106" max="15106" width="3.54296875" style="190" customWidth="1"/>
    <col min="15107" max="15108" width="1.6328125" style="190" customWidth="1"/>
    <col min="15109" max="15109" width="4" style="190" customWidth="1"/>
    <col min="15110" max="15110" width="24.08984375" style="190" customWidth="1"/>
    <col min="15111" max="15111" width="1.6328125" style="190" customWidth="1"/>
    <col min="15112" max="15113" width="8.08984375" style="190" customWidth="1"/>
    <col min="15114" max="15360" width="7.08984375" style="190"/>
    <col min="15361" max="15361" width="10.08984375" style="190" customWidth="1"/>
    <col min="15362" max="15362" width="3.54296875" style="190" customWidth="1"/>
    <col min="15363" max="15364" width="1.6328125" style="190" customWidth="1"/>
    <col min="15365" max="15365" width="4" style="190" customWidth="1"/>
    <col min="15366" max="15366" width="24.08984375" style="190" customWidth="1"/>
    <col min="15367" max="15367" width="1.6328125" style="190" customWidth="1"/>
    <col min="15368" max="15369" width="8.08984375" style="190" customWidth="1"/>
    <col min="15370" max="15616" width="7.08984375" style="190"/>
    <col min="15617" max="15617" width="10.08984375" style="190" customWidth="1"/>
    <col min="15618" max="15618" width="3.54296875" style="190" customWidth="1"/>
    <col min="15619" max="15620" width="1.6328125" style="190" customWidth="1"/>
    <col min="15621" max="15621" width="4" style="190" customWidth="1"/>
    <col min="15622" max="15622" width="24.08984375" style="190" customWidth="1"/>
    <col min="15623" max="15623" width="1.6328125" style="190" customWidth="1"/>
    <col min="15624" max="15625" width="8.08984375" style="190" customWidth="1"/>
    <col min="15626" max="15872" width="7.08984375" style="190"/>
    <col min="15873" max="15873" width="10.08984375" style="190" customWidth="1"/>
    <col min="15874" max="15874" width="3.54296875" style="190" customWidth="1"/>
    <col min="15875" max="15876" width="1.6328125" style="190" customWidth="1"/>
    <col min="15877" max="15877" width="4" style="190" customWidth="1"/>
    <col min="15878" max="15878" width="24.08984375" style="190" customWidth="1"/>
    <col min="15879" max="15879" width="1.6328125" style="190" customWidth="1"/>
    <col min="15880" max="15881" width="8.08984375" style="190" customWidth="1"/>
    <col min="15882" max="16128" width="7.08984375" style="190"/>
    <col min="16129" max="16129" width="10.08984375" style="190" customWidth="1"/>
    <col min="16130" max="16130" width="3.54296875" style="190" customWidth="1"/>
    <col min="16131" max="16132" width="1.6328125" style="190" customWidth="1"/>
    <col min="16133" max="16133" width="4" style="190" customWidth="1"/>
    <col min="16134" max="16134" width="24.08984375" style="190" customWidth="1"/>
    <col min="16135" max="16135" width="1.6328125" style="190" customWidth="1"/>
    <col min="16136" max="16137" width="8.08984375" style="190" customWidth="1"/>
    <col min="16138" max="16384" width="7.08984375" style="190"/>
  </cols>
  <sheetData>
    <row r="1" spans="1:9" ht="14.25" customHeight="1">
      <c r="A1" s="935" t="s">
        <v>757</v>
      </c>
      <c r="B1" s="935"/>
      <c r="C1" s="935"/>
      <c r="D1" s="935"/>
      <c r="E1" s="935"/>
      <c r="F1" s="935"/>
      <c r="G1" s="935"/>
      <c r="H1" s="935"/>
    </row>
    <row r="2" spans="1:9">
      <c r="A2" s="935" t="s">
        <v>722</v>
      </c>
      <c r="B2" s="935"/>
      <c r="C2" s="935"/>
      <c r="D2" s="935"/>
      <c r="E2" s="935"/>
      <c r="F2" s="935"/>
      <c r="G2" s="935"/>
      <c r="H2" s="935"/>
    </row>
    <row r="3" spans="1:9">
      <c r="A3" s="936" t="str">
        <f>'Act Att-H'!C7</f>
        <v>Black Hills Colorado Electric, LLC</v>
      </c>
      <c r="B3" s="936"/>
      <c r="C3" s="936"/>
      <c r="D3" s="936"/>
      <c r="E3" s="936"/>
      <c r="F3" s="936"/>
      <c r="G3" s="936"/>
      <c r="H3" s="936"/>
    </row>
    <row r="4" spans="1:9">
      <c r="F4" s="2"/>
      <c r="H4" s="192" t="s">
        <v>515</v>
      </c>
    </row>
    <row r="5" spans="1:9">
      <c r="A5" s="206"/>
      <c r="B5" s="206"/>
      <c r="C5" s="206"/>
      <c r="D5" s="206"/>
      <c r="E5" s="206"/>
      <c r="F5" s="206"/>
      <c r="G5" s="206"/>
      <c r="H5" s="206"/>
    </row>
    <row r="6" spans="1:9" ht="60.75" customHeight="1">
      <c r="B6" s="116" t="s">
        <v>4</v>
      </c>
      <c r="C6" s="116" t="s">
        <v>933</v>
      </c>
      <c r="D6" s="116" t="s">
        <v>159</v>
      </c>
      <c r="E6" s="219" t="s">
        <v>948</v>
      </c>
      <c r="F6" s="219" t="s">
        <v>10</v>
      </c>
      <c r="G6" s="219" t="s">
        <v>759</v>
      </c>
      <c r="H6" s="219" t="s">
        <v>760</v>
      </c>
    </row>
    <row r="7" spans="1:9" ht="15" customHeight="1">
      <c r="B7" s="215"/>
      <c r="C7" s="220" t="s">
        <v>138</v>
      </c>
      <c r="D7" s="221" t="s">
        <v>139</v>
      </c>
      <c r="E7" s="221" t="s">
        <v>140</v>
      </c>
      <c r="F7" s="221" t="s">
        <v>141</v>
      </c>
      <c r="G7" s="221" t="s">
        <v>142</v>
      </c>
      <c r="H7" s="221" t="s">
        <v>143</v>
      </c>
    </row>
    <row r="8" spans="1:9" ht="15" customHeight="1">
      <c r="B8" s="394">
        <v>1</v>
      </c>
      <c r="C8" s="787" t="s">
        <v>934</v>
      </c>
      <c r="D8" s="734" t="s">
        <v>935</v>
      </c>
      <c r="E8" s="824">
        <v>0</v>
      </c>
      <c r="F8" s="788" t="s">
        <v>290</v>
      </c>
      <c r="G8" s="789">
        <f>'Act Att-H'!$G$116</f>
        <v>1</v>
      </c>
      <c r="H8" s="790">
        <f t="shared" ref="H8:H11" si="0">G8*E8</f>
        <v>0</v>
      </c>
    </row>
    <row r="9" spans="1:9" ht="30" customHeight="1">
      <c r="B9" s="394">
        <v>2</v>
      </c>
      <c r="C9" s="787" t="s">
        <v>936</v>
      </c>
      <c r="D9" s="734" t="s">
        <v>937</v>
      </c>
      <c r="E9" s="825">
        <v>184710.95</v>
      </c>
      <c r="F9" s="788" t="s">
        <v>11</v>
      </c>
      <c r="G9" s="789">
        <f>'Act Att-H'!$I$175</f>
        <v>0.92887970882503001</v>
      </c>
      <c r="H9" s="791">
        <f t="shared" si="0"/>
        <v>171574.25345279468</v>
      </c>
    </row>
    <row r="10" spans="1:9" ht="30" customHeight="1">
      <c r="B10" s="394">
        <v>3</v>
      </c>
      <c r="C10" s="787" t="s">
        <v>938</v>
      </c>
      <c r="D10" s="734" t="s">
        <v>939</v>
      </c>
      <c r="E10" s="825">
        <v>0</v>
      </c>
      <c r="F10" s="788" t="s">
        <v>35</v>
      </c>
      <c r="G10" s="789">
        <f>'Act Att-H'!$I$184</f>
        <v>0.92887970882503001</v>
      </c>
      <c r="H10" s="791">
        <f t="shared" si="0"/>
        <v>0</v>
      </c>
    </row>
    <row r="11" spans="1:9" ht="30" customHeight="1">
      <c r="B11" s="394">
        <v>4</v>
      </c>
      <c r="C11" s="787" t="s">
        <v>1258</v>
      </c>
      <c r="D11" s="734" t="s">
        <v>1260</v>
      </c>
      <c r="E11" s="825">
        <v>0</v>
      </c>
      <c r="F11" s="788" t="s">
        <v>1252</v>
      </c>
      <c r="G11" s="789">
        <f>'Act Att-H'!$K$196</f>
        <v>0.12947946442867816</v>
      </c>
      <c r="H11" s="791">
        <f t="shared" si="0"/>
        <v>0</v>
      </c>
    </row>
    <row r="12" spans="1:9" ht="30" customHeight="1">
      <c r="B12" s="394">
        <v>5</v>
      </c>
      <c r="C12" s="787" t="s">
        <v>940</v>
      </c>
      <c r="D12" s="734" t="s">
        <v>941</v>
      </c>
      <c r="E12" s="825">
        <v>392069.72</v>
      </c>
      <c r="F12" s="788" t="s">
        <v>31</v>
      </c>
      <c r="G12" s="789">
        <f>'Act Att-H'!$I$192</f>
        <v>0.13228055028384053</v>
      </c>
      <c r="H12" s="791">
        <f t="shared" ref="H12:H15" si="1">G12*E12</f>
        <v>51863.198311231274</v>
      </c>
    </row>
    <row r="13" spans="1:9" ht="30" customHeight="1">
      <c r="B13" s="394">
        <v>6</v>
      </c>
      <c r="C13" s="787" t="s">
        <v>942</v>
      </c>
      <c r="D13" s="734" t="s">
        <v>943</v>
      </c>
      <c r="E13" s="825">
        <v>0</v>
      </c>
      <c r="F13" s="788" t="s">
        <v>36</v>
      </c>
      <c r="G13" s="789">
        <f>'Act Att-H'!$G$50</f>
        <v>0.23929098354858599</v>
      </c>
      <c r="H13" s="791">
        <f t="shared" si="1"/>
        <v>0</v>
      </c>
    </row>
    <row r="14" spans="1:9" ht="30" customHeight="1">
      <c r="B14" s="394">
        <v>7</v>
      </c>
      <c r="C14" s="787" t="s">
        <v>944</v>
      </c>
      <c r="D14" s="734" t="s">
        <v>945</v>
      </c>
      <c r="E14" s="825">
        <v>0</v>
      </c>
      <c r="F14" s="788" t="s">
        <v>949</v>
      </c>
      <c r="G14" s="789">
        <f>'Act Att-H'!$G$66</f>
        <v>0.28588581118088968</v>
      </c>
      <c r="H14" s="791">
        <f t="shared" si="1"/>
        <v>0</v>
      </c>
    </row>
    <row r="15" spans="1:9" ht="60" customHeight="1">
      <c r="B15" s="394">
        <v>8</v>
      </c>
      <c r="C15" s="787" t="s">
        <v>946</v>
      </c>
      <c r="D15" s="734" t="s">
        <v>947</v>
      </c>
      <c r="E15" s="825">
        <v>657028.27</v>
      </c>
      <c r="F15" s="788" t="s">
        <v>27</v>
      </c>
      <c r="G15" s="789">
        <v>0</v>
      </c>
      <c r="H15" s="791">
        <f t="shared" si="1"/>
        <v>0</v>
      </c>
    </row>
    <row r="16" spans="1:9">
      <c r="B16" s="193">
        <v>9</v>
      </c>
      <c r="C16" s="285" t="s">
        <v>9</v>
      </c>
      <c r="D16" s="285" t="s">
        <v>483</v>
      </c>
      <c r="E16" s="407">
        <f>SUM(E8:E15)</f>
        <v>1233808.94</v>
      </c>
      <c r="F16" s="612"/>
      <c r="G16" s="614"/>
      <c r="H16" s="613">
        <f>SUM(H8:H15)</f>
        <v>223437.45176402596</v>
      </c>
      <c r="I16" s="216"/>
    </row>
    <row r="17" spans="2:11">
      <c r="B17" s="193">
        <v>10</v>
      </c>
      <c r="C17" s="190" t="s">
        <v>781</v>
      </c>
      <c r="E17" s="210">
        <f>'A4-Rate Base'!I89</f>
        <v>1233809.923076923</v>
      </c>
      <c r="F17" s="622"/>
      <c r="G17" s="622"/>
      <c r="H17" s="622"/>
      <c r="I17" s="216"/>
    </row>
    <row r="18" spans="2:11">
      <c r="B18" s="193">
        <v>11</v>
      </c>
      <c r="C18" s="190" t="s">
        <v>782</v>
      </c>
      <c r="E18" s="903">
        <f>E17-E16</f>
        <v>0.98307692306116223</v>
      </c>
      <c r="F18" s="622"/>
      <c r="G18" s="622"/>
      <c r="H18" s="622"/>
      <c r="I18" s="216"/>
    </row>
    <row r="19" spans="2:11">
      <c r="B19" s="193"/>
      <c r="H19" s="216"/>
    </row>
    <row r="20" spans="2:11">
      <c r="B20" s="193"/>
      <c r="H20" s="216"/>
    </row>
    <row r="21" spans="2:11">
      <c r="B21" s="354" t="s">
        <v>155</v>
      </c>
      <c r="H21" s="216"/>
    </row>
    <row r="22" spans="2:11">
      <c r="B22" s="193" t="s">
        <v>76</v>
      </c>
      <c r="C22" s="190" t="s">
        <v>761</v>
      </c>
      <c r="H22" s="216"/>
    </row>
    <row r="23" spans="2:11" ht="26.25" customHeight="1">
      <c r="B23" s="394" t="s">
        <v>77</v>
      </c>
      <c r="C23" s="961" t="s">
        <v>783</v>
      </c>
      <c r="D23" s="961"/>
      <c r="E23" s="961"/>
      <c r="F23" s="961"/>
      <c r="G23" s="961"/>
      <c r="H23" s="961"/>
      <c r="K23" s="723"/>
    </row>
    <row r="24" spans="2:11">
      <c r="B24" s="193"/>
    </row>
    <row r="25" spans="2:11">
      <c r="B25" s="193"/>
      <c r="C25" s="551"/>
    </row>
  </sheetData>
  <mergeCells count="4">
    <mergeCell ref="A1:H1"/>
    <mergeCell ref="A2:H2"/>
    <mergeCell ref="A3:H3"/>
    <mergeCell ref="C23:H2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G8:H15"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99"/>
  </sheetPr>
  <dimension ref="A1:P120"/>
  <sheetViews>
    <sheetView zoomScale="80" zoomScaleNormal="80" workbookViewId="0">
      <selection activeCell="L15" sqref="L15"/>
    </sheetView>
  </sheetViews>
  <sheetFormatPr defaultColWidth="7.08984375" defaultRowHeight="13.2"/>
  <cols>
    <col min="1" max="1" width="5.08984375" style="231" customWidth="1"/>
    <col min="2" max="2" width="5.54296875" style="231" customWidth="1"/>
    <col min="3" max="3" width="5.08984375" style="231" customWidth="1"/>
    <col min="4" max="4" width="12.6328125" style="230" customWidth="1"/>
    <col min="5" max="5" width="28.08984375" style="230" customWidth="1"/>
    <col min="6" max="6" width="12.08984375" style="230" customWidth="1"/>
    <col min="7" max="7" width="13.453125" style="230" bestFit="1" customWidth="1"/>
    <col min="8" max="8" width="19.08984375" style="230" customWidth="1"/>
    <col min="9" max="9" width="4.6328125" style="230" bestFit="1" customWidth="1"/>
    <col min="10" max="10" width="18.1796875" style="230" bestFit="1" customWidth="1"/>
    <col min="11" max="11" width="13" style="230" bestFit="1" customWidth="1"/>
    <col min="12" max="13" width="12.08984375" style="230" customWidth="1"/>
    <col min="14" max="14" width="11.54296875" style="230" bestFit="1" customWidth="1"/>
    <col min="15" max="15" width="7.08984375" style="230" bestFit="1" customWidth="1"/>
    <col min="16" max="16" width="11.6328125" style="230" bestFit="1" customWidth="1"/>
    <col min="17" max="16384" width="7.08984375" style="230"/>
  </cols>
  <sheetData>
    <row r="1" spans="1:11">
      <c r="A1" s="935" t="s">
        <v>246</v>
      </c>
      <c r="B1" s="935"/>
      <c r="C1" s="935"/>
      <c r="D1" s="935"/>
      <c r="E1" s="935"/>
      <c r="F1" s="935"/>
      <c r="G1" s="935"/>
      <c r="H1" s="935"/>
    </row>
    <row r="2" spans="1:11">
      <c r="A2" s="935" t="s">
        <v>432</v>
      </c>
      <c r="B2" s="935"/>
      <c r="C2" s="935"/>
      <c r="D2" s="935"/>
      <c r="E2" s="935"/>
      <c r="F2" s="935"/>
      <c r="G2" s="935"/>
      <c r="H2" s="935"/>
    </row>
    <row r="3" spans="1:11">
      <c r="A3" s="936" t="str">
        <f>'Act Att-H'!C7</f>
        <v>Black Hills Colorado Electric, LLC</v>
      </c>
      <c r="B3" s="936"/>
      <c r="C3" s="936"/>
      <c r="D3" s="936"/>
      <c r="E3" s="936"/>
      <c r="F3" s="936"/>
      <c r="G3" s="936"/>
      <c r="H3" s="936"/>
    </row>
    <row r="4" spans="1:11">
      <c r="H4" s="232" t="s">
        <v>515</v>
      </c>
    </row>
    <row r="5" spans="1:11">
      <c r="A5" s="233" t="s">
        <v>217</v>
      </c>
    </row>
    <row r="6" spans="1:11">
      <c r="A6" s="611" t="s">
        <v>218</v>
      </c>
      <c r="B6" s="611" t="s">
        <v>219</v>
      </c>
      <c r="C6" s="611" t="s">
        <v>220</v>
      </c>
      <c r="D6" s="611" t="s">
        <v>221</v>
      </c>
      <c r="E6" s="231"/>
    </row>
    <row r="7" spans="1:11">
      <c r="A7" s="231">
        <v>1</v>
      </c>
      <c r="B7" s="231" t="s">
        <v>222</v>
      </c>
      <c r="C7" s="231" t="s">
        <v>223</v>
      </c>
      <c r="D7" s="234" t="s">
        <v>913</v>
      </c>
      <c r="E7" s="234"/>
    </row>
    <row r="8" spans="1:11">
      <c r="A8" s="231">
        <f>A7+1</f>
        <v>2</v>
      </c>
      <c r="B8" s="231" t="s">
        <v>222</v>
      </c>
      <c r="C8" s="231" t="s">
        <v>223</v>
      </c>
      <c r="D8" s="234" t="s">
        <v>224</v>
      </c>
      <c r="E8" s="234"/>
    </row>
    <row r="9" spans="1:11">
      <c r="A9" s="231">
        <f t="shared" ref="A9:A17" si="0">A8+1</f>
        <v>3</v>
      </c>
      <c r="B9" s="235" t="s">
        <v>225</v>
      </c>
      <c r="C9" s="231" t="s">
        <v>226</v>
      </c>
      <c r="D9" s="234" t="s">
        <v>227</v>
      </c>
      <c r="E9" s="234"/>
    </row>
    <row r="10" spans="1:11">
      <c r="A10" s="231">
        <f t="shared" si="0"/>
        <v>4</v>
      </c>
      <c r="B10" s="231" t="str">
        <f>+B7</f>
        <v>Oct</v>
      </c>
      <c r="C10" s="231" t="s">
        <v>226</v>
      </c>
      <c r="D10" s="234" t="s">
        <v>914</v>
      </c>
      <c r="E10" s="234"/>
    </row>
    <row r="11" spans="1:11">
      <c r="A11" s="231">
        <f t="shared" si="0"/>
        <v>5</v>
      </c>
      <c r="B11" s="231" t="s">
        <v>222</v>
      </c>
      <c r="C11" s="231" t="str">
        <f>C10</f>
        <v>Year 1</v>
      </c>
      <c r="D11" s="234" t="s">
        <v>228</v>
      </c>
      <c r="E11" s="234"/>
    </row>
    <row r="12" spans="1:11">
      <c r="A12" s="231">
        <f t="shared" si="0"/>
        <v>6</v>
      </c>
      <c r="B12" s="231" t="s">
        <v>225</v>
      </c>
      <c r="C12" s="231" t="s">
        <v>229</v>
      </c>
      <c r="D12" s="234" t="s">
        <v>230</v>
      </c>
      <c r="E12" s="234"/>
    </row>
    <row r="13" spans="1:11">
      <c r="A13" s="231">
        <f t="shared" si="0"/>
        <v>7</v>
      </c>
      <c r="B13" s="231" t="s">
        <v>231</v>
      </c>
      <c r="C13" s="231" t="s">
        <v>229</v>
      </c>
      <c r="D13" s="234" t="s">
        <v>915</v>
      </c>
      <c r="E13" s="236"/>
      <c r="F13" s="237"/>
      <c r="G13" s="237"/>
      <c r="H13" s="237"/>
      <c r="I13" s="237"/>
      <c r="J13" s="237"/>
      <c r="K13" s="237"/>
    </row>
    <row r="14" spans="1:11">
      <c r="A14" s="231">
        <f t="shared" si="0"/>
        <v>8</v>
      </c>
      <c r="B14" s="231" t="s">
        <v>231</v>
      </c>
      <c r="C14" s="231" t="s">
        <v>229</v>
      </c>
      <c r="D14" s="234" t="s">
        <v>232</v>
      </c>
      <c r="E14" s="234"/>
    </row>
    <row r="15" spans="1:11">
      <c r="A15" s="231">
        <f t="shared" si="0"/>
        <v>9</v>
      </c>
      <c r="B15" s="231" t="s">
        <v>231</v>
      </c>
      <c r="C15" s="231" t="s">
        <v>229</v>
      </c>
      <c r="D15" s="234" t="s">
        <v>233</v>
      </c>
    </row>
    <row r="16" spans="1:11">
      <c r="A16" s="231">
        <f t="shared" si="0"/>
        <v>10</v>
      </c>
      <c r="B16" s="231" t="s">
        <v>222</v>
      </c>
      <c r="C16" s="231" t="s">
        <v>229</v>
      </c>
      <c r="D16" s="234" t="s">
        <v>1235</v>
      </c>
      <c r="E16" s="234"/>
    </row>
    <row r="17" spans="1:16">
      <c r="A17" s="231">
        <f t="shared" si="0"/>
        <v>11</v>
      </c>
      <c r="B17" s="231" t="s">
        <v>222</v>
      </c>
      <c r="C17" s="231" t="s">
        <v>229</v>
      </c>
      <c r="D17" s="234" t="s">
        <v>234</v>
      </c>
      <c r="E17" s="234"/>
    </row>
    <row r="18" spans="1:16">
      <c r="A18" s="230"/>
      <c r="B18" s="230"/>
      <c r="C18" s="230"/>
      <c r="E18" s="234"/>
    </row>
    <row r="19" spans="1:16">
      <c r="A19" s="230"/>
      <c r="B19" s="233" t="s">
        <v>610</v>
      </c>
    </row>
    <row r="20" spans="1:16" ht="12.75" customHeight="1" thickBot="1">
      <c r="A20" s="231">
        <f>A17+1</f>
        <v>12</v>
      </c>
      <c r="D20" s="237"/>
      <c r="E20" s="237"/>
      <c r="F20" s="237"/>
      <c r="H20" s="238" t="s">
        <v>235</v>
      </c>
      <c r="I20" s="237"/>
      <c r="N20" s="239"/>
      <c r="O20" s="239"/>
      <c r="P20" s="239"/>
    </row>
    <row r="21" spans="1:16" ht="12.75" customHeight="1">
      <c r="A21" s="231">
        <f>A20+1</f>
        <v>13</v>
      </c>
      <c r="C21" s="230" t="s">
        <v>236</v>
      </c>
      <c r="E21" s="237"/>
      <c r="F21" s="240"/>
      <c r="H21" s="406">
        <v>30070797.590203214</v>
      </c>
      <c r="I21" s="237"/>
      <c r="J21" s="905"/>
      <c r="N21" s="242"/>
      <c r="O21" s="242"/>
      <c r="P21" s="242"/>
    </row>
    <row r="22" spans="1:16">
      <c r="A22" s="231">
        <f t="shared" ref="A22:A23" si="1">A21+1</f>
        <v>14</v>
      </c>
      <c r="B22" s="243"/>
      <c r="C22" s="230" t="s">
        <v>619</v>
      </c>
      <c r="F22" s="241"/>
      <c r="H22" s="406">
        <v>31707378.20915778</v>
      </c>
      <c r="I22" s="906"/>
      <c r="N22" s="244"/>
      <c r="O22" s="244"/>
      <c r="P22" s="244"/>
    </row>
    <row r="23" spans="1:16">
      <c r="A23" s="231">
        <f t="shared" si="1"/>
        <v>15</v>
      </c>
      <c r="C23" s="230" t="s">
        <v>764</v>
      </c>
      <c r="F23" s="245" t="s">
        <v>598</v>
      </c>
      <c r="H23" s="374">
        <f>+H21-H22</f>
        <v>-1636580.6189545654</v>
      </c>
      <c r="I23" s="237"/>
      <c r="N23" s="239"/>
      <c r="O23" s="239"/>
      <c r="P23" s="239"/>
    </row>
    <row r="24" spans="1:16">
      <c r="F24" s="245"/>
      <c r="I24" s="237"/>
    </row>
    <row r="25" spans="1:16">
      <c r="A25" s="230"/>
      <c r="B25" s="233" t="s">
        <v>611</v>
      </c>
    </row>
    <row r="26" spans="1:16" ht="12.75" customHeight="1" thickBot="1">
      <c r="A26" s="231">
        <f>A23+1</f>
        <v>16</v>
      </c>
      <c r="D26" s="237"/>
      <c r="E26" s="237"/>
      <c r="F26" s="237"/>
      <c r="H26" s="238" t="s">
        <v>235</v>
      </c>
      <c r="I26" s="237"/>
      <c r="N26" s="239"/>
      <c r="O26" s="239"/>
      <c r="P26" s="239"/>
    </row>
    <row r="27" spans="1:16">
      <c r="A27" s="231">
        <f>A26+1</f>
        <v>17</v>
      </c>
      <c r="C27" s="230" t="s">
        <v>614</v>
      </c>
      <c r="E27" s="237"/>
      <c r="F27" s="240"/>
      <c r="H27" s="506">
        <v>391833.33333333331</v>
      </c>
      <c r="I27" s="237" t="s">
        <v>613</v>
      </c>
      <c r="N27" s="242"/>
      <c r="O27" s="242"/>
      <c r="P27" s="242"/>
    </row>
    <row r="28" spans="1:16">
      <c r="A28" s="231">
        <f t="shared" ref="A28:A33" si="2">A27+1</f>
        <v>18</v>
      </c>
      <c r="B28" s="243"/>
      <c r="C28" s="230" t="s">
        <v>620</v>
      </c>
      <c r="F28" s="241"/>
      <c r="H28" s="506">
        <v>406586.14301593177</v>
      </c>
      <c r="I28" s="237" t="s">
        <v>613</v>
      </c>
      <c r="N28" s="244"/>
      <c r="O28" s="244"/>
      <c r="P28" s="244"/>
    </row>
    <row r="29" spans="1:16">
      <c r="A29" s="231">
        <f t="shared" si="2"/>
        <v>19</v>
      </c>
      <c r="C29" s="230" t="s">
        <v>707</v>
      </c>
      <c r="F29" s="245" t="s">
        <v>618</v>
      </c>
      <c r="H29" s="507">
        <f>H28-H27</f>
        <v>14752.809682598454</v>
      </c>
      <c r="I29" s="237" t="s">
        <v>613</v>
      </c>
      <c r="N29" s="239"/>
      <c r="O29" s="239"/>
      <c r="P29" s="239"/>
    </row>
    <row r="30" spans="1:16" ht="12.75" customHeight="1">
      <c r="A30" s="231">
        <f t="shared" si="2"/>
        <v>20</v>
      </c>
      <c r="C30" s="230"/>
      <c r="D30" s="237"/>
      <c r="E30" s="237"/>
      <c r="F30" s="245"/>
      <c r="H30" s="508"/>
      <c r="I30" s="237"/>
      <c r="N30" s="239"/>
      <c r="O30" s="239"/>
      <c r="P30" s="239"/>
    </row>
    <row r="31" spans="1:16">
      <c r="A31" s="231">
        <f t="shared" si="2"/>
        <v>21</v>
      </c>
      <c r="C31" s="230" t="s">
        <v>621</v>
      </c>
      <c r="E31" s="237"/>
      <c r="F31" s="245" t="s">
        <v>615</v>
      </c>
      <c r="H31" s="508">
        <f>IF(H28=0,0,ROUND(H22/H28,6))</f>
        <v>77.984403999999998</v>
      </c>
      <c r="I31" s="237" t="s">
        <v>616</v>
      </c>
      <c r="N31" s="242"/>
      <c r="O31" s="242"/>
      <c r="P31" s="242"/>
    </row>
    <row r="32" spans="1:16">
      <c r="A32" s="231">
        <f t="shared" si="2"/>
        <v>22</v>
      </c>
      <c r="B32" s="243"/>
      <c r="C32" s="230" t="s">
        <v>612</v>
      </c>
      <c r="F32" s="245" t="s">
        <v>626</v>
      </c>
      <c r="H32" s="374">
        <f>H29*H31</f>
        <v>1150489.0704228696</v>
      </c>
      <c r="I32" s="237"/>
      <c r="N32" s="244"/>
      <c r="O32" s="244"/>
      <c r="P32" s="244"/>
    </row>
    <row r="33" spans="1:16">
      <c r="A33" s="231">
        <f t="shared" si="2"/>
        <v>23</v>
      </c>
      <c r="C33" s="230"/>
      <c r="F33" s="245"/>
      <c r="H33" s="505"/>
      <c r="I33" s="237"/>
      <c r="N33" s="239"/>
      <c r="O33" s="239"/>
      <c r="P33" s="239"/>
    </row>
    <row r="34" spans="1:16">
      <c r="B34" s="233" t="s">
        <v>754</v>
      </c>
      <c r="C34" s="230"/>
      <c r="F34" s="245"/>
      <c r="H34" s="505"/>
      <c r="I34" s="237"/>
      <c r="N34" s="239"/>
      <c r="O34" s="239"/>
      <c r="P34" s="239"/>
    </row>
    <row r="35" spans="1:16">
      <c r="A35" s="231" t="s">
        <v>292</v>
      </c>
      <c r="C35" s="230" t="s">
        <v>756</v>
      </c>
      <c r="F35" s="245"/>
      <c r="H35" s="406">
        <v>0</v>
      </c>
      <c r="I35" s="237"/>
      <c r="N35" s="239"/>
      <c r="O35" s="239"/>
      <c r="P35" s="239"/>
    </row>
    <row r="36" spans="1:16">
      <c r="C36" s="230"/>
      <c r="F36" s="245"/>
      <c r="H36" s="505"/>
      <c r="I36" s="237"/>
      <c r="N36" s="239"/>
      <c r="O36" s="239"/>
      <c r="P36" s="239"/>
    </row>
    <row r="37" spans="1:16">
      <c r="A37" s="231">
        <f>A33+1</f>
        <v>24</v>
      </c>
      <c r="B37" s="230" t="s">
        <v>708</v>
      </c>
      <c r="C37" s="230"/>
      <c r="D37" s="234"/>
      <c r="E37" s="231"/>
      <c r="F37" s="237" t="s">
        <v>755</v>
      </c>
      <c r="G37" s="237"/>
      <c r="H37" s="509">
        <f>H23+H32+H35</f>
        <v>-486091.54853169573</v>
      </c>
      <c r="I37" s="237"/>
      <c r="J37" s="237"/>
      <c r="K37" s="237"/>
      <c r="L37" s="237"/>
    </row>
    <row r="38" spans="1:16">
      <c r="C38" s="230"/>
      <c r="D38" s="234"/>
      <c r="E38" s="231"/>
      <c r="F38" s="237"/>
      <c r="G38" s="237"/>
      <c r="H38" s="237"/>
      <c r="I38" s="237"/>
      <c r="J38" s="237"/>
      <c r="K38" s="237"/>
      <c r="L38" s="237"/>
    </row>
    <row r="39" spans="1:16">
      <c r="C39" s="241"/>
      <c r="D39" s="231"/>
      <c r="E39" s="234"/>
      <c r="G39" s="231"/>
      <c r="H39" s="246"/>
      <c r="I39" s="234"/>
      <c r="J39" s="246"/>
    </row>
    <row r="40" spans="1:16">
      <c r="A40" s="231" t="s">
        <v>172</v>
      </c>
    </row>
    <row r="41" spans="1:16" s="618" customFormat="1" ht="15.75" customHeight="1">
      <c r="A41" s="247" t="s">
        <v>76</v>
      </c>
      <c r="B41" s="967" t="s">
        <v>1246</v>
      </c>
      <c r="C41" s="967"/>
      <c r="D41" s="967"/>
      <c r="E41" s="967"/>
      <c r="F41" s="967"/>
      <c r="G41" s="967"/>
      <c r="H41" s="967"/>
    </row>
    <row r="42" spans="1:16" s="618" customFormat="1">
      <c r="A42" s="247" t="s">
        <v>77</v>
      </c>
      <c r="B42" s="967" t="s">
        <v>1246</v>
      </c>
      <c r="C42" s="967"/>
      <c r="D42" s="967"/>
      <c r="E42" s="967"/>
      <c r="F42" s="967"/>
      <c r="G42" s="967"/>
      <c r="H42" s="967"/>
    </row>
    <row r="43" spans="1:16" s="618" customFormat="1">
      <c r="A43" s="247" t="s">
        <v>78</v>
      </c>
      <c r="B43" s="967" t="s">
        <v>1246</v>
      </c>
      <c r="C43" s="967"/>
      <c r="D43" s="967"/>
      <c r="E43" s="967"/>
      <c r="F43" s="967"/>
      <c r="G43" s="967"/>
      <c r="H43" s="967"/>
    </row>
    <row r="44" spans="1:16" s="618" customFormat="1" ht="13.35" customHeight="1">
      <c r="A44" s="247" t="s">
        <v>79</v>
      </c>
      <c r="B44" s="967" t="s">
        <v>1246</v>
      </c>
      <c r="C44" s="967"/>
      <c r="D44" s="967"/>
      <c r="E44" s="967"/>
      <c r="F44" s="967"/>
      <c r="G44" s="967"/>
      <c r="H44" s="967"/>
    </row>
    <row r="45" spans="1:16" s="618" customFormat="1" ht="14.25" customHeight="1">
      <c r="A45" s="247" t="s">
        <v>80</v>
      </c>
      <c r="B45" s="967" t="s">
        <v>1247</v>
      </c>
      <c r="C45" s="967"/>
      <c r="D45" s="967"/>
      <c r="E45" s="967"/>
      <c r="F45" s="967"/>
      <c r="G45" s="967"/>
      <c r="H45" s="967"/>
    </row>
    <row r="46" spans="1:16" s="618" customFormat="1" ht="122.4" customHeight="1">
      <c r="A46" s="247" t="s">
        <v>81</v>
      </c>
      <c r="B46" s="966" t="s">
        <v>1248</v>
      </c>
      <c r="C46" s="966"/>
      <c r="D46" s="966"/>
      <c r="E46" s="966"/>
      <c r="F46" s="966"/>
      <c r="G46" s="966"/>
      <c r="H46" s="966"/>
    </row>
    <row r="47" spans="1:16">
      <c r="B47" s="230"/>
    </row>
    <row r="97" spans="3:7" ht="15.6">
      <c r="C97" s="248"/>
      <c r="D97" s="249"/>
      <c r="E97" s="249"/>
      <c r="F97" s="249"/>
      <c r="G97" s="249"/>
    </row>
    <row r="98" spans="3:7" ht="99.75" customHeight="1">
      <c r="C98" s="248"/>
      <c r="D98" s="249"/>
      <c r="E98" s="249"/>
      <c r="F98" s="249"/>
      <c r="G98" s="249"/>
    </row>
    <row r="99" spans="3:7" ht="15.6">
      <c r="C99" s="248"/>
      <c r="D99" s="249"/>
      <c r="E99" s="249"/>
      <c r="F99" s="249"/>
      <c r="G99" s="249"/>
    </row>
    <row r="100" spans="3:7" ht="15.6">
      <c r="C100" s="248"/>
      <c r="D100" s="249"/>
      <c r="E100" s="249"/>
      <c r="F100" s="249"/>
      <c r="G100" s="249"/>
    </row>
    <row r="101" spans="3:7" ht="15.6">
      <c r="C101" s="248"/>
      <c r="D101" s="249"/>
      <c r="E101" s="249"/>
      <c r="F101" s="249"/>
      <c r="G101" s="249"/>
    </row>
    <row r="102" spans="3:7" ht="15.6">
      <c r="C102" s="248"/>
      <c r="D102" s="249"/>
      <c r="E102" s="249"/>
      <c r="F102" s="249"/>
      <c r="G102" s="249"/>
    </row>
    <row r="103" spans="3:7" ht="15.6">
      <c r="C103" s="248"/>
      <c r="D103" s="249"/>
      <c r="E103" s="249"/>
      <c r="F103" s="249"/>
      <c r="G103" s="249"/>
    </row>
    <row r="104" spans="3:7" ht="15.6">
      <c r="C104" s="248"/>
      <c r="D104" s="249"/>
      <c r="E104" s="249"/>
      <c r="F104" s="249"/>
      <c r="G104" s="249"/>
    </row>
    <row r="105" spans="3:7" ht="15.6">
      <c r="C105" s="248"/>
      <c r="D105" s="249"/>
      <c r="E105" s="249"/>
      <c r="F105" s="249"/>
      <c r="G105" s="249"/>
    </row>
    <row r="106" spans="3:7" ht="15.6">
      <c r="C106" s="248"/>
      <c r="D106" s="249"/>
      <c r="E106" s="249"/>
      <c r="F106" s="249"/>
      <c r="G106" s="249"/>
    </row>
    <row r="107" spans="3:7" ht="15.6">
      <c r="C107" s="248"/>
      <c r="D107" s="249"/>
      <c r="E107" s="249"/>
      <c r="F107" s="249"/>
      <c r="G107" s="249"/>
    </row>
    <row r="108" spans="3:7" ht="15.6">
      <c r="C108" s="248"/>
      <c r="D108" s="249"/>
      <c r="E108" s="249"/>
      <c r="F108" s="249"/>
      <c r="G108" s="249"/>
    </row>
    <row r="109" spans="3:7" ht="15.6">
      <c r="C109" s="248"/>
      <c r="D109" s="249"/>
      <c r="E109" s="249"/>
      <c r="F109" s="249"/>
      <c r="G109" s="249"/>
    </row>
    <row r="110" spans="3:7" ht="15.6">
      <c r="C110" s="248"/>
      <c r="D110" s="249"/>
      <c r="E110" s="249"/>
      <c r="F110" s="249"/>
      <c r="G110" s="249"/>
    </row>
    <row r="111" spans="3:7" ht="15.6">
      <c r="C111" s="248"/>
      <c r="D111" s="249"/>
      <c r="E111" s="249"/>
      <c r="F111" s="249"/>
      <c r="G111" s="249"/>
    </row>
    <row r="112" spans="3:7" ht="15.6">
      <c r="C112" s="248"/>
      <c r="D112" s="249"/>
      <c r="E112" s="249"/>
      <c r="F112" s="249"/>
      <c r="G112" s="249"/>
    </row>
    <row r="113" spans="3:7" ht="15.6">
      <c r="C113" s="248"/>
      <c r="D113" s="249"/>
      <c r="E113" s="249"/>
      <c r="F113" s="249"/>
      <c r="G113" s="249"/>
    </row>
    <row r="114" spans="3:7" ht="15.6">
      <c r="C114" s="248"/>
      <c r="D114" s="249"/>
      <c r="E114" s="249"/>
      <c r="F114" s="249"/>
      <c r="G114" s="249"/>
    </row>
    <row r="115" spans="3:7" ht="15.6">
      <c r="C115" s="248"/>
      <c r="D115" s="249"/>
      <c r="E115" s="249"/>
      <c r="F115" s="249"/>
      <c r="G115" s="249"/>
    </row>
    <row r="116" spans="3:7" ht="15.6">
      <c r="C116" s="248"/>
      <c r="D116" s="249"/>
      <c r="E116" s="249"/>
      <c r="F116" s="249"/>
      <c r="G116" s="249"/>
    </row>
    <row r="117" spans="3:7" ht="15.6">
      <c r="C117" s="248"/>
      <c r="D117" s="249"/>
      <c r="E117" s="249"/>
      <c r="F117" s="249"/>
      <c r="G117" s="249"/>
    </row>
    <row r="118" spans="3:7" ht="15.6">
      <c r="C118" s="248"/>
      <c r="D118" s="249"/>
      <c r="E118" s="249"/>
      <c r="F118" s="249"/>
      <c r="G118" s="249"/>
    </row>
    <row r="119" spans="3:7" ht="40.5" customHeight="1">
      <c r="C119" s="248"/>
      <c r="D119" s="249"/>
      <c r="E119" s="249"/>
      <c r="F119" s="249"/>
      <c r="G119" s="249"/>
    </row>
    <row r="120" spans="3:7" ht="15.6">
      <c r="C120" s="248"/>
      <c r="D120" s="249"/>
      <c r="E120" s="249"/>
      <c r="F120" s="249"/>
      <c r="G120" s="249"/>
    </row>
  </sheetData>
  <mergeCells count="9">
    <mergeCell ref="B46:H46"/>
    <mergeCell ref="B43:H43"/>
    <mergeCell ref="B44:H44"/>
    <mergeCell ref="B45:H45"/>
    <mergeCell ref="A1:H1"/>
    <mergeCell ref="A2:H2"/>
    <mergeCell ref="A3:H3"/>
    <mergeCell ref="B41:H41"/>
    <mergeCell ref="B42:H42"/>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A1:S260"/>
  <sheetViews>
    <sheetView tabSelected="1" zoomScale="80" zoomScaleNormal="80" workbookViewId="0">
      <selection activeCell="N24" sqref="N24"/>
    </sheetView>
  </sheetViews>
  <sheetFormatPr defaultColWidth="8.6328125" defaultRowHeight="13.2"/>
  <cols>
    <col min="1" max="1" width="4.08984375" style="93" customWidth="1"/>
    <col min="2" max="2" width="47.90625" style="93" customWidth="1"/>
    <col min="3" max="3" width="39.08984375" style="93" customWidth="1"/>
    <col min="4" max="4" width="12.90625" style="93" customWidth="1"/>
    <col min="5" max="5" width="4.08984375" style="93" customWidth="1"/>
    <col min="6" max="6" width="3.90625" style="93" customWidth="1"/>
    <col min="7" max="7" width="7.90625" style="93" customWidth="1"/>
    <col min="8" max="8" width="3.6328125" style="93" bestFit="1" customWidth="1"/>
    <col min="9" max="9" width="12.453125" style="93" customWidth="1"/>
    <col min="10" max="10" width="1.453125" style="93" customWidth="1"/>
    <col min="11" max="11" width="6.6328125" style="93" customWidth="1"/>
    <col min="12" max="12" width="10.08984375" style="93" bestFit="1" customWidth="1"/>
    <col min="13" max="14" width="10.6328125" style="93" customWidth="1"/>
    <col min="15" max="16" width="8.6328125" style="93"/>
    <col min="17" max="17" width="10.08984375" style="93" customWidth="1"/>
    <col min="18" max="18" width="8.6328125" style="93"/>
    <col min="19" max="19" width="10.08984375" style="93" customWidth="1"/>
    <col min="20" max="16384" width="8.6328125" style="93"/>
  </cols>
  <sheetData>
    <row r="1" spans="1:11">
      <c r="B1" s="62"/>
      <c r="C1" s="62"/>
      <c r="D1" s="94"/>
      <c r="E1" s="62"/>
      <c r="F1" s="62"/>
      <c r="G1" s="62"/>
      <c r="H1" s="62"/>
      <c r="I1" s="914" t="s">
        <v>370</v>
      </c>
      <c r="J1" s="914"/>
      <c r="K1" s="914"/>
    </row>
    <row r="2" spans="1:11">
      <c r="B2" s="62"/>
      <c r="C2" s="62"/>
      <c r="D2" s="94"/>
      <c r="E2" s="62"/>
      <c r="F2" s="62"/>
      <c r="G2" s="62"/>
      <c r="H2" s="62"/>
      <c r="I2" s="62"/>
      <c r="J2" s="913" t="s">
        <v>193</v>
      </c>
      <c r="K2" s="913"/>
    </row>
    <row r="3" spans="1:11">
      <c r="B3" s="62"/>
      <c r="C3" s="62"/>
      <c r="D3" s="94"/>
      <c r="E3" s="62"/>
      <c r="F3" s="62"/>
      <c r="G3" s="62"/>
      <c r="H3" s="62"/>
      <c r="I3" s="62"/>
      <c r="J3" s="62"/>
      <c r="K3" s="95"/>
    </row>
    <row r="4" spans="1:11">
      <c r="B4" s="94" t="s">
        <v>0</v>
      </c>
      <c r="C4" s="68" t="s">
        <v>112</v>
      </c>
      <c r="E4" s="62"/>
      <c r="F4" s="62"/>
      <c r="G4" s="62"/>
      <c r="H4" s="62"/>
      <c r="I4" s="62"/>
      <c r="J4" s="62"/>
      <c r="K4" s="96" t="s">
        <v>1264</v>
      </c>
    </row>
    <row r="5" spans="1:11">
      <c r="B5" s="62"/>
      <c r="C5" s="98" t="s">
        <v>113</v>
      </c>
      <c r="E5" s="97"/>
      <c r="F5" s="97"/>
      <c r="G5" s="97"/>
      <c r="H5" s="62"/>
      <c r="I5" s="62"/>
      <c r="J5" s="62"/>
      <c r="K5" s="62"/>
    </row>
    <row r="6" spans="1:11">
      <c r="B6" s="62"/>
      <c r="C6" s="97"/>
      <c r="D6" s="97"/>
      <c r="E6" s="97"/>
      <c r="F6" s="97"/>
      <c r="G6" s="97"/>
      <c r="H6" s="62"/>
      <c r="I6" s="62"/>
      <c r="J6" s="62"/>
      <c r="K6" s="62"/>
    </row>
    <row r="7" spans="1:11">
      <c r="B7" s="62"/>
      <c r="C7" s="99" t="s">
        <v>911</v>
      </c>
      <c r="E7" s="97"/>
      <c r="F7" s="97"/>
      <c r="G7" s="97"/>
      <c r="H7" s="97"/>
      <c r="I7" s="97"/>
      <c r="J7" s="97"/>
      <c r="K7" s="97"/>
    </row>
    <row r="8" spans="1:11">
      <c r="A8" s="68" t="s">
        <v>4</v>
      </c>
      <c r="B8" s="62"/>
      <c r="C8" s="62"/>
      <c r="D8" s="100"/>
      <c r="E8" s="62"/>
      <c r="F8" s="62"/>
      <c r="G8" s="62"/>
      <c r="H8" s="62"/>
      <c r="I8" s="68" t="s">
        <v>5</v>
      </c>
      <c r="J8" s="62"/>
      <c r="K8" s="62"/>
    </row>
    <row r="9" spans="1:11" ht="13.8" thickBot="1">
      <c r="A9" s="101" t="s">
        <v>6</v>
      </c>
      <c r="B9" s="62"/>
      <c r="C9" s="62"/>
      <c r="D9" s="62"/>
      <c r="E9" s="62"/>
      <c r="F9" s="62"/>
      <c r="G9" s="62"/>
      <c r="H9" s="62"/>
      <c r="I9" s="101" t="s">
        <v>7</v>
      </c>
      <c r="J9" s="62"/>
      <c r="K9" s="62"/>
    </row>
    <row r="10" spans="1:11">
      <c r="A10" s="68">
        <v>1</v>
      </c>
      <c r="B10" s="62" t="s">
        <v>709</v>
      </c>
      <c r="C10" s="62"/>
      <c r="D10" s="97"/>
      <c r="E10" s="62"/>
      <c r="F10" s="62"/>
      <c r="G10" s="62"/>
      <c r="H10" s="62"/>
      <c r="I10" s="102">
        <f>'Proj Att-H'!I151</f>
        <v>39791365.702724852</v>
      </c>
      <c r="J10" s="62"/>
      <c r="K10" s="62"/>
    </row>
    <row r="11" spans="1:11">
      <c r="A11" s="68"/>
      <c r="B11" s="62"/>
      <c r="C11" s="62"/>
      <c r="D11" s="62"/>
      <c r="E11" s="62"/>
      <c r="F11" s="62"/>
      <c r="G11" s="62"/>
      <c r="H11" s="62"/>
      <c r="I11" s="97"/>
      <c r="J11" s="62"/>
      <c r="K11" s="62"/>
    </row>
    <row r="12" spans="1:11" ht="13.8" thickBot="1">
      <c r="A12" s="68" t="s">
        <v>2</v>
      </c>
      <c r="B12" s="62" t="s">
        <v>8</v>
      </c>
      <c r="C12" s="97"/>
      <c r="D12" s="101" t="s">
        <v>9</v>
      </c>
      <c r="E12" s="97"/>
      <c r="F12" s="103" t="s">
        <v>10</v>
      </c>
      <c r="G12" s="103"/>
      <c r="H12" s="62"/>
      <c r="I12" s="97"/>
      <c r="J12" s="62"/>
      <c r="K12" s="62"/>
    </row>
    <row r="13" spans="1:11">
      <c r="A13" s="68">
        <v>2</v>
      </c>
      <c r="B13" s="62" t="s">
        <v>12</v>
      </c>
      <c r="C13" s="97" t="s">
        <v>676</v>
      </c>
      <c r="D13" s="160">
        <f>'Act Att-H'!D13</f>
        <v>661.59457261062767</v>
      </c>
      <c r="E13" s="97"/>
      <c r="F13" s="97" t="s">
        <v>290</v>
      </c>
      <c r="G13" s="104">
        <v>1</v>
      </c>
      <c r="H13" s="97"/>
      <c r="I13" s="54">
        <f>+G13*D13</f>
        <v>661.59457261062767</v>
      </c>
      <c r="J13" s="62"/>
      <c r="K13" s="62"/>
    </row>
    <row r="14" spans="1:11">
      <c r="A14" s="68">
        <v>3</v>
      </c>
      <c r="B14" s="62" t="s">
        <v>102</v>
      </c>
      <c r="C14" s="97" t="s">
        <v>677</v>
      </c>
      <c r="D14" s="160">
        <f>'Act Att-H'!D14</f>
        <v>908954</v>
      </c>
      <c r="E14" s="97"/>
      <c r="F14" s="105" t="s">
        <v>290</v>
      </c>
      <c r="G14" s="104">
        <v>1</v>
      </c>
      <c r="H14" s="97"/>
      <c r="I14" s="54">
        <f>+G14*D14</f>
        <v>908954</v>
      </c>
      <c r="J14" s="62"/>
      <c r="K14" s="62"/>
    </row>
    <row r="15" spans="1:11">
      <c r="A15" s="68">
        <v>4</v>
      </c>
      <c r="B15" s="2" t="s">
        <v>441</v>
      </c>
      <c r="C15" s="2"/>
      <c r="D15" s="163"/>
      <c r="E15" s="97"/>
      <c r="F15" s="105"/>
      <c r="G15" s="164"/>
      <c r="H15" s="97"/>
      <c r="I15" s="54"/>
      <c r="J15" s="62"/>
      <c r="K15" s="62"/>
    </row>
    <row r="16" spans="1:11" ht="13.8" thickBot="1">
      <c r="A16" s="68">
        <v>5</v>
      </c>
      <c r="B16" s="2" t="s">
        <v>441</v>
      </c>
      <c r="C16" s="2"/>
      <c r="D16" s="163"/>
      <c r="E16" s="97"/>
      <c r="F16" s="105"/>
      <c r="G16" s="164"/>
      <c r="H16" s="97"/>
      <c r="I16" s="55"/>
      <c r="J16" s="62"/>
      <c r="K16" s="62"/>
    </row>
    <row r="17" spans="1:11">
      <c r="A17" s="68">
        <v>6</v>
      </c>
      <c r="B17" s="62" t="s">
        <v>88</v>
      </c>
      <c r="C17" s="62"/>
      <c r="D17" s="107" t="s">
        <v>2</v>
      </c>
      <c r="E17" s="97"/>
      <c r="F17" s="97"/>
      <c r="G17" s="108"/>
      <c r="H17" s="97"/>
      <c r="I17" s="54">
        <f>SUM(I13:I16)</f>
        <v>909615.59457261057</v>
      </c>
      <c r="J17" s="62"/>
      <c r="K17" s="62"/>
    </row>
    <row r="18" spans="1:11">
      <c r="A18" s="68"/>
      <c r="B18" s="62"/>
      <c r="C18" s="62"/>
      <c r="I18" s="54"/>
      <c r="J18" s="62"/>
      <c r="K18" s="62"/>
    </row>
    <row r="19" spans="1:11" ht="13.8" thickBot="1">
      <c r="A19" s="68">
        <v>7</v>
      </c>
      <c r="B19" s="62" t="s">
        <v>13</v>
      </c>
      <c r="C19" s="62" t="s">
        <v>617</v>
      </c>
      <c r="D19" s="107"/>
      <c r="E19" s="97"/>
      <c r="F19" s="97"/>
      <c r="G19" s="97"/>
      <c r="H19" s="97"/>
      <c r="I19" s="109">
        <f>I10-I17</f>
        <v>38881750.108152241</v>
      </c>
      <c r="J19" s="62"/>
      <c r="K19" s="62"/>
    </row>
    <row r="20" spans="1:11" ht="13.8" thickTop="1">
      <c r="A20" s="68"/>
      <c r="C20" s="62"/>
      <c r="D20" s="107"/>
      <c r="E20" s="97"/>
      <c r="F20" s="97"/>
      <c r="G20" s="97"/>
      <c r="H20" s="97"/>
      <c r="J20" s="62"/>
      <c r="K20" s="62"/>
    </row>
    <row r="21" spans="1:11">
      <c r="A21" s="68"/>
      <c r="B21" s="62" t="s">
        <v>14</v>
      </c>
      <c r="C21" s="62"/>
      <c r="D21" s="97"/>
      <c r="E21" s="62"/>
      <c r="F21" s="62"/>
      <c r="G21" s="62"/>
      <c r="H21" s="62"/>
      <c r="I21" s="97"/>
      <c r="J21" s="62"/>
      <c r="K21" s="62"/>
    </row>
    <row r="22" spans="1:11">
      <c r="A22" s="68">
        <v>8</v>
      </c>
      <c r="B22" s="62" t="s">
        <v>206</v>
      </c>
      <c r="C22" s="93" t="s">
        <v>678</v>
      </c>
      <c r="D22" s="97"/>
      <c r="E22" s="62"/>
      <c r="F22" s="62"/>
      <c r="G22" s="62"/>
      <c r="H22" s="62"/>
      <c r="I22" s="160">
        <f>'P3-Divisor'!G24</f>
        <v>409525.05732066819</v>
      </c>
      <c r="J22" s="62"/>
      <c r="K22" s="62"/>
    </row>
    <row r="23" spans="1:11">
      <c r="A23" s="68">
        <v>9</v>
      </c>
      <c r="B23" s="62"/>
      <c r="C23" s="97"/>
      <c r="D23" s="97"/>
      <c r="E23" s="97"/>
      <c r="F23" s="97"/>
      <c r="G23" s="97"/>
      <c r="H23" s="97"/>
      <c r="I23" s="97"/>
      <c r="J23" s="62"/>
      <c r="K23" s="62"/>
    </row>
    <row r="24" spans="1:11">
      <c r="A24" s="68">
        <v>10</v>
      </c>
      <c r="B24" s="97" t="s">
        <v>205</v>
      </c>
      <c r="C24" s="97"/>
      <c r="D24" s="97"/>
      <c r="E24" s="97"/>
      <c r="F24" s="97"/>
      <c r="G24" s="97"/>
      <c r="H24" s="97"/>
      <c r="I24" s="97"/>
      <c r="J24" s="97"/>
      <c r="K24" s="62"/>
    </row>
    <row r="25" spans="1:11">
      <c r="A25" s="68">
        <v>11</v>
      </c>
      <c r="B25" s="62" t="s">
        <v>207</v>
      </c>
      <c r="C25" s="62"/>
      <c r="D25" s="538">
        <f>ROUND(I19/I22,2)</f>
        <v>94.94</v>
      </c>
      <c r="E25" s="62" t="s">
        <v>197</v>
      </c>
      <c r="F25" s="97"/>
      <c r="G25" s="97"/>
      <c r="H25" s="97"/>
      <c r="I25" s="97"/>
      <c r="J25" s="97"/>
      <c r="K25" s="62"/>
    </row>
    <row r="26" spans="1:11">
      <c r="A26" s="68">
        <v>12</v>
      </c>
      <c r="B26" s="62" t="s">
        <v>208</v>
      </c>
      <c r="C26" s="62" t="s">
        <v>603</v>
      </c>
      <c r="D26" s="538">
        <f>ROUND(D25/12,2)</f>
        <v>7.91</v>
      </c>
      <c r="E26" s="62" t="s">
        <v>198</v>
      </c>
      <c r="F26" s="97"/>
      <c r="G26" s="97"/>
      <c r="H26" s="97"/>
      <c r="I26" s="97"/>
      <c r="J26" s="97"/>
      <c r="K26" s="62"/>
    </row>
    <row r="27" spans="1:11">
      <c r="A27" s="68">
        <v>13</v>
      </c>
      <c r="B27" s="62" t="s">
        <v>209</v>
      </c>
      <c r="C27" s="62" t="s">
        <v>604</v>
      </c>
      <c r="D27" s="538">
        <f>ROUND(D25/52,2)</f>
        <v>1.83</v>
      </c>
      <c r="E27" s="62" t="s">
        <v>199</v>
      </c>
      <c r="F27" s="97"/>
      <c r="G27" s="97"/>
      <c r="H27" s="97"/>
      <c r="I27" s="97"/>
      <c r="J27" s="97"/>
      <c r="K27" s="62"/>
    </row>
    <row r="28" spans="1:11">
      <c r="A28" s="68">
        <v>14</v>
      </c>
      <c r="B28" s="62" t="s">
        <v>210</v>
      </c>
      <c r="C28" s="62" t="s">
        <v>200</v>
      </c>
      <c r="D28" s="539">
        <f>+D27/6</f>
        <v>0.30499999999999999</v>
      </c>
      <c r="E28" s="62" t="s">
        <v>201</v>
      </c>
      <c r="F28" s="97"/>
      <c r="G28" s="97"/>
      <c r="H28" s="97"/>
      <c r="I28" s="97"/>
      <c r="J28" s="97"/>
      <c r="K28" s="62"/>
    </row>
    <row r="29" spans="1:11">
      <c r="A29" s="68">
        <v>15</v>
      </c>
      <c r="B29" s="62" t="s">
        <v>211</v>
      </c>
      <c r="C29" s="62" t="s">
        <v>202</v>
      </c>
      <c r="D29" s="539">
        <f>+D27/7</f>
        <v>0.26142857142857145</v>
      </c>
      <c r="E29" s="62" t="s">
        <v>201</v>
      </c>
      <c r="F29" s="97"/>
      <c r="G29" s="97"/>
      <c r="H29" s="97"/>
      <c r="I29" s="97"/>
      <c r="J29" s="97"/>
      <c r="K29" s="62"/>
    </row>
    <row r="30" spans="1:11">
      <c r="A30" s="68">
        <v>16</v>
      </c>
      <c r="B30" s="62" t="s">
        <v>212</v>
      </c>
      <c r="C30" s="62" t="s">
        <v>203</v>
      </c>
      <c r="D30" s="538">
        <f>+D28/16*1000</f>
        <v>19.0625</v>
      </c>
      <c r="E30" s="62" t="s">
        <v>668</v>
      </c>
      <c r="F30" s="97"/>
      <c r="G30" s="97"/>
      <c r="H30" s="97"/>
      <c r="I30" s="97"/>
      <c r="J30" s="97"/>
      <c r="K30" s="62"/>
    </row>
    <row r="31" spans="1:11">
      <c r="A31" s="68">
        <v>17</v>
      </c>
      <c r="B31" s="62" t="s">
        <v>213</v>
      </c>
      <c r="C31" s="62" t="s">
        <v>204</v>
      </c>
      <c r="D31" s="538">
        <f>+D29/24*1000</f>
        <v>10.892857142857144</v>
      </c>
      <c r="E31" s="62" t="s">
        <v>668</v>
      </c>
      <c r="F31" s="97"/>
      <c r="G31" s="97"/>
      <c r="H31" s="97"/>
      <c r="I31" s="97"/>
      <c r="J31" s="97"/>
      <c r="K31" s="62"/>
    </row>
    <row r="32" spans="1:11">
      <c r="B32" s="62"/>
      <c r="C32" s="62"/>
      <c r="D32" s="94"/>
      <c r="E32" s="62"/>
      <c r="F32" s="62"/>
      <c r="G32" s="62"/>
      <c r="H32" s="62"/>
      <c r="I32" s="914" t="str">
        <f>I1</f>
        <v>Projected Attachment H</v>
      </c>
      <c r="J32" s="914"/>
      <c r="K32" s="914"/>
    </row>
    <row r="33" spans="1:11">
      <c r="B33" s="62"/>
      <c r="C33" s="62"/>
      <c r="D33" s="94"/>
      <c r="E33" s="62"/>
      <c r="F33" s="62"/>
      <c r="G33" s="62"/>
      <c r="H33" s="62"/>
      <c r="I33" s="62"/>
      <c r="J33" s="913" t="s">
        <v>194</v>
      </c>
      <c r="K33" s="913"/>
    </row>
    <row r="34" spans="1:11">
      <c r="B34" s="62"/>
      <c r="C34" s="62"/>
      <c r="D34" s="94"/>
      <c r="E34" s="62"/>
      <c r="F34" s="62"/>
      <c r="G34" s="62"/>
      <c r="H34" s="62"/>
      <c r="I34" s="62"/>
      <c r="J34" s="62"/>
      <c r="K34" s="95"/>
    </row>
    <row r="35" spans="1:11">
      <c r="B35" s="94" t="s">
        <v>0</v>
      </c>
      <c r="C35" s="68" t="s">
        <v>1</v>
      </c>
      <c r="E35" s="62"/>
      <c r="F35" s="62"/>
      <c r="G35" s="62"/>
      <c r="H35" s="62"/>
      <c r="I35" s="62"/>
      <c r="J35" s="62"/>
      <c r="K35" s="110" t="str">
        <f>K4</f>
        <v>Estimated - For the 12 months ended 12/31/2023</v>
      </c>
    </row>
    <row r="36" spans="1:11">
      <c r="B36" s="62"/>
      <c r="C36" s="98" t="s">
        <v>3</v>
      </c>
      <c r="E36" s="97"/>
      <c r="F36" s="97"/>
      <c r="G36" s="97"/>
      <c r="H36" s="62"/>
      <c r="I36" s="62"/>
      <c r="J36" s="62"/>
      <c r="K36" s="62"/>
    </row>
    <row r="37" spans="1:11">
      <c r="B37" s="62"/>
      <c r="C37" s="97"/>
      <c r="E37" s="97"/>
      <c r="F37" s="97"/>
      <c r="G37" s="97"/>
      <c r="H37" s="62"/>
      <c r="I37" s="62"/>
      <c r="J37" s="62"/>
      <c r="K37" s="62"/>
    </row>
    <row r="38" spans="1:11">
      <c r="A38" s="68"/>
      <c r="C38" s="111" t="str">
        <f>C7</f>
        <v>Black Hills Colorado Electric, LLC</v>
      </c>
      <c r="J38" s="97"/>
      <c r="K38" s="97"/>
    </row>
    <row r="39" spans="1:11">
      <c r="B39" s="62"/>
      <c r="C39" s="62"/>
      <c r="D39" s="62"/>
      <c r="E39" s="62"/>
      <c r="F39" s="62"/>
      <c r="G39" s="62"/>
      <c r="H39" s="62"/>
      <c r="J39" s="62"/>
      <c r="K39" s="62"/>
    </row>
    <row r="40" spans="1:11">
      <c r="B40" s="68" t="s">
        <v>15</v>
      </c>
      <c r="C40" s="68" t="s">
        <v>16</v>
      </c>
      <c r="D40" s="68" t="s">
        <v>17</v>
      </c>
      <c r="E40" s="97" t="s">
        <v>2</v>
      </c>
      <c r="F40" s="97"/>
      <c r="G40" s="112" t="s">
        <v>18</v>
      </c>
      <c r="H40" s="97"/>
      <c r="I40" s="113" t="s">
        <v>19</v>
      </c>
      <c r="J40" s="97"/>
      <c r="K40" s="68"/>
    </row>
    <row r="41" spans="1:11">
      <c r="B41" s="62"/>
      <c r="C41" s="114" t="s">
        <v>20</v>
      </c>
      <c r="D41" s="97"/>
      <c r="E41" s="97"/>
      <c r="F41" s="97"/>
      <c r="G41" s="68"/>
      <c r="H41" s="97"/>
      <c r="I41" s="115" t="s">
        <v>21</v>
      </c>
      <c r="J41" s="97"/>
      <c r="K41" s="68"/>
    </row>
    <row r="42" spans="1:11">
      <c r="A42" s="68" t="s">
        <v>4</v>
      </c>
      <c r="B42" s="62"/>
      <c r="C42" s="116" t="s">
        <v>22</v>
      </c>
      <c r="D42" s="115" t="s">
        <v>23</v>
      </c>
      <c r="E42" s="117"/>
      <c r="F42" s="115" t="s">
        <v>24</v>
      </c>
      <c r="H42" s="117"/>
      <c r="I42" s="68" t="s">
        <v>25</v>
      </c>
      <c r="J42" s="97"/>
      <c r="K42" s="68"/>
    </row>
    <row r="43" spans="1:11" ht="13.8" thickBot="1">
      <c r="A43" s="101" t="s">
        <v>6</v>
      </c>
      <c r="B43" s="118" t="s">
        <v>445</v>
      </c>
      <c r="C43" s="97"/>
      <c r="D43" s="97"/>
      <c r="E43" s="97"/>
      <c r="F43" s="97"/>
      <c r="G43" s="97"/>
      <c r="H43" s="97"/>
      <c r="I43" s="97"/>
      <c r="J43" s="97"/>
      <c r="K43" s="97"/>
    </row>
    <row r="44" spans="1:11">
      <c r="A44" s="68"/>
      <c r="B44" s="62" t="s">
        <v>486</v>
      </c>
      <c r="C44" s="97"/>
      <c r="D44" s="97"/>
      <c r="E44" s="97"/>
      <c r="F44" s="97"/>
      <c r="G44" s="97"/>
      <c r="H44" s="97"/>
      <c r="I44" s="97"/>
      <c r="J44" s="97"/>
      <c r="K44" s="97"/>
    </row>
    <row r="45" spans="1:11">
      <c r="A45" s="841">
        <v>1</v>
      </c>
      <c r="B45" s="842" t="s">
        <v>28</v>
      </c>
      <c r="C45" s="843" t="s">
        <v>824</v>
      </c>
      <c r="D45" s="258">
        <f>'P1-Trans Plant'!H44</f>
        <v>383145508.24215734</v>
      </c>
      <c r="E45" s="97"/>
      <c r="F45" s="97" t="s">
        <v>11</v>
      </c>
      <c r="G45" s="120">
        <f>$I$170</f>
        <v>0.92887970882503001</v>
      </c>
      <c r="H45" s="97"/>
      <c r="I45" s="848">
        <f>+G45*D45</f>
        <v>355896088.13359326</v>
      </c>
      <c r="J45" s="97"/>
      <c r="K45" s="97"/>
    </row>
    <row r="46" spans="1:11">
      <c r="A46" s="841">
        <v>2</v>
      </c>
      <c r="B46" s="842" t="s">
        <v>30</v>
      </c>
      <c r="C46" s="842" t="s">
        <v>968</v>
      </c>
      <c r="D46" s="258">
        <f>'A4-Rate Base'!F22</f>
        <v>45655275.060000002</v>
      </c>
      <c r="E46" s="97"/>
      <c r="F46" s="846" t="s">
        <v>31</v>
      </c>
      <c r="G46" s="847">
        <f>$I$187</f>
        <v>0.13228055028384053</v>
      </c>
      <c r="H46" s="97"/>
      <c r="I46" s="848">
        <f>+G46*D46</f>
        <v>6039304.9082969008</v>
      </c>
      <c r="J46" s="97"/>
      <c r="K46" s="97"/>
    </row>
    <row r="47" spans="1:11">
      <c r="A47" s="841" t="s">
        <v>130</v>
      </c>
      <c r="B47" s="842" t="s">
        <v>58</v>
      </c>
      <c r="C47" s="842" t="s">
        <v>967</v>
      </c>
      <c r="D47" s="845">
        <f>'A4-Rate Base'!G22</f>
        <v>26045763</v>
      </c>
      <c r="E47" s="97"/>
      <c r="F47" s="846" t="s">
        <v>1252</v>
      </c>
      <c r="G47" s="847">
        <f>$K$191</f>
        <v>0.12947946442867816</v>
      </c>
      <c r="H47" s="97"/>
      <c r="I47" s="848">
        <f>+G47*D47</f>
        <v>3372391.4438762818</v>
      </c>
      <c r="J47" s="97"/>
      <c r="K47" s="97"/>
    </row>
    <row r="48" spans="1:11">
      <c r="A48" s="841">
        <v>3</v>
      </c>
      <c r="B48" s="842" t="s">
        <v>281</v>
      </c>
      <c r="C48" s="844" t="s">
        <v>1101</v>
      </c>
      <c r="D48" s="545">
        <f>SUM(D45:D47)</f>
        <v>454846546.30215734</v>
      </c>
      <c r="E48" s="97"/>
      <c r="F48" s="97" t="s">
        <v>36</v>
      </c>
      <c r="G48" s="120">
        <f>$G$222</f>
        <v>0.27972226449734816</v>
      </c>
      <c r="H48" s="97"/>
      <c r="I48" s="849">
        <f>SUM(I45:I47)</f>
        <v>365307784.48576641</v>
      </c>
      <c r="J48" s="97"/>
      <c r="K48" s="122"/>
    </row>
    <row r="49" spans="1:11">
      <c r="B49" s="62"/>
      <c r="C49" s="97"/>
      <c r="D49" s="97"/>
      <c r="E49" s="97"/>
      <c r="F49" s="97"/>
      <c r="G49" s="120"/>
      <c r="H49" s="97"/>
      <c r="I49" s="50"/>
      <c r="J49" s="97"/>
      <c r="K49" s="122"/>
    </row>
    <row r="50" spans="1:11">
      <c r="B50" s="62" t="s">
        <v>487</v>
      </c>
      <c r="C50" s="97"/>
      <c r="D50" s="97"/>
      <c r="E50" s="97"/>
      <c r="F50" s="97"/>
      <c r="G50" s="120"/>
      <c r="H50" s="97"/>
      <c r="I50" s="97"/>
      <c r="J50" s="97"/>
      <c r="K50" s="97"/>
    </row>
    <row r="51" spans="1:11">
      <c r="A51" s="841">
        <v>4</v>
      </c>
      <c r="B51" s="850" t="str">
        <f>+B45</f>
        <v xml:space="preserve">  Transmission</v>
      </c>
      <c r="C51" s="843" t="s">
        <v>825</v>
      </c>
      <c r="D51" s="845">
        <f>'P1-Trans Plant'!J44</f>
        <v>61052957.506638594</v>
      </c>
      <c r="E51" s="846"/>
      <c r="F51" s="851" t="str">
        <f>+F45</f>
        <v>TP</v>
      </c>
      <c r="G51" s="847">
        <f>$I$170</f>
        <v>0.92887970882503001</v>
      </c>
      <c r="H51" s="846"/>
      <c r="I51" s="848">
        <f>+G51*D51</f>
        <v>56710853.391673386</v>
      </c>
      <c r="J51" s="97"/>
      <c r="K51" s="97"/>
    </row>
    <row r="52" spans="1:11">
      <c r="A52" s="841">
        <v>5</v>
      </c>
      <c r="B52" s="850" t="str">
        <f>+B46</f>
        <v xml:space="preserve">  General &amp; Intangible</v>
      </c>
      <c r="C52" s="842" t="s">
        <v>969</v>
      </c>
      <c r="D52" s="845">
        <f>'A4-Rate Base'!H45</f>
        <v>23667929.41</v>
      </c>
      <c r="E52" s="846"/>
      <c r="F52" s="851" t="str">
        <f>+F46</f>
        <v>W/S</v>
      </c>
      <c r="G52" s="847">
        <f>$I$187</f>
        <v>0.13228055028384053</v>
      </c>
      <c r="H52" s="846"/>
      <c r="I52" s="848">
        <f>+G52*D52</f>
        <v>3130806.7264338932</v>
      </c>
      <c r="J52" s="97"/>
      <c r="K52" s="97"/>
    </row>
    <row r="53" spans="1:11">
      <c r="A53" s="841" t="s">
        <v>99</v>
      </c>
      <c r="B53" s="842" t="s">
        <v>58</v>
      </c>
      <c r="C53" s="842" t="s">
        <v>1102</v>
      </c>
      <c r="D53" s="845">
        <f>'A4-Rate Base'!I45</f>
        <v>9226628</v>
      </c>
      <c r="E53" s="846"/>
      <c r="F53" s="846" t="s">
        <v>1252</v>
      </c>
      <c r="G53" s="847">
        <f>$K$191</f>
        <v>0.12947946442867816</v>
      </c>
      <c r="H53" s="846"/>
      <c r="I53" s="848">
        <f>+G53*D53</f>
        <v>1194658.8519226459</v>
      </c>
      <c r="J53" s="97"/>
      <c r="K53" s="97"/>
    </row>
    <row r="54" spans="1:11">
      <c r="A54" s="841">
        <v>6</v>
      </c>
      <c r="B54" s="842" t="s">
        <v>283</v>
      </c>
      <c r="C54" s="844" t="s">
        <v>1103</v>
      </c>
      <c r="D54" s="852">
        <f>SUM(D51:D53)</f>
        <v>93947514.916638598</v>
      </c>
      <c r="E54" s="846"/>
      <c r="F54" s="846"/>
      <c r="G54" s="847"/>
      <c r="H54" s="846"/>
      <c r="I54" s="849">
        <f>SUM(I51:I53)</f>
        <v>61036318.970029928</v>
      </c>
      <c r="J54" s="97"/>
      <c r="K54" s="97"/>
    </row>
    <row r="55" spans="1:11">
      <c r="A55" s="68"/>
      <c r="C55" s="97" t="s">
        <v>2</v>
      </c>
      <c r="D55" s="856"/>
      <c r="E55" s="846"/>
      <c r="F55" s="846"/>
      <c r="G55" s="847"/>
      <c r="H55" s="846"/>
      <c r="I55" s="856"/>
      <c r="J55" s="97"/>
      <c r="K55" s="122"/>
    </row>
    <row r="56" spans="1:11">
      <c r="A56" s="68"/>
      <c r="B56" s="62" t="s">
        <v>126</v>
      </c>
      <c r="C56" s="97"/>
      <c r="D56" s="846"/>
      <c r="E56" s="846"/>
      <c r="F56" s="846"/>
      <c r="G56" s="847"/>
      <c r="H56" s="846"/>
      <c r="I56" s="846"/>
      <c r="J56" s="97"/>
      <c r="K56" s="97"/>
    </row>
    <row r="57" spans="1:11">
      <c r="A57" s="841">
        <v>7</v>
      </c>
      <c r="B57" s="850" t="str">
        <f>+B51</f>
        <v xml:space="preserve">  Transmission</v>
      </c>
      <c r="C57" s="853" t="s">
        <v>471</v>
      </c>
      <c r="D57" s="854">
        <f>D45-D51</f>
        <v>322092550.73551875</v>
      </c>
      <c r="E57" s="846"/>
      <c r="F57" s="846"/>
      <c r="G57" s="847"/>
      <c r="H57" s="846"/>
      <c r="I57" s="848">
        <f>I45-I51</f>
        <v>299185234.74191988</v>
      </c>
      <c r="J57" s="97"/>
      <c r="K57" s="122"/>
    </row>
    <row r="58" spans="1:11">
      <c r="A58" s="841">
        <v>8</v>
      </c>
      <c r="B58" s="850" t="str">
        <f>+B52</f>
        <v xml:space="preserve">  General &amp; Intangible</v>
      </c>
      <c r="C58" s="853" t="s">
        <v>470</v>
      </c>
      <c r="D58" s="854">
        <f>D46-D52</f>
        <v>21987345.650000002</v>
      </c>
      <c r="E58" s="846"/>
      <c r="F58" s="846"/>
      <c r="G58" s="847"/>
      <c r="H58" s="846"/>
      <c r="I58" s="848">
        <f>I46-I52</f>
        <v>2908498.1818630076</v>
      </c>
      <c r="J58" s="97"/>
      <c r="K58" s="122"/>
    </row>
    <row r="59" spans="1:11">
      <c r="A59" s="841" t="s">
        <v>970</v>
      </c>
      <c r="B59" s="842" t="s">
        <v>58</v>
      </c>
      <c r="C59" s="842" t="s">
        <v>971</v>
      </c>
      <c r="D59" s="854">
        <f>D47-D53</f>
        <v>16819135</v>
      </c>
      <c r="E59" s="846"/>
      <c r="F59" s="846"/>
      <c r="G59" s="847"/>
      <c r="H59" s="846"/>
      <c r="I59" s="848">
        <f>I47-I53</f>
        <v>2177732.5919536361</v>
      </c>
      <c r="J59" s="97"/>
      <c r="K59" s="122"/>
    </row>
    <row r="60" spans="1:11">
      <c r="A60" s="841">
        <v>9</v>
      </c>
      <c r="B60" s="842" t="s">
        <v>285</v>
      </c>
      <c r="C60" s="844" t="s">
        <v>1104</v>
      </c>
      <c r="D60" s="855">
        <f>SUM(D57:D59)</f>
        <v>360899031.38551873</v>
      </c>
      <c r="E60" s="846"/>
      <c r="F60" s="846" t="s">
        <v>33</v>
      </c>
      <c r="G60" s="847">
        <f>$G$230</f>
        <v>0.33175099884686432</v>
      </c>
      <c r="H60" s="846"/>
      <c r="I60" s="849">
        <f>SUM(I57:I59)</f>
        <v>304271465.51573652</v>
      </c>
      <c r="J60" s="97"/>
      <c r="K60" s="97"/>
    </row>
    <row r="61" spans="1:11" s="2" customFormat="1">
      <c r="A61" s="44"/>
      <c r="B61" s="45"/>
      <c r="C61" s="43"/>
      <c r="D61" s="46"/>
      <c r="E61" s="42"/>
      <c r="F61" s="42"/>
      <c r="G61" s="120"/>
      <c r="H61" s="42"/>
      <c r="I61" s="54"/>
      <c r="J61" s="43"/>
      <c r="K61" s="43"/>
    </row>
    <row r="62" spans="1:11" s="2" customFormat="1">
      <c r="A62" s="44">
        <v>10</v>
      </c>
      <c r="B62" s="48" t="s">
        <v>287</v>
      </c>
      <c r="C62" s="49" t="s">
        <v>1148</v>
      </c>
      <c r="D62" s="258">
        <f>'A4-Rate Base'!H23</f>
        <v>0</v>
      </c>
      <c r="E62" s="49"/>
      <c r="F62" s="64"/>
      <c r="G62" s="608"/>
      <c r="H62" s="49"/>
      <c r="I62" s="51">
        <f>+G62*D62</f>
        <v>0</v>
      </c>
      <c r="J62" s="43"/>
      <c r="K62" s="43"/>
    </row>
    <row r="63" spans="1:11" s="2" customFormat="1">
      <c r="A63" s="44"/>
      <c r="B63" s="52"/>
      <c r="C63" s="43"/>
      <c r="D63" s="46"/>
      <c r="E63" s="43"/>
      <c r="F63" s="52"/>
      <c r="G63" s="120"/>
      <c r="H63" s="43"/>
      <c r="I63" s="46"/>
      <c r="J63" s="43"/>
      <c r="K63" s="53"/>
    </row>
    <row r="64" spans="1:11">
      <c r="A64" s="68"/>
      <c r="B64" s="62" t="s">
        <v>356</v>
      </c>
      <c r="C64" s="97"/>
      <c r="D64" s="97"/>
      <c r="E64" s="97"/>
      <c r="F64" s="97"/>
      <c r="G64" s="120"/>
      <c r="H64" s="97"/>
      <c r="I64" s="97"/>
      <c r="J64" s="97"/>
      <c r="K64" s="97"/>
    </row>
    <row r="65" spans="1:11">
      <c r="A65" s="44">
        <v>11</v>
      </c>
      <c r="B65" s="123" t="s">
        <v>772</v>
      </c>
      <c r="C65" s="62" t="s">
        <v>751</v>
      </c>
      <c r="D65" s="258">
        <f>'P5-ADIT'!J72</f>
        <v>0</v>
      </c>
      <c r="E65" s="43"/>
      <c r="F65" s="43" t="s">
        <v>36</v>
      </c>
      <c r="G65" s="120">
        <f>$G$222</f>
        <v>0.27972226449734816</v>
      </c>
      <c r="H65" s="42"/>
      <c r="I65" s="46">
        <f>D65*G65</f>
        <v>0</v>
      </c>
      <c r="J65" s="97"/>
      <c r="K65" s="122"/>
    </row>
    <row r="66" spans="1:11">
      <c r="A66" s="44">
        <v>12</v>
      </c>
      <c r="B66" s="123" t="s">
        <v>777</v>
      </c>
      <c r="C66" s="62" t="s">
        <v>752</v>
      </c>
      <c r="D66" s="258">
        <f>'P5-ADIT'!J106</f>
        <v>-38980900.964710332</v>
      </c>
      <c r="E66" s="43"/>
      <c r="F66" s="43" t="s">
        <v>11</v>
      </c>
      <c r="G66" s="120">
        <f>$I$170</f>
        <v>0.92887970882503001</v>
      </c>
      <c r="H66" s="42"/>
      <c r="I66" s="46">
        <f>D66*G66</f>
        <v>-36208567.937837467</v>
      </c>
      <c r="J66" s="97"/>
      <c r="K66" s="122"/>
    </row>
    <row r="67" spans="1:11">
      <c r="A67" s="44">
        <v>13</v>
      </c>
      <c r="B67" s="123" t="s">
        <v>778</v>
      </c>
      <c r="C67" s="62" t="s">
        <v>753</v>
      </c>
      <c r="D67" s="258">
        <f>'P5-ADIT'!J140</f>
        <v>-66229768</v>
      </c>
      <c r="E67" s="43"/>
      <c r="F67" s="43" t="s">
        <v>36</v>
      </c>
      <c r="G67" s="120">
        <f>$G$222</f>
        <v>0.27972226449734816</v>
      </c>
      <c r="H67" s="42"/>
      <c r="I67" s="46">
        <f>D67*G67</f>
        <v>-18525940.682094004</v>
      </c>
      <c r="J67" s="97"/>
      <c r="K67" s="122"/>
    </row>
    <row r="68" spans="1:11">
      <c r="A68" s="44">
        <v>14</v>
      </c>
      <c r="B68" s="45" t="s">
        <v>121</v>
      </c>
      <c r="C68" s="62" t="s">
        <v>740</v>
      </c>
      <c r="D68" s="258">
        <f>'P5-ADIT'!J28</f>
        <v>73564969.255309999</v>
      </c>
      <c r="E68" s="43"/>
      <c r="F68" s="43" t="s">
        <v>36</v>
      </c>
      <c r="G68" s="120">
        <f>$G$222</f>
        <v>0.27972226449734816</v>
      </c>
      <c r="H68" s="42"/>
      <c r="I68" s="54">
        <f>D68*G68</f>
        <v>20577759.78777311</v>
      </c>
      <c r="J68" s="97"/>
      <c r="K68" s="122"/>
    </row>
    <row r="69" spans="1:11">
      <c r="A69" s="44" t="s">
        <v>742</v>
      </c>
      <c r="B69" s="45" t="s">
        <v>743</v>
      </c>
      <c r="C69" s="62" t="s">
        <v>741</v>
      </c>
      <c r="D69" s="258">
        <f>'P5-ADIT'!J35</f>
        <v>461176.89101717813</v>
      </c>
      <c r="E69" s="43"/>
      <c r="F69" s="43"/>
      <c r="G69" s="120"/>
      <c r="H69" s="42"/>
      <c r="I69" s="54">
        <f>D69</f>
        <v>461176.89101717813</v>
      </c>
      <c r="J69" s="97"/>
      <c r="K69" s="122"/>
    </row>
    <row r="70" spans="1:11">
      <c r="A70" s="44">
        <v>15</v>
      </c>
      <c r="B70" s="52" t="s">
        <v>734</v>
      </c>
      <c r="C70" s="62"/>
      <c r="D70" s="546">
        <v>0</v>
      </c>
      <c r="E70" s="43"/>
      <c r="F70" s="43"/>
      <c r="G70" s="120"/>
      <c r="H70" s="42"/>
      <c r="I70" s="50">
        <f>D70*G70</f>
        <v>0</v>
      </c>
      <c r="J70" s="97"/>
      <c r="K70" s="122"/>
    </row>
    <row r="71" spans="1:11">
      <c r="A71" s="44">
        <v>16</v>
      </c>
      <c r="B71" s="48" t="s">
        <v>288</v>
      </c>
      <c r="C71" s="62" t="s">
        <v>1105</v>
      </c>
      <c r="D71" s="258">
        <f>'A4-Rate Base'!C89</f>
        <v>0</v>
      </c>
      <c r="E71" s="49"/>
      <c r="F71" s="64"/>
      <c r="G71" s="608"/>
      <c r="H71" s="49"/>
      <c r="I71" s="51">
        <f>D71*G71</f>
        <v>0</v>
      </c>
      <c r="J71" s="97"/>
      <c r="K71" s="122"/>
    </row>
    <row r="72" spans="1:11">
      <c r="A72" s="44" t="s">
        <v>1143</v>
      </c>
      <c r="B72" s="48" t="s">
        <v>1124</v>
      </c>
      <c r="C72" s="62" t="s">
        <v>1144</v>
      </c>
      <c r="D72" s="258">
        <f>'A4-Rate Base'!I66</f>
        <v>0</v>
      </c>
      <c r="E72" s="49"/>
      <c r="F72" s="64"/>
      <c r="G72" s="608"/>
      <c r="H72" s="49"/>
      <c r="I72" s="51">
        <f>D72*G72</f>
        <v>0</v>
      </c>
      <c r="J72" s="97"/>
      <c r="K72" s="122"/>
    </row>
    <row r="73" spans="1:11">
      <c r="A73" s="44">
        <v>17</v>
      </c>
      <c r="B73" s="48" t="s">
        <v>289</v>
      </c>
      <c r="C73" s="62" t="s">
        <v>1106</v>
      </c>
      <c r="D73" s="258">
        <f>'A4-Rate Base'!D89</f>
        <v>0</v>
      </c>
      <c r="E73" s="49"/>
      <c r="F73" s="64"/>
      <c r="G73" s="608"/>
      <c r="H73" s="49"/>
      <c r="I73" s="51">
        <f>D73*G73</f>
        <v>0</v>
      </c>
      <c r="J73" s="97"/>
      <c r="K73" s="122"/>
    </row>
    <row r="74" spans="1:11">
      <c r="A74" s="44">
        <v>18</v>
      </c>
      <c r="B74" s="48" t="s">
        <v>291</v>
      </c>
      <c r="C74" s="62" t="s">
        <v>469</v>
      </c>
      <c r="D74" s="258">
        <f>'Act Att-H'!D79</f>
        <v>-906060.95091745793</v>
      </c>
      <c r="E74" s="49"/>
      <c r="F74" s="49"/>
      <c r="G74" s="120"/>
      <c r="H74" s="49"/>
      <c r="I74" s="51">
        <f t="shared" ref="I74" si="0">D74</f>
        <v>-906060.95091745793</v>
      </c>
      <c r="J74" s="97"/>
      <c r="K74" s="122"/>
    </row>
    <row r="75" spans="1:11">
      <c r="A75" s="44">
        <v>19</v>
      </c>
      <c r="B75" s="123" t="s">
        <v>122</v>
      </c>
      <c r="C75" s="62" t="s">
        <v>468</v>
      </c>
      <c r="D75" s="258">
        <f>'Act Att-H'!D80</f>
        <v>7178090.1400000006</v>
      </c>
      <c r="E75" s="97"/>
      <c r="F75" s="43" t="s">
        <v>36</v>
      </c>
      <c r="G75" s="120">
        <f>$G$222</f>
        <v>0.27972226449734816</v>
      </c>
      <c r="H75" s="97"/>
      <c r="I75" s="51">
        <f t="shared" ref="I75" si="1">D75*G75</f>
        <v>2007871.6287268871</v>
      </c>
      <c r="J75" s="97"/>
      <c r="K75" s="122"/>
    </row>
    <row r="76" spans="1:11" ht="13.8" thickBot="1">
      <c r="A76" s="68">
        <v>20</v>
      </c>
      <c r="B76" s="123" t="s">
        <v>1045</v>
      </c>
      <c r="C76" s="62" t="s">
        <v>910</v>
      </c>
      <c r="D76" s="258">
        <f>'P5-ADIT'!J175</f>
        <v>-8472551.0775746014</v>
      </c>
      <c r="E76" s="97"/>
      <c r="F76" s="97"/>
      <c r="G76" s="97"/>
      <c r="H76" s="97"/>
      <c r="I76" s="55">
        <f>D76</f>
        <v>-8472551.0775746014</v>
      </c>
      <c r="J76" s="97"/>
      <c r="K76" s="122"/>
    </row>
    <row r="77" spans="1:11">
      <c r="A77" s="68">
        <v>21</v>
      </c>
      <c r="B77" s="62" t="s">
        <v>297</v>
      </c>
      <c r="C77" s="165" t="s">
        <v>763</v>
      </c>
      <c r="D77" s="547">
        <f>SUM(D65:D76)</f>
        <v>-33385044.706875205</v>
      </c>
      <c r="E77" s="97"/>
      <c r="F77" s="97"/>
      <c r="G77" s="120"/>
      <c r="H77" s="97"/>
      <c r="I77" s="54">
        <f>SUM(I65:I76)</f>
        <v>-41066312.340906359</v>
      </c>
      <c r="J77" s="97"/>
      <c r="K77" s="97"/>
    </row>
    <row r="78" spans="1:11">
      <c r="A78" s="68"/>
      <c r="C78" s="97"/>
      <c r="E78" s="97"/>
      <c r="F78" s="97"/>
      <c r="G78" s="120"/>
      <c r="H78" s="97"/>
      <c r="J78" s="97"/>
      <c r="K78" s="122"/>
    </row>
    <row r="79" spans="1:11">
      <c r="A79" s="68">
        <v>22</v>
      </c>
      <c r="B79" s="62" t="s">
        <v>34</v>
      </c>
      <c r="C79" s="62" t="s">
        <v>597</v>
      </c>
      <c r="D79" s="258">
        <f>'A4-Rate Base'!I22</f>
        <v>0</v>
      </c>
      <c r="E79" s="97"/>
      <c r="F79" s="105" t="str">
        <f>+F51</f>
        <v>TP</v>
      </c>
      <c r="G79" s="120">
        <f>$I$170</f>
        <v>0.92887970882503001</v>
      </c>
      <c r="H79" s="97"/>
      <c r="I79" s="54">
        <f>+G79*D79</f>
        <v>0</v>
      </c>
      <c r="J79" s="97"/>
      <c r="K79" s="97"/>
    </row>
    <row r="80" spans="1:11">
      <c r="A80" s="68"/>
      <c r="B80" s="62"/>
      <c r="C80" s="97"/>
      <c r="D80" s="97"/>
      <c r="E80" s="97"/>
      <c r="F80" s="97"/>
      <c r="G80" s="120"/>
      <c r="H80" s="97"/>
      <c r="I80" s="97"/>
      <c r="J80" s="97"/>
      <c r="K80" s="97"/>
    </row>
    <row r="81" spans="1:11">
      <c r="A81" s="68"/>
      <c r="B81" s="62" t="s">
        <v>127</v>
      </c>
      <c r="C81" s="43"/>
      <c r="D81" s="97"/>
      <c r="E81" s="97"/>
      <c r="F81" s="97"/>
      <c r="G81" s="120"/>
      <c r="H81" s="97"/>
      <c r="I81" s="97"/>
      <c r="J81" s="97"/>
      <c r="K81" s="97"/>
    </row>
    <row r="82" spans="1:11">
      <c r="A82" s="68">
        <v>23</v>
      </c>
      <c r="B82" s="62" t="s">
        <v>98</v>
      </c>
      <c r="C82" s="52" t="s">
        <v>472</v>
      </c>
      <c r="D82" s="546">
        <f>D112/8</f>
        <v>4617414.0214300388</v>
      </c>
      <c r="E82" s="97"/>
      <c r="F82" s="97"/>
      <c r="G82" s="120"/>
      <c r="H82" s="97"/>
      <c r="I82" s="54">
        <f>I112/8</f>
        <v>975065.87574912666</v>
      </c>
      <c r="J82" s="62"/>
      <c r="K82" s="122"/>
    </row>
    <row r="83" spans="1:11">
      <c r="A83" s="68">
        <v>24</v>
      </c>
      <c r="B83" s="62" t="s">
        <v>128</v>
      </c>
      <c r="C83" s="60" t="s">
        <v>1079</v>
      </c>
      <c r="D83" s="258">
        <f>'A4-Rate Base'!F129</f>
        <v>172152.01365830802</v>
      </c>
      <c r="E83" s="97"/>
      <c r="F83" s="97"/>
      <c r="G83" s="120"/>
      <c r="H83" s="97"/>
      <c r="I83" s="54">
        <f>D83</f>
        <v>172152.01365830802</v>
      </c>
      <c r="J83" s="97" t="s">
        <v>2</v>
      </c>
      <c r="K83" s="122"/>
    </row>
    <row r="84" spans="1:11" ht="13.8" thickBot="1">
      <c r="A84" s="68">
        <v>25</v>
      </c>
      <c r="B84" s="62" t="s">
        <v>123</v>
      </c>
      <c r="C84" s="42" t="s">
        <v>1107</v>
      </c>
      <c r="D84" s="258">
        <f>'A8-Prepmts'!H16</f>
        <v>223437.45176402596</v>
      </c>
      <c r="E84" s="97"/>
      <c r="F84" s="97"/>
      <c r="G84" s="120"/>
      <c r="H84" s="97"/>
      <c r="I84" s="55">
        <f>D84</f>
        <v>223437.45176402596</v>
      </c>
      <c r="J84" s="97"/>
      <c r="K84" s="122"/>
    </row>
    <row r="85" spans="1:11">
      <c r="A85" s="68">
        <v>26</v>
      </c>
      <c r="B85" s="62" t="s">
        <v>295</v>
      </c>
      <c r="C85" s="43"/>
      <c r="D85" s="547">
        <f>D82+D83+D84</f>
        <v>5013003.486852373</v>
      </c>
      <c r="E85" s="62"/>
      <c r="F85" s="62"/>
      <c r="G85" s="62"/>
      <c r="H85" s="62"/>
      <c r="I85" s="54">
        <f>I82+I83+I84</f>
        <v>1370655.3411714607</v>
      </c>
      <c r="J85" s="62"/>
      <c r="K85" s="62"/>
    </row>
    <row r="86" spans="1:11" ht="13.8" thickBot="1">
      <c r="C86" s="97"/>
      <c r="E86" s="97"/>
      <c r="F86" s="97"/>
      <c r="G86" s="97"/>
      <c r="H86" s="97"/>
      <c r="I86" s="124"/>
      <c r="J86" s="97"/>
      <c r="K86" s="97"/>
    </row>
    <row r="87" spans="1:11" ht="13.8" thickBot="1">
      <c r="A87" s="68">
        <v>27</v>
      </c>
      <c r="B87" s="62" t="s">
        <v>442</v>
      </c>
      <c r="C87" s="97" t="s">
        <v>1151</v>
      </c>
      <c r="D87" s="61">
        <f>+D85+D79+D77+D60</f>
        <v>332526990.16549587</v>
      </c>
      <c r="E87" s="97"/>
      <c r="F87" s="97"/>
      <c r="G87" s="122"/>
      <c r="H87" s="97"/>
      <c r="I87" s="61">
        <f>+I85+I79+I77+I60</f>
        <v>264575808.51600161</v>
      </c>
      <c r="J87" s="97"/>
      <c r="K87" s="122"/>
    </row>
    <row r="88" spans="1:11" ht="13.8" thickTop="1">
      <c r="B88" s="62"/>
      <c r="C88" s="62"/>
      <c r="D88" s="94"/>
      <c r="E88" s="62"/>
      <c r="F88" s="62"/>
      <c r="G88" s="62"/>
      <c r="H88" s="62"/>
      <c r="I88" s="95"/>
      <c r="J88" s="95"/>
      <c r="K88" s="95"/>
    </row>
    <row r="89" spans="1:11">
      <c r="B89" s="62"/>
      <c r="C89" s="62"/>
      <c r="D89" s="94"/>
      <c r="E89" s="62"/>
      <c r="F89" s="62"/>
      <c r="G89" s="62"/>
      <c r="H89" s="62"/>
      <c r="I89" s="914" t="str">
        <f>I1</f>
        <v>Projected Attachment H</v>
      </c>
      <c r="J89" s="914"/>
      <c r="K89" s="914"/>
    </row>
    <row r="90" spans="1:11">
      <c r="B90" s="62"/>
      <c r="C90" s="62"/>
      <c r="D90" s="94"/>
      <c r="E90" s="62"/>
      <c r="F90" s="62"/>
      <c r="G90" s="62"/>
      <c r="H90" s="62"/>
      <c r="I90" s="62"/>
      <c r="J90" s="913" t="s">
        <v>195</v>
      </c>
      <c r="K90" s="913"/>
    </row>
    <row r="91" spans="1:11">
      <c r="B91" s="62"/>
      <c r="C91" s="62"/>
      <c r="D91" s="94"/>
      <c r="E91" s="62"/>
      <c r="F91" s="62"/>
      <c r="G91" s="62"/>
      <c r="H91" s="62"/>
      <c r="I91" s="62"/>
      <c r="J91" s="62"/>
      <c r="K91" s="95"/>
    </row>
    <row r="92" spans="1:11">
      <c r="B92" s="94" t="s">
        <v>0</v>
      </c>
      <c r="C92" s="68" t="s">
        <v>1</v>
      </c>
      <c r="E92" s="62"/>
      <c r="F92" s="62"/>
      <c r="G92" s="62"/>
      <c r="H92" s="62"/>
      <c r="I92" s="62"/>
      <c r="J92" s="62"/>
      <c r="K92" s="110" t="str">
        <f>K4</f>
        <v>Estimated - For the 12 months ended 12/31/2023</v>
      </c>
    </row>
    <row r="93" spans="1:11">
      <c r="B93" s="62"/>
      <c r="C93" s="98" t="s">
        <v>3</v>
      </c>
      <c r="E93" s="97"/>
      <c r="F93" s="97"/>
      <c r="G93" s="97"/>
      <c r="H93" s="62"/>
      <c r="I93" s="62"/>
      <c r="J93" s="62"/>
      <c r="K93" s="62"/>
    </row>
    <row r="94" spans="1:11">
      <c r="B94" s="62"/>
      <c r="C94" s="97"/>
      <c r="E94" s="97"/>
      <c r="F94" s="97"/>
      <c r="G94" s="97"/>
      <c r="H94" s="62"/>
      <c r="I94" s="62"/>
      <c r="J94" s="62"/>
      <c r="K94" s="62"/>
    </row>
    <row r="95" spans="1:11">
      <c r="A95" s="68"/>
      <c r="C95" s="111" t="str">
        <f>C7</f>
        <v>Black Hills Colorado Electric, LLC</v>
      </c>
      <c r="J95" s="97"/>
      <c r="K95" s="97"/>
    </row>
    <row r="96" spans="1:11">
      <c r="A96" s="68"/>
      <c r="D96" s="125"/>
      <c r="J96" s="97"/>
      <c r="K96" s="97"/>
    </row>
    <row r="97" spans="1:11">
      <c r="A97" s="68"/>
      <c r="B97" s="68" t="s">
        <v>15</v>
      </c>
      <c r="C97" s="68" t="s">
        <v>16</v>
      </c>
      <c r="D97" s="68" t="s">
        <v>17</v>
      </c>
      <c r="E97" s="97" t="s">
        <v>2</v>
      </c>
      <c r="F97" s="97"/>
      <c r="G97" s="112" t="s">
        <v>18</v>
      </c>
      <c r="H97" s="97"/>
      <c r="I97" s="113" t="s">
        <v>19</v>
      </c>
      <c r="J97" s="97"/>
      <c r="K97" s="97"/>
    </row>
    <row r="98" spans="1:11">
      <c r="A98" s="68" t="s">
        <v>4</v>
      </c>
      <c r="B98" s="62"/>
      <c r="C98" s="114" t="s">
        <v>20</v>
      </c>
      <c r="D98" s="97"/>
      <c r="E98" s="97"/>
      <c r="F98" s="97"/>
      <c r="G98" s="68"/>
      <c r="H98" s="97"/>
      <c r="I98" s="115" t="s">
        <v>21</v>
      </c>
      <c r="J98" s="97"/>
      <c r="K98" s="115"/>
    </row>
    <row r="99" spans="1:11" ht="13.8" thickBot="1">
      <c r="A99" s="101" t="s">
        <v>6</v>
      </c>
      <c r="B99" s="62"/>
      <c r="C99" s="116" t="s">
        <v>22</v>
      </c>
      <c r="D99" s="115" t="s">
        <v>23</v>
      </c>
      <c r="E99" s="117"/>
      <c r="F99" s="115" t="s">
        <v>24</v>
      </c>
      <c r="H99" s="117"/>
      <c r="I99" s="68" t="s">
        <v>25</v>
      </c>
      <c r="J99" s="97"/>
      <c r="K99" s="115"/>
    </row>
    <row r="100" spans="1:11">
      <c r="A100" s="68"/>
      <c r="B100" s="62" t="s">
        <v>131</v>
      </c>
      <c r="C100" s="97"/>
      <c r="D100" s="97"/>
      <c r="E100" s="97"/>
      <c r="F100" s="97"/>
      <c r="G100" s="97"/>
      <c r="H100" s="97"/>
      <c r="I100" s="97"/>
      <c r="J100" s="97"/>
      <c r="K100" s="97"/>
    </row>
    <row r="101" spans="1:11">
      <c r="A101" s="68">
        <v>1</v>
      </c>
      <c r="B101" s="62" t="s">
        <v>37</v>
      </c>
      <c r="C101" s="62" t="s">
        <v>473</v>
      </c>
      <c r="D101" s="258">
        <f>'P2-Exp. &amp; Rev. Credits'!F16</f>
        <v>5744083.3767535286</v>
      </c>
      <c r="E101" s="97"/>
      <c r="F101" s="97" t="s">
        <v>35</v>
      </c>
      <c r="G101" s="120">
        <f>$I$179</f>
        <v>0.92887970882503001</v>
      </c>
      <c r="H101" s="97"/>
      <c r="I101" s="54">
        <f>+G101*D101</f>
        <v>5335562.4944655132</v>
      </c>
      <c r="J101" s="62"/>
      <c r="K101" s="97"/>
    </row>
    <row r="102" spans="1:11">
      <c r="A102" s="68">
        <v>2</v>
      </c>
      <c r="B102" s="62" t="s">
        <v>129</v>
      </c>
      <c r="C102" s="62" t="s">
        <v>474</v>
      </c>
      <c r="D102" s="258">
        <f>'P2-Exp. &amp; Rev. Credits'!F17</f>
        <v>1031195.6359317043</v>
      </c>
      <c r="E102" s="97"/>
      <c r="F102" s="97" t="s">
        <v>35</v>
      </c>
      <c r="G102" s="120">
        <f>$I$179</f>
        <v>0.92887970882503001</v>
      </c>
      <c r="H102" s="97"/>
      <c r="I102" s="46">
        <f t="shared" ref="I102:I111" si="2">+G102*D102</f>
        <v>957856.70204588317</v>
      </c>
      <c r="J102" s="62"/>
      <c r="K102" s="97"/>
    </row>
    <row r="103" spans="1:11">
      <c r="A103" s="68" t="s">
        <v>130</v>
      </c>
      <c r="B103" s="62" t="s">
        <v>38</v>
      </c>
      <c r="C103" s="62" t="s">
        <v>475</v>
      </c>
      <c r="D103" s="258">
        <f>'P2-Exp. &amp; Rev. Credits'!F18</f>
        <v>1164618.1662153904</v>
      </c>
      <c r="E103" s="97"/>
      <c r="F103" s="97" t="s">
        <v>35</v>
      </c>
      <c r="G103" s="120">
        <f>$I$179</f>
        <v>0.92887970882503001</v>
      </c>
      <c r="H103" s="97"/>
      <c r="I103" s="46">
        <f t="shared" si="2"/>
        <v>1081790.1831264922</v>
      </c>
      <c r="J103" s="62"/>
      <c r="K103" s="97"/>
    </row>
    <row r="104" spans="1:11">
      <c r="A104" s="68">
        <v>3</v>
      </c>
      <c r="B104" s="62" t="s">
        <v>39</v>
      </c>
      <c r="C104" s="62" t="s">
        <v>476</v>
      </c>
      <c r="D104" s="258">
        <f>'P2-Exp. &amp; Rev. Credits'!F19</f>
        <v>34875939.953297935</v>
      </c>
      <c r="E104" s="97"/>
      <c r="F104" s="97" t="s">
        <v>31</v>
      </c>
      <c r="G104" s="120">
        <f>$I$187</f>
        <v>0.13228055028384053</v>
      </c>
      <c r="H104" s="97"/>
      <c r="I104" s="54">
        <f t="shared" si="2"/>
        <v>4613408.5286884308</v>
      </c>
      <c r="J104" s="97"/>
      <c r="K104" s="97" t="s">
        <v>2</v>
      </c>
    </row>
    <row r="105" spans="1:11">
      <c r="A105" s="68">
        <v>4</v>
      </c>
      <c r="B105" s="62" t="s">
        <v>831</v>
      </c>
      <c r="C105" s="62"/>
      <c r="D105" s="97"/>
      <c r="E105" s="97"/>
      <c r="F105" s="105"/>
      <c r="G105" s="120"/>
      <c r="H105" s="97"/>
      <c r="I105" s="46"/>
      <c r="J105" s="97"/>
      <c r="K105" s="97"/>
    </row>
    <row r="106" spans="1:11">
      <c r="A106" s="68">
        <v>5</v>
      </c>
      <c r="B106" s="62" t="s">
        <v>488</v>
      </c>
      <c r="C106" s="62" t="s">
        <v>477</v>
      </c>
      <c r="D106" s="258">
        <f>'P2-Exp. &amp; Rev. Credits'!F21</f>
        <v>1783666.397037932</v>
      </c>
      <c r="E106" s="97"/>
      <c r="F106" s="105" t="s">
        <v>31</v>
      </c>
      <c r="G106" s="120">
        <f>$I$187</f>
        <v>0.13228055028384053</v>
      </c>
      <c r="H106" s="97"/>
      <c r="I106" s="46">
        <f t="shared" si="2"/>
        <v>235944.37252297282</v>
      </c>
      <c r="J106" s="97"/>
      <c r="K106" s="97"/>
    </row>
    <row r="107" spans="1:11">
      <c r="A107" s="68" t="s">
        <v>99</v>
      </c>
      <c r="B107" s="62" t="s">
        <v>489</v>
      </c>
      <c r="C107" s="62" t="s">
        <v>478</v>
      </c>
      <c r="D107" s="258">
        <f>'P2-Exp. &amp; Rev. Credits'!F22</f>
        <v>110000</v>
      </c>
      <c r="E107" s="97"/>
      <c r="F107" s="126" t="str">
        <f>+F101</f>
        <v>TE</v>
      </c>
      <c r="G107" s="120">
        <f>$I$179</f>
        <v>0.92887970882503001</v>
      </c>
      <c r="H107" s="97"/>
      <c r="I107" s="46">
        <f>+G107*D107</f>
        <v>102176.7679707533</v>
      </c>
      <c r="J107" s="97"/>
      <c r="K107" s="97"/>
    </row>
    <row r="108" spans="1:11">
      <c r="A108" s="68" t="s">
        <v>133</v>
      </c>
      <c r="B108" s="62" t="s">
        <v>694</v>
      </c>
      <c r="C108" s="62" t="s">
        <v>479</v>
      </c>
      <c r="D108" s="258">
        <f>'P2-Exp. &amp; Rev. Credits'!F23</f>
        <v>556648.06699999992</v>
      </c>
      <c r="E108" s="97"/>
      <c r="F108" s="105" t="s">
        <v>31</v>
      </c>
      <c r="G108" s="120">
        <f>$I$187</f>
        <v>0.13228055028384053</v>
      </c>
      <c r="H108" s="97"/>
      <c r="I108" s="51">
        <f t="shared" ref="I108:I109" si="3">+G108*D108</f>
        <v>73633.712617196128</v>
      </c>
      <c r="J108" s="97"/>
      <c r="K108" s="97"/>
    </row>
    <row r="109" spans="1:11">
      <c r="A109" s="68" t="s">
        <v>134</v>
      </c>
      <c r="B109" s="62" t="s">
        <v>695</v>
      </c>
      <c r="C109" s="62" t="s">
        <v>480</v>
      </c>
      <c r="D109" s="258">
        <f>'P2-Exp. &amp; Rev. Credits'!F24</f>
        <v>367879.0264261273</v>
      </c>
      <c r="E109" s="97"/>
      <c r="F109" s="105" t="str">
        <f>+F108</f>
        <v>W/S</v>
      </c>
      <c r="G109" s="120">
        <f>$I$187</f>
        <v>0.13228055028384053</v>
      </c>
      <c r="H109" s="97"/>
      <c r="I109" s="51">
        <f t="shared" si="3"/>
        <v>48663.240053531634</v>
      </c>
      <c r="J109" s="97"/>
      <c r="K109" s="97"/>
    </row>
    <row r="110" spans="1:11">
      <c r="A110" s="68">
        <v>6</v>
      </c>
      <c r="B110" s="62" t="s">
        <v>58</v>
      </c>
      <c r="C110" s="62" t="s">
        <v>481</v>
      </c>
      <c r="D110" s="258">
        <f>'P2-Exp. &amp; Rev. Credits'!F25</f>
        <v>0</v>
      </c>
      <c r="E110" s="97"/>
      <c r="F110" s="97" t="s">
        <v>1252</v>
      </c>
      <c r="G110" s="120">
        <f>K191</f>
        <v>0.12947946442867816</v>
      </c>
      <c r="H110" s="97"/>
      <c r="I110" s="54">
        <f t="shared" si="2"/>
        <v>0</v>
      </c>
      <c r="J110" s="97"/>
      <c r="K110" s="97"/>
    </row>
    <row r="111" spans="1:11" ht="13.8" thickBot="1">
      <c r="A111" s="68">
        <v>7</v>
      </c>
      <c r="B111" s="62" t="s">
        <v>40</v>
      </c>
      <c r="C111" s="62" t="s">
        <v>482</v>
      </c>
      <c r="D111" s="258">
        <f>'P2-Exp. &amp; Rev. Credits'!F26</f>
        <v>0</v>
      </c>
      <c r="E111" s="97"/>
      <c r="F111" s="97" t="s">
        <v>290</v>
      </c>
      <c r="G111" s="120">
        <v>1</v>
      </c>
      <c r="H111" s="97"/>
      <c r="I111" s="55">
        <f t="shared" si="2"/>
        <v>0</v>
      </c>
      <c r="J111" s="97"/>
      <c r="K111" s="97"/>
    </row>
    <row r="112" spans="1:11">
      <c r="A112" s="68">
        <v>8</v>
      </c>
      <c r="B112" s="62" t="s">
        <v>1150</v>
      </c>
      <c r="C112" s="167" t="s">
        <v>1149</v>
      </c>
      <c r="D112" s="547">
        <f>D101+D104+D107+D108+D110+D111-D102-D103-D106-D109</f>
        <v>36939312.171440311</v>
      </c>
      <c r="E112" s="97"/>
      <c r="F112" s="97"/>
      <c r="G112" s="120"/>
      <c r="H112" s="97"/>
      <c r="I112" s="54">
        <f>+I101-I102-I103+I104-I106+I110+I111+I107+I108-I109</f>
        <v>7800527.0059930133</v>
      </c>
      <c r="J112" s="97"/>
      <c r="K112" s="97"/>
    </row>
    <row r="113" spans="1:11">
      <c r="A113" s="68"/>
      <c r="C113" s="97"/>
      <c r="E113" s="97"/>
      <c r="F113" s="97"/>
      <c r="G113" s="120"/>
      <c r="H113" s="97"/>
      <c r="J113" s="97"/>
      <c r="K113" s="97"/>
    </row>
    <row r="114" spans="1:11">
      <c r="A114" s="68"/>
      <c r="B114" s="62" t="s">
        <v>490</v>
      </c>
      <c r="C114" s="97"/>
      <c r="D114" s="97"/>
      <c r="E114" s="97"/>
      <c r="F114" s="97"/>
      <c r="G114" s="120"/>
      <c r="H114" s="97"/>
      <c r="I114" s="97"/>
      <c r="J114" s="97"/>
      <c r="K114" s="97"/>
    </row>
    <row r="115" spans="1:11">
      <c r="A115" s="68">
        <v>9</v>
      </c>
      <c r="B115" s="123" t="str">
        <f>+B101</f>
        <v xml:space="preserve">  Transmission </v>
      </c>
      <c r="C115" s="42" t="s">
        <v>826</v>
      </c>
      <c r="D115" s="258">
        <f>'P1-Trans Plant'!E43</f>
        <v>6716131.3600724842</v>
      </c>
      <c r="E115" s="97"/>
      <c r="F115" s="97" t="s">
        <v>11</v>
      </c>
      <c r="G115" s="120">
        <f>$I$170</f>
        <v>0.92887970882503001</v>
      </c>
      <c r="H115" s="97"/>
      <c r="I115" s="54">
        <f>+G115*D115</f>
        <v>6238478.1421747822</v>
      </c>
      <c r="J115" s="97"/>
      <c r="K115" s="122"/>
    </row>
    <row r="116" spans="1:11">
      <c r="A116" s="68">
        <v>10</v>
      </c>
      <c r="B116" s="62" t="s">
        <v>114</v>
      </c>
      <c r="C116" s="62" t="s">
        <v>450</v>
      </c>
      <c r="D116" s="258">
        <f>'Act Att-H'!D121</f>
        <v>4725214</v>
      </c>
      <c r="E116" s="97"/>
      <c r="F116" s="97" t="s">
        <v>31</v>
      </c>
      <c r="G116" s="120">
        <f>+G104</f>
        <v>0.13228055028384053</v>
      </c>
      <c r="H116" s="97"/>
      <c r="I116" s="54">
        <f>+G116*D116</f>
        <v>625053.90812890721</v>
      </c>
      <c r="J116" s="97"/>
      <c r="K116" s="122"/>
    </row>
    <row r="117" spans="1:11">
      <c r="A117" s="68">
        <v>11</v>
      </c>
      <c r="B117" s="123" t="str">
        <f>+B110</f>
        <v xml:space="preserve">  Other</v>
      </c>
      <c r="C117" s="62" t="s">
        <v>452</v>
      </c>
      <c r="D117" s="258">
        <f>'Act Att-H'!D122</f>
        <v>0</v>
      </c>
      <c r="E117" s="97"/>
      <c r="F117" s="97" t="s">
        <v>1252</v>
      </c>
      <c r="G117" s="120">
        <f>+G110</f>
        <v>0.12947946442867816</v>
      </c>
      <c r="H117" s="97"/>
      <c r="I117" s="54">
        <f>+G117*D117</f>
        <v>0</v>
      </c>
      <c r="J117" s="97"/>
      <c r="K117" s="122"/>
    </row>
    <row r="118" spans="1:11" s="2" customFormat="1" ht="13.8" thickBot="1">
      <c r="A118" s="65" t="s">
        <v>299</v>
      </c>
      <c r="B118" s="48" t="s">
        <v>303</v>
      </c>
      <c r="C118" s="62" t="s">
        <v>792</v>
      </c>
      <c r="D118" s="258">
        <f>'Act Att-H'!D123</f>
        <v>0</v>
      </c>
      <c r="E118" s="46"/>
      <c r="F118" s="64"/>
      <c r="G118" s="608"/>
      <c r="H118" s="46"/>
      <c r="I118" s="59">
        <f>+G118*D118</f>
        <v>0</v>
      </c>
      <c r="J118" s="43"/>
      <c r="K118" s="53"/>
    </row>
    <row r="119" spans="1:11">
      <c r="A119" s="68">
        <v>12</v>
      </c>
      <c r="B119" s="62" t="s">
        <v>304</v>
      </c>
      <c r="C119" s="165" t="s">
        <v>305</v>
      </c>
      <c r="D119" s="547">
        <f>SUM(D115:D118)</f>
        <v>11441345.360072484</v>
      </c>
      <c r="E119" s="97"/>
      <c r="F119" s="97"/>
      <c r="G119" s="120"/>
      <c r="H119" s="97"/>
      <c r="I119" s="54">
        <f>SUM(I115:I118)</f>
        <v>6863532.0503036892</v>
      </c>
      <c r="J119" s="97"/>
      <c r="K119" s="97"/>
    </row>
    <row r="120" spans="1:11">
      <c r="A120" s="68"/>
      <c r="B120" s="62"/>
      <c r="C120" s="97"/>
      <c r="D120" s="97"/>
      <c r="E120" s="97"/>
      <c r="F120" s="97"/>
      <c r="G120" s="120"/>
      <c r="H120" s="97"/>
      <c r="I120" s="97"/>
      <c r="J120" s="97"/>
      <c r="K120" s="97"/>
    </row>
    <row r="121" spans="1:11">
      <c r="A121" s="68" t="s">
        <v>2</v>
      </c>
      <c r="B121" s="62" t="s">
        <v>491</v>
      </c>
      <c r="D121" s="97"/>
      <c r="E121" s="97"/>
      <c r="F121" s="97"/>
      <c r="G121" s="120"/>
      <c r="H121" s="97"/>
      <c r="I121" s="97"/>
      <c r="J121" s="97"/>
      <c r="K121" s="97"/>
    </row>
    <row r="122" spans="1:11">
      <c r="A122" s="68"/>
      <c r="B122" s="62" t="s">
        <v>41</v>
      </c>
      <c r="C122" s="62"/>
      <c r="E122" s="97"/>
      <c r="F122" s="97"/>
      <c r="G122" s="120"/>
      <c r="H122" s="97"/>
      <c r="J122" s="97"/>
      <c r="K122" s="122"/>
    </row>
    <row r="123" spans="1:11">
      <c r="A123" s="68">
        <v>13</v>
      </c>
      <c r="B123" s="62" t="s">
        <v>42</v>
      </c>
      <c r="C123" s="62" t="s">
        <v>1108</v>
      </c>
      <c r="D123" s="258">
        <f>'P2-Exp. &amp; Rev. Credits'!F32</f>
        <v>2178197.266721094</v>
      </c>
      <c r="E123" s="97"/>
      <c r="F123" s="97" t="s">
        <v>31</v>
      </c>
      <c r="G123" s="120">
        <f>+G116</f>
        <v>0.13228055028384053</v>
      </c>
      <c r="H123" s="97"/>
      <c r="I123" s="54">
        <f>+G123*D123</f>
        <v>288133.13306862366</v>
      </c>
      <c r="J123" s="97"/>
      <c r="K123" s="122"/>
    </row>
    <row r="124" spans="1:11">
      <c r="A124" s="68">
        <v>14</v>
      </c>
      <c r="B124" s="62" t="s">
        <v>43</v>
      </c>
      <c r="C124" s="62" t="s">
        <v>1109</v>
      </c>
      <c r="D124" s="258">
        <f>'P2-Exp. &amp; Rev. Credits'!F33</f>
        <v>0</v>
      </c>
      <c r="E124" s="97"/>
      <c r="F124" s="105" t="str">
        <f>+F123</f>
        <v>W/S</v>
      </c>
      <c r="G124" s="120">
        <f>+G123</f>
        <v>0.13228055028384053</v>
      </c>
      <c r="H124" s="97"/>
      <c r="I124" s="54">
        <f>+G124*D124</f>
        <v>0</v>
      </c>
      <c r="J124" s="97"/>
      <c r="K124" s="122"/>
    </row>
    <row r="125" spans="1:11">
      <c r="A125" s="68">
        <v>15</v>
      </c>
      <c r="B125" s="62" t="s">
        <v>44</v>
      </c>
      <c r="C125" s="62" t="s">
        <v>2</v>
      </c>
      <c r="D125" s="97" t="s">
        <v>2</v>
      </c>
      <c r="E125" s="97"/>
      <c r="F125" s="97"/>
      <c r="G125" s="120"/>
      <c r="H125" s="97"/>
      <c r="J125" s="97"/>
      <c r="K125" s="122"/>
    </row>
    <row r="126" spans="1:11">
      <c r="A126" s="68">
        <v>16</v>
      </c>
      <c r="B126" s="62" t="s">
        <v>45</v>
      </c>
      <c r="C126" s="62" t="s">
        <v>1110</v>
      </c>
      <c r="D126" s="258">
        <f>'P2-Exp. &amp; Rev. Credits'!F35</f>
        <v>13729673.014598886</v>
      </c>
      <c r="E126" s="97"/>
      <c r="F126" s="97" t="s">
        <v>36</v>
      </c>
      <c r="G126" s="120">
        <f>$G$222</f>
        <v>0.27972226449734816</v>
      </c>
      <c r="H126" s="97"/>
      <c r="I126" s="54">
        <f>+G126*D126</f>
        <v>3840495.2264517331</v>
      </c>
      <c r="J126" s="97"/>
      <c r="K126" s="122"/>
    </row>
    <row r="127" spans="1:11">
      <c r="A127" s="68">
        <v>17</v>
      </c>
      <c r="B127" s="62" t="s">
        <v>46</v>
      </c>
      <c r="C127" s="62" t="s">
        <v>1111</v>
      </c>
      <c r="D127" s="258">
        <f>'P2-Exp. &amp; Rev. Credits'!F36</f>
        <v>-68576.824859040367</v>
      </c>
      <c r="E127" s="97"/>
      <c r="F127" s="105" t="s">
        <v>27</v>
      </c>
      <c r="G127" s="120">
        <v>0</v>
      </c>
      <c r="H127" s="97"/>
      <c r="I127" s="54">
        <v>0</v>
      </c>
      <c r="J127" s="97"/>
      <c r="K127" s="122"/>
    </row>
    <row r="128" spans="1:11">
      <c r="A128" s="68">
        <v>18</v>
      </c>
      <c r="B128" s="62" t="s">
        <v>58</v>
      </c>
      <c r="C128" s="62" t="s">
        <v>1112</v>
      </c>
      <c r="D128" s="258">
        <f>'P2-Exp. &amp; Rev. Credits'!F37</f>
        <v>0</v>
      </c>
      <c r="E128" s="97"/>
      <c r="F128" s="624"/>
      <c r="G128" s="608"/>
      <c r="H128" s="97"/>
      <c r="I128" s="54">
        <f>+G128*D128</f>
        <v>0</v>
      </c>
      <c r="J128" s="97"/>
      <c r="K128" s="122"/>
    </row>
    <row r="129" spans="1:11" ht="13.8" thickBot="1">
      <c r="A129" s="68">
        <v>19</v>
      </c>
      <c r="B129" s="62" t="s">
        <v>794</v>
      </c>
      <c r="C129" s="62"/>
      <c r="D129" s="546"/>
      <c r="E129" s="97"/>
      <c r="F129" s="97"/>
      <c r="G129" s="120"/>
      <c r="H129" s="97"/>
      <c r="I129" s="54"/>
      <c r="J129" s="97"/>
      <c r="K129" s="122"/>
    </row>
    <row r="130" spans="1:11">
      <c r="A130" s="68">
        <v>20</v>
      </c>
      <c r="B130" s="62" t="s">
        <v>307</v>
      </c>
      <c r="C130" s="165" t="s">
        <v>306</v>
      </c>
      <c r="D130" s="547">
        <f>SUM(D123:D129)</f>
        <v>15839293.45646094</v>
      </c>
      <c r="E130" s="97"/>
      <c r="F130" s="97"/>
      <c r="G130" s="120"/>
      <c r="H130" s="97"/>
      <c r="I130" s="63">
        <f>SUM(I123:I129)</f>
        <v>4128628.3595203566</v>
      </c>
      <c r="J130" s="97"/>
      <c r="K130" s="97"/>
    </row>
    <row r="131" spans="1:11">
      <c r="A131" s="68"/>
      <c r="B131" s="62"/>
      <c r="C131" s="97"/>
      <c r="D131" s="97"/>
      <c r="E131" s="97"/>
      <c r="F131" s="97"/>
      <c r="G131" s="120"/>
      <c r="H131" s="97"/>
      <c r="I131" s="97"/>
      <c r="J131" s="97"/>
      <c r="K131" s="97"/>
    </row>
    <row r="132" spans="1:11">
      <c r="A132" s="68" t="s">
        <v>2</v>
      </c>
      <c r="B132" s="62" t="s">
        <v>48</v>
      </c>
      <c r="C132" s="97" t="s">
        <v>483</v>
      </c>
      <c r="D132" s="97"/>
      <c r="E132" s="97"/>
      <c r="G132" s="120"/>
      <c r="H132" s="97"/>
      <c r="J132" s="97"/>
    </row>
    <row r="133" spans="1:11">
      <c r="A133" s="68">
        <v>21</v>
      </c>
      <c r="B133" s="129" t="s">
        <v>95</v>
      </c>
      <c r="C133" s="97"/>
      <c r="D133" s="130">
        <f>IF(D239&gt;0,1-(((1-D240)*(1-D239))/(1-D240*D239*D241)),0)</f>
        <v>0.24594499999999997</v>
      </c>
      <c r="E133" s="97"/>
      <c r="G133" s="120"/>
      <c r="H133" s="97"/>
      <c r="J133" s="97"/>
    </row>
    <row r="134" spans="1:11">
      <c r="A134" s="68">
        <v>22</v>
      </c>
      <c r="B134" s="93" t="s">
        <v>703</v>
      </c>
      <c r="C134" s="97"/>
      <c r="D134" s="130">
        <f>IF(I199&gt;0,(D133/(1-D133))*(1-I197/I199),0)</f>
        <v>0.22802376427858564</v>
      </c>
      <c r="E134" s="97"/>
      <c r="G134" s="120"/>
      <c r="H134" s="97"/>
      <c r="J134" s="97"/>
    </row>
    <row r="135" spans="1:11">
      <c r="A135" s="68"/>
      <c r="B135" s="62" t="s">
        <v>1082</v>
      </c>
      <c r="C135" s="97"/>
      <c r="D135" s="97"/>
      <c r="E135" s="97"/>
      <c r="G135" s="120"/>
      <c r="H135" s="97"/>
      <c r="J135" s="97"/>
    </row>
    <row r="136" spans="1:11">
      <c r="A136" s="68"/>
      <c r="B136" s="62" t="s">
        <v>484</v>
      </c>
      <c r="C136" s="97"/>
      <c r="D136" s="97"/>
      <c r="E136" s="97"/>
      <c r="G136" s="120"/>
      <c r="H136" s="97"/>
      <c r="J136" s="97"/>
    </row>
    <row r="137" spans="1:11">
      <c r="A137" s="68">
        <v>23</v>
      </c>
      <c r="B137" s="129" t="s">
        <v>96</v>
      </c>
      <c r="C137" s="97"/>
      <c r="D137" s="548">
        <f>IF(D133&gt;0,1/(1-D133),0)</f>
        <v>1.3261632109063661</v>
      </c>
      <c r="E137" s="97"/>
      <c r="G137" s="120"/>
      <c r="H137" s="97"/>
      <c r="J137" s="97"/>
    </row>
    <row r="138" spans="1:11">
      <c r="A138" s="68">
        <v>24</v>
      </c>
      <c r="B138" s="62" t="s">
        <v>701</v>
      </c>
      <c r="C138" s="62" t="s">
        <v>453</v>
      </c>
      <c r="D138" s="258">
        <f>'Act Att-H'!D143</f>
        <v>252794</v>
      </c>
      <c r="E138" s="97"/>
      <c r="G138" s="120"/>
      <c r="H138" s="97"/>
      <c r="J138" s="97"/>
    </row>
    <row r="139" spans="1:11">
      <c r="A139" s="68" t="s">
        <v>300</v>
      </c>
      <c r="B139" s="45" t="s">
        <v>1038</v>
      </c>
      <c r="C139" s="62" t="s">
        <v>736</v>
      </c>
      <c r="D139" s="258">
        <f>'Act Att-H'!D144</f>
        <v>244121.99143944043</v>
      </c>
      <c r="E139" s="97"/>
      <c r="G139" s="120"/>
      <c r="H139" s="97"/>
      <c r="J139" s="97"/>
    </row>
    <row r="140" spans="1:11">
      <c r="A140" s="68" t="s">
        <v>625</v>
      </c>
      <c r="B140" s="45" t="s">
        <v>1191</v>
      </c>
      <c r="C140" s="62" t="s">
        <v>745</v>
      </c>
      <c r="D140" s="258">
        <f>'Act Att-H'!D145</f>
        <v>31396</v>
      </c>
      <c r="E140" s="97"/>
      <c r="G140" s="120"/>
      <c r="H140" s="97"/>
      <c r="J140" s="97"/>
    </row>
    <row r="141" spans="1:11">
      <c r="A141" s="68" t="s">
        <v>301</v>
      </c>
      <c r="B141" s="45" t="s">
        <v>298</v>
      </c>
      <c r="C141" s="62" t="s">
        <v>454</v>
      </c>
      <c r="D141" s="258">
        <f>'Act Att-H'!D146</f>
        <v>7684.4849599999989</v>
      </c>
      <c r="E141" s="97"/>
      <c r="G141" s="120"/>
      <c r="H141" s="97"/>
      <c r="J141" s="97"/>
    </row>
    <row r="142" spans="1:11">
      <c r="A142" s="68">
        <v>25</v>
      </c>
      <c r="B142" s="129" t="s">
        <v>310</v>
      </c>
      <c r="C142" s="131" t="s">
        <v>308</v>
      </c>
      <c r="D142" s="546">
        <f>D134*D149</f>
        <v>4995578.742218283</v>
      </c>
      <c r="E142" s="97"/>
      <c r="F142" s="97"/>
      <c r="G142" s="120"/>
      <c r="H142" s="97"/>
      <c r="I142" s="54">
        <f>D134*I149</f>
        <v>3974742.8744654655</v>
      </c>
      <c r="J142" s="97"/>
      <c r="K142" s="132" t="s">
        <v>2</v>
      </c>
    </row>
    <row r="143" spans="1:11">
      <c r="A143" s="68">
        <v>26</v>
      </c>
      <c r="B143" s="93" t="s">
        <v>311</v>
      </c>
      <c r="C143" s="131" t="s">
        <v>309</v>
      </c>
      <c r="D143" s="546">
        <f>D137*D138</f>
        <v>335246.1027378639</v>
      </c>
      <c r="E143" s="97"/>
      <c r="F143" s="43" t="s">
        <v>36</v>
      </c>
      <c r="G143" s="120">
        <f>$G$222</f>
        <v>0.27972226449734816</v>
      </c>
      <c r="H143" s="97"/>
      <c r="I143" s="54">
        <f>G143*D143</f>
        <v>93775.799021745916</v>
      </c>
      <c r="J143" s="97"/>
      <c r="K143" s="132"/>
    </row>
    <row r="144" spans="1:11">
      <c r="A144" s="68" t="s">
        <v>312</v>
      </c>
      <c r="B144" s="123" t="s">
        <v>1039</v>
      </c>
      <c r="C144" s="66" t="s">
        <v>315</v>
      </c>
      <c r="D144" s="546">
        <f>D137*D139</f>
        <v>323745.60402018478</v>
      </c>
      <c r="E144" s="97"/>
      <c r="G144" s="120"/>
      <c r="H144" s="97"/>
      <c r="I144" s="54">
        <f>D144</f>
        <v>323745.60402018478</v>
      </c>
      <c r="J144" s="97"/>
      <c r="K144" s="132"/>
    </row>
    <row r="145" spans="1:11">
      <c r="A145" s="68" t="s">
        <v>313</v>
      </c>
      <c r="B145" s="52" t="s">
        <v>314</v>
      </c>
      <c r="C145" s="66" t="s">
        <v>316</v>
      </c>
      <c r="D145" s="546">
        <f>D137*D141</f>
        <v>10190.881248715277</v>
      </c>
      <c r="E145" s="97"/>
      <c r="G145" s="120"/>
      <c r="H145" s="97"/>
      <c r="I145" s="54">
        <f>D145</f>
        <v>10190.881248715277</v>
      </c>
      <c r="J145" s="97"/>
      <c r="K145" s="132"/>
    </row>
    <row r="146" spans="1:11">
      <c r="A146" s="68">
        <v>27</v>
      </c>
      <c r="B146" s="129" t="s">
        <v>89</v>
      </c>
      <c r="C146" s="52" t="s">
        <v>702</v>
      </c>
      <c r="D146" s="547">
        <f>D142+D145-D143-D144</f>
        <v>4346777.91670895</v>
      </c>
      <c r="E146" s="97"/>
      <c r="F146" s="97" t="s">
        <v>2</v>
      </c>
      <c r="G146" s="120" t="s">
        <v>2</v>
      </c>
      <c r="H146" s="97"/>
      <c r="I146" s="547">
        <f>I142+I145-I143-I144</f>
        <v>3567412.35267225</v>
      </c>
      <c r="J146" s="97"/>
      <c r="K146" s="97"/>
    </row>
    <row r="147" spans="1:11">
      <c r="A147" s="68" t="s">
        <v>2</v>
      </c>
      <c r="C147" s="133"/>
      <c r="D147" s="546"/>
      <c r="E147" s="97"/>
      <c r="F147" s="97"/>
      <c r="G147" s="120"/>
      <c r="H147" s="97"/>
      <c r="I147" s="97"/>
      <c r="J147" s="97"/>
      <c r="K147" s="97"/>
    </row>
    <row r="148" spans="1:11">
      <c r="B148" s="62" t="s">
        <v>49</v>
      </c>
      <c r="C148" s="122"/>
      <c r="G148" s="120"/>
      <c r="J148" s="97"/>
    </row>
    <row r="149" spans="1:11">
      <c r="A149" s="68">
        <v>28</v>
      </c>
      <c r="B149" s="129" t="s">
        <v>545</v>
      </c>
      <c r="C149" s="649" t="s">
        <v>790</v>
      </c>
      <c r="D149" s="54">
        <f>+$I199*D87+I202</f>
        <v>21908149.608981051</v>
      </c>
      <c r="E149" s="97"/>
      <c r="F149" s="97"/>
      <c r="G149" s="120"/>
      <c r="H149" s="97"/>
      <c r="I149" s="54">
        <f>+$I199*I87+I202</f>
        <v>17431265.934235543</v>
      </c>
      <c r="J149" s="97"/>
      <c r="K149" s="122"/>
    </row>
    <row r="150" spans="1:11">
      <c r="A150" s="68"/>
      <c r="B150" s="62"/>
      <c r="D150" s="97"/>
      <c r="E150" s="97"/>
      <c r="F150" s="97"/>
      <c r="G150" s="128"/>
      <c r="H150" s="97"/>
      <c r="I150" s="97"/>
      <c r="J150" s="97"/>
      <c r="K150" s="122"/>
    </row>
    <row r="151" spans="1:11" ht="13.8" thickBot="1">
      <c r="A151" s="68">
        <v>29</v>
      </c>
      <c r="B151" s="62" t="s">
        <v>318</v>
      </c>
      <c r="C151" s="97" t="s">
        <v>317</v>
      </c>
      <c r="D151" s="67">
        <f>+D112+D119+D130+D146+D149</f>
        <v>90474878.513663739</v>
      </c>
      <c r="E151" s="97"/>
      <c r="F151" s="97"/>
      <c r="G151" s="97"/>
      <c r="H151" s="97"/>
      <c r="I151" s="67">
        <f>+I112+I119+I130+I146+I149</f>
        <v>39791365.702724852</v>
      </c>
      <c r="J151" s="62"/>
      <c r="K151" s="62"/>
    </row>
    <row r="152" spans="1:11" ht="13.8" thickTop="1">
      <c r="A152" s="68"/>
      <c r="B152" s="62"/>
      <c r="C152" s="97"/>
      <c r="D152" s="105"/>
      <c r="E152" s="97"/>
      <c r="F152" s="97"/>
      <c r="G152" s="97"/>
      <c r="H152" s="97"/>
      <c r="I152" s="105"/>
      <c r="J152" s="62"/>
      <c r="K152" s="62"/>
    </row>
    <row r="153" spans="1:11">
      <c r="B153" s="62"/>
      <c r="C153" s="62"/>
      <c r="D153" s="94"/>
      <c r="E153" s="62"/>
      <c r="F153" s="913"/>
      <c r="G153" s="913"/>
      <c r="H153" s="913"/>
      <c r="I153" s="913"/>
      <c r="J153" s="913"/>
      <c r="K153" s="913"/>
    </row>
    <row r="154" spans="1:11">
      <c r="B154" s="62"/>
      <c r="C154" s="62"/>
      <c r="D154" s="94"/>
      <c r="E154" s="62"/>
      <c r="F154" s="62"/>
      <c r="G154" s="62"/>
      <c r="H154" s="62"/>
      <c r="I154" s="914" t="str">
        <f>I1</f>
        <v>Projected Attachment H</v>
      </c>
      <c r="J154" s="914"/>
      <c r="K154" s="914"/>
    </row>
    <row r="155" spans="1:11">
      <c r="B155" s="62"/>
      <c r="C155" s="62"/>
      <c r="D155" s="94"/>
      <c r="E155" s="62"/>
      <c r="F155" s="62"/>
      <c r="G155" s="62"/>
      <c r="H155" s="62"/>
      <c r="I155" s="62"/>
      <c r="J155" s="913" t="s">
        <v>196</v>
      </c>
      <c r="K155" s="913"/>
    </row>
    <row r="156" spans="1:11">
      <c r="B156" s="62"/>
      <c r="C156" s="62"/>
      <c r="D156" s="94"/>
      <c r="E156" s="62"/>
      <c r="F156" s="62"/>
      <c r="G156" s="62"/>
      <c r="H156" s="62"/>
      <c r="I156" s="62"/>
      <c r="J156" s="95"/>
      <c r="K156" s="95"/>
    </row>
    <row r="157" spans="1:11">
      <c r="B157" s="94" t="s">
        <v>0</v>
      </c>
      <c r="C157" s="68" t="s">
        <v>1</v>
      </c>
      <c r="E157" s="62"/>
      <c r="F157" s="62"/>
      <c r="G157" s="968" t="str">
        <f>K4</f>
        <v>Estimated - For the 12 months ended 12/31/2023</v>
      </c>
      <c r="H157" s="968"/>
      <c r="I157" s="968"/>
      <c r="J157" s="968"/>
      <c r="K157" s="968"/>
    </row>
    <row r="158" spans="1:11">
      <c r="B158" s="62"/>
      <c r="C158" s="98" t="s">
        <v>3</v>
      </c>
      <c r="E158" s="97"/>
      <c r="F158" s="97"/>
      <c r="G158" s="97"/>
      <c r="H158" s="62"/>
      <c r="I158" s="62"/>
      <c r="J158" s="62"/>
      <c r="K158" s="62"/>
    </row>
    <row r="159" spans="1:11" ht="9" customHeight="1">
      <c r="A159" s="68"/>
      <c r="J159" s="97"/>
      <c r="K159" s="97"/>
    </row>
    <row r="160" spans="1:11">
      <c r="A160" s="68"/>
      <c r="C160" s="111" t="str">
        <f>C7</f>
        <v>Black Hills Colorado Electric, LLC</v>
      </c>
      <c r="J160" s="97"/>
      <c r="K160" s="97"/>
    </row>
    <row r="161" spans="1:19">
      <c r="A161" s="68"/>
      <c r="C161" s="125"/>
      <c r="J161" s="97"/>
      <c r="K161" s="97"/>
    </row>
    <row r="162" spans="1:19">
      <c r="A162" s="68"/>
      <c r="C162" s="115" t="s">
        <v>124</v>
      </c>
      <c r="E162" s="62"/>
      <c r="F162" s="62"/>
      <c r="G162" s="62"/>
      <c r="H162" s="62"/>
      <c r="I162" s="62"/>
      <c r="J162" s="97"/>
      <c r="K162" s="97"/>
    </row>
    <row r="163" spans="1:19">
      <c r="A163" s="68" t="s">
        <v>4</v>
      </c>
      <c r="B163" s="68" t="s">
        <v>15</v>
      </c>
      <c r="C163" s="68" t="s">
        <v>16</v>
      </c>
      <c r="D163" s="68" t="s">
        <v>17</v>
      </c>
      <c r="E163" s="97" t="s">
        <v>2</v>
      </c>
      <c r="F163" s="97"/>
      <c r="G163" s="112" t="s">
        <v>18</v>
      </c>
      <c r="H163" s="97"/>
      <c r="I163" s="113" t="s">
        <v>19</v>
      </c>
      <c r="J163" s="97"/>
      <c r="K163" s="97"/>
    </row>
    <row r="164" spans="1:19" ht="13.8" thickBot="1">
      <c r="A164" s="101" t="s">
        <v>6</v>
      </c>
      <c r="B164" s="62" t="s">
        <v>116</v>
      </c>
      <c r="C164" s="62"/>
      <c r="D164" s="62"/>
      <c r="E164" s="62"/>
      <c r="F164" s="62"/>
      <c r="G164" s="62"/>
      <c r="J164" s="97"/>
      <c r="K164" s="97"/>
    </row>
    <row r="165" spans="1:19">
      <c r="A165" s="68">
        <v>1</v>
      </c>
      <c r="B165" s="62" t="s">
        <v>320</v>
      </c>
      <c r="C165" s="62" t="s">
        <v>464</v>
      </c>
      <c r="D165" s="97"/>
      <c r="E165" s="97"/>
      <c r="F165" s="97"/>
      <c r="G165" s="97"/>
      <c r="H165" s="97"/>
      <c r="I165" s="258">
        <f>'Act Att-H'!I170</f>
        <v>306658674.61923081</v>
      </c>
      <c r="J165" s="97"/>
      <c r="K165" s="97"/>
    </row>
    <row r="166" spans="1:19">
      <c r="A166" s="68">
        <v>2</v>
      </c>
      <c r="B166" s="62" t="s">
        <v>321</v>
      </c>
      <c r="C166" s="62" t="s">
        <v>465</v>
      </c>
      <c r="I166" s="258">
        <f>'Act Att-H'!I171</f>
        <v>13559737.015250061</v>
      </c>
      <c r="J166" s="97"/>
      <c r="K166" s="97"/>
    </row>
    <row r="167" spans="1:19">
      <c r="A167" s="68">
        <v>3</v>
      </c>
      <c r="B167" s="62" t="s">
        <v>322</v>
      </c>
      <c r="C167" s="62" t="s">
        <v>466</v>
      </c>
      <c r="D167" s="97"/>
      <c r="E167" s="97"/>
      <c r="F167" s="97"/>
      <c r="G167" s="98"/>
      <c r="H167" s="97"/>
      <c r="I167" s="258">
        <f>'Act Att-H'!I172</f>
        <v>8249917.2150000008</v>
      </c>
      <c r="J167" s="97"/>
      <c r="K167" s="97"/>
    </row>
    <row r="168" spans="1:19">
      <c r="A168" s="68">
        <v>4</v>
      </c>
      <c r="B168" s="167" t="s">
        <v>323</v>
      </c>
      <c r="C168" s="167" t="s">
        <v>324</v>
      </c>
      <c r="D168" s="97"/>
      <c r="E168" s="97"/>
      <c r="F168" s="97"/>
      <c r="G168" s="98"/>
      <c r="H168" s="97"/>
      <c r="I168" s="166">
        <f>I165-I166-I167</f>
        <v>284849020.38898075</v>
      </c>
      <c r="J168" s="97"/>
      <c r="K168" s="97"/>
    </row>
    <row r="169" spans="1:19" ht="9" customHeight="1">
      <c r="A169" s="68"/>
      <c r="C169" s="62"/>
      <c r="D169" s="97"/>
      <c r="E169" s="97"/>
      <c r="F169" s="97"/>
      <c r="G169" s="98"/>
      <c r="H169" s="97"/>
      <c r="J169" s="97"/>
      <c r="K169" s="97"/>
    </row>
    <row r="170" spans="1:19">
      <c r="A170" s="68">
        <v>5</v>
      </c>
      <c r="B170" s="62" t="s">
        <v>325</v>
      </c>
      <c r="C170" s="100" t="s">
        <v>326</v>
      </c>
      <c r="D170" s="100"/>
      <c r="E170" s="100"/>
      <c r="F170" s="100"/>
      <c r="G170" s="113"/>
      <c r="H170" s="97" t="s">
        <v>52</v>
      </c>
      <c r="I170" s="136">
        <f>IF(I165&gt;0,I168/I165,0)</f>
        <v>0.92887970882503001</v>
      </c>
      <c r="J170" s="97"/>
      <c r="K170" s="97"/>
      <c r="N170" s="137"/>
      <c r="O170" s="137"/>
      <c r="P170" s="137"/>
    </row>
    <row r="171" spans="1:19" ht="9" customHeight="1">
      <c r="A171" s="68"/>
      <c r="J171" s="97"/>
      <c r="K171" s="97"/>
      <c r="N171" s="62"/>
      <c r="P171" s="97"/>
      <c r="Q171" s="62"/>
    </row>
    <row r="172" spans="1:19">
      <c r="A172" s="68"/>
      <c r="B172" s="62" t="s">
        <v>50</v>
      </c>
      <c r="J172" s="97"/>
      <c r="K172" s="97"/>
      <c r="N172" s="920"/>
      <c r="O172" s="920"/>
      <c r="P172" s="920"/>
      <c r="Q172" s="920"/>
      <c r="R172" s="920"/>
      <c r="S172" s="920"/>
    </row>
    <row r="173" spans="1:19">
      <c r="A173" s="68">
        <v>6</v>
      </c>
      <c r="B173" s="93" t="s">
        <v>327</v>
      </c>
      <c r="C173" s="93" t="s">
        <v>337</v>
      </c>
      <c r="D173" s="62"/>
      <c r="E173" s="62"/>
      <c r="F173" s="62"/>
      <c r="G173" s="68"/>
      <c r="H173" s="62"/>
      <c r="I173" s="258">
        <f>D101</f>
        <v>5744083.3767535286</v>
      </c>
      <c r="J173" s="97"/>
      <c r="K173" s="97"/>
      <c r="P173" s="97"/>
      <c r="Q173" s="62"/>
    </row>
    <row r="174" spans="1:19">
      <c r="A174" s="68">
        <v>7</v>
      </c>
      <c r="B174" s="62" t="s">
        <v>336</v>
      </c>
      <c r="C174" s="62" t="s">
        <v>467</v>
      </c>
      <c r="D174" s="97"/>
      <c r="E174" s="97"/>
      <c r="F174" s="97"/>
      <c r="G174" s="97"/>
      <c r="H174" s="97"/>
      <c r="I174" s="258">
        <f>'Act Att-H'!I179</f>
        <v>0</v>
      </c>
      <c r="J174" s="97"/>
      <c r="K174" s="97"/>
      <c r="N174" s="139"/>
      <c r="O174" s="140"/>
      <c r="P174" s="97"/>
      <c r="Q174" s="62"/>
    </row>
    <row r="175" spans="1:19">
      <c r="A175" s="68">
        <v>8</v>
      </c>
      <c r="B175" s="167" t="s">
        <v>329</v>
      </c>
      <c r="C175" s="169" t="s">
        <v>328</v>
      </c>
      <c r="D175" s="100"/>
      <c r="E175" s="100"/>
      <c r="F175" s="100"/>
      <c r="G175" s="113"/>
      <c r="H175" s="100"/>
      <c r="I175" s="166">
        <f>+I173-I174</f>
        <v>5744083.3767535286</v>
      </c>
      <c r="N175" s="141"/>
      <c r="O175" s="142"/>
      <c r="P175" s="143"/>
      <c r="Q175" s="143"/>
    </row>
    <row r="176" spans="1:19">
      <c r="A176" s="68"/>
      <c r="B176" s="62"/>
      <c r="C176" s="62"/>
      <c r="D176" s="97"/>
      <c r="E176" s="97"/>
      <c r="F176" s="97"/>
      <c r="G176" s="97"/>
      <c r="N176" s="141"/>
      <c r="O176" s="142"/>
    </row>
    <row r="177" spans="1:17">
      <c r="A177" s="68">
        <v>9</v>
      </c>
      <c r="B177" s="62" t="s">
        <v>330</v>
      </c>
      <c r="C177" s="62" t="s">
        <v>338</v>
      </c>
      <c r="D177" s="97"/>
      <c r="E177" s="97"/>
      <c r="F177" s="97"/>
      <c r="G177" s="97"/>
      <c r="H177" s="97"/>
      <c r="I177" s="120">
        <f>IF(I173&gt;0,I175/I173,0)</f>
        <v>1</v>
      </c>
      <c r="N177" s="62"/>
      <c r="O177" s="144"/>
      <c r="P177" s="142"/>
      <c r="Q177" s="142"/>
    </row>
    <row r="178" spans="1:17">
      <c r="A178" s="68">
        <v>10</v>
      </c>
      <c r="B178" s="62" t="s">
        <v>331</v>
      </c>
      <c r="C178" s="62" t="s">
        <v>332</v>
      </c>
      <c r="D178" s="97"/>
      <c r="E178" s="97"/>
      <c r="F178" s="97"/>
      <c r="G178" s="97"/>
      <c r="H178" s="62" t="s">
        <v>11</v>
      </c>
      <c r="I178" s="120">
        <f>I170</f>
        <v>0.92887970882503001</v>
      </c>
      <c r="N178" s="139"/>
      <c r="O178" s="142"/>
      <c r="Q178" s="142"/>
    </row>
    <row r="179" spans="1:17">
      <c r="A179" s="68">
        <v>11</v>
      </c>
      <c r="B179" s="62" t="s">
        <v>334</v>
      </c>
      <c r="C179" s="62" t="s">
        <v>333</v>
      </c>
      <c r="D179" s="62"/>
      <c r="E179" s="62"/>
      <c r="F179" s="62"/>
      <c r="G179" s="62"/>
      <c r="H179" s="62" t="s">
        <v>51</v>
      </c>
      <c r="I179" s="104">
        <f>+I178*I177</f>
        <v>0.92887970882503001</v>
      </c>
      <c r="N179" s="139"/>
      <c r="O179" s="142"/>
      <c r="Q179" s="142"/>
    </row>
    <row r="180" spans="1:17">
      <c r="A180" s="68"/>
      <c r="C180" s="62"/>
      <c r="D180" s="97"/>
      <c r="E180" s="97"/>
      <c r="F180" s="97"/>
      <c r="G180" s="98"/>
      <c r="H180" s="97"/>
      <c r="N180" s="139"/>
      <c r="O180" s="142"/>
      <c r="Q180" s="145"/>
    </row>
    <row r="181" spans="1:17">
      <c r="A181" s="68" t="s">
        <v>2</v>
      </c>
      <c r="B181" s="62" t="s">
        <v>53</v>
      </c>
      <c r="C181" s="97"/>
      <c r="D181" s="97"/>
      <c r="E181" s="97"/>
      <c r="F181" s="97"/>
      <c r="G181" s="97"/>
      <c r="H181" s="97"/>
      <c r="I181" s="97"/>
      <c r="J181" s="97"/>
      <c r="K181" s="97"/>
      <c r="N181" s="141"/>
      <c r="O181" s="142"/>
      <c r="P181" s="97"/>
      <c r="Q181" s="62"/>
    </row>
    <row r="182" spans="1:17" ht="13.8" thickBot="1">
      <c r="A182" s="68" t="s">
        <v>2</v>
      </c>
      <c r="B182" s="62"/>
      <c r="C182" s="146" t="s">
        <v>449</v>
      </c>
      <c r="D182" s="147" t="s">
        <v>55</v>
      </c>
      <c r="E182" s="147" t="s">
        <v>11</v>
      </c>
      <c r="F182" s="97"/>
      <c r="G182" s="147" t="s">
        <v>56</v>
      </c>
      <c r="H182" s="97"/>
      <c r="I182" s="97"/>
      <c r="J182" s="97"/>
      <c r="K182" s="97"/>
      <c r="N182" s="141"/>
      <c r="O182" s="142"/>
      <c r="P182" s="97"/>
      <c r="Q182" s="62"/>
    </row>
    <row r="183" spans="1:17">
      <c r="A183" s="68">
        <v>12</v>
      </c>
      <c r="B183" s="62" t="s">
        <v>26</v>
      </c>
      <c r="C183" s="62" t="s">
        <v>455</v>
      </c>
      <c r="D183" s="258">
        <f>'Act Att-H'!D188</f>
        <v>2363162</v>
      </c>
      <c r="E183" s="148">
        <v>0</v>
      </c>
      <c r="F183" s="148"/>
      <c r="G183" s="105">
        <f>D183*E183</f>
        <v>0</v>
      </c>
      <c r="H183" s="97"/>
      <c r="I183" s="97"/>
      <c r="J183" s="97"/>
      <c r="K183" s="97"/>
    </row>
    <row r="184" spans="1:17">
      <c r="A184" s="68">
        <v>13</v>
      </c>
      <c r="B184" s="62" t="s">
        <v>28</v>
      </c>
      <c r="C184" s="62" t="s">
        <v>456</v>
      </c>
      <c r="D184" s="258">
        <f>'Act Att-H'!D189</f>
        <v>1780159</v>
      </c>
      <c r="E184" s="149">
        <f>+I170</f>
        <v>0.92887970882503001</v>
      </c>
      <c r="F184" s="148"/>
      <c r="G184" s="105">
        <f>D184*E184</f>
        <v>1653553.5735822567</v>
      </c>
      <c r="H184" s="97"/>
      <c r="I184" s="97"/>
      <c r="J184" s="97"/>
      <c r="K184" s="97"/>
    </row>
    <row r="185" spans="1:17">
      <c r="A185" s="68">
        <v>14</v>
      </c>
      <c r="B185" s="62" t="s">
        <v>29</v>
      </c>
      <c r="C185" s="62" t="s">
        <v>457</v>
      </c>
      <c r="D185" s="258">
        <f>'Act Att-H'!D190</f>
        <v>6937934</v>
      </c>
      <c r="E185" s="148">
        <v>0</v>
      </c>
      <c r="F185" s="148"/>
      <c r="G185" s="105">
        <f>D185*E185</f>
        <v>0</v>
      </c>
      <c r="H185" s="97"/>
      <c r="I185" s="98" t="s">
        <v>57</v>
      </c>
      <c r="J185" s="97"/>
      <c r="K185" s="97"/>
    </row>
    <row r="186" spans="1:17" ht="13.8" thickBot="1">
      <c r="A186" s="68">
        <v>15</v>
      </c>
      <c r="B186" s="62" t="s">
        <v>58</v>
      </c>
      <c r="C186" s="62" t="s">
        <v>458</v>
      </c>
      <c r="D186" s="258">
        <f>'Act Att-H'!D191</f>
        <v>1419098</v>
      </c>
      <c r="E186" s="148">
        <v>0</v>
      </c>
      <c r="F186" s="148"/>
      <c r="G186" s="150">
        <f>D186*E186</f>
        <v>0</v>
      </c>
      <c r="H186" s="97"/>
      <c r="I186" s="101" t="s">
        <v>59</v>
      </c>
      <c r="J186" s="97"/>
      <c r="K186" s="97"/>
    </row>
    <row r="187" spans="1:17">
      <c r="A187" s="68">
        <v>16</v>
      </c>
      <c r="B187" s="62" t="s">
        <v>339</v>
      </c>
      <c r="C187" s="97" t="s">
        <v>966</v>
      </c>
      <c r="D187" s="166">
        <f>SUM(D183:D186)</f>
        <v>12500353</v>
      </c>
      <c r="E187" s="97"/>
      <c r="F187" s="97"/>
      <c r="G187" s="105">
        <f>SUM(G183:G186)</f>
        <v>1653553.5735822567</v>
      </c>
      <c r="H187" s="68" t="s">
        <v>60</v>
      </c>
      <c r="I187" s="120">
        <f>IF(G187&gt;0,G187/D187,0)</f>
        <v>0.13228055028384053</v>
      </c>
      <c r="J187" s="98" t="s">
        <v>60</v>
      </c>
      <c r="K187" s="132" t="s">
        <v>97</v>
      </c>
    </row>
    <row r="188" spans="1:17" ht="9" customHeight="1">
      <c r="A188" s="68"/>
      <c r="B188" s="62"/>
      <c r="C188" s="97"/>
      <c r="D188" s="97"/>
      <c r="E188" s="97"/>
      <c r="F188" s="97"/>
      <c r="G188" s="97"/>
      <c r="H188" s="97"/>
      <c r="I188" s="97"/>
      <c r="J188" s="97"/>
      <c r="K188" s="97"/>
    </row>
    <row r="189" spans="1:17">
      <c r="A189" s="68"/>
      <c r="B189" s="62" t="s">
        <v>1253</v>
      </c>
      <c r="C189" s="97"/>
      <c r="D189" s="98" t="s">
        <v>55</v>
      </c>
      <c r="E189" s="97"/>
      <c r="F189" s="97"/>
      <c r="G189" s="98" t="s">
        <v>61</v>
      </c>
      <c r="H189" s="128" t="s">
        <v>2</v>
      </c>
      <c r="I189" s="121" t="str">
        <f>+I185</f>
        <v>W&amp;S Allocator</v>
      </c>
      <c r="J189" s="97"/>
      <c r="K189" s="97"/>
    </row>
    <row r="190" spans="1:17">
      <c r="A190" s="68">
        <v>17</v>
      </c>
      <c r="B190" s="62" t="s">
        <v>62</v>
      </c>
      <c r="C190" s="62" t="s">
        <v>459</v>
      </c>
      <c r="D190" s="258">
        <f>'Act Att-H'!D195</f>
        <v>1203958614</v>
      </c>
      <c r="E190" s="97"/>
      <c r="G190" s="68" t="s">
        <v>64</v>
      </c>
      <c r="H190" s="128"/>
      <c r="I190" s="68" t="s">
        <v>65</v>
      </c>
      <c r="J190" s="97"/>
      <c r="K190" s="68" t="s">
        <v>1252</v>
      </c>
    </row>
    <row r="191" spans="1:17">
      <c r="A191" s="68">
        <v>18</v>
      </c>
      <c r="B191" s="62" t="s">
        <v>66</v>
      </c>
      <c r="C191" s="62" t="s">
        <v>460</v>
      </c>
      <c r="D191" s="258">
        <f>'Act Att-H'!D196</f>
        <v>0</v>
      </c>
      <c r="E191" s="97"/>
      <c r="G191" s="104">
        <f>IF(D193&gt;0,D190/D193,0)</f>
        <v>0.97882465828005749</v>
      </c>
      <c r="H191" s="98" t="s">
        <v>67</v>
      </c>
      <c r="I191" s="104">
        <f>I187</f>
        <v>0.13228055028384053</v>
      </c>
      <c r="J191" s="128" t="s">
        <v>60</v>
      </c>
      <c r="K191" s="151">
        <f>I191*G191</f>
        <v>0.12947946442867816</v>
      </c>
    </row>
    <row r="192" spans="1:17">
      <c r="A192" s="68">
        <v>19</v>
      </c>
      <c r="B192" s="62" t="s">
        <v>58</v>
      </c>
      <c r="C192" s="62" t="s">
        <v>461</v>
      </c>
      <c r="D192" s="258">
        <f>'Act Att-H'!D197</f>
        <v>26045763</v>
      </c>
      <c r="E192" s="97"/>
      <c r="F192" s="97"/>
      <c r="G192" s="97" t="s">
        <v>2</v>
      </c>
      <c r="H192" s="97"/>
      <c r="I192" s="97"/>
      <c r="J192" s="97"/>
      <c r="K192" s="97"/>
    </row>
    <row r="193" spans="1:11">
      <c r="A193" s="68">
        <v>20</v>
      </c>
      <c r="B193" s="167" t="s">
        <v>339</v>
      </c>
      <c r="C193" s="168" t="s">
        <v>340</v>
      </c>
      <c r="D193" s="166">
        <f>D190+D191+D192</f>
        <v>1230004377</v>
      </c>
      <c r="E193" s="97"/>
      <c r="F193" s="97"/>
      <c r="G193" s="97"/>
      <c r="H193" s="97"/>
      <c r="I193" s="97"/>
      <c r="J193" s="97"/>
      <c r="K193" s="97"/>
    </row>
    <row r="194" spans="1:11" ht="9" customHeight="1">
      <c r="A194" s="68"/>
      <c r="B194" s="62"/>
      <c r="C194" s="97"/>
      <c r="E194" s="97"/>
      <c r="F194" s="97"/>
      <c r="G194" s="97"/>
      <c r="H194" s="97"/>
      <c r="I194" s="97"/>
      <c r="J194" s="97"/>
      <c r="K194" s="97"/>
    </row>
    <row r="195" spans="1:11" ht="13.8" thickBot="1">
      <c r="A195" s="68"/>
      <c r="B195" s="62" t="s">
        <v>68</v>
      </c>
      <c r="C195" s="97"/>
      <c r="D195" s="97"/>
      <c r="E195" s="97"/>
      <c r="F195" s="97"/>
      <c r="G195" s="97"/>
      <c r="H195" s="97"/>
      <c r="I195" s="147" t="s">
        <v>55</v>
      </c>
      <c r="J195" s="97"/>
      <c r="K195" s="97"/>
    </row>
    <row r="196" spans="1:11" ht="13.8" thickBot="1">
      <c r="A196" s="68"/>
      <c r="B196" s="62"/>
      <c r="C196" s="97"/>
      <c r="D196" s="97"/>
      <c r="E196" s="101" t="s">
        <v>70</v>
      </c>
      <c r="F196" s="97"/>
      <c r="G196" s="171" t="s">
        <v>69</v>
      </c>
      <c r="H196" s="97"/>
      <c r="I196" s="101" t="s">
        <v>71</v>
      </c>
      <c r="J196" s="97"/>
      <c r="K196" s="97"/>
    </row>
    <row r="197" spans="1:11">
      <c r="A197" s="68">
        <v>21</v>
      </c>
      <c r="B197" s="62" t="s">
        <v>341</v>
      </c>
      <c r="C197" s="62" t="s">
        <v>462</v>
      </c>
      <c r="D197" s="97"/>
      <c r="E197" s="153">
        <v>0.53</v>
      </c>
      <c r="F197" s="154"/>
      <c r="G197" s="616">
        <f>'Act Att-H'!G203</f>
        <v>3.7403441019576086E-2</v>
      </c>
      <c r="I197" s="155">
        <f>G197*E197</f>
        <v>1.9823823740375328E-2</v>
      </c>
      <c r="J197" s="156" t="s">
        <v>72</v>
      </c>
    </row>
    <row r="198" spans="1:11" ht="13.8" thickBot="1">
      <c r="A198" s="68">
        <v>22</v>
      </c>
      <c r="B198" s="62" t="s">
        <v>342</v>
      </c>
      <c r="C198" s="62" t="s">
        <v>463</v>
      </c>
      <c r="D198" s="875"/>
      <c r="E198" s="153">
        <v>0.47</v>
      </c>
      <c r="F198" s="154"/>
      <c r="G198" s="616">
        <f>'Act Att-H'!G204</f>
        <v>9.8000000000000004E-2</v>
      </c>
      <c r="I198" s="157">
        <f>G198*E198</f>
        <v>4.6059999999999997E-2</v>
      </c>
      <c r="J198" s="97"/>
    </row>
    <row r="199" spans="1:11">
      <c r="A199" s="68">
        <v>23</v>
      </c>
      <c r="B199" s="167"/>
      <c r="C199" s="169"/>
      <c r="D199" s="97"/>
      <c r="E199" s="97" t="s">
        <v>2</v>
      </c>
      <c r="F199" s="97"/>
      <c r="G199" s="97"/>
      <c r="H199" s="97"/>
      <c r="I199" s="155">
        <f>SUM(I197:I198)</f>
        <v>6.5883823740375325E-2</v>
      </c>
      <c r="J199" s="156" t="s">
        <v>73</v>
      </c>
    </row>
    <row r="200" spans="1:11" ht="9" customHeight="1">
      <c r="E200" s="97"/>
      <c r="F200" s="97"/>
      <c r="G200" s="97"/>
      <c r="H200" s="97"/>
    </row>
    <row r="201" spans="1:11">
      <c r="A201" s="62"/>
      <c r="B201" s="62"/>
      <c r="C201" s="62"/>
      <c r="D201" s="97"/>
      <c r="E201" s="97"/>
      <c r="F201" s="122"/>
      <c r="G201" s="97"/>
      <c r="H201" s="97"/>
      <c r="I201" s="97"/>
      <c r="J201" s="97"/>
      <c r="K201" s="97"/>
    </row>
    <row r="202" spans="1:11">
      <c r="A202" s="68">
        <v>24</v>
      </c>
      <c r="B202" s="62" t="s">
        <v>541</v>
      </c>
      <c r="C202" s="62" t="s">
        <v>552</v>
      </c>
      <c r="D202" s="94"/>
      <c r="E202" s="62"/>
      <c r="F202" s="62"/>
      <c r="G202" s="62"/>
      <c r="H202" s="322"/>
      <c r="I202" s="258">
        <f>'P4-IncentPlant'!F47</f>
        <v>0</v>
      </c>
      <c r="J202" s="322"/>
      <c r="K202" s="322"/>
    </row>
    <row r="203" spans="1:11">
      <c r="B203" s="62"/>
      <c r="C203" s="62"/>
      <c r="D203" s="94"/>
      <c r="E203" s="62"/>
      <c r="F203" s="62"/>
      <c r="G203" s="913"/>
      <c r="H203" s="913"/>
      <c r="I203" s="913"/>
      <c r="J203" s="913"/>
      <c r="K203" s="913"/>
    </row>
    <row r="204" spans="1:11">
      <c r="B204" s="62"/>
      <c r="C204" s="62"/>
      <c r="D204" s="94"/>
      <c r="E204" s="62"/>
      <c r="F204" s="62"/>
      <c r="G204" s="62"/>
      <c r="H204" s="62"/>
      <c r="I204" s="914" t="str">
        <f>I1</f>
        <v>Projected Attachment H</v>
      </c>
      <c r="J204" s="914"/>
      <c r="K204" s="914"/>
    </row>
    <row r="205" spans="1:11">
      <c r="B205" s="62"/>
      <c r="C205" s="62"/>
      <c r="D205" s="94"/>
      <c r="E205" s="62"/>
      <c r="F205" s="62"/>
      <c r="G205" s="62"/>
      <c r="H205" s="62"/>
      <c r="I205" s="62"/>
      <c r="J205" s="913" t="s">
        <v>276</v>
      </c>
      <c r="K205" s="913"/>
    </row>
    <row r="206" spans="1:11">
      <c r="B206" s="62"/>
      <c r="C206" s="62"/>
      <c r="D206" s="94"/>
      <c r="E206" s="62"/>
      <c r="F206" s="62"/>
      <c r="G206" s="62"/>
      <c r="H206" s="62"/>
      <c r="I206" s="62"/>
      <c r="J206" s="62"/>
      <c r="K206" s="95"/>
    </row>
    <row r="207" spans="1:11">
      <c r="B207" s="94" t="s">
        <v>0</v>
      </c>
      <c r="C207" s="68" t="s">
        <v>1</v>
      </c>
      <c r="E207" s="62"/>
      <c r="F207" s="62"/>
      <c r="G207" s="62"/>
      <c r="H207" s="62"/>
      <c r="I207" s="62"/>
      <c r="J207" s="62"/>
      <c r="K207" s="110" t="str">
        <f>K4</f>
        <v>Estimated - For the 12 months ended 12/31/2023</v>
      </c>
    </row>
    <row r="208" spans="1:11">
      <c r="B208" s="62"/>
      <c r="C208" s="98" t="s">
        <v>3</v>
      </c>
      <c r="E208" s="97"/>
      <c r="F208" s="97"/>
      <c r="G208" s="97"/>
      <c r="H208" s="62"/>
      <c r="I208" s="62"/>
      <c r="J208" s="62"/>
      <c r="K208" s="62"/>
    </row>
    <row r="209" spans="1:11">
      <c r="A209" s="68"/>
      <c r="C209" s="97"/>
      <c r="E209" s="97"/>
      <c r="F209" s="97"/>
      <c r="G209" s="97"/>
      <c r="H209" s="62"/>
      <c r="I209" s="141"/>
      <c r="K209" s="97"/>
    </row>
    <row r="210" spans="1:11">
      <c r="A210" s="68"/>
      <c r="C210" s="158" t="str">
        <f>C7</f>
        <v>Black Hills Colorado Electric, LLC</v>
      </c>
      <c r="E210" s="97"/>
      <c r="F210" s="97"/>
      <c r="G210" s="97"/>
      <c r="H210" s="62"/>
      <c r="I210" s="141"/>
      <c r="K210" s="97"/>
    </row>
    <row r="211" spans="1:11">
      <c r="A211" s="68"/>
      <c r="C211" s="158"/>
      <c r="E211" s="97"/>
      <c r="F211" s="97"/>
      <c r="G211" s="97"/>
      <c r="H211" s="62"/>
      <c r="I211" s="141"/>
      <c r="K211" s="97"/>
    </row>
    <row r="212" spans="1:11" ht="15.75" customHeight="1">
      <c r="A212" s="68"/>
      <c r="B212" s="68" t="s">
        <v>15</v>
      </c>
      <c r="C212" s="68" t="s">
        <v>16</v>
      </c>
      <c r="D212" s="68" t="s">
        <v>17</v>
      </c>
      <c r="E212" s="97" t="s">
        <v>2</v>
      </c>
      <c r="F212" s="97"/>
      <c r="G212" s="112" t="s">
        <v>18</v>
      </c>
      <c r="H212" s="97"/>
      <c r="I212" s="113" t="s">
        <v>19</v>
      </c>
      <c r="K212" s="97"/>
    </row>
    <row r="213" spans="1:11">
      <c r="A213" s="68" t="s">
        <v>4</v>
      </c>
      <c r="B213" s="62"/>
      <c r="C213" s="114"/>
      <c r="D213" s="97"/>
      <c r="E213" s="97"/>
      <c r="F213" s="97"/>
      <c r="G213" s="68"/>
      <c r="H213" s="97"/>
      <c r="I213" s="115" t="s">
        <v>21</v>
      </c>
      <c r="J213" s="97"/>
      <c r="K213" s="97"/>
    </row>
    <row r="214" spans="1:11" ht="13.8" thickBot="1">
      <c r="A214" s="101" t="s">
        <v>6</v>
      </c>
      <c r="B214" s="62"/>
      <c r="C214" s="116" t="s">
        <v>449</v>
      </c>
      <c r="D214" s="115" t="s">
        <v>23</v>
      </c>
      <c r="E214" s="117"/>
      <c r="F214" s="115" t="s">
        <v>24</v>
      </c>
      <c r="H214" s="117"/>
      <c r="I214" s="68" t="s">
        <v>25</v>
      </c>
      <c r="J214" s="97"/>
      <c r="K214" s="97"/>
    </row>
    <row r="215" spans="1:11">
      <c r="A215" s="68"/>
      <c r="C215" s="68"/>
      <c r="D215" s="97"/>
      <c r="E215" s="97"/>
      <c r="F215" s="97"/>
      <c r="G215" s="97"/>
      <c r="H215" s="62"/>
      <c r="I215" s="141"/>
      <c r="J215" s="97"/>
      <c r="K215" s="97"/>
    </row>
    <row r="216" spans="1:11">
      <c r="A216" s="68"/>
      <c r="B216" s="62" t="s">
        <v>575</v>
      </c>
      <c r="C216" s="97"/>
      <c r="D216" s="98" t="s">
        <v>55</v>
      </c>
      <c r="E216" s="97"/>
      <c r="F216" s="97"/>
      <c r="G216" s="98"/>
      <c r="H216" s="128" t="s">
        <v>2</v>
      </c>
      <c r="I216" s="121"/>
      <c r="J216" s="97"/>
      <c r="K216" s="97"/>
    </row>
    <row r="217" spans="1:11">
      <c r="A217" s="68">
        <v>1</v>
      </c>
      <c r="B217" s="62" t="s">
        <v>26</v>
      </c>
      <c r="C217" s="97" t="s">
        <v>577</v>
      </c>
      <c r="D217" s="258">
        <f>'Act Att-H'!D45</f>
        <v>425876517.23846155</v>
      </c>
      <c r="E217" s="97"/>
      <c r="F217" s="97" t="s">
        <v>27</v>
      </c>
      <c r="G217" s="119" t="s">
        <v>2</v>
      </c>
      <c r="H217" s="97"/>
      <c r="I217" s="97" t="s">
        <v>2</v>
      </c>
      <c r="J217" s="97"/>
      <c r="K217" s="68"/>
    </row>
    <row r="218" spans="1:11">
      <c r="A218" s="68">
        <v>2</v>
      </c>
      <c r="B218" s="62" t="s">
        <v>28</v>
      </c>
      <c r="C218" s="97" t="s">
        <v>1113</v>
      </c>
      <c r="D218" s="258">
        <f>D45</f>
        <v>383145508.24215734</v>
      </c>
      <c r="E218" s="97"/>
      <c r="F218" s="97" t="s">
        <v>11</v>
      </c>
      <c r="G218" s="120">
        <f>I170</f>
        <v>0.92887970882503001</v>
      </c>
      <c r="H218" s="97"/>
      <c r="I218" s="54">
        <f>+G218*D218</f>
        <v>355896088.13359326</v>
      </c>
      <c r="J218" s="128"/>
      <c r="K218" s="151"/>
    </row>
    <row r="219" spans="1:11">
      <c r="A219" s="68">
        <v>3</v>
      </c>
      <c r="B219" s="62" t="s">
        <v>29</v>
      </c>
      <c r="C219" s="97" t="s">
        <v>582</v>
      </c>
      <c r="D219" s="258">
        <f>'Act Att-H'!D47</f>
        <v>426878280.09075266</v>
      </c>
      <c r="E219" s="97"/>
      <c r="F219" s="97" t="s">
        <v>27</v>
      </c>
      <c r="G219" s="119" t="s">
        <v>2</v>
      </c>
      <c r="H219" s="97"/>
      <c r="I219" s="54" t="s">
        <v>2</v>
      </c>
      <c r="J219" s="97"/>
      <c r="K219" s="97"/>
    </row>
    <row r="220" spans="1:11">
      <c r="A220" s="68">
        <v>4</v>
      </c>
      <c r="B220" s="62" t="s">
        <v>30</v>
      </c>
      <c r="C220" s="97" t="s">
        <v>583</v>
      </c>
      <c r="D220" s="258">
        <f>'Act Att-H'!D48</f>
        <v>45067030.808461539</v>
      </c>
      <c r="E220" s="97"/>
      <c r="F220" s="97" t="s">
        <v>31</v>
      </c>
      <c r="G220" s="120">
        <f>I187</f>
        <v>0.13228055028384053</v>
      </c>
      <c r="H220" s="97"/>
      <c r="I220" s="54">
        <f>+G220*D220</f>
        <v>5961491.6350020869</v>
      </c>
      <c r="J220" s="97"/>
      <c r="K220" s="97"/>
    </row>
    <row r="221" spans="1:11">
      <c r="A221" s="68">
        <v>5</v>
      </c>
      <c r="B221" s="62" t="s">
        <v>58</v>
      </c>
      <c r="C221" s="97" t="s">
        <v>584</v>
      </c>
      <c r="D221" s="258">
        <f>'Act Att-H'!D49</f>
        <v>23578472.230769232</v>
      </c>
      <c r="E221" s="97"/>
      <c r="F221" s="97" t="s">
        <v>1252</v>
      </c>
      <c r="G221" s="120">
        <f>K191</f>
        <v>0.12947946442867816</v>
      </c>
      <c r="H221" s="97"/>
      <c r="I221" s="54">
        <f>+G221*D221</f>
        <v>3052927.9564864608</v>
      </c>
      <c r="J221" s="97"/>
      <c r="K221" s="97"/>
    </row>
    <row r="222" spans="1:11">
      <c r="A222" s="68">
        <v>6</v>
      </c>
      <c r="B222" s="167" t="s">
        <v>339</v>
      </c>
      <c r="C222" s="168" t="s">
        <v>1114</v>
      </c>
      <c r="D222" s="166">
        <f>SUM(D217:D221)</f>
        <v>1304545808.6106021</v>
      </c>
      <c r="E222" s="97"/>
      <c r="F222" s="168" t="s">
        <v>32</v>
      </c>
      <c r="G222" s="511">
        <f>IF(I222&gt;0,I222/D222,0)</f>
        <v>0.27972226449734816</v>
      </c>
      <c r="H222" s="97"/>
      <c r="I222" s="170">
        <f>SUM(I217:I221)</f>
        <v>364910507.7250818</v>
      </c>
      <c r="J222" s="97"/>
      <c r="K222" s="97"/>
    </row>
    <row r="223" spans="1:11">
      <c r="A223" s="68"/>
      <c r="B223" s="62"/>
      <c r="C223" s="97"/>
      <c r="D223" s="105"/>
      <c r="E223" s="97"/>
      <c r="F223" s="97"/>
      <c r="G223" s="97"/>
      <c r="H223" s="97"/>
      <c r="I223" s="97"/>
      <c r="J223" s="97"/>
      <c r="K223" s="97"/>
    </row>
    <row r="224" spans="1:11">
      <c r="A224" s="68"/>
      <c r="B224" s="62" t="s">
        <v>576</v>
      </c>
      <c r="C224" s="97"/>
      <c r="D224" s="98" t="s">
        <v>55</v>
      </c>
      <c r="E224" s="97"/>
      <c r="F224" s="97"/>
      <c r="G224" s="98"/>
      <c r="H224" s="128" t="s">
        <v>2</v>
      </c>
      <c r="I224" s="121"/>
      <c r="J224" s="97"/>
      <c r="K224" s="97"/>
    </row>
    <row r="225" spans="1:11">
      <c r="A225" s="68">
        <v>7</v>
      </c>
      <c r="B225" s="62" t="s">
        <v>26</v>
      </c>
      <c r="C225" s="97" t="s">
        <v>578</v>
      </c>
      <c r="D225" s="258">
        <f>'Act Att-H'!D61</f>
        <v>290934588.47934318</v>
      </c>
      <c r="E225" s="97"/>
      <c r="F225" s="97" t="s">
        <v>27</v>
      </c>
      <c r="G225" s="119" t="s">
        <v>2</v>
      </c>
      <c r="H225" s="97"/>
      <c r="I225" s="97" t="s">
        <v>2</v>
      </c>
      <c r="J225" s="97"/>
      <c r="K225" s="68"/>
    </row>
    <row r="226" spans="1:11">
      <c r="A226" s="68">
        <v>8</v>
      </c>
      <c r="B226" s="62" t="s">
        <v>28</v>
      </c>
      <c r="C226" s="97" t="s">
        <v>585</v>
      </c>
      <c r="D226" s="258">
        <f>D57</f>
        <v>322092550.73551875</v>
      </c>
      <c r="E226" s="97"/>
      <c r="F226" s="97" t="s">
        <v>11</v>
      </c>
      <c r="G226" s="120">
        <f>G218</f>
        <v>0.92887970882503001</v>
      </c>
      <c r="H226" s="97"/>
      <c r="I226" s="54">
        <f>+G226*D226</f>
        <v>299185234.74191988</v>
      </c>
      <c r="J226" s="128"/>
      <c r="K226" s="151"/>
    </row>
    <row r="227" spans="1:11">
      <c r="A227" s="68">
        <v>9</v>
      </c>
      <c r="B227" s="62" t="s">
        <v>29</v>
      </c>
      <c r="C227" s="97" t="s">
        <v>579</v>
      </c>
      <c r="D227" s="258">
        <f>'Act Att-H'!D63</f>
        <v>266254725.29543874</v>
      </c>
      <c r="E227" s="97"/>
      <c r="F227" s="97" t="s">
        <v>27</v>
      </c>
      <c r="G227" s="119" t="s">
        <v>2</v>
      </c>
      <c r="H227" s="97"/>
      <c r="I227" s="54" t="s">
        <v>2</v>
      </c>
      <c r="J227" s="97"/>
      <c r="K227" s="97"/>
    </row>
    <row r="228" spans="1:11">
      <c r="A228" s="68">
        <v>10</v>
      </c>
      <c r="B228" s="62" t="s">
        <v>30</v>
      </c>
      <c r="C228" s="97" t="s">
        <v>580</v>
      </c>
      <c r="D228" s="258">
        <f>'Act Att-H'!D64</f>
        <v>21560686.882806893</v>
      </c>
      <c r="E228" s="97"/>
      <c r="F228" s="97" t="s">
        <v>31</v>
      </c>
      <c r="G228" s="120">
        <f>G220</f>
        <v>0.13228055028384053</v>
      </c>
      <c r="H228" s="97"/>
      <c r="I228" s="54">
        <f>+G228*D228</f>
        <v>2852059.525355278</v>
      </c>
      <c r="J228" s="97"/>
      <c r="K228" s="97"/>
    </row>
    <row r="229" spans="1:11">
      <c r="A229" s="68">
        <v>11</v>
      </c>
      <c r="B229" s="62" t="s">
        <v>58</v>
      </c>
      <c r="C229" s="97" t="s">
        <v>581</v>
      </c>
      <c r="D229" s="258">
        <f>'Act Att-H'!D65</f>
        <v>15730725.76923077</v>
      </c>
      <c r="E229" s="97"/>
      <c r="F229" s="97" t="s">
        <v>1252</v>
      </c>
      <c r="G229" s="120">
        <f>G221</f>
        <v>0.12947946442867816</v>
      </c>
      <c r="H229" s="97"/>
      <c r="I229" s="54">
        <f>+G229*D229</f>
        <v>2036805.9476744065</v>
      </c>
      <c r="J229" s="97"/>
      <c r="K229" s="97"/>
    </row>
    <row r="230" spans="1:11">
      <c r="A230" s="68">
        <v>12</v>
      </c>
      <c r="B230" s="167" t="s">
        <v>339</v>
      </c>
      <c r="C230" s="168" t="s">
        <v>1115</v>
      </c>
      <c r="D230" s="166">
        <f>SUM(D225:D229)</f>
        <v>916573277.16233826</v>
      </c>
      <c r="E230" s="97"/>
      <c r="F230" s="168" t="s">
        <v>33</v>
      </c>
      <c r="G230" s="511">
        <f>IF(I230&gt;0,I230/D230,0)</f>
        <v>0.33175099884686432</v>
      </c>
      <c r="H230" s="97"/>
      <c r="I230" s="170">
        <f>SUM(I225:I229)</f>
        <v>304074100.21494955</v>
      </c>
      <c r="J230" s="97"/>
      <c r="K230" s="97"/>
    </row>
    <row r="231" spans="1:11">
      <c r="A231" s="68"/>
      <c r="B231" s="62"/>
      <c r="C231" s="97"/>
      <c r="D231" s="105"/>
      <c r="E231" s="97"/>
      <c r="F231" s="97"/>
      <c r="G231" s="97"/>
      <c r="H231" s="97"/>
      <c r="I231" s="97"/>
      <c r="J231" s="62"/>
      <c r="K231" s="97"/>
    </row>
    <row r="232" spans="1:11">
      <c r="A232" s="68"/>
      <c r="B232" s="62"/>
      <c r="C232" s="97"/>
      <c r="D232" s="105"/>
      <c r="E232" s="97"/>
      <c r="F232" s="97"/>
      <c r="G232" s="97"/>
      <c r="H232" s="97"/>
      <c r="I232" s="97"/>
      <c r="J232" s="62"/>
      <c r="K232" s="97"/>
    </row>
    <row r="233" spans="1:11">
      <c r="A233" s="68"/>
      <c r="B233" s="62"/>
      <c r="C233" s="97"/>
      <c r="D233" s="105"/>
      <c r="E233" s="97"/>
      <c r="F233" s="97"/>
      <c r="G233" s="97"/>
      <c r="H233" s="97"/>
      <c r="I233" s="97"/>
      <c r="J233" s="62"/>
      <c r="K233" s="97"/>
    </row>
    <row r="234" spans="1:11">
      <c r="A234" s="68"/>
      <c r="B234" s="62" t="s">
        <v>110</v>
      </c>
      <c r="C234" s="68"/>
      <c r="D234" s="97"/>
      <c r="E234" s="97"/>
      <c r="F234" s="97"/>
      <c r="G234" s="97"/>
      <c r="H234" s="62"/>
      <c r="I234" s="97"/>
      <c r="J234" s="62"/>
      <c r="K234" s="97"/>
    </row>
    <row r="235" spans="1:11">
      <c r="A235" s="68"/>
      <c r="B235" s="94" t="s">
        <v>109</v>
      </c>
      <c r="C235" s="68"/>
      <c r="D235" s="97"/>
      <c r="E235" s="97"/>
      <c r="F235" s="97"/>
      <c r="G235" s="97"/>
      <c r="H235" s="62"/>
      <c r="I235" s="97"/>
      <c r="J235" s="413"/>
      <c r="K235" s="413"/>
    </row>
    <row r="236" spans="1:11">
      <c r="A236" s="68" t="s">
        <v>74</v>
      </c>
      <c r="B236" s="62"/>
      <c r="C236" s="62"/>
      <c r="D236" s="97"/>
      <c r="E236" s="97"/>
      <c r="F236" s="97"/>
      <c r="G236" s="97"/>
      <c r="H236" s="62"/>
      <c r="I236" s="97"/>
      <c r="J236" s="62"/>
      <c r="K236" s="62"/>
    </row>
    <row r="237" spans="1:11" ht="13.8" thickBot="1">
      <c r="A237" s="101" t="s">
        <v>75</v>
      </c>
      <c r="B237" s="62"/>
      <c r="C237" s="62"/>
      <c r="D237" s="97"/>
      <c r="E237" s="97"/>
      <c r="F237" s="97"/>
      <c r="G237" s="97"/>
      <c r="H237" s="62"/>
      <c r="I237" s="97"/>
      <c r="J237" s="62"/>
      <c r="K237" s="62"/>
    </row>
    <row r="238" spans="1:11" ht="55.5" customHeight="1">
      <c r="A238" s="69" t="s">
        <v>76</v>
      </c>
      <c r="B238" s="917" t="s">
        <v>132</v>
      </c>
      <c r="C238" s="917"/>
      <c r="D238" s="917"/>
      <c r="E238" s="917"/>
      <c r="F238" s="917"/>
      <c r="G238" s="917"/>
      <c r="H238" s="917"/>
      <c r="I238" s="917"/>
      <c r="J238" s="62"/>
      <c r="K238" s="62"/>
    </row>
    <row r="239" spans="1:11">
      <c r="A239" s="75" t="s">
        <v>2</v>
      </c>
      <c r="B239" s="62" t="s">
        <v>344</v>
      </c>
      <c r="C239" s="62" t="s">
        <v>90</v>
      </c>
      <c r="D239" s="159">
        <v>0.21</v>
      </c>
      <c r="E239" s="62" t="s">
        <v>345</v>
      </c>
      <c r="F239" s="62"/>
      <c r="G239" s="62"/>
      <c r="H239" s="62"/>
      <c r="I239" s="62"/>
      <c r="J239" s="82"/>
      <c r="K239" s="82"/>
    </row>
    <row r="240" spans="1:11">
      <c r="A240" s="75"/>
      <c r="B240" s="62"/>
      <c r="C240" s="62" t="s">
        <v>91</v>
      </c>
      <c r="D240" s="159">
        <v>4.5499999999999999E-2</v>
      </c>
      <c r="E240" s="62" t="s">
        <v>92</v>
      </c>
      <c r="F240" s="62"/>
      <c r="G240" s="62"/>
      <c r="H240" s="62"/>
      <c r="I240" s="62"/>
      <c r="J240" s="82"/>
      <c r="K240" s="82"/>
    </row>
    <row r="241" spans="1:11">
      <c r="A241" s="75"/>
      <c r="B241" s="62"/>
      <c r="C241" s="62" t="s">
        <v>93</v>
      </c>
      <c r="D241" s="159">
        <v>0</v>
      </c>
      <c r="E241" s="62" t="s">
        <v>94</v>
      </c>
      <c r="F241" s="62"/>
      <c r="G241" s="62"/>
      <c r="H241" s="62"/>
      <c r="I241" s="62"/>
      <c r="J241" s="82"/>
      <c r="K241" s="82"/>
    </row>
    <row r="242" spans="1:11">
      <c r="A242" s="83"/>
      <c r="B242" s="969"/>
      <c r="C242" s="969"/>
      <c r="D242" s="969"/>
      <c r="E242" s="969"/>
      <c r="F242" s="969"/>
      <c r="G242" s="969"/>
      <c r="H242" s="969"/>
      <c r="I242" s="969"/>
      <c r="J242" s="82"/>
      <c r="K242" s="82"/>
    </row>
    <row r="243" spans="1:11">
      <c r="A243" s="71" t="s">
        <v>77</v>
      </c>
      <c r="B243" s="93" t="s">
        <v>749</v>
      </c>
      <c r="J243" s="82"/>
      <c r="K243" s="82"/>
    </row>
    <row r="244" spans="1:11">
      <c r="A244" s="28" t="s">
        <v>78</v>
      </c>
      <c r="B244" s="971" t="s">
        <v>1057</v>
      </c>
      <c r="C244" s="971"/>
      <c r="D244" s="971"/>
      <c r="E244" s="971"/>
      <c r="F244" s="971"/>
      <c r="G244" s="971"/>
      <c r="H244" s="971"/>
      <c r="I244" s="971"/>
      <c r="J244" s="82"/>
      <c r="K244" s="82"/>
    </row>
    <row r="245" spans="1:11">
      <c r="A245" s="28" t="s">
        <v>79</v>
      </c>
      <c r="B245" s="970" t="s">
        <v>1061</v>
      </c>
      <c r="C245" s="970"/>
      <c r="D245" s="970"/>
      <c r="E245" s="970"/>
      <c r="F245" s="970"/>
      <c r="G245" s="970"/>
      <c r="H245" s="970"/>
      <c r="I245" s="970"/>
      <c r="J245" s="79"/>
      <c r="K245" s="79"/>
    </row>
    <row r="246" spans="1:11">
      <c r="A246" s="83"/>
      <c r="B246" s="969"/>
      <c r="C246" s="969"/>
      <c r="D246" s="969"/>
      <c r="E246" s="969"/>
      <c r="F246" s="969"/>
      <c r="G246" s="969"/>
      <c r="H246" s="969"/>
      <c r="I246" s="969"/>
      <c r="J246" s="79"/>
      <c r="K246" s="79"/>
    </row>
    <row r="247" spans="1:11">
      <c r="A247" s="80"/>
      <c r="C247" s="82"/>
      <c r="D247" s="82"/>
      <c r="E247" s="82"/>
      <c r="F247" s="82"/>
      <c r="G247" s="82"/>
      <c r="H247" s="82"/>
      <c r="I247" s="82"/>
      <c r="J247" s="86"/>
      <c r="K247" s="86"/>
    </row>
    <row r="248" spans="1:11">
      <c r="A248" s="85"/>
      <c r="B248" s="84"/>
      <c r="C248" s="79"/>
      <c r="D248" s="79"/>
      <c r="E248" s="79"/>
      <c r="F248" s="79"/>
      <c r="G248" s="79"/>
      <c r="H248" s="79"/>
      <c r="I248" s="79"/>
    </row>
    <row r="249" spans="1:11">
      <c r="A249" s="85"/>
      <c r="B249" s="79"/>
      <c r="C249" s="79"/>
      <c r="D249" s="79"/>
      <c r="E249" s="79"/>
      <c r="F249" s="79"/>
      <c r="G249" s="79"/>
      <c r="H249" s="79"/>
      <c r="I249" s="79"/>
    </row>
    <row r="250" spans="1:11">
      <c r="A250" s="83"/>
      <c r="B250" s="926"/>
      <c r="C250" s="926"/>
      <c r="D250" s="926"/>
      <c r="E250" s="926"/>
      <c r="F250" s="926"/>
      <c r="G250" s="926"/>
      <c r="H250" s="926"/>
      <c r="I250" s="926"/>
      <c r="J250" s="90"/>
      <c r="K250" s="90"/>
    </row>
    <row r="251" spans="1:11" ht="25.5" customHeight="1">
      <c r="A251" s="83"/>
      <c r="J251" s="91"/>
      <c r="K251" s="91"/>
    </row>
    <row r="252" spans="1:11">
      <c r="A252" s="83"/>
      <c r="J252" s="79"/>
      <c r="K252" s="79"/>
    </row>
    <row r="253" spans="1:11">
      <c r="A253" s="80"/>
      <c r="B253" s="87"/>
      <c r="C253" s="87"/>
      <c r="D253" s="87"/>
      <c r="E253" s="87"/>
      <c r="F253" s="87"/>
      <c r="G253" s="87"/>
      <c r="H253" s="88"/>
      <c r="I253" s="89"/>
      <c r="J253" s="79"/>
      <c r="K253" s="79"/>
    </row>
    <row r="254" spans="1:11">
      <c r="A254" s="80"/>
      <c r="J254" s="79"/>
      <c r="K254" s="79"/>
    </row>
    <row r="255" spans="1:11">
      <c r="A255" s="80"/>
      <c r="B255" s="79"/>
      <c r="C255" s="79"/>
      <c r="D255" s="79"/>
      <c r="E255" s="79"/>
      <c r="F255" s="79"/>
      <c r="G255" s="79"/>
      <c r="H255" s="79"/>
      <c r="I255" s="79"/>
      <c r="J255" s="79"/>
      <c r="K255" s="79"/>
    </row>
    <row r="256" spans="1:11">
      <c r="A256" s="80"/>
      <c r="B256" s="79"/>
      <c r="C256" s="79"/>
      <c r="D256" s="79"/>
      <c r="E256" s="79"/>
      <c r="F256" s="79"/>
      <c r="G256" s="79"/>
      <c r="H256" s="79"/>
      <c r="I256" s="79"/>
      <c r="J256" s="79"/>
      <c r="K256" s="79"/>
    </row>
    <row r="257" spans="1:11">
      <c r="A257" s="80"/>
      <c r="C257" s="79"/>
      <c r="D257" s="79"/>
      <c r="E257" s="79"/>
      <c r="F257" s="79"/>
      <c r="G257" s="79"/>
      <c r="H257" s="79"/>
      <c r="I257" s="79"/>
      <c r="J257" s="79"/>
      <c r="K257" s="79"/>
    </row>
    <row r="258" spans="1:11">
      <c r="A258" s="83"/>
      <c r="B258" s="924"/>
      <c r="C258" s="924"/>
      <c r="D258" s="924"/>
      <c r="E258" s="924"/>
      <c r="F258" s="924"/>
      <c r="G258" s="924"/>
      <c r="H258" s="924"/>
      <c r="I258" s="924"/>
    </row>
    <row r="259" spans="1:11">
      <c r="A259" s="80"/>
      <c r="B259" s="92"/>
      <c r="C259" s="79"/>
      <c r="D259" s="79"/>
      <c r="E259" s="79"/>
      <c r="F259" s="79"/>
      <c r="G259" s="79"/>
      <c r="H259" s="79"/>
      <c r="I259" s="79"/>
    </row>
    <row r="260" spans="1:11">
      <c r="A260" s="79"/>
      <c r="B260" s="92"/>
      <c r="C260" s="79"/>
      <c r="D260" s="79"/>
      <c r="E260" s="79"/>
      <c r="F260" s="79"/>
      <c r="G260" s="79"/>
      <c r="H260" s="79"/>
      <c r="I260" s="79"/>
    </row>
  </sheetData>
  <sheetProtection formatCells="0" formatColumns="0"/>
  <mergeCells count="21">
    <mergeCell ref="B250:I250"/>
    <mergeCell ref="B258:I258"/>
    <mergeCell ref="B242:I242"/>
    <mergeCell ref="B245:I245"/>
    <mergeCell ref="G203:K203"/>
    <mergeCell ref="I204:K204"/>
    <mergeCell ref="J205:K205"/>
    <mergeCell ref="B246:I246"/>
    <mergeCell ref="B238:I238"/>
    <mergeCell ref="B244:I244"/>
    <mergeCell ref="N172:S172"/>
    <mergeCell ref="I1:K1"/>
    <mergeCell ref="J2:K2"/>
    <mergeCell ref="I32:K32"/>
    <mergeCell ref="J33:K33"/>
    <mergeCell ref="I89:K89"/>
    <mergeCell ref="J90:K90"/>
    <mergeCell ref="F153:K153"/>
    <mergeCell ref="I154:K154"/>
    <mergeCell ref="J155:K155"/>
    <mergeCell ref="G157:K157"/>
  </mergeCells>
  <pageMargins left="0.5" right="0.25" top="1" bottom="1" header="0.5" footer="0.5"/>
  <pageSetup scale="58" fitToHeight="5" orientation="portrait" r:id="rId1"/>
  <headerFooter alignWithMargins="0">
    <oddHeader xml:space="preserve">&amp;C&amp;"Times New Roman,Regular"&amp;KFF0000CUI//PRIV&amp;K000000
FOR SETTLEMENT PURPOSES ONLY 
SUBJECT TO RULES 602 AND 606
</oddHeader>
  </headerFooter>
  <rowBreaks count="4" manualBreakCount="4">
    <brk id="31" max="10" man="1"/>
    <brk id="88" max="10" man="1"/>
    <brk id="153" max="10" man="1"/>
    <brk id="203" max="10" man="1"/>
  </rowBreaks>
  <ignoredErrors>
    <ignoredError sqref="D101:D104 D115:D119 D123:D128 D62 I165:I167 I173:I174 D183:D186 I202 D217:D221 D225:D229 D79 D25:D31 I89 I154 I204 D190:D192 D74:D77 D82:D85 I32:K39 D137:D146 D130 D106:D112 J40:K40 D45:D60 G197:G198 D65:D73" unlockedFormula="1"/>
    <ignoredError sqref="I73:I75 G107 G66 I69:I71" formula="1"/>
    <ignoredError sqref="A40:G40 B97:I97 B212:I212 B163:I163" numberStoredAsText="1"/>
    <ignoredError sqref="I40" numberStoredAsText="1"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pageSetUpPr autoPageBreaks="0"/>
  </sheetPr>
  <dimension ref="A1:AL50"/>
  <sheetViews>
    <sheetView topLeftCell="E3" zoomScale="80" zoomScaleNormal="80" workbookViewId="0">
      <selection activeCell="Q12" sqref="Q12"/>
    </sheetView>
  </sheetViews>
  <sheetFormatPr defaultColWidth="8.6328125" defaultRowHeight="13.2"/>
  <cols>
    <col min="1" max="1" width="3.08984375" style="530" customWidth="1"/>
    <col min="2" max="2" width="8.54296875" style="250" customWidth="1"/>
    <col min="3" max="3" width="4.6328125" style="250" hidden="1" customWidth="1"/>
    <col min="4" max="4" width="12.08984375" style="250" customWidth="1"/>
    <col min="5" max="6" width="11.08984375" style="250" bestFit="1" customWidth="1"/>
    <col min="7" max="7" width="16.08984375" style="250" customWidth="1"/>
    <col min="8" max="8" width="13.08984375" style="250" customWidth="1"/>
    <col min="9" max="9" width="13.08984375" style="250" bestFit="1" customWidth="1"/>
    <col min="10" max="10" width="10.6328125" style="250" bestFit="1" customWidth="1"/>
    <col min="11" max="12" width="10.08984375" style="250" customWidth="1"/>
    <col min="13" max="14" width="10.6328125" style="250" customWidth="1"/>
    <col min="15" max="15" width="9.54296875" style="250" bestFit="1" customWidth="1"/>
    <col min="16" max="16" width="11.08984375" style="250" customWidth="1"/>
    <col min="17" max="17" width="12.08984375" style="250" customWidth="1"/>
    <col min="18" max="18" width="11.08984375" style="250" customWidth="1"/>
    <col min="19" max="20" width="9.54296875" style="250" customWidth="1"/>
    <col min="21" max="21" width="11.08984375" style="250" customWidth="1"/>
    <col min="22" max="22" width="11.6328125" style="250" customWidth="1"/>
    <col min="23" max="28" width="11.08984375" style="250" customWidth="1"/>
    <col min="29" max="29" width="10.08984375" style="250" customWidth="1"/>
    <col min="30" max="30" width="8.6328125" style="250"/>
    <col min="31" max="31" width="12.6328125" style="250" customWidth="1"/>
    <col min="32" max="32" width="13" style="250" customWidth="1"/>
    <col min="33" max="33" width="13.453125" style="250" customWidth="1"/>
    <col min="34" max="34" width="10.54296875" style="250" customWidth="1"/>
    <col min="35" max="35" width="8.6328125" style="250"/>
    <col min="36" max="36" width="9.54296875" style="250" customWidth="1"/>
    <col min="37" max="37" width="13.453125" style="250" customWidth="1"/>
    <col min="38" max="38" width="10.6328125" style="250" customWidth="1"/>
    <col min="39" max="39" width="10.08984375" style="250" customWidth="1"/>
    <col min="40" max="40" width="11.08984375" style="250" customWidth="1"/>
    <col min="41" max="16384" width="8.6328125" style="250"/>
  </cols>
  <sheetData>
    <row r="1" spans="1:38" ht="13.35" customHeight="1">
      <c r="A1" s="528"/>
      <c r="B1" s="501" t="s">
        <v>417</v>
      </c>
      <c r="C1" s="501"/>
      <c r="D1" s="501"/>
      <c r="E1" s="501"/>
      <c r="F1" s="501"/>
      <c r="G1" s="501"/>
      <c r="H1" s="501"/>
      <c r="I1" s="501"/>
      <c r="J1" s="501"/>
      <c r="K1" s="339"/>
      <c r="L1" s="339"/>
      <c r="M1" s="447"/>
      <c r="N1" s="447"/>
      <c r="Q1" s="447"/>
      <c r="AA1" s="978"/>
      <c r="AB1" s="978"/>
      <c r="AK1" s="978" t="s">
        <v>371</v>
      </c>
      <c r="AL1" s="978"/>
    </row>
    <row r="2" spans="1:38" ht="13.35" customHeight="1">
      <c r="A2" s="528"/>
      <c r="B2" s="501" t="s">
        <v>435</v>
      </c>
      <c r="C2" s="501"/>
      <c r="D2" s="501"/>
      <c r="E2" s="501"/>
      <c r="F2" s="501"/>
      <c r="G2" s="501"/>
      <c r="H2" s="501"/>
      <c r="I2" s="501"/>
      <c r="J2" s="501"/>
      <c r="K2" s="339"/>
      <c r="L2" s="339"/>
      <c r="M2" s="448"/>
      <c r="N2" s="448"/>
      <c r="Q2" s="448"/>
      <c r="AB2" s="448"/>
      <c r="AL2" s="448"/>
    </row>
    <row r="3" spans="1:38" ht="13.35" customHeight="1">
      <c r="A3" s="529"/>
      <c r="B3" s="501" t="str">
        <f>'Act Att-H'!C7</f>
        <v>Black Hills Colorado Electric, LLC</v>
      </c>
      <c r="C3" s="501"/>
      <c r="D3" s="501"/>
      <c r="E3" s="501"/>
      <c r="F3" s="501"/>
      <c r="G3" s="501"/>
      <c r="H3" s="501"/>
      <c r="I3" s="501"/>
      <c r="J3" s="501"/>
      <c r="K3" s="339"/>
      <c r="L3" s="339"/>
    </row>
    <row r="4" spans="1:38" ht="13.35" customHeight="1">
      <c r="I4" s="251"/>
      <c r="J4" s="251" t="s">
        <v>650</v>
      </c>
      <c r="K4" s="251"/>
      <c r="L4" s="251"/>
      <c r="P4" s="251"/>
      <c r="Q4" s="251" t="s">
        <v>372</v>
      </c>
      <c r="V4" s="251" t="s">
        <v>373</v>
      </c>
      <c r="AA4" s="251" t="s">
        <v>651</v>
      </c>
      <c r="AL4" s="250" t="s">
        <v>373</v>
      </c>
    </row>
    <row r="5" spans="1:38">
      <c r="G5" s="46"/>
      <c r="H5" s="46"/>
      <c r="I5" s="46"/>
      <c r="J5" s="46"/>
      <c r="K5" s="46"/>
      <c r="L5" s="46"/>
      <c r="AA5" s="251"/>
    </row>
    <row r="6" spans="1:38">
      <c r="B6" s="972"/>
      <c r="C6" s="972"/>
      <c r="D6" s="972"/>
      <c r="E6" s="972"/>
      <c r="F6" s="973"/>
      <c r="G6" s="449"/>
      <c r="H6" s="450"/>
      <c r="I6" s="450"/>
      <c r="J6" s="451"/>
      <c r="K6" s="254"/>
      <c r="L6" s="254"/>
      <c r="M6" s="254"/>
      <c r="N6" s="254"/>
      <c r="Q6" s="254"/>
      <c r="X6" s="255"/>
    </row>
    <row r="7" spans="1:38">
      <c r="B7" s="974" t="s">
        <v>557</v>
      </c>
      <c r="C7" s="974"/>
      <c r="D7" s="974"/>
      <c r="E7" s="974"/>
      <c r="F7" s="974"/>
      <c r="G7" s="975" t="s">
        <v>379</v>
      </c>
      <c r="H7" s="976"/>
      <c r="I7" s="976"/>
      <c r="J7" s="977"/>
      <c r="K7" s="520"/>
      <c r="L7" s="520"/>
      <c r="M7" s="323"/>
      <c r="N7" s="323"/>
      <c r="Q7" s="323"/>
      <c r="R7" s="880"/>
      <c r="S7" s="983" t="s">
        <v>679</v>
      </c>
      <c r="T7" s="983"/>
      <c r="U7" s="983"/>
      <c r="V7" s="984"/>
      <c r="W7" s="982" t="s">
        <v>680</v>
      </c>
      <c r="X7" s="983"/>
      <c r="Y7" s="983"/>
      <c r="Z7" s="983"/>
      <c r="AA7" s="984"/>
    </row>
    <row r="8" spans="1:38">
      <c r="B8" s="793" t="s">
        <v>138</v>
      </c>
      <c r="C8" s="793"/>
      <c r="D8" s="793" t="s">
        <v>139</v>
      </c>
      <c r="E8" s="793" t="s">
        <v>1155</v>
      </c>
      <c r="F8" s="793" t="s">
        <v>141</v>
      </c>
      <c r="G8" s="452" t="s">
        <v>542</v>
      </c>
      <c r="H8" s="385" t="s">
        <v>143</v>
      </c>
      <c r="I8" s="385" t="s">
        <v>144</v>
      </c>
      <c r="J8" s="535" t="s">
        <v>145</v>
      </c>
      <c r="K8" s="541" t="s">
        <v>161</v>
      </c>
      <c r="L8" s="542" t="s">
        <v>162</v>
      </c>
      <c r="M8" s="881" t="s">
        <v>871</v>
      </c>
      <c r="N8" s="881" t="s">
        <v>870</v>
      </c>
      <c r="O8" s="881" t="s">
        <v>928</v>
      </c>
      <c r="P8" s="542" t="s">
        <v>975</v>
      </c>
      <c r="Q8" s="535" t="s">
        <v>976</v>
      </c>
      <c r="R8" s="454" t="s">
        <v>977</v>
      </c>
      <c r="S8" s="793" t="s">
        <v>978</v>
      </c>
      <c r="T8" s="793" t="s">
        <v>1242</v>
      </c>
      <c r="U8" s="793" t="s">
        <v>980</v>
      </c>
      <c r="V8" s="793" t="s">
        <v>981</v>
      </c>
      <c r="W8" s="454" t="s">
        <v>982</v>
      </c>
      <c r="X8" s="793" t="s">
        <v>983</v>
      </c>
      <c r="Y8" s="793" t="s">
        <v>984</v>
      </c>
      <c r="Z8" s="793" t="s">
        <v>985</v>
      </c>
      <c r="AA8" s="882" t="s">
        <v>986</v>
      </c>
    </row>
    <row r="9" spans="1:38">
      <c r="G9" s="324"/>
      <c r="H9" s="385"/>
      <c r="I9" s="385" t="s">
        <v>380</v>
      </c>
      <c r="J9" s="453" t="s">
        <v>380</v>
      </c>
      <c r="K9" s="454"/>
      <c r="L9" s="979" t="s">
        <v>657</v>
      </c>
      <c r="M9" s="979"/>
      <c r="N9" s="274"/>
      <c r="O9" s="274"/>
      <c r="P9" s="980" t="s">
        <v>670</v>
      </c>
      <c r="Q9" s="981"/>
      <c r="R9" s="325"/>
      <c r="S9" s="253"/>
      <c r="T9" s="253"/>
      <c r="U9" s="253"/>
      <c r="V9" s="260"/>
      <c r="W9" s="325"/>
      <c r="X9" s="253"/>
      <c r="Y9" s="253"/>
      <c r="Z9" s="253"/>
      <c r="AA9" s="260"/>
    </row>
    <row r="10" spans="1:38">
      <c r="B10" s="363" t="s">
        <v>219</v>
      </c>
      <c r="G10" s="454" t="s">
        <v>381</v>
      </c>
      <c r="H10" s="274"/>
      <c r="I10" s="274" t="s">
        <v>375</v>
      </c>
      <c r="J10" s="455" t="s">
        <v>382</v>
      </c>
      <c r="K10" s="454" t="s">
        <v>664</v>
      </c>
      <c r="L10" s="979" t="s">
        <v>656</v>
      </c>
      <c r="M10" s="979"/>
      <c r="N10" s="979" t="s">
        <v>669</v>
      </c>
      <c r="O10" s="979"/>
      <c r="P10" s="980" t="s">
        <v>681</v>
      </c>
      <c r="Q10" s="981"/>
      <c r="R10" s="454" t="s">
        <v>665</v>
      </c>
      <c r="S10" s="274" t="s">
        <v>659</v>
      </c>
      <c r="T10" s="274" t="s">
        <v>660</v>
      </c>
      <c r="U10" s="274"/>
      <c r="V10" s="455"/>
      <c r="W10" s="454" t="s">
        <v>665</v>
      </c>
      <c r="X10" s="274" t="s">
        <v>659</v>
      </c>
      <c r="Y10" s="274" t="s">
        <v>660</v>
      </c>
      <c r="Z10" s="274"/>
      <c r="AA10" s="455"/>
    </row>
    <row r="11" spans="1:38" ht="13.35" customHeight="1" thickBot="1">
      <c r="A11" s="532" t="s">
        <v>666</v>
      </c>
      <c r="B11" s="456" t="s">
        <v>987</v>
      </c>
      <c r="C11" s="456"/>
      <c r="D11" s="456" t="s">
        <v>374</v>
      </c>
      <c r="E11" s="456" t="s">
        <v>375</v>
      </c>
      <c r="F11" s="456" t="s">
        <v>376</v>
      </c>
      <c r="G11" s="457" t="s">
        <v>492</v>
      </c>
      <c r="H11" s="458" t="s">
        <v>383</v>
      </c>
      <c r="I11" s="458" t="s">
        <v>493</v>
      </c>
      <c r="J11" s="459" t="s">
        <v>375</v>
      </c>
      <c r="K11" s="522" t="s">
        <v>663</v>
      </c>
      <c r="L11" s="523" t="s">
        <v>679</v>
      </c>
      <c r="M11" s="523" t="s">
        <v>680</v>
      </c>
      <c r="N11" s="523" t="s">
        <v>679</v>
      </c>
      <c r="O11" s="523" t="s">
        <v>680</v>
      </c>
      <c r="P11" s="523" t="s">
        <v>679</v>
      </c>
      <c r="Q11" s="625" t="s">
        <v>680</v>
      </c>
      <c r="R11" s="526" t="s">
        <v>438</v>
      </c>
      <c r="S11" s="524" t="s">
        <v>375</v>
      </c>
      <c r="T11" s="524" t="s">
        <v>653</v>
      </c>
      <c r="U11" s="524" t="s">
        <v>654</v>
      </c>
      <c r="V11" s="527" t="s">
        <v>655</v>
      </c>
      <c r="W11" s="526" t="s">
        <v>438</v>
      </c>
      <c r="X11" s="524" t="s">
        <v>375</v>
      </c>
      <c r="Y11" s="524" t="s">
        <v>653</v>
      </c>
      <c r="Z11" s="524" t="s">
        <v>654</v>
      </c>
      <c r="AA11" s="527" t="s">
        <v>655</v>
      </c>
    </row>
    <row r="12" spans="1:38" s="883" customFormat="1" ht="39.6">
      <c r="A12" s="531">
        <v>1</v>
      </c>
      <c r="G12" s="884"/>
      <c r="H12" s="885" t="s">
        <v>1240</v>
      </c>
      <c r="I12" s="886">
        <f>IF('Act Att-H'!D46=0,0,ROUND('Act Att-H'!D120/'Act Att-H'!D46,6)/12)</f>
        <v>1.4625E-3</v>
      </c>
      <c r="J12" s="887" t="s">
        <v>1241</v>
      </c>
      <c r="K12" s="884"/>
      <c r="L12" s="888"/>
      <c r="M12" s="888"/>
      <c r="N12" s="889" t="s">
        <v>1152</v>
      </c>
      <c r="O12" s="889" t="s">
        <v>1153</v>
      </c>
      <c r="P12" s="890">
        <v>19294636</v>
      </c>
      <c r="Q12" s="891">
        <v>18234476</v>
      </c>
      <c r="R12" s="892" t="s">
        <v>1154</v>
      </c>
      <c r="S12" s="889" t="s">
        <v>1155</v>
      </c>
      <c r="T12" s="889" t="s">
        <v>1156</v>
      </c>
      <c r="U12" s="893" t="s">
        <v>1157</v>
      </c>
      <c r="V12" s="894" t="s">
        <v>1158</v>
      </c>
      <c r="W12" s="895" t="s">
        <v>1159</v>
      </c>
      <c r="X12" s="889" t="s">
        <v>1155</v>
      </c>
      <c r="Y12" s="889" t="s">
        <v>1160</v>
      </c>
      <c r="Z12" s="893" t="s">
        <v>1157</v>
      </c>
      <c r="AA12" s="896" t="s">
        <v>1161</v>
      </c>
    </row>
    <row r="13" spans="1:38">
      <c r="A13" s="531">
        <v>2</v>
      </c>
      <c r="G13" s="325"/>
      <c r="H13" s="253"/>
      <c r="I13" s="460"/>
      <c r="J13" s="260"/>
      <c r="K13" s="325"/>
      <c r="L13" s="253"/>
      <c r="M13" s="253"/>
      <c r="N13" s="253" t="s">
        <v>658</v>
      </c>
      <c r="O13" s="253"/>
      <c r="P13" s="732">
        <f>'Act Att-H'!G50</f>
        <v>0.23929098354858599</v>
      </c>
      <c r="Q13" s="857">
        <f>'Proj Att-H'!G222</f>
        <v>0.27972226449734816</v>
      </c>
      <c r="R13" s="864"/>
      <c r="S13" s="253"/>
      <c r="T13" s="253"/>
      <c r="U13" s="863"/>
      <c r="V13" s="260"/>
      <c r="W13" s="325"/>
      <c r="X13" s="253"/>
      <c r="Y13" s="253"/>
      <c r="Z13" s="253"/>
      <c r="AA13" s="260"/>
    </row>
    <row r="14" spans="1:38" ht="25.5" customHeight="1">
      <c r="A14" s="531">
        <v>3</v>
      </c>
      <c r="B14" s="268"/>
      <c r="C14" s="268"/>
      <c r="D14" s="461"/>
      <c r="E14" s="462"/>
      <c r="F14" s="259"/>
      <c r="G14" s="537" t="s">
        <v>1251</v>
      </c>
      <c r="H14" s="730">
        <f>'A4-Rate Base'!D22</f>
        <v>318162522.33999997</v>
      </c>
      <c r="I14" s="462"/>
      <c r="J14" s="731">
        <f>'A4-Rate Base'!F45</f>
        <v>51935611.219999999</v>
      </c>
      <c r="K14" s="325"/>
      <c r="L14" s="253"/>
      <c r="M14" s="259"/>
      <c r="N14" s="259"/>
      <c r="O14" s="253"/>
      <c r="P14" s="139">
        <f>P12*P13</f>
        <v>4617032.4256519554</v>
      </c>
      <c r="Q14" s="858">
        <f>Q12*Q13</f>
        <v>5100588.918642547</v>
      </c>
      <c r="R14" s="325"/>
      <c r="S14" s="253"/>
      <c r="T14" s="253"/>
      <c r="U14" s="253"/>
      <c r="V14" s="260"/>
      <c r="W14" s="325"/>
      <c r="X14" s="253"/>
      <c r="Y14" s="253"/>
      <c r="Z14" s="253"/>
      <c r="AA14" s="260"/>
    </row>
    <row r="15" spans="1:38">
      <c r="G15" s="325"/>
      <c r="H15" s="253"/>
      <c r="I15" s="253"/>
      <c r="J15" s="260"/>
      <c r="K15" s="325"/>
      <c r="L15" s="253"/>
      <c r="M15" s="253"/>
      <c r="N15" s="253"/>
      <c r="O15" s="253"/>
      <c r="P15" s="256"/>
      <c r="Q15" s="626"/>
      <c r="R15" s="325"/>
      <c r="S15" s="253"/>
      <c r="T15" s="253"/>
      <c r="U15" s="253"/>
      <c r="V15" s="260"/>
      <c r="W15" s="325"/>
      <c r="X15" s="253"/>
      <c r="Y15" s="253"/>
      <c r="Z15" s="253"/>
      <c r="AA15" s="260"/>
    </row>
    <row r="16" spans="1:38" s="536" customFormat="1">
      <c r="A16" s="664"/>
      <c r="B16" s="665" t="s">
        <v>138</v>
      </c>
      <c r="C16" s="665"/>
      <c r="D16" s="665" t="s">
        <v>139</v>
      </c>
      <c r="E16" s="665" t="s">
        <v>140</v>
      </c>
      <c r="F16" s="665" t="s">
        <v>141</v>
      </c>
      <c r="G16" s="666" t="s">
        <v>142</v>
      </c>
      <c r="H16" s="665" t="s">
        <v>143</v>
      </c>
      <c r="I16" s="665" t="s">
        <v>144</v>
      </c>
      <c r="J16" s="667" t="s">
        <v>145</v>
      </c>
      <c r="K16" s="666" t="s">
        <v>161</v>
      </c>
      <c r="L16" s="665" t="s">
        <v>162</v>
      </c>
      <c r="M16" s="668" t="s">
        <v>871</v>
      </c>
      <c r="N16" s="665" t="s">
        <v>870</v>
      </c>
      <c r="O16" s="665" t="s">
        <v>928</v>
      </c>
      <c r="P16" s="665" t="s">
        <v>975</v>
      </c>
      <c r="Q16" s="669" t="s">
        <v>976</v>
      </c>
      <c r="R16" s="666" t="s">
        <v>977</v>
      </c>
      <c r="S16" s="665" t="s">
        <v>978</v>
      </c>
      <c r="T16" s="665" t="s">
        <v>979</v>
      </c>
      <c r="U16" s="665" t="s">
        <v>980</v>
      </c>
      <c r="V16" s="667" t="s">
        <v>981</v>
      </c>
      <c r="W16" s="666" t="s">
        <v>982</v>
      </c>
      <c r="X16" s="665" t="s">
        <v>983</v>
      </c>
      <c r="Y16" s="665" t="s">
        <v>984</v>
      </c>
      <c r="Z16" s="665" t="s">
        <v>985</v>
      </c>
      <c r="AA16" s="667" t="s">
        <v>986</v>
      </c>
    </row>
    <row r="17" spans="1:27">
      <c r="G17" s="326"/>
      <c r="H17" s="261"/>
      <c r="I17" s="253"/>
      <c r="J17" s="260"/>
      <c r="K17" s="325"/>
      <c r="L17" s="253"/>
      <c r="M17" s="253"/>
      <c r="N17" s="253"/>
      <c r="O17" s="253"/>
      <c r="P17" s="256"/>
      <c r="Q17" s="626"/>
      <c r="R17" s="325"/>
      <c r="S17" s="253"/>
      <c r="T17" s="253"/>
      <c r="U17" s="253"/>
      <c r="V17" s="260"/>
      <c r="W17" s="325"/>
      <c r="X17" s="253"/>
      <c r="Y17" s="253"/>
      <c r="Z17" s="253"/>
      <c r="AA17" s="260"/>
    </row>
    <row r="18" spans="1:27">
      <c r="A18" s="531">
        <f>+A14+1</f>
        <v>4</v>
      </c>
      <c r="B18" s="715">
        <v>44562</v>
      </c>
      <c r="C18" s="463"/>
      <c r="D18" s="382">
        <f>H18</f>
        <v>317883279.83999997</v>
      </c>
      <c r="E18" s="382">
        <f>I18</f>
        <v>465312.68892225</v>
      </c>
      <c r="F18" s="382">
        <f>J18</f>
        <v>52400923.908922248</v>
      </c>
      <c r="G18" s="464">
        <v>-279242.50000000012</v>
      </c>
      <c r="H18" s="465">
        <f>H$14+G18</f>
        <v>317883279.83999997</v>
      </c>
      <c r="I18" s="466">
        <f>I$12*H14</f>
        <v>465312.68892225</v>
      </c>
      <c r="J18" s="467">
        <f>J14+I18</f>
        <v>52400923.908922248</v>
      </c>
      <c r="K18" s="627">
        <f>G18</f>
        <v>-279242.50000000012</v>
      </c>
      <c r="L18" s="521">
        <v>0.05</v>
      </c>
      <c r="M18" s="521">
        <v>9.5000000000000001E-2</v>
      </c>
      <c r="N18" s="253">
        <f t="shared" ref="N18:N29" si="0">K18*L18</f>
        <v>-13962.125000000007</v>
      </c>
      <c r="O18" s="253">
        <f t="shared" ref="O18:O29" si="1">K18*M18</f>
        <v>-26528.037500000013</v>
      </c>
      <c r="P18" s="256">
        <f t="shared" ref="P18:P29" si="2">(P$14)/12</f>
        <v>384752.70213766297</v>
      </c>
      <c r="Q18" s="628"/>
      <c r="R18" s="637">
        <f>N$42/12+P18</f>
        <v>490892.70179124636</v>
      </c>
      <c r="S18" s="638">
        <f>E18</f>
        <v>465312.68892225</v>
      </c>
      <c r="T18" s="638">
        <f>S18-R18</f>
        <v>-25580.01286899636</v>
      </c>
      <c r="U18" s="639">
        <f>+'Proj Att-H'!$D$133</f>
        <v>0.24594499999999997</v>
      </c>
      <c r="V18" s="640">
        <f>T18*U18</f>
        <v>-6291.2762650653094</v>
      </c>
      <c r="W18" s="641"/>
      <c r="X18" s="629"/>
      <c r="Y18" s="629"/>
      <c r="Z18" s="629"/>
      <c r="AA18" s="628"/>
    </row>
    <row r="19" spans="1:27">
      <c r="A19" s="531">
        <f t="shared" ref="A19:A41" si="3">+A18+1</f>
        <v>5</v>
      </c>
      <c r="B19" s="715">
        <v>44593</v>
      </c>
      <c r="C19" s="463"/>
      <c r="D19" s="382">
        <f t="shared" ref="D19:D41" si="4">H19</f>
        <v>317882945.75</v>
      </c>
      <c r="E19" s="382">
        <f t="shared" ref="E19:E41" si="5">I19</f>
        <v>464904.29676599998</v>
      </c>
      <c r="F19" s="382">
        <f t="shared" ref="F19:F41" si="6">J19</f>
        <v>52865828.205688246</v>
      </c>
      <c r="G19" s="464">
        <v>-279576.59000000008</v>
      </c>
      <c r="H19" s="465">
        <f t="shared" ref="H19:H41" si="7">H$14+G19</f>
        <v>317882945.75</v>
      </c>
      <c r="I19" s="466">
        <f>I$12*H18</f>
        <v>464904.29676599998</v>
      </c>
      <c r="J19" s="467">
        <f t="shared" ref="J19:J41" si="8">J18+I19</f>
        <v>52865828.205688246</v>
      </c>
      <c r="K19" s="627">
        <f>G19-G18</f>
        <v>-334.0899999999674</v>
      </c>
      <c r="L19" s="521">
        <v>0.05</v>
      </c>
      <c r="M19" s="521">
        <v>9.5000000000000001E-2</v>
      </c>
      <c r="N19" s="253">
        <f t="shared" si="0"/>
        <v>-16.704499999998372</v>
      </c>
      <c r="O19" s="253">
        <f t="shared" si="1"/>
        <v>-31.738549999996902</v>
      </c>
      <c r="P19" s="256">
        <f t="shared" si="2"/>
        <v>384752.70213766297</v>
      </c>
      <c r="Q19" s="628"/>
      <c r="R19" s="637">
        <f t="shared" ref="R19:R29" si="9">N$42/12+P19</f>
        <v>490892.70179124636</v>
      </c>
      <c r="S19" s="638">
        <f t="shared" ref="S19:S29" si="10">E19</f>
        <v>464904.29676599998</v>
      </c>
      <c r="T19" s="638">
        <f t="shared" ref="T19:T29" si="11">S19-R19</f>
        <v>-25988.405025246379</v>
      </c>
      <c r="U19" s="639">
        <f>+'Proj Att-H'!$D$133</f>
        <v>0.24594499999999997</v>
      </c>
      <c r="V19" s="640">
        <f t="shared" ref="V19:V29" si="12">T19*U19</f>
        <v>-6391.7182739342197</v>
      </c>
      <c r="W19" s="641"/>
      <c r="X19" s="629"/>
      <c r="Y19" s="629"/>
      <c r="Z19" s="629"/>
      <c r="AA19" s="628"/>
    </row>
    <row r="20" spans="1:27">
      <c r="A20" s="531">
        <f t="shared" si="3"/>
        <v>6</v>
      </c>
      <c r="B20" s="715">
        <v>44621</v>
      </c>
      <c r="C20" s="463"/>
      <c r="D20" s="382">
        <f t="shared" si="4"/>
        <v>317983149.32999998</v>
      </c>
      <c r="E20" s="382">
        <f t="shared" si="5"/>
        <v>464903.80815937504</v>
      </c>
      <c r="F20" s="382">
        <f t="shared" si="6"/>
        <v>53330732.013847619</v>
      </c>
      <c r="G20" s="464">
        <v>-179373.01000000007</v>
      </c>
      <c r="H20" s="465">
        <f t="shared" si="7"/>
        <v>317983149.32999998</v>
      </c>
      <c r="I20" s="466">
        <f t="shared" ref="I20:I41" si="13">I$12*H19</f>
        <v>464903.80815937504</v>
      </c>
      <c r="J20" s="467">
        <f t="shared" si="8"/>
        <v>53330732.013847619</v>
      </c>
      <c r="K20" s="627">
        <f t="shared" ref="K20:K41" si="14">G20-G19</f>
        <v>100203.58000000002</v>
      </c>
      <c r="L20" s="521">
        <v>0.05</v>
      </c>
      <c r="M20" s="521">
        <v>9.5000000000000001E-2</v>
      </c>
      <c r="N20" s="253">
        <f t="shared" si="0"/>
        <v>5010.179000000001</v>
      </c>
      <c r="O20" s="253">
        <f t="shared" si="1"/>
        <v>9519.3401000000013</v>
      </c>
      <c r="P20" s="256">
        <f t="shared" si="2"/>
        <v>384752.70213766297</v>
      </c>
      <c r="Q20" s="628"/>
      <c r="R20" s="637">
        <f t="shared" si="9"/>
        <v>490892.70179124636</v>
      </c>
      <c r="S20" s="638">
        <f t="shared" si="10"/>
        <v>464903.80815937504</v>
      </c>
      <c r="T20" s="638">
        <f t="shared" si="11"/>
        <v>-25988.893631871324</v>
      </c>
      <c r="U20" s="639">
        <f>+'Proj Att-H'!$D$133</f>
        <v>0.24594499999999997</v>
      </c>
      <c r="V20" s="640">
        <f t="shared" si="12"/>
        <v>-6391.8384442905917</v>
      </c>
      <c r="W20" s="641"/>
      <c r="X20" s="629"/>
      <c r="Y20" s="629"/>
      <c r="Z20" s="629"/>
      <c r="AA20" s="628"/>
    </row>
    <row r="21" spans="1:27">
      <c r="A21" s="531">
        <f t="shared" si="3"/>
        <v>7</v>
      </c>
      <c r="B21" s="715">
        <v>44652</v>
      </c>
      <c r="C21" s="463"/>
      <c r="D21" s="382">
        <f t="shared" si="4"/>
        <v>334304021.84999996</v>
      </c>
      <c r="E21" s="382">
        <f t="shared" si="5"/>
        <v>465050.35589512502</v>
      </c>
      <c r="F21" s="382">
        <f t="shared" si="6"/>
        <v>53795782.369742744</v>
      </c>
      <c r="G21" s="464">
        <v>16141499.509999998</v>
      </c>
      <c r="H21" s="465">
        <f t="shared" si="7"/>
        <v>334304021.84999996</v>
      </c>
      <c r="I21" s="466">
        <f t="shared" si="13"/>
        <v>465050.35589512502</v>
      </c>
      <c r="J21" s="467">
        <f t="shared" si="8"/>
        <v>53795782.369742744</v>
      </c>
      <c r="K21" s="627">
        <f t="shared" si="14"/>
        <v>16320872.519999998</v>
      </c>
      <c r="L21" s="521">
        <v>0.05</v>
      </c>
      <c r="M21" s="521">
        <v>9.5000000000000001E-2</v>
      </c>
      <c r="N21" s="253">
        <f t="shared" si="0"/>
        <v>816043.62599999993</v>
      </c>
      <c r="O21" s="253">
        <f t="shared" si="1"/>
        <v>1550482.8893999998</v>
      </c>
      <c r="P21" s="256">
        <f t="shared" si="2"/>
        <v>384752.70213766297</v>
      </c>
      <c r="Q21" s="628"/>
      <c r="R21" s="637">
        <f t="shared" si="9"/>
        <v>490892.70179124636</v>
      </c>
      <c r="S21" s="638">
        <f t="shared" si="10"/>
        <v>465050.35589512502</v>
      </c>
      <c r="T21" s="638">
        <f t="shared" si="11"/>
        <v>-25842.345896121347</v>
      </c>
      <c r="U21" s="639">
        <f>+'Proj Att-H'!$D$133</f>
        <v>0.24594499999999997</v>
      </c>
      <c r="V21" s="640">
        <f t="shared" si="12"/>
        <v>-6355.7957614215638</v>
      </c>
      <c r="W21" s="641"/>
      <c r="X21" s="629"/>
      <c r="Y21" s="629"/>
      <c r="Z21" s="629"/>
      <c r="AA21" s="628"/>
    </row>
    <row r="22" spans="1:27">
      <c r="A22" s="531">
        <f t="shared" si="3"/>
        <v>8</v>
      </c>
      <c r="B22" s="715">
        <v>44682</v>
      </c>
      <c r="C22" s="463"/>
      <c r="D22" s="382">
        <f t="shared" si="4"/>
        <v>334968447.32999998</v>
      </c>
      <c r="E22" s="382">
        <f t="shared" si="5"/>
        <v>488919.63195562497</v>
      </c>
      <c r="F22" s="382">
        <f t="shared" si="6"/>
        <v>54284702.001698367</v>
      </c>
      <c r="G22" s="464">
        <v>16805924.989999998</v>
      </c>
      <c r="H22" s="465">
        <f t="shared" si="7"/>
        <v>334968447.32999998</v>
      </c>
      <c r="I22" s="466">
        <f t="shared" si="13"/>
        <v>488919.63195562497</v>
      </c>
      <c r="J22" s="467">
        <f t="shared" si="8"/>
        <v>54284702.001698367</v>
      </c>
      <c r="K22" s="627">
        <f t="shared" si="14"/>
        <v>664425.48000000045</v>
      </c>
      <c r="L22" s="521">
        <v>0.05</v>
      </c>
      <c r="M22" s="521">
        <v>9.5000000000000001E-2</v>
      </c>
      <c r="N22" s="253">
        <f t="shared" si="0"/>
        <v>33221.274000000027</v>
      </c>
      <c r="O22" s="253">
        <f t="shared" si="1"/>
        <v>63120.420600000041</v>
      </c>
      <c r="P22" s="256">
        <f t="shared" si="2"/>
        <v>384752.70213766297</v>
      </c>
      <c r="Q22" s="628"/>
      <c r="R22" s="637">
        <f t="shared" si="9"/>
        <v>490892.70179124636</v>
      </c>
      <c r="S22" s="638">
        <f t="shared" si="10"/>
        <v>488919.63195562497</v>
      </c>
      <c r="T22" s="638">
        <f t="shared" si="11"/>
        <v>-1973.0698356213979</v>
      </c>
      <c r="U22" s="639">
        <f>+'Proj Att-H'!$D$133</f>
        <v>0.24594499999999997</v>
      </c>
      <c r="V22" s="640">
        <f t="shared" si="12"/>
        <v>-485.26666072190466</v>
      </c>
      <c r="W22" s="641"/>
      <c r="X22" s="629"/>
      <c r="Y22" s="629"/>
      <c r="Z22" s="629"/>
      <c r="AA22" s="628"/>
    </row>
    <row r="23" spans="1:27">
      <c r="A23" s="531">
        <f t="shared" si="3"/>
        <v>9</v>
      </c>
      <c r="B23" s="715">
        <v>44713</v>
      </c>
      <c r="C23" s="463"/>
      <c r="D23" s="382">
        <f t="shared" si="4"/>
        <v>336353323.71999997</v>
      </c>
      <c r="E23" s="382">
        <f t="shared" si="5"/>
        <v>489891.35422012501</v>
      </c>
      <c r="F23" s="382">
        <f t="shared" si="6"/>
        <v>54774593.355918489</v>
      </c>
      <c r="G23" s="464">
        <v>18190801.379999999</v>
      </c>
      <c r="H23" s="465">
        <f t="shared" si="7"/>
        <v>336353323.71999997</v>
      </c>
      <c r="I23" s="466">
        <f t="shared" si="13"/>
        <v>489891.35422012501</v>
      </c>
      <c r="J23" s="467">
        <f t="shared" si="8"/>
        <v>54774593.355918489</v>
      </c>
      <c r="K23" s="627">
        <f t="shared" si="14"/>
        <v>1384876.3900000006</v>
      </c>
      <c r="L23" s="521">
        <v>0.05</v>
      </c>
      <c r="M23" s="521">
        <v>9.5000000000000001E-2</v>
      </c>
      <c r="N23" s="253">
        <f t="shared" si="0"/>
        <v>69243.819500000027</v>
      </c>
      <c r="O23" s="253">
        <f t="shared" si="1"/>
        <v>131563.25705000004</v>
      </c>
      <c r="P23" s="256">
        <f t="shared" si="2"/>
        <v>384752.70213766297</v>
      </c>
      <c r="Q23" s="628"/>
      <c r="R23" s="637">
        <f t="shared" si="9"/>
        <v>490892.70179124636</v>
      </c>
      <c r="S23" s="638">
        <f t="shared" si="10"/>
        <v>489891.35422012501</v>
      </c>
      <c r="T23" s="638">
        <f t="shared" si="11"/>
        <v>-1001.3475711213541</v>
      </c>
      <c r="U23" s="639">
        <f>+'Proj Att-H'!$D$133</f>
        <v>0.24594499999999997</v>
      </c>
      <c r="V23" s="640">
        <f t="shared" si="12"/>
        <v>-246.2764283794414</v>
      </c>
      <c r="W23" s="641"/>
      <c r="X23" s="629"/>
      <c r="Y23" s="629"/>
      <c r="Z23" s="629"/>
      <c r="AA23" s="628"/>
    </row>
    <row r="24" spans="1:27">
      <c r="A24" s="531">
        <f t="shared" si="3"/>
        <v>10</v>
      </c>
      <c r="B24" s="715">
        <v>44743</v>
      </c>
      <c r="C24" s="463"/>
      <c r="D24" s="382">
        <f t="shared" si="4"/>
        <v>336563981.75999999</v>
      </c>
      <c r="E24" s="382">
        <f t="shared" si="5"/>
        <v>491916.73594049999</v>
      </c>
      <c r="F24" s="382">
        <f t="shared" si="6"/>
        <v>55266510.09185899</v>
      </c>
      <c r="G24" s="464">
        <v>18401459.419999998</v>
      </c>
      <c r="H24" s="465">
        <f t="shared" si="7"/>
        <v>336563981.75999999</v>
      </c>
      <c r="I24" s="466">
        <f t="shared" si="13"/>
        <v>491916.73594049999</v>
      </c>
      <c r="J24" s="467">
        <f t="shared" si="8"/>
        <v>55266510.09185899</v>
      </c>
      <c r="K24" s="627">
        <f t="shared" si="14"/>
        <v>210658.03999999911</v>
      </c>
      <c r="L24" s="521">
        <v>0.05</v>
      </c>
      <c r="M24" s="521">
        <v>9.5000000000000001E-2</v>
      </c>
      <c r="N24" s="253">
        <f t="shared" si="0"/>
        <v>10532.901999999956</v>
      </c>
      <c r="O24" s="253">
        <f t="shared" si="1"/>
        <v>20012.513799999917</v>
      </c>
      <c r="P24" s="256">
        <f t="shared" si="2"/>
        <v>384752.70213766297</v>
      </c>
      <c r="Q24" s="628"/>
      <c r="R24" s="637">
        <f t="shared" si="9"/>
        <v>490892.70179124636</v>
      </c>
      <c r="S24" s="638">
        <f t="shared" si="10"/>
        <v>491916.73594049999</v>
      </c>
      <c r="T24" s="638">
        <f t="shared" si="11"/>
        <v>1024.0341492536245</v>
      </c>
      <c r="U24" s="639">
        <f>+'Proj Att-H'!$D$133</f>
        <v>0.24594499999999997</v>
      </c>
      <c r="V24" s="640">
        <f t="shared" si="12"/>
        <v>251.85607883818264</v>
      </c>
      <c r="W24" s="641"/>
      <c r="X24" s="629"/>
      <c r="Y24" s="629"/>
      <c r="Z24" s="629"/>
      <c r="AA24" s="628"/>
    </row>
    <row r="25" spans="1:27">
      <c r="A25" s="531">
        <f t="shared" si="3"/>
        <v>11</v>
      </c>
      <c r="B25" s="715">
        <v>44774</v>
      </c>
      <c r="C25" s="463"/>
      <c r="D25" s="382">
        <f t="shared" si="4"/>
        <v>336575848.52999997</v>
      </c>
      <c r="E25" s="382">
        <f t="shared" si="5"/>
        <v>492224.823324</v>
      </c>
      <c r="F25" s="382">
        <f t="shared" si="6"/>
        <v>55758734.915182993</v>
      </c>
      <c r="G25" s="464">
        <v>18413326.189999998</v>
      </c>
      <c r="H25" s="465">
        <f t="shared" si="7"/>
        <v>336575848.52999997</v>
      </c>
      <c r="I25" s="466">
        <f t="shared" si="13"/>
        <v>492224.823324</v>
      </c>
      <c r="J25" s="467">
        <f t="shared" si="8"/>
        <v>55758734.915182993</v>
      </c>
      <c r="K25" s="627">
        <f t="shared" si="14"/>
        <v>11866.769999999553</v>
      </c>
      <c r="L25" s="521">
        <v>0.05</v>
      </c>
      <c r="M25" s="521">
        <v>9.5000000000000001E-2</v>
      </c>
      <c r="N25" s="253">
        <f t="shared" si="0"/>
        <v>593.33849999997767</v>
      </c>
      <c r="O25" s="253">
        <f t="shared" si="1"/>
        <v>1127.3431499999576</v>
      </c>
      <c r="P25" s="256">
        <f t="shared" si="2"/>
        <v>384752.70213766297</v>
      </c>
      <c r="Q25" s="628"/>
      <c r="R25" s="637">
        <f t="shared" si="9"/>
        <v>490892.70179124636</v>
      </c>
      <c r="S25" s="638">
        <f t="shared" si="10"/>
        <v>492224.823324</v>
      </c>
      <c r="T25" s="638">
        <f t="shared" si="11"/>
        <v>1332.1215327536338</v>
      </c>
      <c r="U25" s="639">
        <f>+'Proj Att-H'!$D$133</f>
        <v>0.24594499999999997</v>
      </c>
      <c r="V25" s="640">
        <f t="shared" si="12"/>
        <v>327.62863037309245</v>
      </c>
      <c r="W25" s="641"/>
      <c r="X25" s="629"/>
      <c r="Y25" s="629"/>
      <c r="Z25" s="629"/>
      <c r="AA25" s="628"/>
    </row>
    <row r="26" spans="1:27">
      <c r="A26" s="531">
        <f t="shared" si="3"/>
        <v>12</v>
      </c>
      <c r="B26" s="715">
        <v>44805</v>
      </c>
      <c r="C26" s="463"/>
      <c r="D26" s="382">
        <f t="shared" si="4"/>
        <v>336667506.88160485</v>
      </c>
      <c r="E26" s="382">
        <f t="shared" si="5"/>
        <v>492242.17847512499</v>
      </c>
      <c r="F26" s="382">
        <f t="shared" si="6"/>
        <v>56250977.093658119</v>
      </c>
      <c r="G26" s="464">
        <v>18504984.541604899</v>
      </c>
      <c r="H26" s="465">
        <f t="shared" si="7"/>
        <v>336667506.88160485</v>
      </c>
      <c r="I26" s="466">
        <f t="shared" si="13"/>
        <v>492242.17847512499</v>
      </c>
      <c r="J26" s="467">
        <f t="shared" si="8"/>
        <v>56250977.093658119</v>
      </c>
      <c r="K26" s="627">
        <f t="shared" si="14"/>
        <v>91658.351604901254</v>
      </c>
      <c r="L26" s="521">
        <v>0.05</v>
      </c>
      <c r="M26" s="521">
        <v>9.5000000000000001E-2</v>
      </c>
      <c r="N26" s="253">
        <f t="shared" si="0"/>
        <v>4582.9175802450627</v>
      </c>
      <c r="O26" s="253">
        <f t="shared" si="1"/>
        <v>8707.5434024656188</v>
      </c>
      <c r="P26" s="256">
        <f t="shared" si="2"/>
        <v>384752.70213766297</v>
      </c>
      <c r="Q26" s="628"/>
      <c r="R26" s="637">
        <f t="shared" si="9"/>
        <v>490892.70179124636</v>
      </c>
      <c r="S26" s="638">
        <f t="shared" si="10"/>
        <v>492242.17847512499</v>
      </c>
      <c r="T26" s="638">
        <f t="shared" si="11"/>
        <v>1349.4766838786309</v>
      </c>
      <c r="U26" s="639">
        <f>+'Proj Att-H'!$D$133</f>
        <v>0.24594499999999997</v>
      </c>
      <c r="V26" s="640">
        <f t="shared" si="12"/>
        <v>331.89704301652984</v>
      </c>
      <c r="W26" s="641"/>
      <c r="X26" s="629"/>
      <c r="Y26" s="629"/>
      <c r="Z26" s="629"/>
      <c r="AA26" s="628"/>
    </row>
    <row r="27" spans="1:27">
      <c r="A27" s="531">
        <f t="shared" si="3"/>
        <v>13</v>
      </c>
      <c r="B27" s="715">
        <v>44835</v>
      </c>
      <c r="C27" s="463"/>
      <c r="D27" s="382">
        <f t="shared" si="4"/>
        <v>336735138.99525732</v>
      </c>
      <c r="E27" s="382">
        <f t="shared" si="5"/>
        <v>492376.22881434712</v>
      </c>
      <c r="F27" s="382">
        <f t="shared" si="6"/>
        <v>56743353.322472468</v>
      </c>
      <c r="G27" s="464">
        <v>18572616.655257355</v>
      </c>
      <c r="H27" s="465">
        <f t="shared" si="7"/>
        <v>336735138.99525732</v>
      </c>
      <c r="I27" s="466">
        <f t="shared" si="13"/>
        <v>492376.22881434712</v>
      </c>
      <c r="J27" s="467">
        <f t="shared" si="8"/>
        <v>56743353.322472468</v>
      </c>
      <c r="K27" s="627">
        <f t="shared" si="14"/>
        <v>67632.113652456552</v>
      </c>
      <c r="L27" s="521">
        <v>0.05</v>
      </c>
      <c r="M27" s="521">
        <v>9.5000000000000001E-2</v>
      </c>
      <c r="N27" s="253">
        <f t="shared" si="0"/>
        <v>3381.6056826228278</v>
      </c>
      <c r="O27" s="253">
        <f t="shared" si="1"/>
        <v>6425.0507969833725</v>
      </c>
      <c r="P27" s="256">
        <f t="shared" si="2"/>
        <v>384752.70213766297</v>
      </c>
      <c r="Q27" s="628"/>
      <c r="R27" s="637">
        <f t="shared" si="9"/>
        <v>490892.70179124636</v>
      </c>
      <c r="S27" s="638">
        <f t="shared" si="10"/>
        <v>492376.22881434712</v>
      </c>
      <c r="T27" s="638">
        <f t="shared" si="11"/>
        <v>1483.5270231007598</v>
      </c>
      <c r="U27" s="639">
        <f>+'Proj Att-H'!$D$133</f>
        <v>0.24594499999999997</v>
      </c>
      <c r="V27" s="640">
        <f t="shared" si="12"/>
        <v>364.86605369651636</v>
      </c>
      <c r="W27" s="641"/>
      <c r="X27" s="629"/>
      <c r="Y27" s="629"/>
      <c r="Z27" s="629"/>
      <c r="AA27" s="628"/>
    </row>
    <row r="28" spans="1:27">
      <c r="A28" s="531">
        <f t="shared" si="3"/>
        <v>14</v>
      </c>
      <c r="B28" s="715">
        <v>44866</v>
      </c>
      <c r="C28" s="463"/>
      <c r="D28" s="382">
        <f t="shared" si="4"/>
        <v>336847060.93779981</v>
      </c>
      <c r="E28" s="382">
        <f t="shared" si="5"/>
        <v>492475.14078056382</v>
      </c>
      <c r="F28" s="382">
        <f t="shared" si="6"/>
        <v>57235828.463253029</v>
      </c>
      <c r="G28" s="464">
        <v>18684538.597799823</v>
      </c>
      <c r="H28" s="465">
        <f t="shared" si="7"/>
        <v>336847060.93779981</v>
      </c>
      <c r="I28" s="466">
        <f t="shared" si="13"/>
        <v>492475.14078056382</v>
      </c>
      <c r="J28" s="467">
        <f t="shared" si="8"/>
        <v>57235828.463253029</v>
      </c>
      <c r="K28" s="627">
        <f t="shared" si="14"/>
        <v>111921.94254246727</v>
      </c>
      <c r="L28" s="521">
        <v>0.05</v>
      </c>
      <c r="M28" s="521">
        <v>9.5000000000000001E-2</v>
      </c>
      <c r="N28" s="253">
        <f t="shared" si="0"/>
        <v>5596.0971271233639</v>
      </c>
      <c r="O28" s="253">
        <f t="shared" si="1"/>
        <v>10632.58454153439</v>
      </c>
      <c r="P28" s="256">
        <f t="shared" si="2"/>
        <v>384752.70213766297</v>
      </c>
      <c r="Q28" s="628"/>
      <c r="R28" s="637">
        <f t="shared" si="9"/>
        <v>490892.70179124636</v>
      </c>
      <c r="S28" s="638">
        <f t="shared" si="10"/>
        <v>492475.14078056382</v>
      </c>
      <c r="T28" s="638">
        <f t="shared" si="11"/>
        <v>1582.4389893174521</v>
      </c>
      <c r="U28" s="639">
        <f>+'Proj Att-H'!$D$133</f>
        <v>0.24594499999999997</v>
      </c>
      <c r="V28" s="640">
        <f t="shared" si="12"/>
        <v>389.19295722768072</v>
      </c>
      <c r="W28" s="641"/>
      <c r="X28" s="629"/>
      <c r="Y28" s="629"/>
      <c r="Z28" s="629"/>
      <c r="AA28" s="628"/>
    </row>
    <row r="29" spans="1:27">
      <c r="A29" s="531">
        <f t="shared" si="3"/>
        <v>15</v>
      </c>
      <c r="B29" s="715">
        <v>44896</v>
      </c>
      <c r="C29" s="463"/>
      <c r="D29" s="382">
        <f t="shared" si="4"/>
        <v>343636122.25686002</v>
      </c>
      <c r="E29" s="382">
        <f t="shared" si="5"/>
        <v>492638.82662153227</v>
      </c>
      <c r="F29" s="382">
        <f t="shared" si="6"/>
        <v>57728467.289874561</v>
      </c>
      <c r="G29" s="464">
        <v>25473599.916860014</v>
      </c>
      <c r="H29" s="465">
        <f t="shared" si="7"/>
        <v>343636122.25686002</v>
      </c>
      <c r="I29" s="466">
        <f>I$12*H28</f>
        <v>492638.82662153227</v>
      </c>
      <c r="J29" s="467">
        <f t="shared" si="8"/>
        <v>57728467.289874561</v>
      </c>
      <c r="K29" s="627">
        <f t="shared" si="14"/>
        <v>6789061.3190601915</v>
      </c>
      <c r="L29" s="521">
        <v>0.05</v>
      </c>
      <c r="M29" s="521">
        <v>9.5000000000000001E-2</v>
      </c>
      <c r="N29" s="253">
        <f t="shared" si="0"/>
        <v>339453.06595300959</v>
      </c>
      <c r="O29" s="253">
        <f t="shared" si="1"/>
        <v>644960.82531071815</v>
      </c>
      <c r="P29" s="256">
        <f t="shared" si="2"/>
        <v>384752.70213766297</v>
      </c>
      <c r="Q29" s="628"/>
      <c r="R29" s="637">
        <f t="shared" si="9"/>
        <v>490892.70179124636</v>
      </c>
      <c r="S29" s="638">
        <f t="shared" si="10"/>
        <v>492638.82662153227</v>
      </c>
      <c r="T29" s="638">
        <f t="shared" si="11"/>
        <v>1746.1248302859021</v>
      </c>
      <c r="U29" s="639">
        <f>+'Proj Att-H'!$D$133</f>
        <v>0.24594499999999997</v>
      </c>
      <c r="V29" s="640">
        <f t="shared" si="12"/>
        <v>429.45067138466612</v>
      </c>
      <c r="W29" s="641"/>
      <c r="X29" s="629"/>
      <c r="Y29" s="629"/>
      <c r="Z29" s="629"/>
      <c r="AA29" s="628"/>
    </row>
    <row r="30" spans="1:27">
      <c r="A30" s="531">
        <f>+A29+1</f>
        <v>16</v>
      </c>
      <c r="B30" s="715">
        <v>44927</v>
      </c>
      <c r="C30" s="463"/>
      <c r="D30" s="382">
        <f t="shared" si="4"/>
        <v>383661677.29563248</v>
      </c>
      <c r="E30" s="382">
        <f t="shared" si="5"/>
        <v>502567.82880065776</v>
      </c>
      <c r="F30" s="382">
        <f t="shared" si="6"/>
        <v>58231035.118675217</v>
      </c>
      <c r="G30" s="464">
        <v>65499154.955632493</v>
      </c>
      <c r="H30" s="465">
        <f t="shared" si="7"/>
        <v>383661677.29563248</v>
      </c>
      <c r="I30" s="466">
        <f t="shared" si="13"/>
        <v>502567.82880065776</v>
      </c>
      <c r="J30" s="467">
        <f t="shared" si="8"/>
        <v>58231035.118675217</v>
      </c>
      <c r="K30" s="627">
        <f t="shared" si="14"/>
        <v>40025555.038772479</v>
      </c>
      <c r="L30" s="521">
        <v>0.05</v>
      </c>
      <c r="M30" s="521">
        <v>9.5000000000000001E-2</v>
      </c>
      <c r="N30" s="629"/>
      <c r="O30" s="253">
        <f t="shared" ref="O30:O41" si="15">K30*L30</f>
        <v>2001277.7519386241</v>
      </c>
      <c r="P30" s="629"/>
      <c r="Q30" s="626">
        <f>(Q$14)/12</f>
        <v>425049.0765535456</v>
      </c>
      <c r="R30" s="641"/>
      <c r="S30" s="629"/>
      <c r="T30" s="629"/>
      <c r="U30" s="629"/>
      <c r="V30" s="628"/>
      <c r="W30" s="645">
        <f>(O$42/12)+Q30</f>
        <v>814335.55048473948</v>
      </c>
      <c r="X30" s="638">
        <f>E30</f>
        <v>502567.82880065776</v>
      </c>
      <c r="Y30" s="638">
        <f>X30-W30</f>
        <v>-311767.72168408171</v>
      </c>
      <c r="Z30" s="639">
        <f>+'Proj Att-H'!$D$133</f>
        <v>0.24594499999999997</v>
      </c>
      <c r="AA30" s="640">
        <f>Z30*Y30</f>
        <v>-76677.712309591472</v>
      </c>
    </row>
    <row r="31" spans="1:27">
      <c r="A31" s="531">
        <f t="shared" si="3"/>
        <v>17</v>
      </c>
      <c r="B31" s="715">
        <v>44958</v>
      </c>
      <c r="C31" s="463"/>
      <c r="D31" s="382">
        <f t="shared" si="4"/>
        <v>384102648.06729519</v>
      </c>
      <c r="E31" s="382">
        <f t="shared" si="5"/>
        <v>561105.20304486249</v>
      </c>
      <c r="F31" s="382">
        <f t="shared" si="6"/>
        <v>58792140.321720079</v>
      </c>
      <c r="G31" s="464">
        <v>65940125.727295242</v>
      </c>
      <c r="H31" s="465">
        <f t="shared" si="7"/>
        <v>384102648.06729519</v>
      </c>
      <c r="I31" s="466">
        <f t="shared" si="13"/>
        <v>561105.20304486249</v>
      </c>
      <c r="J31" s="467">
        <f t="shared" si="8"/>
        <v>58792140.321720079</v>
      </c>
      <c r="K31" s="627">
        <f t="shared" si="14"/>
        <v>440970.77166274935</v>
      </c>
      <c r="L31" s="521">
        <v>0.05</v>
      </c>
      <c r="M31" s="521">
        <v>9.5000000000000001E-2</v>
      </c>
      <c r="N31" s="629"/>
      <c r="O31" s="253">
        <f t="shared" si="15"/>
        <v>22048.53858313747</v>
      </c>
      <c r="P31" s="629"/>
      <c r="Q31" s="626">
        <f t="shared" ref="Q31:Q41" si="16">(Q$14)/12</f>
        <v>425049.0765535456</v>
      </c>
      <c r="R31" s="641"/>
      <c r="S31" s="629"/>
      <c r="T31" s="629"/>
      <c r="U31" s="629"/>
      <c r="V31" s="628"/>
      <c r="W31" s="645">
        <f t="shared" ref="W31:W41" si="17">(O$42/12)+Q31</f>
        <v>814335.55048473948</v>
      </c>
      <c r="X31" s="638">
        <f t="shared" ref="X31:X41" si="18">E31</f>
        <v>561105.20304486249</v>
      </c>
      <c r="Y31" s="638">
        <f t="shared" ref="Y31:Y41" si="19">X31-W31</f>
        <v>-253230.34743987699</v>
      </c>
      <c r="Z31" s="639">
        <f>+'Proj Att-H'!$D$133</f>
        <v>0.24594499999999997</v>
      </c>
      <c r="AA31" s="640">
        <f t="shared" ref="AA31:AA41" si="20">Z31*Y31</f>
        <v>-62280.737801100542</v>
      </c>
    </row>
    <row r="32" spans="1:27">
      <c r="A32" s="531">
        <f t="shared" si="3"/>
        <v>18</v>
      </c>
      <c r="B32" s="715">
        <v>44986</v>
      </c>
      <c r="C32" s="463"/>
      <c r="D32" s="382">
        <f t="shared" si="4"/>
        <v>384592838.17453611</v>
      </c>
      <c r="E32" s="382">
        <f t="shared" si="5"/>
        <v>561750.12279841921</v>
      </c>
      <c r="F32" s="382">
        <f t="shared" si="6"/>
        <v>59353890.444518499</v>
      </c>
      <c r="G32" s="464">
        <v>66430315.834536143</v>
      </c>
      <c r="H32" s="465">
        <f t="shared" si="7"/>
        <v>384592838.17453611</v>
      </c>
      <c r="I32" s="466">
        <f t="shared" si="13"/>
        <v>561750.12279841921</v>
      </c>
      <c r="J32" s="467">
        <f t="shared" si="8"/>
        <v>59353890.444518499</v>
      </c>
      <c r="K32" s="627">
        <f t="shared" si="14"/>
        <v>490190.1072409004</v>
      </c>
      <c r="L32" s="521">
        <v>0.05</v>
      </c>
      <c r="M32" s="521">
        <v>9.5000000000000001E-2</v>
      </c>
      <c r="N32" s="629"/>
      <c r="O32" s="253">
        <f t="shared" si="15"/>
        <v>24509.50536204502</v>
      </c>
      <c r="P32" s="629"/>
      <c r="Q32" s="626">
        <f t="shared" si="16"/>
        <v>425049.0765535456</v>
      </c>
      <c r="R32" s="641"/>
      <c r="S32" s="629"/>
      <c r="T32" s="629"/>
      <c r="U32" s="629"/>
      <c r="V32" s="628"/>
      <c r="W32" s="645">
        <f t="shared" si="17"/>
        <v>814335.55048473948</v>
      </c>
      <c r="X32" s="638">
        <f t="shared" si="18"/>
        <v>561750.12279841921</v>
      </c>
      <c r="Y32" s="638">
        <f t="shared" si="19"/>
        <v>-252585.42768632027</v>
      </c>
      <c r="Z32" s="639">
        <f>+'Proj Att-H'!$D$133</f>
        <v>0.24594499999999997</v>
      </c>
      <c r="AA32" s="640">
        <f t="shared" si="20"/>
        <v>-62122.123012312033</v>
      </c>
    </row>
    <row r="33" spans="1:27">
      <c r="A33" s="531">
        <f t="shared" si="3"/>
        <v>19</v>
      </c>
      <c r="B33" s="715">
        <v>45017</v>
      </c>
      <c r="C33" s="463"/>
      <c r="D33" s="382">
        <f t="shared" si="4"/>
        <v>384694946.49522609</v>
      </c>
      <c r="E33" s="382">
        <f t="shared" si="5"/>
        <v>562467.02583025908</v>
      </c>
      <c r="F33" s="382">
        <f t="shared" si="6"/>
        <v>59916357.47034876</v>
      </c>
      <c r="G33" s="464">
        <v>66532424.155226126</v>
      </c>
      <c r="H33" s="465">
        <f t="shared" si="7"/>
        <v>384694946.49522609</v>
      </c>
      <c r="I33" s="466">
        <f t="shared" si="13"/>
        <v>562467.02583025908</v>
      </c>
      <c r="J33" s="467">
        <f t="shared" si="8"/>
        <v>59916357.47034876</v>
      </c>
      <c r="K33" s="627">
        <f t="shared" si="14"/>
        <v>102108.32068998367</v>
      </c>
      <c r="L33" s="521">
        <v>0.05</v>
      </c>
      <c r="M33" s="521">
        <v>9.5000000000000001E-2</v>
      </c>
      <c r="N33" s="629"/>
      <c r="O33" s="253">
        <f t="shared" si="15"/>
        <v>5105.4160344991833</v>
      </c>
      <c r="P33" s="629"/>
      <c r="Q33" s="626">
        <f t="shared" si="16"/>
        <v>425049.0765535456</v>
      </c>
      <c r="R33" s="641"/>
      <c r="S33" s="629"/>
      <c r="T33" s="629"/>
      <c r="U33" s="629"/>
      <c r="V33" s="628"/>
      <c r="W33" s="645">
        <f t="shared" si="17"/>
        <v>814335.55048473948</v>
      </c>
      <c r="X33" s="638">
        <f t="shared" si="18"/>
        <v>562467.02583025908</v>
      </c>
      <c r="Y33" s="638">
        <f t="shared" si="19"/>
        <v>-251868.5246544804</v>
      </c>
      <c r="Z33" s="639">
        <f>+'Proj Att-H'!$D$133</f>
        <v>0.24594499999999997</v>
      </c>
      <c r="AA33" s="640">
        <f t="shared" si="20"/>
        <v>-61945.804296146176</v>
      </c>
    </row>
    <row r="34" spans="1:27">
      <c r="A34" s="531">
        <f t="shared" si="3"/>
        <v>20</v>
      </c>
      <c r="B34" s="715">
        <v>45047</v>
      </c>
      <c r="C34" s="463"/>
      <c r="D34" s="382">
        <f t="shared" si="4"/>
        <v>384800311.997657</v>
      </c>
      <c r="E34" s="382">
        <f t="shared" si="5"/>
        <v>562616.35924926819</v>
      </c>
      <c r="F34" s="382">
        <f t="shared" si="6"/>
        <v>60478973.829598032</v>
      </c>
      <c r="G34" s="464">
        <v>66637789.657657035</v>
      </c>
      <c r="H34" s="465">
        <f t="shared" si="7"/>
        <v>384800311.997657</v>
      </c>
      <c r="I34" s="466">
        <f t="shared" si="13"/>
        <v>562616.35924926819</v>
      </c>
      <c r="J34" s="467">
        <f t="shared" si="8"/>
        <v>60478973.829598032</v>
      </c>
      <c r="K34" s="627">
        <f t="shared" si="14"/>
        <v>105365.50243090838</v>
      </c>
      <c r="L34" s="521">
        <v>0.05</v>
      </c>
      <c r="M34" s="521">
        <v>9.5000000000000001E-2</v>
      </c>
      <c r="N34" s="629"/>
      <c r="O34" s="253">
        <f t="shared" si="15"/>
        <v>5268.2751215454191</v>
      </c>
      <c r="P34" s="629"/>
      <c r="Q34" s="626">
        <f t="shared" si="16"/>
        <v>425049.0765535456</v>
      </c>
      <c r="R34" s="641"/>
      <c r="S34" s="629"/>
      <c r="T34" s="629"/>
      <c r="U34" s="629"/>
      <c r="V34" s="628"/>
      <c r="W34" s="645">
        <f t="shared" si="17"/>
        <v>814335.55048473948</v>
      </c>
      <c r="X34" s="638">
        <f t="shared" si="18"/>
        <v>562616.35924926819</v>
      </c>
      <c r="Y34" s="638">
        <f t="shared" si="19"/>
        <v>-251719.19123547128</v>
      </c>
      <c r="Z34" s="639">
        <f>+'Proj Att-H'!$D$133</f>
        <v>0.24594499999999997</v>
      </c>
      <c r="AA34" s="640">
        <f t="shared" si="20"/>
        <v>-61909.076488407976</v>
      </c>
    </row>
    <row r="35" spans="1:27">
      <c r="A35" s="531">
        <f t="shared" si="3"/>
        <v>21</v>
      </c>
      <c r="B35" s="715">
        <v>45078</v>
      </c>
      <c r="C35" s="463"/>
      <c r="D35" s="382">
        <f t="shared" si="4"/>
        <v>384905755.12478733</v>
      </c>
      <c r="E35" s="382">
        <f t="shared" si="5"/>
        <v>562770.45629657339</v>
      </c>
      <c r="F35" s="382">
        <f t="shared" si="6"/>
        <v>61041744.285894603</v>
      </c>
      <c r="G35" s="464">
        <v>66743232.784787372</v>
      </c>
      <c r="H35" s="465">
        <f t="shared" si="7"/>
        <v>384905755.12478733</v>
      </c>
      <c r="I35" s="466">
        <f t="shared" si="13"/>
        <v>562770.45629657339</v>
      </c>
      <c r="J35" s="467">
        <f t="shared" si="8"/>
        <v>61041744.285894603</v>
      </c>
      <c r="K35" s="627">
        <f t="shared" si="14"/>
        <v>105443.12713033706</v>
      </c>
      <c r="L35" s="521">
        <v>0.05</v>
      </c>
      <c r="M35" s="521">
        <v>9.5000000000000001E-2</v>
      </c>
      <c r="N35" s="629"/>
      <c r="O35" s="253">
        <f t="shared" si="15"/>
        <v>5272.1563565168535</v>
      </c>
      <c r="P35" s="629"/>
      <c r="Q35" s="626">
        <f t="shared" si="16"/>
        <v>425049.0765535456</v>
      </c>
      <c r="R35" s="641"/>
      <c r="S35" s="629"/>
      <c r="T35" s="629"/>
      <c r="U35" s="629"/>
      <c r="V35" s="628"/>
      <c r="W35" s="645">
        <f t="shared" si="17"/>
        <v>814335.55048473948</v>
      </c>
      <c r="X35" s="638">
        <f t="shared" si="18"/>
        <v>562770.45629657339</v>
      </c>
      <c r="Y35" s="638">
        <f t="shared" si="19"/>
        <v>-251565.09418816608</v>
      </c>
      <c r="Z35" s="639">
        <f>+'Proj Att-H'!$D$133</f>
        <v>0.24594499999999997</v>
      </c>
      <c r="AA35" s="640">
        <f t="shared" si="20"/>
        <v>-61871.177090108496</v>
      </c>
    </row>
    <row r="36" spans="1:27">
      <c r="A36" s="531">
        <f t="shared" si="3"/>
        <v>22</v>
      </c>
      <c r="B36" s="715">
        <v>45108</v>
      </c>
      <c r="C36" s="463"/>
      <c r="D36" s="382">
        <f t="shared" si="4"/>
        <v>388091145.16802227</v>
      </c>
      <c r="E36" s="382">
        <f t="shared" si="5"/>
        <v>562924.66687000147</v>
      </c>
      <c r="F36" s="382">
        <f t="shared" si="6"/>
        <v>61604668.952764601</v>
      </c>
      <c r="G36" s="464">
        <v>69928622.828022316</v>
      </c>
      <c r="H36" s="465">
        <f t="shared" si="7"/>
        <v>388091145.16802227</v>
      </c>
      <c r="I36" s="466">
        <f t="shared" si="13"/>
        <v>562924.66687000147</v>
      </c>
      <c r="J36" s="467">
        <f t="shared" si="8"/>
        <v>61604668.952764601</v>
      </c>
      <c r="K36" s="627">
        <f t="shared" si="14"/>
        <v>3185390.0432349443</v>
      </c>
      <c r="L36" s="521">
        <v>0.05</v>
      </c>
      <c r="M36" s="521">
        <v>9.5000000000000001E-2</v>
      </c>
      <c r="N36" s="629"/>
      <c r="O36" s="253">
        <f t="shared" si="15"/>
        <v>159269.50216174722</v>
      </c>
      <c r="P36" s="629"/>
      <c r="Q36" s="626">
        <f t="shared" si="16"/>
        <v>425049.0765535456</v>
      </c>
      <c r="R36" s="641"/>
      <c r="S36" s="629"/>
      <c r="T36" s="629"/>
      <c r="U36" s="629"/>
      <c r="V36" s="628"/>
      <c r="W36" s="645">
        <f t="shared" si="17"/>
        <v>814335.55048473948</v>
      </c>
      <c r="X36" s="638">
        <f t="shared" si="18"/>
        <v>562924.66687000147</v>
      </c>
      <c r="Y36" s="638">
        <f t="shared" si="19"/>
        <v>-251410.88361473801</v>
      </c>
      <c r="Z36" s="639">
        <f>+'Proj Att-H'!$D$133</f>
        <v>0.24594499999999997</v>
      </c>
      <c r="AA36" s="640">
        <f t="shared" si="20"/>
        <v>-61833.249770626731</v>
      </c>
    </row>
    <row r="37" spans="1:27">
      <c r="A37" s="531">
        <f t="shared" si="3"/>
        <v>23</v>
      </c>
      <c r="B37" s="715">
        <v>45139</v>
      </c>
      <c r="C37" s="463"/>
      <c r="D37" s="382">
        <f t="shared" si="4"/>
        <v>388194420.3438338</v>
      </c>
      <c r="E37" s="382">
        <f t="shared" si="5"/>
        <v>567583.29980823258</v>
      </c>
      <c r="F37" s="382">
        <f t="shared" si="6"/>
        <v>62172252.252572834</v>
      </c>
      <c r="G37" s="464">
        <v>70031898.003833815</v>
      </c>
      <c r="H37" s="465">
        <f t="shared" si="7"/>
        <v>388194420.3438338</v>
      </c>
      <c r="I37" s="466">
        <f t="shared" si="13"/>
        <v>567583.29980823258</v>
      </c>
      <c r="J37" s="467">
        <f t="shared" si="8"/>
        <v>62172252.252572834</v>
      </c>
      <c r="K37" s="627">
        <f t="shared" si="14"/>
        <v>103275.17581149936</v>
      </c>
      <c r="L37" s="521">
        <v>0.05</v>
      </c>
      <c r="M37" s="521">
        <v>9.5000000000000001E-2</v>
      </c>
      <c r="N37" s="629"/>
      <c r="O37" s="253">
        <f t="shared" si="15"/>
        <v>5163.7587905749679</v>
      </c>
      <c r="P37" s="629"/>
      <c r="Q37" s="626">
        <f t="shared" si="16"/>
        <v>425049.0765535456</v>
      </c>
      <c r="R37" s="641"/>
      <c r="S37" s="629"/>
      <c r="T37" s="629"/>
      <c r="U37" s="629"/>
      <c r="V37" s="628"/>
      <c r="W37" s="645">
        <f t="shared" si="17"/>
        <v>814335.55048473948</v>
      </c>
      <c r="X37" s="638">
        <f t="shared" si="18"/>
        <v>567583.29980823258</v>
      </c>
      <c r="Y37" s="638">
        <f t="shared" si="19"/>
        <v>-246752.2506765069</v>
      </c>
      <c r="Z37" s="639">
        <f>+'Proj Att-H'!$D$133</f>
        <v>0.24594499999999997</v>
      </c>
      <c r="AA37" s="640">
        <f t="shared" si="20"/>
        <v>-60687.482292633482</v>
      </c>
    </row>
    <row r="38" spans="1:27">
      <c r="A38" s="531">
        <f t="shared" si="3"/>
        <v>24</v>
      </c>
      <c r="B38" s="715">
        <v>45170</v>
      </c>
      <c r="C38" s="463"/>
      <c r="D38" s="382">
        <f t="shared" si="4"/>
        <v>388423690.04127806</v>
      </c>
      <c r="E38" s="382">
        <f t="shared" si="5"/>
        <v>567734.33975285699</v>
      </c>
      <c r="F38" s="382">
        <f t="shared" si="6"/>
        <v>62739986.592325695</v>
      </c>
      <c r="G38" s="464">
        <v>70261167.701278076</v>
      </c>
      <c r="H38" s="465">
        <f t="shared" si="7"/>
        <v>388423690.04127806</v>
      </c>
      <c r="I38" s="466">
        <f t="shared" si="13"/>
        <v>567734.33975285699</v>
      </c>
      <c r="J38" s="467">
        <f t="shared" si="8"/>
        <v>62739986.592325695</v>
      </c>
      <c r="K38" s="627">
        <f t="shared" si="14"/>
        <v>229269.69744426012</v>
      </c>
      <c r="L38" s="521">
        <v>0.05</v>
      </c>
      <c r="M38" s="521">
        <v>9.5000000000000001E-2</v>
      </c>
      <c r="N38" s="629"/>
      <c r="O38" s="253">
        <f t="shared" si="15"/>
        <v>11463.484872213006</v>
      </c>
      <c r="P38" s="629"/>
      <c r="Q38" s="626">
        <f t="shared" si="16"/>
        <v>425049.0765535456</v>
      </c>
      <c r="R38" s="641"/>
      <c r="S38" s="629"/>
      <c r="T38" s="629"/>
      <c r="U38" s="629"/>
      <c r="V38" s="628"/>
      <c r="W38" s="645">
        <f t="shared" si="17"/>
        <v>814335.55048473948</v>
      </c>
      <c r="X38" s="638">
        <f t="shared" si="18"/>
        <v>567734.33975285699</v>
      </c>
      <c r="Y38" s="638">
        <f t="shared" si="19"/>
        <v>-246601.21073188249</v>
      </c>
      <c r="Z38" s="639">
        <f>+'Proj Att-H'!$D$133</f>
        <v>0.24594499999999997</v>
      </c>
      <c r="AA38" s="640">
        <f t="shared" si="20"/>
        <v>-60650.334773452829</v>
      </c>
    </row>
    <row r="39" spans="1:27">
      <c r="A39" s="531">
        <f t="shared" si="3"/>
        <v>25</v>
      </c>
      <c r="B39" s="715">
        <v>45200</v>
      </c>
      <c r="C39" s="463"/>
      <c r="D39" s="382">
        <f t="shared" si="4"/>
        <v>388526427.37752151</v>
      </c>
      <c r="E39" s="382">
        <f t="shared" si="5"/>
        <v>568069.6466853692</v>
      </c>
      <c r="F39" s="382">
        <f t="shared" si="6"/>
        <v>63308056.239011064</v>
      </c>
      <c r="G39" s="464">
        <v>70363905.037521526</v>
      </c>
      <c r="H39" s="465">
        <f t="shared" si="7"/>
        <v>388526427.37752151</v>
      </c>
      <c r="I39" s="466">
        <f t="shared" si="13"/>
        <v>568069.6466853692</v>
      </c>
      <c r="J39" s="467">
        <f t="shared" si="8"/>
        <v>63308056.239011064</v>
      </c>
      <c r="K39" s="627">
        <f t="shared" si="14"/>
        <v>102737.33624345064</v>
      </c>
      <c r="L39" s="521">
        <v>0.05</v>
      </c>
      <c r="M39" s="521">
        <v>9.5000000000000001E-2</v>
      </c>
      <c r="N39" s="629"/>
      <c r="O39" s="253">
        <f t="shared" si="15"/>
        <v>5136.8668121725323</v>
      </c>
      <c r="P39" s="629"/>
      <c r="Q39" s="626">
        <f t="shared" si="16"/>
        <v>425049.0765535456</v>
      </c>
      <c r="R39" s="641"/>
      <c r="S39" s="629"/>
      <c r="T39" s="629"/>
      <c r="U39" s="629"/>
      <c r="V39" s="628"/>
      <c r="W39" s="645">
        <f t="shared" si="17"/>
        <v>814335.55048473948</v>
      </c>
      <c r="X39" s="638">
        <f t="shared" si="18"/>
        <v>568069.6466853692</v>
      </c>
      <c r="Y39" s="638">
        <f t="shared" si="19"/>
        <v>-246265.90379937028</v>
      </c>
      <c r="Z39" s="639">
        <f>+'Proj Att-H'!$D$133</f>
        <v>0.24594499999999997</v>
      </c>
      <c r="AA39" s="640">
        <f t="shared" si="20"/>
        <v>-60567.867709936116</v>
      </c>
    </row>
    <row r="40" spans="1:27">
      <c r="A40" s="531">
        <f t="shared" si="3"/>
        <v>26</v>
      </c>
      <c r="B40" s="715">
        <v>45231</v>
      </c>
      <c r="C40" s="463"/>
      <c r="D40" s="382">
        <f t="shared" si="4"/>
        <v>388596588.64708328</v>
      </c>
      <c r="E40" s="382">
        <f t="shared" si="5"/>
        <v>568219.90003962524</v>
      </c>
      <c r="F40" s="382">
        <f t="shared" si="6"/>
        <v>63876276.139050692</v>
      </c>
      <c r="G40" s="464">
        <v>70434066.307083294</v>
      </c>
      <c r="H40" s="465">
        <f t="shared" si="7"/>
        <v>388596588.64708328</v>
      </c>
      <c r="I40" s="466">
        <f t="shared" si="13"/>
        <v>568219.90003962524</v>
      </c>
      <c r="J40" s="467">
        <f t="shared" si="8"/>
        <v>63876276.139050692</v>
      </c>
      <c r="K40" s="627">
        <f t="shared" si="14"/>
        <v>70161.269561767578</v>
      </c>
      <c r="L40" s="521">
        <v>0.05</v>
      </c>
      <c r="M40" s="521">
        <v>9.5000000000000001E-2</v>
      </c>
      <c r="N40" s="629"/>
      <c r="O40" s="253">
        <f t="shared" si="15"/>
        <v>3508.0634780883793</v>
      </c>
      <c r="P40" s="629"/>
      <c r="Q40" s="626">
        <f t="shared" si="16"/>
        <v>425049.0765535456</v>
      </c>
      <c r="R40" s="641"/>
      <c r="S40" s="629"/>
      <c r="T40" s="629"/>
      <c r="U40" s="629"/>
      <c r="V40" s="628"/>
      <c r="W40" s="645">
        <f t="shared" si="17"/>
        <v>814335.55048473948</v>
      </c>
      <c r="X40" s="638">
        <f t="shared" si="18"/>
        <v>568219.90003962524</v>
      </c>
      <c r="Y40" s="638">
        <f t="shared" si="19"/>
        <v>-246115.65044511424</v>
      </c>
      <c r="Z40" s="639">
        <f>+'Proj Att-H'!$D$133</f>
        <v>0.24594499999999997</v>
      </c>
      <c r="AA40" s="640">
        <f t="shared" si="20"/>
        <v>-60530.913648723617</v>
      </c>
    </row>
    <row r="41" spans="1:27">
      <c r="A41" s="531">
        <f t="shared" si="3"/>
        <v>27</v>
      </c>
      <c r="B41" s="715">
        <v>45261</v>
      </c>
      <c r="C41" s="463"/>
      <c r="D41" s="382">
        <f t="shared" si="4"/>
        <v>388665036.15831256</v>
      </c>
      <c r="E41" s="382">
        <f t="shared" si="5"/>
        <v>568322.51089635934</v>
      </c>
      <c r="F41" s="382">
        <f t="shared" si="6"/>
        <v>64444598.649947055</v>
      </c>
      <c r="G41" s="464">
        <v>70502513.818312556</v>
      </c>
      <c r="H41" s="465">
        <f t="shared" si="7"/>
        <v>388665036.15831256</v>
      </c>
      <c r="I41" s="466">
        <f t="shared" si="13"/>
        <v>568322.51089635934</v>
      </c>
      <c r="J41" s="467">
        <f t="shared" si="8"/>
        <v>64444598.649947055</v>
      </c>
      <c r="K41" s="627">
        <f t="shared" si="14"/>
        <v>68447.511229261756</v>
      </c>
      <c r="L41" s="521">
        <v>0.05</v>
      </c>
      <c r="M41" s="521">
        <v>9.5000000000000001E-2</v>
      </c>
      <c r="N41" s="629"/>
      <c r="O41" s="253">
        <f t="shared" si="15"/>
        <v>3422.3755614630882</v>
      </c>
      <c r="P41" s="629"/>
      <c r="Q41" s="626">
        <f t="shared" si="16"/>
        <v>425049.0765535456</v>
      </c>
      <c r="R41" s="641"/>
      <c r="S41" s="629"/>
      <c r="T41" s="629"/>
      <c r="U41" s="629"/>
      <c r="V41" s="628"/>
      <c r="W41" s="645">
        <f t="shared" si="17"/>
        <v>814335.55048473948</v>
      </c>
      <c r="X41" s="638">
        <f t="shared" si="18"/>
        <v>568322.51089635934</v>
      </c>
      <c r="Y41" s="638">
        <f t="shared" si="19"/>
        <v>-246013.03958838014</v>
      </c>
      <c r="Z41" s="639">
        <f>+'Proj Att-H'!$D$133</f>
        <v>0.24594499999999997</v>
      </c>
      <c r="AA41" s="640">
        <f t="shared" si="20"/>
        <v>-60505.677021564145</v>
      </c>
    </row>
    <row r="42" spans="1:27">
      <c r="A42" s="530" t="s">
        <v>667</v>
      </c>
      <c r="B42" s="468"/>
      <c r="C42" s="468"/>
      <c r="G42" s="469"/>
      <c r="H42" s="267"/>
      <c r="I42" s="267"/>
      <c r="J42" s="266"/>
      <c r="K42" s="630"/>
      <c r="L42" s="267"/>
      <c r="M42" s="253"/>
      <c r="N42" s="525">
        <f t="shared" ref="N42:T42" si="21">SUM(N18:N41)</f>
        <v>1273679.9958430007</v>
      </c>
      <c r="O42" s="525">
        <f>SUM(O18:O41)</f>
        <v>4671437.6871743267</v>
      </c>
      <c r="P42" s="549">
        <f t="shared" si="21"/>
        <v>4617032.4256519554</v>
      </c>
      <c r="Q42" s="631">
        <f t="shared" si="21"/>
        <v>5100588.918642547</v>
      </c>
      <c r="R42" s="642">
        <f t="shared" si="21"/>
        <v>5890712.4214949561</v>
      </c>
      <c r="S42" s="525">
        <f t="shared" si="21"/>
        <v>5792856.0698745679</v>
      </c>
      <c r="T42" s="525">
        <f t="shared" si="21"/>
        <v>-97856.351620388159</v>
      </c>
      <c r="U42" s="525"/>
      <c r="V42" s="643">
        <f>T42*'Proj Att-H'!D133</f>
        <v>-24067.280399276362</v>
      </c>
      <c r="W42" s="642">
        <f>SUM(W18:W41)</f>
        <v>9772026.6058168728</v>
      </c>
      <c r="X42" s="525">
        <f>SUM(X18:X41)</f>
        <v>6716131.3600724842</v>
      </c>
      <c r="Y42" s="525">
        <f>SUM(Y18:Y41)</f>
        <v>-3055895.245744389</v>
      </c>
      <c r="Z42" s="525"/>
      <c r="AA42" s="643">
        <f>SUM(AA18:AA41)</f>
        <v>-751582.15621460357</v>
      </c>
    </row>
    <row r="43" spans="1:27">
      <c r="A43" s="531">
        <f>A41+1</f>
        <v>28</v>
      </c>
      <c r="B43" s="268" t="s">
        <v>377</v>
      </c>
      <c r="C43" s="268"/>
      <c r="D43" s="382"/>
      <c r="E43" s="470">
        <f>SUM(E30:E41)</f>
        <v>6716131.3600724842</v>
      </c>
      <c r="F43" s="382"/>
      <c r="G43" s="325"/>
      <c r="H43" s="470"/>
      <c r="I43" s="470">
        <f>SUM(I30:I41)</f>
        <v>6716131.3600724842</v>
      </c>
      <c r="J43" s="266"/>
      <c r="K43" s="630"/>
      <c r="L43" s="267"/>
      <c r="M43" s="256"/>
      <c r="N43" s="256"/>
      <c r="O43" s="253"/>
      <c r="P43" s="253"/>
      <c r="Q43" s="626"/>
      <c r="R43" s="325"/>
      <c r="S43" s="253"/>
      <c r="T43" s="253"/>
      <c r="U43" s="253"/>
      <c r="V43" s="260"/>
      <c r="W43" s="325"/>
      <c r="X43" s="253"/>
      <c r="Y43" s="253"/>
      <c r="Z43" s="253"/>
      <c r="AA43" s="260"/>
    </row>
    <row r="44" spans="1:27">
      <c r="A44" s="531">
        <f>+A43+1</f>
        <v>29</v>
      </c>
      <c r="B44" s="268" t="s">
        <v>378</v>
      </c>
      <c r="C44" s="382"/>
      <c r="D44" s="382">
        <f>SUM(D29:D41)/13</f>
        <v>383145508.24215734</v>
      </c>
      <c r="E44" s="267"/>
      <c r="F44" s="382">
        <f>SUM(F29:F41)/13</f>
        <v>61052957.506638594</v>
      </c>
      <c r="G44" s="471"/>
      <c r="H44" s="604">
        <f>SUM(H29:H41)/13</f>
        <v>383145508.24215734</v>
      </c>
      <c r="I44" s="472"/>
      <c r="J44" s="473">
        <f>SUM(J29:J41)/13</f>
        <v>61052957.506638594</v>
      </c>
      <c r="K44" s="632"/>
      <c r="L44" s="633"/>
      <c r="M44" s="634"/>
      <c r="N44" s="634"/>
      <c r="O44" s="635"/>
      <c r="P44" s="635"/>
      <c r="Q44" s="636"/>
      <c r="R44" s="471"/>
      <c r="S44" s="635"/>
      <c r="T44" s="635"/>
      <c r="U44" s="635"/>
      <c r="V44" s="644"/>
      <c r="W44" s="471"/>
      <c r="X44" s="635"/>
      <c r="Y44" s="635"/>
      <c r="Z44" s="635"/>
      <c r="AA44" s="644"/>
    </row>
    <row r="45" spans="1:27">
      <c r="B45" s="268"/>
      <c r="D45" s="269"/>
      <c r="E45" s="269"/>
      <c r="F45" s="269"/>
      <c r="J45" s="270"/>
      <c r="K45" s="270"/>
      <c r="L45" s="270"/>
      <c r="M45" s="253"/>
      <c r="N45" s="253"/>
      <c r="Q45" s="253"/>
    </row>
    <row r="46" spans="1:27" ht="15.75" customHeight="1">
      <c r="A46" s="531"/>
    </row>
    <row r="48" spans="1:27">
      <c r="C48" s="272"/>
      <c r="G48" s="271" t="s">
        <v>172</v>
      </c>
    </row>
    <row r="49" spans="2:12" ht="66" customHeight="1">
      <c r="D49" s="533"/>
      <c r="E49" s="533"/>
      <c r="F49" s="533"/>
      <c r="G49" s="273" t="s">
        <v>76</v>
      </c>
      <c r="H49" s="985" t="s">
        <v>494</v>
      </c>
      <c r="I49" s="985"/>
      <c r="J49" s="985"/>
      <c r="K49" s="512"/>
      <c r="L49" s="512"/>
    </row>
    <row r="50" spans="2:12">
      <c r="B50" s="273"/>
    </row>
  </sheetData>
  <mergeCells count="13">
    <mergeCell ref="L10:M10"/>
    <mergeCell ref="H49:J49"/>
    <mergeCell ref="P10:Q10"/>
    <mergeCell ref="N10:O10"/>
    <mergeCell ref="S7:V7"/>
    <mergeCell ref="B6:F6"/>
    <mergeCell ref="B7:F7"/>
    <mergeCell ref="G7:J7"/>
    <mergeCell ref="AK1:AL1"/>
    <mergeCell ref="L9:M9"/>
    <mergeCell ref="P9:Q9"/>
    <mergeCell ref="W7:AA7"/>
    <mergeCell ref="AA1:AB1"/>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colBreaks count="3" manualBreakCount="3">
    <brk id="10" max="48" man="1"/>
    <brk id="17" max="48" man="1"/>
    <brk id="22" max="48" man="1"/>
  </colBreaks>
  <ignoredErrors>
    <ignoredError sqref="H14 J14 P14:Q14" unlockedFormula="1"/>
    <ignoredError sqref="I19:I28 I30:I34 V42"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autoPageBreaks="0"/>
  </sheetPr>
  <dimension ref="A1:M73"/>
  <sheetViews>
    <sheetView topLeftCell="A3" zoomScale="80" zoomScaleNormal="80" workbookViewId="0">
      <selection activeCell="D16" sqref="D16"/>
    </sheetView>
  </sheetViews>
  <sheetFormatPr defaultColWidth="8.6328125" defaultRowHeight="13.2"/>
  <cols>
    <col min="1" max="1" width="5.08984375" style="250" customWidth="1"/>
    <col min="2" max="2" width="34.54296875" style="250" customWidth="1"/>
    <col min="3" max="3" width="29.54296875" style="250" customWidth="1"/>
    <col min="4" max="4" width="13.6328125" style="250" customWidth="1"/>
    <col min="5" max="5" width="14.6328125" style="250" customWidth="1"/>
    <col min="6" max="6" width="16.54296875" style="250" customWidth="1"/>
    <col min="7" max="7" width="3.08984375" style="250" customWidth="1"/>
    <col min="8" max="8" width="13.6328125" style="250" customWidth="1"/>
    <col min="9" max="9" width="11.08984375" style="250" customWidth="1"/>
    <col min="10" max="10" width="3.08984375" style="250" customWidth="1"/>
    <col min="11" max="11" width="14.08984375" style="250" customWidth="1"/>
    <col min="12" max="12" width="13.453125" style="250" customWidth="1"/>
    <col min="13" max="13" width="14.453125" style="250" bestFit="1" customWidth="1"/>
    <col min="14" max="14" width="13.08984375" style="250" customWidth="1"/>
    <col min="15" max="16384" width="8.6328125" style="250"/>
  </cols>
  <sheetData>
    <row r="1" spans="1:13">
      <c r="A1" s="986" t="s">
        <v>418</v>
      </c>
      <c r="B1" s="986"/>
      <c r="C1" s="986"/>
      <c r="D1" s="986"/>
      <c r="E1" s="986"/>
      <c r="F1" s="986"/>
    </row>
    <row r="2" spans="1:13">
      <c r="A2" s="986" t="s">
        <v>436</v>
      </c>
      <c r="B2" s="986"/>
      <c r="C2" s="986"/>
      <c r="D2" s="986"/>
      <c r="E2" s="986"/>
      <c r="F2" s="986"/>
    </row>
    <row r="3" spans="1:13">
      <c r="A3" s="986" t="str">
        <f>'Act Att-H'!C7</f>
        <v>Black Hills Colorado Electric, LLC</v>
      </c>
      <c r="B3" s="986"/>
      <c r="C3" s="986"/>
      <c r="D3" s="986"/>
      <c r="E3" s="986"/>
      <c r="F3" s="986"/>
    </row>
    <row r="4" spans="1:13">
      <c r="A4" s="339"/>
      <c r="B4" s="339"/>
      <c r="C4" s="339"/>
      <c r="D4" s="339"/>
      <c r="E4" s="339"/>
      <c r="F4" s="357" t="s">
        <v>515</v>
      </c>
    </row>
    <row r="5" spans="1:13" s="253" customFormat="1">
      <c r="B5" s="358"/>
      <c r="D5" s="359"/>
      <c r="E5" s="359"/>
      <c r="F5" s="359"/>
    </row>
    <row r="6" spans="1:13">
      <c r="B6" s="360" t="s">
        <v>15</v>
      </c>
      <c r="C6" s="360" t="s">
        <v>16</v>
      </c>
      <c r="D6" s="360" t="s">
        <v>17</v>
      </c>
      <c r="E6" s="361" t="s">
        <v>18</v>
      </c>
      <c r="F6" s="361" t="s">
        <v>19</v>
      </c>
    </row>
    <row r="7" spans="1:13">
      <c r="B7" s="362"/>
      <c r="C7" s="253"/>
      <c r="D7" s="323"/>
      <c r="E7" s="359" t="s">
        <v>384</v>
      </c>
      <c r="F7" s="323"/>
      <c r="G7" s="253"/>
      <c r="H7" s="253"/>
      <c r="I7" s="253"/>
      <c r="J7" s="253"/>
      <c r="K7" s="253"/>
      <c r="L7" s="253"/>
      <c r="M7" s="253"/>
    </row>
    <row r="8" spans="1:13">
      <c r="B8" s="362"/>
      <c r="C8" s="253"/>
      <c r="D8" s="363"/>
      <c r="E8" s="359" t="s">
        <v>385</v>
      </c>
      <c r="F8" s="323"/>
      <c r="G8" s="253"/>
      <c r="H8" s="253"/>
      <c r="I8" s="253"/>
      <c r="J8" s="253"/>
      <c r="K8" s="253"/>
      <c r="L8" s="253"/>
      <c r="M8" s="253"/>
    </row>
    <row r="9" spans="1:13">
      <c r="B9" s="362"/>
      <c r="C9" s="253"/>
      <c r="D9" s="363" t="s">
        <v>386</v>
      </c>
      <c r="E9" s="359" t="s">
        <v>387</v>
      </c>
      <c r="F9" s="359" t="s">
        <v>381</v>
      </c>
      <c r="G9" s="253"/>
      <c r="H9" s="253"/>
      <c r="I9" s="253"/>
      <c r="J9" s="253"/>
      <c r="K9" s="253"/>
      <c r="L9" s="253"/>
      <c r="M9" s="253"/>
    </row>
    <row r="10" spans="1:13" ht="13.8" thickBot="1">
      <c r="A10" s="364" t="s">
        <v>4</v>
      </c>
      <c r="B10" s="364" t="s">
        <v>368</v>
      </c>
      <c r="C10" s="364" t="s">
        <v>449</v>
      </c>
      <c r="D10" s="364" t="s">
        <v>388</v>
      </c>
      <c r="E10" s="365" t="s">
        <v>383</v>
      </c>
      <c r="F10" s="364" t="s">
        <v>388</v>
      </c>
      <c r="G10" s="253"/>
      <c r="H10" s="253"/>
      <c r="I10" s="253"/>
      <c r="J10" s="253"/>
      <c r="K10" s="253"/>
      <c r="L10" s="253"/>
      <c r="M10" s="253"/>
    </row>
    <row r="11" spans="1:13">
      <c r="C11" s="253"/>
      <c r="D11" s="253"/>
      <c r="E11" s="253" t="s">
        <v>389</v>
      </c>
      <c r="F11" s="274" t="s">
        <v>390</v>
      </c>
      <c r="G11" s="253"/>
      <c r="H11" s="253"/>
      <c r="I11" s="253"/>
      <c r="J11" s="253"/>
      <c r="K11" s="253"/>
      <c r="L11" s="253"/>
      <c r="M11" s="253"/>
    </row>
    <row r="12" spans="1:13">
      <c r="A12" s="366">
        <v>1</v>
      </c>
      <c r="B12" s="250" t="s">
        <v>391</v>
      </c>
      <c r="C12" s="256" t="s">
        <v>1162</v>
      </c>
      <c r="D12" s="258">
        <f>'Act Att-H'!I66</f>
        <v>243344140.83055419</v>
      </c>
      <c r="E12" s="367"/>
      <c r="F12" s="270"/>
      <c r="G12" s="253"/>
      <c r="H12" s="253"/>
      <c r="I12" s="253"/>
      <c r="J12" s="253"/>
      <c r="K12" s="253"/>
      <c r="L12" s="253"/>
      <c r="M12" s="253"/>
    </row>
    <row r="13" spans="1:13">
      <c r="A13" s="368">
        <v>2</v>
      </c>
      <c r="B13" s="250" t="s">
        <v>392</v>
      </c>
      <c r="C13" s="270" t="s">
        <v>1163</v>
      </c>
      <c r="D13" s="270"/>
      <c r="E13" s="270"/>
      <c r="F13" s="258">
        <f>'Proj Att-H'!I60</f>
        <v>304271465.51573652</v>
      </c>
      <c r="G13" s="253"/>
      <c r="H13" s="253"/>
    </row>
    <row r="14" spans="1:13">
      <c r="A14" s="252"/>
      <c r="C14" s="270"/>
      <c r="D14" s="270"/>
      <c r="E14" s="270"/>
      <c r="F14" s="270"/>
      <c r="H14" s="253"/>
    </row>
    <row r="15" spans="1:13">
      <c r="A15" s="252"/>
      <c r="B15" s="362" t="s">
        <v>393</v>
      </c>
      <c r="C15" s="270"/>
      <c r="D15" s="270"/>
      <c r="E15" s="369"/>
      <c r="F15" s="270"/>
      <c r="H15" s="253"/>
    </row>
    <row r="16" spans="1:13">
      <c r="A16" s="368">
        <f>A13+1</f>
        <v>3</v>
      </c>
      <c r="B16" s="270" t="s">
        <v>37</v>
      </c>
      <c r="C16" s="270" t="s">
        <v>1164</v>
      </c>
      <c r="D16" s="258">
        <f>'Act Att-H'!D106</f>
        <v>4593888</v>
      </c>
      <c r="E16" s="56">
        <f>IF($D$12=0,0,D16/$D$12)</f>
        <v>1.8878153319495061E-2</v>
      </c>
      <c r="F16" s="54">
        <f>E16*F$13</f>
        <v>5744083.3767535286</v>
      </c>
      <c r="G16" s="270"/>
      <c r="H16" s="253"/>
      <c r="I16" s="259"/>
    </row>
    <row r="17" spans="1:9">
      <c r="A17" s="277">
        <f>A16+1</f>
        <v>4</v>
      </c>
      <c r="B17" s="270" t="s">
        <v>129</v>
      </c>
      <c r="C17" s="270" t="s">
        <v>1165</v>
      </c>
      <c r="D17" s="258">
        <f>'Act Att-H'!D107</f>
        <v>824709</v>
      </c>
      <c r="E17" s="56">
        <f t="shared" ref="E17:E26" si="0">IF($D$12=0,0,D17/$D$12)</f>
        <v>3.3890645453192266E-3</v>
      </c>
      <c r="F17" s="54">
        <f t="shared" ref="F17:F26" si="1">E17*F$13</f>
        <v>1031195.6359317043</v>
      </c>
      <c r="G17" s="270"/>
      <c r="H17" s="253"/>
      <c r="I17" s="370"/>
    </row>
    <row r="18" spans="1:9">
      <c r="A18" s="277">
        <f t="shared" ref="A18:A26" si="2">A17+1</f>
        <v>5</v>
      </c>
      <c r="B18" s="270" t="s">
        <v>38</v>
      </c>
      <c r="C18" s="270" t="s">
        <v>1166</v>
      </c>
      <c r="D18" s="258">
        <f>'Act Att-H'!D108</f>
        <v>931415</v>
      </c>
      <c r="E18" s="56">
        <f t="shared" si="0"/>
        <v>3.827562877910278E-3</v>
      </c>
      <c r="F18" s="54">
        <f t="shared" si="1"/>
        <v>1164618.1662153904</v>
      </c>
      <c r="G18" s="270"/>
      <c r="H18" s="253"/>
      <c r="I18" s="370"/>
    </row>
    <row r="19" spans="1:9">
      <c r="A19" s="277">
        <f t="shared" si="2"/>
        <v>6</v>
      </c>
      <c r="B19" s="270" t="s">
        <v>39</v>
      </c>
      <c r="C19" s="270" t="s">
        <v>1167</v>
      </c>
      <c r="D19" s="258">
        <f>'Act Att-H'!D109</f>
        <v>27892381</v>
      </c>
      <c r="E19" s="56">
        <f t="shared" si="0"/>
        <v>0.11462113246203889</v>
      </c>
      <c r="F19" s="54">
        <f t="shared" si="1"/>
        <v>34875939.953297935</v>
      </c>
      <c r="G19" s="270"/>
      <c r="H19" s="253"/>
      <c r="I19" s="370"/>
    </row>
    <row r="20" spans="1:9">
      <c r="A20" s="277">
        <f t="shared" si="2"/>
        <v>7</v>
      </c>
      <c r="B20" s="62" t="s">
        <v>831</v>
      </c>
      <c r="C20" s="270"/>
      <c r="D20" s="270"/>
      <c r="E20" s="270"/>
      <c r="F20" s="270"/>
      <c r="G20" s="270"/>
      <c r="H20" s="253"/>
      <c r="I20" s="370"/>
    </row>
    <row r="21" spans="1:9">
      <c r="A21" s="277">
        <f t="shared" si="2"/>
        <v>8</v>
      </c>
      <c r="B21" s="270" t="s">
        <v>446</v>
      </c>
      <c r="C21" s="270" t="s">
        <v>1168</v>
      </c>
      <c r="D21" s="258">
        <f>'Act Att-H'!D111</f>
        <v>1426505</v>
      </c>
      <c r="E21" s="56">
        <f t="shared" si="0"/>
        <v>5.8620889540681662E-3</v>
      </c>
      <c r="F21" s="54">
        <f t="shared" si="1"/>
        <v>1783666.397037932</v>
      </c>
      <c r="H21" s="253"/>
      <c r="I21" s="370"/>
    </row>
    <row r="22" spans="1:9">
      <c r="A22" s="277">
        <f t="shared" si="2"/>
        <v>9</v>
      </c>
      <c r="B22" s="270" t="s">
        <v>447</v>
      </c>
      <c r="C22" s="270" t="s">
        <v>784</v>
      </c>
      <c r="D22" s="792">
        <v>110000</v>
      </c>
      <c r="E22" s="56"/>
      <c r="F22" s="54">
        <f>D22</f>
        <v>110000</v>
      </c>
      <c r="H22" s="253"/>
      <c r="I22" s="370"/>
    </row>
    <row r="23" spans="1:9">
      <c r="A23" s="277">
        <f t="shared" si="2"/>
        <v>10</v>
      </c>
      <c r="B23" s="270" t="s">
        <v>694</v>
      </c>
      <c r="C23" s="270" t="s">
        <v>1169</v>
      </c>
      <c r="D23" s="258">
        <f>'Act Att-H'!D113</f>
        <v>556648.06699999992</v>
      </c>
      <c r="E23" s="371"/>
      <c r="F23" s="258">
        <f>D23</f>
        <v>556648.06699999992</v>
      </c>
      <c r="H23" s="253"/>
      <c r="I23" s="370"/>
    </row>
    <row r="24" spans="1:9">
      <c r="A24" s="277">
        <f t="shared" si="2"/>
        <v>11</v>
      </c>
      <c r="B24" s="270" t="s">
        <v>695</v>
      </c>
      <c r="C24" s="270" t="s">
        <v>1170</v>
      </c>
      <c r="D24" s="258">
        <f>'Act Att-H'!D114</f>
        <v>294214.92239999998</v>
      </c>
      <c r="E24" s="56">
        <f t="shared" si="0"/>
        <v>1.2090487216820569E-3</v>
      </c>
      <c r="F24" s="54">
        <f t="shared" si="1"/>
        <v>367879.0264261273</v>
      </c>
      <c r="H24" s="253"/>
      <c r="I24" s="370"/>
    </row>
    <row r="25" spans="1:9">
      <c r="A25" s="277">
        <f t="shared" si="2"/>
        <v>12</v>
      </c>
      <c r="B25" s="270" t="s">
        <v>58</v>
      </c>
      <c r="C25" s="270" t="s">
        <v>1171</v>
      </c>
      <c r="D25" s="258">
        <f>'Act Att-H'!D115</f>
        <v>0</v>
      </c>
      <c r="E25" s="56">
        <f t="shared" si="0"/>
        <v>0</v>
      </c>
      <c r="F25" s="54">
        <f t="shared" si="1"/>
        <v>0</v>
      </c>
      <c r="G25" s="270"/>
      <c r="H25" s="253"/>
      <c r="I25" s="372"/>
    </row>
    <row r="26" spans="1:9" ht="13.8" thickBot="1">
      <c r="A26" s="277">
        <f t="shared" si="2"/>
        <v>13</v>
      </c>
      <c r="B26" s="270" t="s">
        <v>40</v>
      </c>
      <c r="C26" s="270" t="s">
        <v>1172</v>
      </c>
      <c r="D26" s="258">
        <f>'Act Att-H'!D116</f>
        <v>0</v>
      </c>
      <c r="E26" s="56">
        <f t="shared" si="0"/>
        <v>0</v>
      </c>
      <c r="F26" s="54">
        <f t="shared" si="1"/>
        <v>0</v>
      </c>
      <c r="G26" s="270"/>
      <c r="H26" s="253"/>
      <c r="I26" s="259"/>
    </row>
    <row r="27" spans="1:9">
      <c r="A27" s="277">
        <f>A26+1</f>
        <v>14</v>
      </c>
      <c r="B27" s="373" t="s">
        <v>448</v>
      </c>
      <c r="C27" s="373" t="s">
        <v>833</v>
      </c>
      <c r="D27" s="63">
        <f>+D16-D17-D18+D19-D21+D25+D26+D22+D23-D24</f>
        <v>29676073.1446</v>
      </c>
      <c r="E27" s="63"/>
      <c r="F27" s="63">
        <f>+F16-F17-F18+F19-F21+F25+F26+F22+F23-F24</f>
        <v>36939312.171440311</v>
      </c>
      <c r="H27" s="253"/>
    </row>
    <row r="28" spans="1:9">
      <c r="A28" s="252"/>
      <c r="C28" s="270"/>
      <c r="D28" s="270"/>
      <c r="E28" s="270"/>
      <c r="F28" s="270"/>
      <c r="H28" s="253"/>
    </row>
    <row r="29" spans="1:9">
      <c r="A29" s="252"/>
      <c r="C29" s="270"/>
      <c r="D29" s="270"/>
      <c r="E29" s="270"/>
      <c r="F29" s="270"/>
      <c r="H29" s="253"/>
    </row>
    <row r="30" spans="1:9">
      <c r="A30" s="252"/>
      <c r="B30" s="362" t="s">
        <v>394</v>
      </c>
      <c r="C30" s="270"/>
      <c r="D30" s="270"/>
      <c r="E30" s="270"/>
      <c r="F30" s="270"/>
      <c r="H30" s="253"/>
    </row>
    <row r="31" spans="1:9">
      <c r="A31" s="252"/>
      <c r="B31" s="252" t="s">
        <v>41</v>
      </c>
      <c r="C31" s="272"/>
      <c r="D31" s="270"/>
      <c r="E31" s="270"/>
      <c r="F31" s="270"/>
      <c r="H31" s="253"/>
    </row>
    <row r="32" spans="1:9">
      <c r="A32" s="368">
        <f>A27+1</f>
        <v>15</v>
      </c>
      <c r="B32" s="252" t="s">
        <v>42</v>
      </c>
      <c r="C32" s="270" t="s">
        <v>1173</v>
      </c>
      <c r="D32" s="258">
        <f>'Act Att-H'!D128</f>
        <v>1742035</v>
      </c>
      <c r="E32" s="56">
        <f t="shared" ref="E32:E37" si="3">IF($D$12=0,0,D32/$D$12)</f>
        <v>7.1587299947074414E-3</v>
      </c>
      <c r="F32" s="54">
        <f t="shared" ref="F32:F37" si="4">E32*F$13</f>
        <v>2178197.266721094</v>
      </c>
      <c r="H32" s="253"/>
    </row>
    <row r="33" spans="1:9">
      <c r="A33" s="368">
        <f>A32+1</f>
        <v>16</v>
      </c>
      <c r="B33" s="252" t="s">
        <v>43</v>
      </c>
      <c r="C33" s="270" t="s">
        <v>1174</v>
      </c>
      <c r="D33" s="258">
        <f>'Act Att-H'!D129</f>
        <v>0</v>
      </c>
      <c r="E33" s="56">
        <f t="shared" si="3"/>
        <v>0</v>
      </c>
      <c r="F33" s="54">
        <f t="shared" si="4"/>
        <v>0</v>
      </c>
      <c r="H33" s="253"/>
    </row>
    <row r="34" spans="1:9">
      <c r="A34" s="368">
        <f t="shared" ref="A34:A39" si="5">A33+1</f>
        <v>17</v>
      </c>
      <c r="B34" s="252" t="s">
        <v>44</v>
      </c>
      <c r="C34" s="270"/>
      <c r="D34" s="376"/>
      <c r="E34" s="56"/>
      <c r="F34" s="54"/>
      <c r="H34" s="253"/>
    </row>
    <row r="35" spans="1:9">
      <c r="A35" s="368">
        <f t="shared" si="5"/>
        <v>18</v>
      </c>
      <c r="B35" s="670" t="s">
        <v>45</v>
      </c>
      <c r="C35" s="270" t="s">
        <v>1175</v>
      </c>
      <c r="D35" s="258">
        <f>'Act Att-H'!D131</f>
        <v>10980443</v>
      </c>
      <c r="E35" s="56">
        <f t="shared" si="3"/>
        <v>4.5123104104840238E-2</v>
      </c>
      <c r="F35" s="54">
        <f t="shared" si="4"/>
        <v>13729673.014598886</v>
      </c>
      <c r="H35" s="253"/>
    </row>
    <row r="36" spans="1:9">
      <c r="A36" s="368">
        <f t="shared" si="5"/>
        <v>19</v>
      </c>
      <c r="B36" s="252" t="s">
        <v>46</v>
      </c>
      <c r="C36" s="270" t="s">
        <v>1176</v>
      </c>
      <c r="D36" s="258">
        <f>'Act Att-H'!D132</f>
        <v>-54845</v>
      </c>
      <c r="E36" s="56">
        <f t="shared" si="3"/>
        <v>-2.2538040082990848E-4</v>
      </c>
      <c r="F36" s="54">
        <f t="shared" si="4"/>
        <v>-68576.824859040367</v>
      </c>
      <c r="H36" s="253"/>
    </row>
    <row r="37" spans="1:9">
      <c r="A37" s="368">
        <f t="shared" si="5"/>
        <v>20</v>
      </c>
      <c r="B37" s="252" t="s">
        <v>47</v>
      </c>
      <c r="C37" s="270" t="s">
        <v>1177</v>
      </c>
      <c r="D37" s="258">
        <f>'Act Att-H'!D133</f>
        <v>0</v>
      </c>
      <c r="E37" s="56">
        <f t="shared" si="3"/>
        <v>0</v>
      </c>
      <c r="F37" s="54">
        <f t="shared" si="4"/>
        <v>0</v>
      </c>
      <c r="H37" s="253"/>
    </row>
    <row r="38" spans="1:9">
      <c r="A38" s="368">
        <f t="shared" si="5"/>
        <v>21</v>
      </c>
      <c r="B38" s="252" t="s">
        <v>1116</v>
      </c>
      <c r="C38" s="270"/>
      <c r="D38" s="270"/>
      <c r="E38" s="56"/>
      <c r="F38" s="54"/>
      <c r="H38" s="253"/>
    </row>
    <row r="39" spans="1:9">
      <c r="A39" s="368">
        <f t="shared" si="5"/>
        <v>22</v>
      </c>
      <c r="B39" s="377" t="s">
        <v>395</v>
      </c>
      <c r="C39" s="378" t="s">
        <v>451</v>
      </c>
      <c r="D39" s="379">
        <f>SUM(D32:D37)</f>
        <v>12667633</v>
      </c>
      <c r="E39" s="375"/>
      <c r="F39" s="374">
        <f>SUM(F32:F38)</f>
        <v>15839293.45646094</v>
      </c>
      <c r="H39" s="253"/>
    </row>
    <row r="40" spans="1:9">
      <c r="A40" s="252"/>
      <c r="D40" s="380"/>
      <c r="E40" s="270"/>
      <c r="F40" s="380"/>
      <c r="H40" s="253"/>
    </row>
    <row r="41" spans="1:9">
      <c r="A41" s="271" t="s">
        <v>155</v>
      </c>
      <c r="C41" s="381"/>
      <c r="D41" s="381"/>
      <c r="E41" s="381"/>
      <c r="F41" s="381"/>
      <c r="I41" s="382"/>
    </row>
    <row r="42" spans="1:9">
      <c r="A42" s="793" t="s">
        <v>76</v>
      </c>
      <c r="B42" s="250" t="s">
        <v>1024</v>
      </c>
      <c r="C42" s="381"/>
      <c r="D42" s="381"/>
      <c r="E42" s="381"/>
      <c r="F42" s="381"/>
      <c r="I42" s="382"/>
    </row>
    <row r="43" spans="1:9">
      <c r="C43" s="381"/>
      <c r="D43" s="381"/>
      <c r="E43" s="381"/>
      <c r="F43" s="381"/>
      <c r="I43" s="382"/>
    </row>
    <row r="44" spans="1:9">
      <c r="C44" s="381"/>
      <c r="D44" s="381"/>
      <c r="E44" s="381"/>
      <c r="F44" s="381"/>
      <c r="I44" s="382"/>
    </row>
    <row r="45" spans="1:9">
      <c r="C45" s="381"/>
      <c r="D45" s="381"/>
      <c r="E45" s="381"/>
      <c r="F45" s="381"/>
      <c r="I45" s="382"/>
    </row>
    <row r="46" spans="1:9">
      <c r="C46" s="381"/>
      <c r="D46" s="381"/>
      <c r="E46" s="381"/>
      <c r="F46" s="381"/>
      <c r="I46" s="382"/>
    </row>
    <row r="47" spans="1:9">
      <c r="C47" s="381"/>
      <c r="D47" s="381"/>
      <c r="E47" s="381"/>
      <c r="F47" s="381"/>
      <c r="I47" s="382"/>
    </row>
    <row r="48" spans="1:9">
      <c r="C48" s="381"/>
      <c r="D48" s="381"/>
      <c r="E48" s="381"/>
      <c r="F48" s="381"/>
      <c r="I48" s="382"/>
    </row>
    <row r="49" spans="1:8">
      <c r="A49" s="254"/>
      <c r="B49" s="383"/>
      <c r="C49" s="256"/>
      <c r="D49" s="384"/>
      <c r="E49" s="385"/>
      <c r="F49" s="386"/>
      <c r="G49" s="256"/>
      <c r="H49" s="387"/>
    </row>
    <row r="50" spans="1:8">
      <c r="A50" s="254"/>
      <c r="B50" s="256"/>
      <c r="C50" s="256"/>
      <c r="D50" s="256"/>
      <c r="E50" s="256"/>
      <c r="F50" s="256"/>
      <c r="G50" s="256"/>
      <c r="H50" s="256"/>
    </row>
    <row r="51" spans="1:8">
      <c r="A51" s="254"/>
      <c r="B51" s="383"/>
      <c r="C51" s="256"/>
      <c r="D51" s="372"/>
      <c r="E51" s="385"/>
      <c r="F51" s="386"/>
      <c r="G51" s="256"/>
      <c r="H51" s="387"/>
    </row>
    <row r="52" spans="1:8">
      <c r="A52" s="254"/>
      <c r="B52" s="383"/>
      <c r="C52" s="256"/>
      <c r="D52" s="372"/>
      <c r="E52" s="256"/>
      <c r="F52" s="388"/>
      <c r="G52" s="256"/>
      <c r="H52" s="387"/>
    </row>
    <row r="53" spans="1:8">
      <c r="A53" s="253"/>
      <c r="B53" s="383"/>
      <c r="C53" s="256"/>
      <c r="D53" s="372"/>
      <c r="E53" s="256"/>
      <c r="F53" s="388"/>
      <c r="G53" s="256"/>
      <c r="H53" s="387"/>
    </row>
    <row r="54" spans="1:8">
      <c r="B54" s="383"/>
      <c r="C54" s="256"/>
      <c r="D54" s="372"/>
      <c r="E54" s="256"/>
      <c r="F54" s="388"/>
      <c r="G54" s="256"/>
      <c r="H54" s="387"/>
    </row>
    <row r="55" spans="1:8">
      <c r="B55" s="383"/>
      <c r="C55" s="256"/>
      <c r="D55" s="372"/>
      <c r="E55" s="256"/>
      <c r="F55" s="388"/>
      <c r="G55" s="256"/>
      <c r="H55" s="387"/>
    </row>
    <row r="56" spans="1:8">
      <c r="B56" s="383"/>
      <c r="C56" s="256"/>
      <c r="D56" s="387"/>
      <c r="E56" s="256"/>
      <c r="F56" s="388"/>
      <c r="G56" s="256"/>
      <c r="H56" s="387"/>
    </row>
    <row r="57" spans="1:8">
      <c r="B57" s="383"/>
      <c r="C57" s="256"/>
      <c r="D57" s="372"/>
      <c r="E57" s="256"/>
      <c r="F57" s="388"/>
      <c r="G57" s="256"/>
      <c r="H57" s="387"/>
    </row>
    <row r="58" spans="1:8">
      <c r="B58" s="383"/>
      <c r="C58" s="256"/>
      <c r="D58" s="372"/>
      <c r="E58" s="256"/>
      <c r="F58" s="388"/>
      <c r="G58" s="256"/>
      <c r="H58" s="387"/>
    </row>
    <row r="59" spans="1:8">
      <c r="B59" s="383"/>
      <c r="C59" s="256"/>
      <c r="D59" s="372"/>
      <c r="E59" s="256"/>
      <c r="F59" s="388"/>
      <c r="G59" s="256"/>
      <c r="H59" s="387"/>
    </row>
    <row r="60" spans="1:8">
      <c r="B60" s="383"/>
      <c r="C60" s="256"/>
      <c r="D60" s="372"/>
      <c r="E60" s="256"/>
      <c r="F60" s="388"/>
      <c r="G60" s="256"/>
      <c r="H60" s="387"/>
    </row>
    <row r="61" spans="1:8">
      <c r="B61" s="383"/>
      <c r="C61" s="256"/>
      <c r="D61" s="387"/>
      <c r="E61" s="256"/>
      <c r="F61" s="388"/>
      <c r="G61" s="256"/>
      <c r="H61" s="387"/>
    </row>
    <row r="62" spans="1:8">
      <c r="B62" s="383"/>
      <c r="C62" s="256"/>
      <c r="D62" s="389"/>
      <c r="E62" s="256"/>
      <c r="F62" s="388"/>
      <c r="G62" s="256"/>
      <c r="H62" s="387"/>
    </row>
    <row r="63" spans="1:8">
      <c r="B63" s="390"/>
      <c r="C63" s="256"/>
      <c r="D63" s="372"/>
      <c r="E63" s="256"/>
      <c r="F63" s="388"/>
      <c r="G63" s="256"/>
      <c r="H63" s="387"/>
    </row>
    <row r="64" spans="1:8">
      <c r="B64" s="390"/>
      <c r="C64" s="256"/>
      <c r="D64" s="389"/>
      <c r="E64" s="256"/>
      <c r="F64" s="388"/>
      <c r="G64" s="256"/>
      <c r="H64" s="387"/>
    </row>
    <row r="65" spans="2:8">
      <c r="B65" s="390"/>
      <c r="C65" s="256"/>
      <c r="D65" s="389"/>
      <c r="E65" s="256"/>
      <c r="F65" s="388"/>
      <c r="G65" s="256"/>
      <c r="H65" s="387"/>
    </row>
    <row r="66" spans="2:8">
      <c r="B66" s="390"/>
      <c r="C66" s="256"/>
      <c r="D66" s="372"/>
      <c r="E66" s="256"/>
      <c r="F66" s="388"/>
      <c r="G66" s="256"/>
      <c r="H66" s="387"/>
    </row>
    <row r="67" spans="2:8">
      <c r="B67" s="383"/>
      <c r="C67" s="256"/>
      <c r="D67" s="256"/>
      <c r="E67" s="256"/>
      <c r="F67" s="388"/>
      <c r="G67" s="256"/>
      <c r="H67" s="387"/>
    </row>
    <row r="68" spans="2:8">
      <c r="B68" s="383"/>
      <c r="C68" s="256"/>
      <c r="D68" s="256"/>
      <c r="E68" s="256"/>
      <c r="F68" s="256"/>
      <c r="G68" s="256"/>
      <c r="H68" s="387"/>
    </row>
    <row r="69" spans="2:8">
      <c r="B69" s="383"/>
      <c r="C69" s="256"/>
      <c r="D69" s="256"/>
      <c r="E69" s="256"/>
      <c r="F69" s="256"/>
      <c r="G69" s="256"/>
      <c r="H69" s="387"/>
    </row>
    <row r="70" spans="2:8">
      <c r="B70" s="383"/>
      <c r="C70" s="256"/>
      <c r="D70" s="256"/>
      <c r="E70" s="256"/>
      <c r="F70" s="256"/>
      <c r="G70" s="256"/>
      <c r="H70" s="387"/>
    </row>
    <row r="71" spans="2:8">
      <c r="B71" s="383"/>
      <c r="C71" s="256"/>
      <c r="D71" s="256"/>
      <c r="E71" s="256"/>
      <c r="F71" s="256"/>
      <c r="G71" s="256"/>
      <c r="H71" s="387"/>
    </row>
    <row r="72" spans="2:8">
      <c r="B72" s="390"/>
      <c r="C72" s="256"/>
      <c r="D72" s="387"/>
      <c r="E72" s="256"/>
      <c r="F72" s="388"/>
      <c r="G72" s="256"/>
      <c r="H72" s="387"/>
    </row>
    <row r="73" spans="2:8">
      <c r="B73" s="390"/>
      <c r="C73" s="256"/>
      <c r="D73" s="387"/>
      <c r="E73" s="256"/>
      <c r="F73" s="256"/>
      <c r="G73" s="256"/>
      <c r="H73" s="387"/>
    </row>
  </sheetData>
  <mergeCells count="3">
    <mergeCell ref="A1:F1"/>
    <mergeCell ref="A2:F2"/>
    <mergeCell ref="A3:F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B6:F6" numberStoredAsText="1"/>
    <ignoredError sqref="F13:F19 D12:D19 D32:D37 D21 F21 F23 D23:D26 D39" unlocked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sheetPr>
  <dimension ref="A1:O35"/>
  <sheetViews>
    <sheetView zoomScale="80" zoomScaleNormal="80" workbookViewId="0">
      <selection activeCell="M29" sqref="M29"/>
    </sheetView>
  </sheetViews>
  <sheetFormatPr defaultColWidth="8.6328125" defaultRowHeight="13.2"/>
  <cols>
    <col min="1" max="1" width="5.08984375" style="250" customWidth="1"/>
    <col min="2" max="2" width="15.08984375" style="250" customWidth="1"/>
    <col min="3" max="3" width="19.08984375" style="250" bestFit="1" customWidth="1"/>
    <col min="4" max="4" width="17.08984375" style="250" customWidth="1"/>
    <col min="5" max="5" width="17.453125" style="250" customWidth="1"/>
    <col min="6" max="6" width="13.6328125" style="250" customWidth="1"/>
    <col min="7" max="7" width="12.54296875" style="250" customWidth="1"/>
    <col min="8" max="8" width="7" style="250" customWidth="1"/>
    <col min="9" max="9" width="7.6328125" style="250" bestFit="1" customWidth="1"/>
    <col min="10" max="10" width="2.08984375" style="250" customWidth="1"/>
    <col min="11" max="11" width="6.6328125" style="250" customWidth="1"/>
    <col min="12" max="16384" width="8.6328125" style="250"/>
  </cols>
  <sheetData>
    <row r="1" spans="1:14">
      <c r="A1" s="986" t="s">
        <v>437</v>
      </c>
      <c r="B1" s="986"/>
      <c r="C1" s="986"/>
      <c r="D1" s="986"/>
      <c r="E1" s="986"/>
      <c r="F1" s="986"/>
      <c r="G1" s="986"/>
    </row>
    <row r="2" spans="1:14">
      <c r="A2" s="986" t="s">
        <v>1229</v>
      </c>
      <c r="B2" s="986"/>
      <c r="C2" s="986"/>
      <c r="D2" s="986"/>
      <c r="E2" s="986"/>
      <c r="F2" s="986"/>
      <c r="G2" s="986"/>
    </row>
    <row r="3" spans="1:14">
      <c r="A3" s="986" t="str">
        <f>'P1-Trans Plant'!B3</f>
        <v>Black Hills Colorado Electric, LLC</v>
      </c>
      <c r="B3" s="986"/>
      <c r="C3" s="986"/>
      <c r="D3" s="986"/>
      <c r="E3" s="986"/>
      <c r="F3" s="986"/>
      <c r="G3" s="986"/>
    </row>
    <row r="4" spans="1:14">
      <c r="A4" s="270"/>
      <c r="B4" s="270"/>
      <c r="C4" s="270"/>
      <c r="D4" s="270"/>
      <c r="E4" s="270"/>
      <c r="F4" s="270"/>
      <c r="G4" s="357" t="s">
        <v>515</v>
      </c>
    </row>
    <row r="5" spans="1:14">
      <c r="A5" s="275" t="s">
        <v>396</v>
      </c>
      <c r="B5" s="270"/>
      <c r="C5" s="270"/>
      <c r="D5" s="270"/>
      <c r="E5" s="270"/>
      <c r="F5" s="270"/>
      <c r="G5" s="270"/>
    </row>
    <row r="6" spans="1:14">
      <c r="A6" s="276"/>
      <c r="B6" s="270"/>
      <c r="C6" s="270"/>
      <c r="D6" s="270"/>
      <c r="E6" s="270"/>
      <c r="F6" s="270"/>
      <c r="G6" s="270"/>
    </row>
    <row r="7" spans="1:14" ht="15" customHeight="1">
      <c r="A7" s="277">
        <v>1</v>
      </c>
      <c r="B7" s="270" t="s">
        <v>164</v>
      </c>
      <c r="C7" s="270"/>
      <c r="D7" s="270"/>
      <c r="E7" s="270"/>
      <c r="F7" s="270"/>
      <c r="G7" s="270"/>
      <c r="I7" s="474"/>
      <c r="J7" s="270"/>
      <c r="K7" s="474"/>
      <c r="L7" s="270"/>
      <c r="M7" s="475"/>
      <c r="N7" s="270"/>
    </row>
    <row r="8" spans="1:14">
      <c r="A8" s="270"/>
      <c r="B8" s="270"/>
      <c r="C8" s="270"/>
      <c r="D8" s="270"/>
      <c r="E8" s="270"/>
      <c r="F8" s="270"/>
      <c r="G8" s="270"/>
    </row>
    <row r="9" spans="1:14">
      <c r="A9" s="270"/>
      <c r="B9" s="476" t="s">
        <v>138</v>
      </c>
      <c r="C9" s="477" t="s">
        <v>139</v>
      </c>
      <c r="D9" s="476" t="s">
        <v>140</v>
      </c>
      <c r="E9" s="476" t="s">
        <v>141</v>
      </c>
      <c r="F9" s="476" t="s">
        <v>142</v>
      </c>
      <c r="G9" s="476" t="s">
        <v>143</v>
      </c>
    </row>
    <row r="10" spans="1:14" ht="92.25" customHeight="1">
      <c r="A10" s="270"/>
      <c r="B10" s="278" t="s">
        <v>219</v>
      </c>
      <c r="C10" s="278" t="s">
        <v>1223</v>
      </c>
      <c r="D10" s="279" t="s">
        <v>1224</v>
      </c>
      <c r="E10" s="279" t="s">
        <v>1225</v>
      </c>
      <c r="F10" s="278" t="s">
        <v>439</v>
      </c>
      <c r="G10" s="278" t="s">
        <v>1226</v>
      </c>
    </row>
    <row r="11" spans="1:14">
      <c r="A11" s="277">
        <v>2</v>
      </c>
      <c r="B11" s="478" t="s">
        <v>146</v>
      </c>
      <c r="C11" s="479"/>
      <c r="D11" s="479"/>
      <c r="E11" s="480"/>
      <c r="F11" s="481">
        <f>+(280+14+63)*1000</f>
        <v>357000</v>
      </c>
      <c r="G11" s="482">
        <f t="shared" ref="G11:G18" si="0">F11</f>
        <v>357000</v>
      </c>
      <c r="I11" s="483"/>
    </row>
    <row r="12" spans="1:14">
      <c r="A12" s="277">
        <v>3</v>
      </c>
      <c r="B12" s="478" t="s">
        <v>147</v>
      </c>
      <c r="C12" s="484"/>
      <c r="D12" s="484"/>
      <c r="E12" s="485"/>
      <c r="F12" s="481">
        <f>+(289+16+63)*1000</f>
        <v>368000</v>
      </c>
      <c r="G12" s="482">
        <f t="shared" si="0"/>
        <v>368000</v>
      </c>
    </row>
    <row r="13" spans="1:14">
      <c r="A13" s="277">
        <v>4</v>
      </c>
      <c r="B13" s="478" t="s">
        <v>397</v>
      </c>
      <c r="C13" s="484"/>
      <c r="D13" s="484"/>
      <c r="E13" s="485"/>
      <c r="F13" s="481">
        <f>+(268+15+63)*1000</f>
        <v>346000</v>
      </c>
      <c r="G13" s="482">
        <f t="shared" si="0"/>
        <v>346000</v>
      </c>
    </row>
    <row r="14" spans="1:14">
      <c r="A14" s="277">
        <v>5</v>
      </c>
      <c r="B14" s="478" t="s">
        <v>148</v>
      </c>
      <c r="C14" s="484"/>
      <c r="D14" s="484"/>
      <c r="E14" s="485"/>
      <c r="F14" s="481">
        <f>+(256+12+63)*1000</f>
        <v>331000</v>
      </c>
      <c r="G14" s="482">
        <f t="shared" si="0"/>
        <v>331000</v>
      </c>
    </row>
    <row r="15" spans="1:14">
      <c r="A15" s="277">
        <v>6</v>
      </c>
      <c r="B15" s="478" t="s">
        <v>149</v>
      </c>
      <c r="C15" s="484"/>
      <c r="D15" s="484"/>
      <c r="E15" s="485"/>
      <c r="F15" s="481">
        <f>+(342+13+63)*1000</f>
        <v>418000</v>
      </c>
      <c r="G15" s="482">
        <f t="shared" si="0"/>
        <v>418000</v>
      </c>
    </row>
    <row r="16" spans="1:14">
      <c r="A16" s="277">
        <v>7</v>
      </c>
      <c r="B16" s="478" t="s">
        <v>150</v>
      </c>
      <c r="C16" s="484"/>
      <c r="D16" s="484"/>
      <c r="E16" s="485"/>
      <c r="F16" s="481">
        <f>+(399+14+63)*1000</f>
        <v>476000</v>
      </c>
      <c r="G16" s="482">
        <f t="shared" si="0"/>
        <v>476000</v>
      </c>
    </row>
    <row r="17" spans="1:15">
      <c r="A17" s="277">
        <v>8</v>
      </c>
      <c r="B17" s="478" t="s">
        <v>151</v>
      </c>
      <c r="C17" s="484"/>
      <c r="D17" s="484"/>
      <c r="E17" s="485"/>
      <c r="F17" s="481">
        <f>+(435.5+16.5+63)*1000</f>
        <v>515000</v>
      </c>
      <c r="G17" s="482">
        <f t="shared" si="0"/>
        <v>515000</v>
      </c>
    </row>
    <row r="18" spans="1:15">
      <c r="A18" s="277">
        <v>9</v>
      </c>
      <c r="B18" s="478" t="s">
        <v>398</v>
      </c>
      <c r="C18" s="486"/>
      <c r="D18" s="486"/>
      <c r="E18" s="487"/>
      <c r="F18" s="481">
        <f>+(422+16+63)*1000</f>
        <v>501000</v>
      </c>
      <c r="G18" s="482">
        <f t="shared" si="0"/>
        <v>501000</v>
      </c>
      <c r="I18" s="488"/>
    </row>
    <row r="19" spans="1:15">
      <c r="A19" s="277">
        <v>10</v>
      </c>
      <c r="B19" s="489" t="s">
        <v>152</v>
      </c>
      <c r="C19" s="490">
        <f>'A6-Divisor'!G16</f>
        <v>1.0953160825417623</v>
      </c>
      <c r="D19" s="491">
        <f>AVERAGE($F$11:$F$18)</f>
        <v>414000</v>
      </c>
      <c r="E19" s="492">
        <f>C19*D19</f>
        <v>453460.85817228956</v>
      </c>
      <c r="F19" s="480"/>
      <c r="G19" s="493">
        <f>E19</f>
        <v>453460.85817228956</v>
      </c>
    </row>
    <row r="20" spans="1:15">
      <c r="A20" s="277">
        <v>11</v>
      </c>
      <c r="B20" s="489" t="s">
        <v>153</v>
      </c>
      <c r="C20" s="490">
        <f>'A6-Divisor'!G17</f>
        <v>0.96429741238126432</v>
      </c>
      <c r="D20" s="491">
        <f>AVERAGE($F$11:$F$18)</f>
        <v>414000</v>
      </c>
      <c r="E20" s="492">
        <f>C20*D20</f>
        <v>399219.12872584345</v>
      </c>
      <c r="F20" s="485"/>
      <c r="G20" s="493">
        <f>E20</f>
        <v>399219.12872584345</v>
      </c>
    </row>
    <row r="21" spans="1:15">
      <c r="A21" s="277">
        <v>12</v>
      </c>
      <c r="B21" s="489" t="s">
        <v>154</v>
      </c>
      <c r="C21" s="490">
        <f>'A6-Divisor'!G18</f>
        <v>0.89616770389780542</v>
      </c>
      <c r="D21" s="491">
        <f>AVERAGE($F$11:$F$18)</f>
        <v>414000</v>
      </c>
      <c r="E21" s="492">
        <f>C21*D21</f>
        <v>371013.42941369145</v>
      </c>
      <c r="F21" s="485"/>
      <c r="G21" s="493">
        <f>E21</f>
        <v>371013.42941369145</v>
      </c>
    </row>
    <row r="22" spans="1:15">
      <c r="A22" s="277">
        <v>13</v>
      </c>
      <c r="B22" s="489" t="s">
        <v>399</v>
      </c>
      <c r="C22" s="490">
        <f>'A6-Divisor'!G19</f>
        <v>0.91451031772027513</v>
      </c>
      <c r="D22" s="491">
        <f>AVERAGE($F$11:$F$18)</f>
        <v>414000</v>
      </c>
      <c r="E22" s="492">
        <f>C22*D22</f>
        <v>378607.2715361939</v>
      </c>
      <c r="F22" s="485"/>
      <c r="G22" s="493">
        <f>E22</f>
        <v>378607.2715361939</v>
      </c>
    </row>
    <row r="23" spans="1:15">
      <c r="A23" s="277">
        <v>14</v>
      </c>
      <c r="B23" s="494" t="s">
        <v>9</v>
      </c>
      <c r="C23" s="495"/>
      <c r="D23" s="496"/>
      <c r="E23" s="496"/>
      <c r="F23" s="495"/>
      <c r="G23" s="497">
        <f>SUM(G11:G22)</f>
        <v>4914300.6878480185</v>
      </c>
      <c r="L23" s="252"/>
    </row>
    <row r="24" spans="1:15">
      <c r="A24" s="277">
        <v>15</v>
      </c>
      <c r="B24" s="494" t="s">
        <v>164</v>
      </c>
      <c r="C24" s="495"/>
      <c r="D24" s="496"/>
      <c r="E24" s="496"/>
      <c r="F24" s="495"/>
      <c r="G24" s="498">
        <f>G23/12</f>
        <v>409525.05732066819</v>
      </c>
    </row>
    <row r="25" spans="1:15">
      <c r="A25" s="270"/>
      <c r="B25" s="270"/>
      <c r="C25" s="270"/>
      <c r="D25" s="270"/>
      <c r="E25" s="270"/>
      <c r="F25" s="270"/>
      <c r="G25" s="270"/>
    </row>
    <row r="26" spans="1:15">
      <c r="A26" s="270"/>
      <c r="B26" s="270"/>
      <c r="C26" s="270"/>
      <c r="D26" s="270"/>
      <c r="E26" s="270"/>
      <c r="F26" s="270"/>
      <c r="G26" s="270"/>
    </row>
    <row r="27" spans="1:15" ht="30" customHeight="1">
      <c r="A27" s="499" t="s">
        <v>400</v>
      </c>
      <c r="B27" s="987" t="s">
        <v>1227</v>
      </c>
      <c r="C27" s="988"/>
      <c r="D27" s="988"/>
      <c r="E27" s="988"/>
      <c r="F27" s="988"/>
      <c r="G27" s="988"/>
      <c r="H27" s="500"/>
      <c r="I27" s="500"/>
      <c r="J27" s="500"/>
      <c r="K27" s="500"/>
      <c r="L27" s="500"/>
      <c r="M27" s="500"/>
      <c r="N27" s="500"/>
      <c r="O27" s="500"/>
    </row>
    <row r="28" spans="1:15">
      <c r="A28" s="270"/>
      <c r="B28" s="501" t="s">
        <v>1228</v>
      </c>
      <c r="C28" s="502"/>
      <c r="D28" s="502"/>
      <c r="E28" s="502"/>
      <c r="F28" s="502"/>
      <c r="G28" s="502"/>
      <c r="H28" s="503"/>
      <c r="I28" s="503"/>
    </row>
    <row r="29" spans="1:15">
      <c r="A29" s="270"/>
      <c r="B29" s="272" t="s">
        <v>988</v>
      </c>
      <c r="C29" s="502"/>
      <c r="D29" s="502"/>
      <c r="E29" s="502"/>
      <c r="F29" s="502"/>
      <c r="G29" s="502"/>
      <c r="H29" s="503"/>
      <c r="I29" s="503"/>
    </row>
    <row r="30" spans="1:15" ht="17.25" customHeight="1">
      <c r="A30" s="270"/>
      <c r="B30" s="989" t="s">
        <v>607</v>
      </c>
      <c r="C30" s="990"/>
      <c r="D30" s="990"/>
      <c r="E30" s="990"/>
      <c r="F30" s="990"/>
      <c r="G30" s="990"/>
    </row>
    <row r="35" spans="2:4" ht="13.8">
      <c r="B35" s="270"/>
      <c r="C35" s="504"/>
      <c r="D35" s="270"/>
    </row>
  </sheetData>
  <mergeCells count="5">
    <mergeCell ref="B27:G27"/>
    <mergeCell ref="B30:G30"/>
    <mergeCell ref="A1:G1"/>
    <mergeCell ref="A2:G2"/>
    <mergeCell ref="A3:G3"/>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C19:G24" evalErro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sheetPr>
  <dimension ref="A1:S140"/>
  <sheetViews>
    <sheetView zoomScale="80" zoomScaleNormal="80" workbookViewId="0">
      <selection activeCell="C43" sqref="C43"/>
    </sheetView>
  </sheetViews>
  <sheetFormatPr defaultColWidth="8.6328125" defaultRowHeight="13.8"/>
  <cols>
    <col min="1" max="1" width="5.6328125" style="1" customWidth="1"/>
    <col min="2" max="2" width="9.6328125" style="28" customWidth="1"/>
    <col min="3" max="6" width="12.6328125" style="2" customWidth="1"/>
    <col min="7" max="7" width="3" style="28" customWidth="1"/>
    <col min="8" max="11" width="12.6328125" style="2" customWidth="1"/>
    <col min="12" max="12" width="15.08984375" style="2" bestFit="1" customWidth="1"/>
    <col min="13" max="15" width="12.6328125" style="2" customWidth="1"/>
    <col min="16" max="16" width="10.6328125" style="2" customWidth="1"/>
    <col min="17" max="17" width="8.6328125" style="4"/>
    <col min="18" max="16384" width="8.6328125" style="2"/>
  </cols>
  <sheetData>
    <row r="1" spans="1:19">
      <c r="A1" s="932" t="s">
        <v>556</v>
      </c>
      <c r="B1" s="932"/>
      <c r="C1" s="932"/>
      <c r="D1" s="932"/>
      <c r="E1" s="932"/>
      <c r="F1" s="932"/>
      <c r="G1" s="932"/>
      <c r="H1" s="932"/>
      <c r="I1" s="932"/>
      <c r="J1" s="932"/>
      <c r="K1" s="932"/>
      <c r="L1" s="932"/>
      <c r="M1" s="932"/>
      <c r="N1" s="932"/>
      <c r="O1" s="932"/>
    </row>
    <row r="2" spans="1:19">
      <c r="A2" s="963" t="s">
        <v>547</v>
      </c>
      <c r="B2" s="963"/>
      <c r="C2" s="963"/>
      <c r="D2" s="963"/>
      <c r="E2" s="963"/>
      <c r="F2" s="963"/>
      <c r="G2" s="963"/>
      <c r="H2" s="963"/>
      <c r="I2" s="963"/>
      <c r="J2" s="963"/>
      <c r="K2" s="963"/>
      <c r="L2" s="963"/>
      <c r="M2" s="963"/>
      <c r="N2" s="963"/>
      <c r="O2" s="963"/>
    </row>
    <row r="3" spans="1:19">
      <c r="A3" s="964" t="str">
        <f>'Act Att-H'!C7</f>
        <v>Black Hills Colorado Electric, LLC</v>
      </c>
      <c r="B3" s="964"/>
      <c r="C3" s="964"/>
      <c r="D3" s="964"/>
      <c r="E3" s="964"/>
      <c r="F3" s="964"/>
      <c r="G3" s="964"/>
      <c r="H3" s="964"/>
      <c r="I3" s="964"/>
      <c r="J3" s="964"/>
      <c r="K3" s="964"/>
      <c r="L3" s="964"/>
      <c r="M3" s="964"/>
      <c r="N3" s="964"/>
      <c r="O3" s="964"/>
    </row>
    <row r="4" spans="1:19">
      <c r="A4" s="5"/>
      <c r="C4" s="3"/>
      <c r="D4" s="3"/>
      <c r="E4" s="3"/>
      <c r="F4" s="3"/>
      <c r="G4" s="317"/>
      <c r="H4" s="3"/>
      <c r="I4" s="3"/>
      <c r="J4" s="3"/>
      <c r="O4" s="6" t="s">
        <v>515</v>
      </c>
    </row>
    <row r="5" spans="1:19" ht="15" customHeight="1">
      <c r="A5" s="35"/>
      <c r="C5" s="37"/>
      <c r="D5" s="37"/>
      <c r="E5" s="37"/>
      <c r="F5" s="37"/>
      <c r="G5" s="318"/>
    </row>
    <row r="6" spans="1:19" s="287" customFormat="1">
      <c r="A6" s="321" t="s">
        <v>4</v>
      </c>
      <c r="G6" s="296"/>
      <c r="H6" s="327" t="s">
        <v>533</v>
      </c>
      <c r="I6" s="552" t="s">
        <v>750</v>
      </c>
      <c r="P6" s="2"/>
      <c r="Q6" s="4"/>
      <c r="R6" s="2"/>
      <c r="S6" s="2"/>
    </row>
    <row r="7" spans="1:19" s="287" customFormat="1">
      <c r="A7" s="319">
        <v>1</v>
      </c>
      <c r="B7" s="296"/>
      <c r="C7" s="991"/>
      <c r="D7" s="991"/>
      <c r="E7" s="991"/>
      <c r="F7" s="991"/>
      <c r="G7" s="296"/>
      <c r="H7" s="288" t="s">
        <v>526</v>
      </c>
      <c r="I7" s="309" t="s">
        <v>534</v>
      </c>
      <c r="J7" s="309"/>
      <c r="K7" s="333"/>
      <c r="L7" s="288" t="s">
        <v>526</v>
      </c>
      <c r="M7" s="309" t="s">
        <v>536</v>
      </c>
      <c r="N7" s="309"/>
      <c r="O7" s="333"/>
      <c r="P7" s="2"/>
      <c r="Q7" s="4"/>
      <c r="R7" s="2"/>
      <c r="S7" s="2"/>
    </row>
    <row r="8" spans="1:19" s="287" customFormat="1">
      <c r="A8" s="319">
        <f>A7+1</f>
        <v>2</v>
      </c>
      <c r="G8" s="296"/>
      <c r="H8" s="289" t="s">
        <v>535</v>
      </c>
      <c r="I8" s="310" t="s">
        <v>527</v>
      </c>
      <c r="J8" s="310"/>
      <c r="K8" s="290"/>
      <c r="L8" s="289" t="s">
        <v>535</v>
      </c>
      <c r="M8" s="310" t="s">
        <v>527</v>
      </c>
      <c r="N8" s="310"/>
      <c r="O8" s="290"/>
      <c r="P8" s="2"/>
      <c r="Q8" s="4"/>
      <c r="R8" s="2"/>
      <c r="S8" s="2"/>
    </row>
    <row r="9" spans="1:19" s="287" customFormat="1">
      <c r="A9" s="319">
        <f t="shared" ref="A9:A14" si="0">A8+1</f>
        <v>3</v>
      </c>
      <c r="B9" s="296"/>
      <c r="C9" s="991"/>
      <c r="D9" s="991"/>
      <c r="E9" s="991"/>
      <c r="F9" s="991"/>
      <c r="G9" s="296"/>
      <c r="H9" s="289" t="s">
        <v>550</v>
      </c>
      <c r="I9" s="311"/>
      <c r="J9" s="311"/>
      <c r="K9" s="290" t="s">
        <v>483</v>
      </c>
      <c r="L9" s="289" t="s">
        <v>550</v>
      </c>
      <c r="M9" s="311"/>
      <c r="N9" s="311"/>
      <c r="O9" s="290" t="s">
        <v>483</v>
      </c>
      <c r="P9" s="2"/>
      <c r="Q9" s="4"/>
      <c r="R9" s="2"/>
      <c r="S9" s="2"/>
    </row>
    <row r="10" spans="1:19" s="287" customFormat="1">
      <c r="A10" s="319">
        <f t="shared" si="0"/>
        <v>4</v>
      </c>
      <c r="G10" s="296"/>
      <c r="H10" s="289" t="s">
        <v>529</v>
      </c>
      <c r="I10" s="311">
        <v>0</v>
      </c>
      <c r="J10" s="311"/>
      <c r="K10" s="290" t="s">
        <v>539</v>
      </c>
      <c r="L10" s="289" t="s">
        <v>529</v>
      </c>
      <c r="M10" s="311">
        <v>0</v>
      </c>
      <c r="N10" s="311"/>
      <c r="O10" s="290" t="s">
        <v>539</v>
      </c>
      <c r="P10" s="2"/>
      <c r="Q10" s="4"/>
      <c r="R10" s="2"/>
      <c r="S10" s="2"/>
    </row>
    <row r="11" spans="1:19" s="287" customFormat="1">
      <c r="A11" s="319">
        <f t="shared" si="0"/>
        <v>5</v>
      </c>
      <c r="B11" s="296"/>
      <c r="C11" s="991"/>
      <c r="D11" s="991"/>
      <c r="E11" s="991"/>
      <c r="F11" s="991"/>
      <c r="G11" s="296"/>
      <c r="H11" s="289" t="s">
        <v>549</v>
      </c>
      <c r="I11" s="291">
        <f>I10*'Act Att-H'!E204</f>
        <v>0</v>
      </c>
      <c r="J11" s="291"/>
      <c r="K11" s="290"/>
      <c r="L11" s="289" t="s">
        <v>549</v>
      </c>
      <c r="M11" s="291">
        <f>M10*'Act Att-H'!E204</f>
        <v>0</v>
      </c>
      <c r="N11" s="291"/>
      <c r="O11" s="290"/>
      <c r="P11" s="2"/>
      <c r="Q11" s="4"/>
      <c r="R11" s="2"/>
      <c r="S11" s="2"/>
    </row>
    <row r="12" spans="1:19" s="287" customFormat="1">
      <c r="A12" s="319">
        <f t="shared" si="0"/>
        <v>6</v>
      </c>
      <c r="G12" s="296"/>
      <c r="H12" s="289" t="s">
        <v>530</v>
      </c>
      <c r="I12" s="313"/>
      <c r="J12" s="313"/>
      <c r="K12" s="290"/>
      <c r="L12" s="289" t="s">
        <v>530</v>
      </c>
      <c r="M12" s="313"/>
      <c r="N12" s="313"/>
      <c r="O12" s="290"/>
      <c r="P12" s="2"/>
      <c r="Q12" s="4"/>
      <c r="R12" s="2"/>
      <c r="S12" s="2"/>
    </row>
    <row r="13" spans="1:19" s="287" customFormat="1">
      <c r="A13" s="319">
        <f t="shared" si="0"/>
        <v>7</v>
      </c>
      <c r="B13" s="296"/>
      <c r="C13" s="991"/>
      <c r="D13" s="991"/>
      <c r="E13" s="991"/>
      <c r="F13" s="991"/>
      <c r="G13" s="296"/>
      <c r="H13" s="289"/>
      <c r="I13" s="3"/>
      <c r="J13" s="3"/>
      <c r="K13" s="290"/>
      <c r="L13" s="289"/>
      <c r="M13" s="3"/>
      <c r="N13" s="3"/>
      <c r="O13" s="290"/>
      <c r="P13" s="2"/>
      <c r="Q13" s="4"/>
      <c r="R13" s="2"/>
      <c r="S13" s="2"/>
    </row>
    <row r="14" spans="1:19" s="287" customFormat="1">
      <c r="A14" s="319">
        <f t="shared" si="0"/>
        <v>8</v>
      </c>
      <c r="B14" s="296"/>
      <c r="C14" s="962" t="s">
        <v>9</v>
      </c>
      <c r="D14" s="962"/>
      <c r="E14" s="962"/>
      <c r="F14" s="962"/>
      <c r="G14" s="296"/>
      <c r="H14" s="289"/>
      <c r="I14" s="3"/>
      <c r="J14" s="3"/>
      <c r="K14" s="290"/>
      <c r="L14" s="289"/>
      <c r="M14" s="3"/>
      <c r="N14" s="3"/>
      <c r="O14" s="290"/>
      <c r="P14" s="2"/>
      <c r="Q14" s="4"/>
      <c r="R14" s="2"/>
      <c r="S14" s="2"/>
    </row>
    <row r="15" spans="1:19" s="287" customFormat="1">
      <c r="A15" s="319"/>
      <c r="B15" s="296"/>
      <c r="G15" s="296"/>
      <c r="H15" s="289"/>
      <c r="I15" s="3"/>
      <c r="J15" s="3"/>
      <c r="K15" s="290"/>
      <c r="L15" s="289"/>
      <c r="M15" s="3"/>
      <c r="N15" s="3"/>
      <c r="O15" s="290"/>
      <c r="P15" s="2"/>
      <c r="Q15" s="4"/>
      <c r="R15" s="2"/>
      <c r="S15" s="2"/>
    </row>
    <row r="16" spans="1:19" s="287" customFormat="1">
      <c r="A16" s="296"/>
      <c r="B16" s="316" t="s">
        <v>548</v>
      </c>
      <c r="C16" s="316" t="s">
        <v>374</v>
      </c>
      <c r="D16" s="316" t="s">
        <v>375</v>
      </c>
      <c r="E16" s="316" t="s">
        <v>376</v>
      </c>
      <c r="F16" s="316" t="s">
        <v>544</v>
      </c>
      <c r="G16" s="296"/>
      <c r="H16" s="329" t="s">
        <v>374</v>
      </c>
      <c r="I16" s="316" t="s">
        <v>375</v>
      </c>
      <c r="J16" s="316" t="s">
        <v>376</v>
      </c>
      <c r="K16" s="334" t="s">
        <v>532</v>
      </c>
      <c r="L16" s="329" t="s">
        <v>374</v>
      </c>
      <c r="M16" s="316" t="s">
        <v>375</v>
      </c>
      <c r="N16" s="316" t="s">
        <v>376</v>
      </c>
      <c r="O16" s="334" t="s">
        <v>532</v>
      </c>
      <c r="P16" s="2"/>
      <c r="Q16" s="4"/>
      <c r="R16" s="2"/>
      <c r="S16" s="2"/>
    </row>
    <row r="17" spans="1:19" s="287" customFormat="1">
      <c r="A17" s="296"/>
      <c r="B17" s="293" t="s">
        <v>138</v>
      </c>
      <c r="C17" s="293" t="s">
        <v>139</v>
      </c>
      <c r="D17" s="293" t="s">
        <v>140</v>
      </c>
      <c r="E17" s="293" t="s">
        <v>141</v>
      </c>
      <c r="F17" s="293" t="s">
        <v>142</v>
      </c>
      <c r="G17" s="293"/>
      <c r="H17" s="330" t="s">
        <v>143</v>
      </c>
      <c r="I17" s="293" t="s">
        <v>144</v>
      </c>
      <c r="J17" s="293" t="s">
        <v>145</v>
      </c>
      <c r="K17" s="292" t="s">
        <v>161</v>
      </c>
      <c r="L17" s="330" t="s">
        <v>162</v>
      </c>
      <c r="M17" s="293" t="s">
        <v>871</v>
      </c>
      <c r="N17" s="293" t="s">
        <v>870</v>
      </c>
      <c r="O17" s="292" t="s">
        <v>928</v>
      </c>
      <c r="P17" s="2"/>
      <c r="Q17" s="4"/>
      <c r="R17" s="2"/>
      <c r="S17" s="2"/>
    </row>
    <row r="18" spans="1:19" s="287" customFormat="1">
      <c r="A18" s="296"/>
      <c r="B18" s="296"/>
      <c r="G18" s="296"/>
      <c r="H18" s="314">
        <f>I12</f>
        <v>0</v>
      </c>
      <c r="I18" s="296"/>
      <c r="J18" s="296"/>
      <c r="K18" s="297"/>
      <c r="L18" s="314">
        <f>M12</f>
        <v>0</v>
      </c>
      <c r="M18" s="296"/>
      <c r="N18" s="296"/>
      <c r="O18" s="297"/>
      <c r="P18" s="2"/>
      <c r="Q18" s="4"/>
      <c r="R18" s="2"/>
      <c r="S18" s="2"/>
    </row>
    <row r="19" spans="1:19" s="287" customFormat="1">
      <c r="A19" s="319">
        <f>A14+1</f>
        <v>9</v>
      </c>
      <c r="B19" s="719">
        <f>'P1-Trans Plant'!B18</f>
        <v>44562</v>
      </c>
      <c r="C19" s="298">
        <f>+H19+L19</f>
        <v>0</v>
      </c>
      <c r="D19" s="298">
        <f t="shared" ref="D19:E19" si="1">+I19+M19</f>
        <v>0</v>
      </c>
      <c r="E19" s="298">
        <f t="shared" si="1"/>
        <v>0</v>
      </c>
      <c r="F19" s="328"/>
      <c r="G19" s="319"/>
      <c r="H19" s="314">
        <f>H18</f>
        <v>0</v>
      </c>
      <c r="I19" s="620">
        <f>H19*I$9</f>
        <v>0</v>
      </c>
      <c r="J19" s="620">
        <f>I19</f>
        <v>0</v>
      </c>
      <c r="K19" s="300">
        <f>+H19-J19</f>
        <v>0</v>
      </c>
      <c r="L19" s="314">
        <f>L18</f>
        <v>0</v>
      </c>
      <c r="M19" s="620">
        <f>L19*M$9</f>
        <v>0</v>
      </c>
      <c r="N19" s="620">
        <f>M19</f>
        <v>0</v>
      </c>
      <c r="O19" s="300">
        <f>+L19-N19</f>
        <v>0</v>
      </c>
      <c r="P19" s="2"/>
      <c r="Q19" s="4"/>
      <c r="R19" s="2"/>
      <c r="S19" s="2"/>
    </row>
    <row r="20" spans="1:19" s="287" customFormat="1">
      <c r="A20" s="319">
        <f t="shared" ref="A20:A42" si="2">A19+1</f>
        <v>10</v>
      </c>
      <c r="B20" s="719">
        <f>'P1-Trans Plant'!B19</f>
        <v>44593</v>
      </c>
      <c r="C20" s="298">
        <f t="shared" ref="C20:C42" si="3">+H20+L20</f>
        <v>0</v>
      </c>
      <c r="D20" s="298">
        <f t="shared" ref="D20:D42" si="4">+I20+M20</f>
        <v>0</v>
      </c>
      <c r="E20" s="298">
        <f t="shared" ref="E20:E42" si="5">+J20+N20</f>
        <v>0</v>
      </c>
      <c r="F20" s="328"/>
      <c r="G20" s="319"/>
      <c r="H20" s="314">
        <v>0</v>
      </c>
      <c r="I20" s="620">
        <f t="shared" ref="I20:I42" si="6">H20*I$9</f>
        <v>0</v>
      </c>
      <c r="J20" s="620">
        <f>J19+I20</f>
        <v>0</v>
      </c>
      <c r="K20" s="300">
        <f>+H20-J20</f>
        <v>0</v>
      </c>
      <c r="L20" s="314">
        <v>0</v>
      </c>
      <c r="M20" s="620">
        <f t="shared" ref="M20:M42" si="7">L20*M$9</f>
        <v>0</v>
      </c>
      <c r="N20" s="620">
        <f>N19+M20</f>
        <v>0</v>
      </c>
      <c r="O20" s="300">
        <f>+L20-N20</f>
        <v>0</v>
      </c>
      <c r="P20" s="2"/>
      <c r="Q20" s="4"/>
      <c r="R20" s="2"/>
      <c r="S20" s="2"/>
    </row>
    <row r="21" spans="1:19" s="287" customFormat="1">
      <c r="A21" s="319">
        <f t="shared" si="2"/>
        <v>11</v>
      </c>
      <c r="B21" s="719">
        <f>'P1-Trans Plant'!B20</f>
        <v>44621</v>
      </c>
      <c r="C21" s="298">
        <f t="shared" si="3"/>
        <v>0</v>
      </c>
      <c r="D21" s="298">
        <f t="shared" si="4"/>
        <v>0</v>
      </c>
      <c r="E21" s="298">
        <f t="shared" si="5"/>
        <v>0</v>
      </c>
      <c r="F21" s="328"/>
      <c r="G21" s="319"/>
      <c r="H21" s="314">
        <v>0</v>
      </c>
      <c r="I21" s="620">
        <f t="shared" si="6"/>
        <v>0</v>
      </c>
      <c r="J21" s="620">
        <f t="shared" ref="J21:J42" si="8">J20+I21</f>
        <v>0</v>
      </c>
      <c r="K21" s="300">
        <f t="shared" ref="K21:K42" si="9">+H21-J21</f>
        <v>0</v>
      </c>
      <c r="L21" s="314">
        <v>0</v>
      </c>
      <c r="M21" s="620">
        <f t="shared" si="7"/>
        <v>0</v>
      </c>
      <c r="N21" s="620">
        <f t="shared" ref="N21:N42" si="10">N20+M21</f>
        <v>0</v>
      </c>
      <c r="O21" s="300">
        <f t="shared" ref="O21:O42" si="11">+L21-N21</f>
        <v>0</v>
      </c>
      <c r="P21" s="2"/>
      <c r="Q21" s="4"/>
      <c r="R21" s="2"/>
      <c r="S21" s="2"/>
    </row>
    <row r="22" spans="1:19" s="287" customFormat="1">
      <c r="A22" s="319">
        <f t="shared" si="2"/>
        <v>12</v>
      </c>
      <c r="B22" s="719">
        <f>'P1-Trans Plant'!B21</f>
        <v>44652</v>
      </c>
      <c r="C22" s="298">
        <f t="shared" si="3"/>
        <v>0</v>
      </c>
      <c r="D22" s="298">
        <f t="shared" si="4"/>
        <v>0</v>
      </c>
      <c r="E22" s="298">
        <f t="shared" si="5"/>
        <v>0</v>
      </c>
      <c r="F22" s="328"/>
      <c r="G22" s="319"/>
      <c r="H22" s="314">
        <v>0</v>
      </c>
      <c r="I22" s="620">
        <f t="shared" si="6"/>
        <v>0</v>
      </c>
      <c r="J22" s="620">
        <f t="shared" si="8"/>
        <v>0</v>
      </c>
      <c r="K22" s="300">
        <f t="shared" si="9"/>
        <v>0</v>
      </c>
      <c r="L22" s="314">
        <v>0</v>
      </c>
      <c r="M22" s="620">
        <f t="shared" si="7"/>
        <v>0</v>
      </c>
      <c r="N22" s="620">
        <f t="shared" si="10"/>
        <v>0</v>
      </c>
      <c r="O22" s="300">
        <f t="shared" si="11"/>
        <v>0</v>
      </c>
      <c r="P22" s="2"/>
      <c r="Q22" s="4"/>
      <c r="R22" s="2"/>
      <c r="S22" s="2"/>
    </row>
    <row r="23" spans="1:19" s="287" customFormat="1">
      <c r="A23" s="319">
        <f t="shared" si="2"/>
        <v>13</v>
      </c>
      <c r="B23" s="719">
        <f>'P1-Trans Plant'!B22</f>
        <v>44682</v>
      </c>
      <c r="C23" s="298">
        <f t="shared" si="3"/>
        <v>0</v>
      </c>
      <c r="D23" s="298">
        <f t="shared" si="4"/>
        <v>0</v>
      </c>
      <c r="E23" s="298">
        <f t="shared" si="5"/>
        <v>0</v>
      </c>
      <c r="F23" s="328"/>
      <c r="G23" s="319"/>
      <c r="H23" s="314">
        <v>0</v>
      </c>
      <c r="I23" s="620">
        <f t="shared" si="6"/>
        <v>0</v>
      </c>
      <c r="J23" s="620">
        <f t="shared" si="8"/>
        <v>0</v>
      </c>
      <c r="K23" s="300">
        <f t="shared" si="9"/>
        <v>0</v>
      </c>
      <c r="L23" s="314">
        <v>0</v>
      </c>
      <c r="M23" s="620">
        <f t="shared" si="7"/>
        <v>0</v>
      </c>
      <c r="N23" s="620">
        <f t="shared" si="10"/>
        <v>0</v>
      </c>
      <c r="O23" s="300">
        <f t="shared" si="11"/>
        <v>0</v>
      </c>
      <c r="P23" s="2"/>
      <c r="Q23" s="4"/>
      <c r="R23" s="2"/>
      <c r="S23" s="2"/>
    </row>
    <row r="24" spans="1:19" s="287" customFormat="1">
      <c r="A24" s="319">
        <f t="shared" si="2"/>
        <v>14</v>
      </c>
      <c r="B24" s="719">
        <f>'P1-Trans Plant'!B23</f>
        <v>44713</v>
      </c>
      <c r="C24" s="298">
        <f t="shared" si="3"/>
        <v>0</v>
      </c>
      <c r="D24" s="298">
        <f t="shared" si="4"/>
        <v>0</v>
      </c>
      <c r="E24" s="298">
        <f t="shared" si="5"/>
        <v>0</v>
      </c>
      <c r="F24" s="328"/>
      <c r="G24" s="319"/>
      <c r="H24" s="314">
        <v>0</v>
      </c>
      <c r="I24" s="620">
        <f t="shared" si="6"/>
        <v>0</v>
      </c>
      <c r="J24" s="620">
        <f t="shared" si="8"/>
        <v>0</v>
      </c>
      <c r="K24" s="300">
        <f t="shared" si="9"/>
        <v>0</v>
      </c>
      <c r="L24" s="314">
        <v>0</v>
      </c>
      <c r="M24" s="620">
        <f t="shared" si="7"/>
        <v>0</v>
      </c>
      <c r="N24" s="620">
        <f t="shared" si="10"/>
        <v>0</v>
      </c>
      <c r="O24" s="300">
        <f t="shared" si="11"/>
        <v>0</v>
      </c>
      <c r="P24" s="2"/>
      <c r="Q24" s="4"/>
      <c r="R24" s="2"/>
      <c r="S24" s="2"/>
    </row>
    <row r="25" spans="1:19" s="287" customFormat="1">
      <c r="A25" s="319">
        <f t="shared" si="2"/>
        <v>15</v>
      </c>
      <c r="B25" s="719">
        <f>'P1-Trans Plant'!B24</f>
        <v>44743</v>
      </c>
      <c r="C25" s="298">
        <f t="shared" si="3"/>
        <v>0</v>
      </c>
      <c r="D25" s="298">
        <f t="shared" si="4"/>
        <v>0</v>
      </c>
      <c r="E25" s="298">
        <f t="shared" si="5"/>
        <v>0</v>
      </c>
      <c r="F25" s="328"/>
      <c r="G25" s="319"/>
      <c r="H25" s="314">
        <v>0</v>
      </c>
      <c r="I25" s="620">
        <f t="shared" si="6"/>
        <v>0</v>
      </c>
      <c r="J25" s="620">
        <f t="shared" si="8"/>
        <v>0</v>
      </c>
      <c r="K25" s="300">
        <f t="shared" si="9"/>
        <v>0</v>
      </c>
      <c r="L25" s="314">
        <v>0</v>
      </c>
      <c r="M25" s="620">
        <f t="shared" si="7"/>
        <v>0</v>
      </c>
      <c r="N25" s="620">
        <f t="shared" si="10"/>
        <v>0</v>
      </c>
      <c r="O25" s="300">
        <f t="shared" si="11"/>
        <v>0</v>
      </c>
      <c r="P25" s="2"/>
      <c r="Q25" s="4"/>
      <c r="R25" s="2"/>
      <c r="S25" s="2"/>
    </row>
    <row r="26" spans="1:19" s="287" customFormat="1">
      <c r="A26" s="319">
        <f t="shared" si="2"/>
        <v>16</v>
      </c>
      <c r="B26" s="719">
        <f>'P1-Trans Plant'!B25</f>
        <v>44774</v>
      </c>
      <c r="C26" s="298">
        <f t="shared" si="3"/>
        <v>0</v>
      </c>
      <c r="D26" s="298">
        <f t="shared" si="4"/>
        <v>0</v>
      </c>
      <c r="E26" s="298">
        <f t="shared" si="5"/>
        <v>0</v>
      </c>
      <c r="F26" s="328"/>
      <c r="G26" s="319"/>
      <c r="H26" s="314">
        <v>0</v>
      </c>
      <c r="I26" s="620">
        <f t="shared" si="6"/>
        <v>0</v>
      </c>
      <c r="J26" s="620">
        <f t="shared" si="8"/>
        <v>0</v>
      </c>
      <c r="K26" s="300">
        <f t="shared" si="9"/>
        <v>0</v>
      </c>
      <c r="L26" s="314">
        <v>0</v>
      </c>
      <c r="M26" s="620">
        <f t="shared" si="7"/>
        <v>0</v>
      </c>
      <c r="N26" s="620">
        <f t="shared" si="10"/>
        <v>0</v>
      </c>
      <c r="O26" s="300">
        <f t="shared" si="11"/>
        <v>0</v>
      </c>
      <c r="P26" s="2"/>
      <c r="Q26" s="4"/>
      <c r="R26" s="2"/>
      <c r="S26" s="2"/>
    </row>
    <row r="27" spans="1:19" s="287" customFormat="1">
      <c r="A27" s="319">
        <f t="shared" si="2"/>
        <v>17</v>
      </c>
      <c r="B27" s="719">
        <f>'P1-Trans Plant'!B26</f>
        <v>44805</v>
      </c>
      <c r="C27" s="298">
        <f t="shared" si="3"/>
        <v>0</v>
      </c>
      <c r="D27" s="298">
        <f t="shared" si="4"/>
        <v>0</v>
      </c>
      <c r="E27" s="298">
        <f t="shared" si="5"/>
        <v>0</v>
      </c>
      <c r="F27" s="328"/>
      <c r="G27" s="319"/>
      <c r="H27" s="314">
        <v>0</v>
      </c>
      <c r="I27" s="620">
        <f t="shared" si="6"/>
        <v>0</v>
      </c>
      <c r="J27" s="620">
        <f t="shared" si="8"/>
        <v>0</v>
      </c>
      <c r="K27" s="300">
        <f t="shared" si="9"/>
        <v>0</v>
      </c>
      <c r="L27" s="314">
        <v>0</v>
      </c>
      <c r="M27" s="620">
        <f t="shared" si="7"/>
        <v>0</v>
      </c>
      <c r="N27" s="620">
        <f t="shared" si="10"/>
        <v>0</v>
      </c>
      <c r="O27" s="300">
        <f t="shared" si="11"/>
        <v>0</v>
      </c>
      <c r="P27" s="2"/>
      <c r="Q27" s="4"/>
      <c r="R27" s="2"/>
      <c r="S27" s="2"/>
    </row>
    <row r="28" spans="1:19" s="287" customFormat="1">
      <c r="A28" s="319">
        <f t="shared" si="2"/>
        <v>18</v>
      </c>
      <c r="B28" s="719">
        <f>'P1-Trans Plant'!B27</f>
        <v>44835</v>
      </c>
      <c r="C28" s="298">
        <f t="shared" si="3"/>
        <v>0</v>
      </c>
      <c r="D28" s="298">
        <f t="shared" si="4"/>
        <v>0</v>
      </c>
      <c r="E28" s="298">
        <f t="shared" si="5"/>
        <v>0</v>
      </c>
      <c r="F28" s="328"/>
      <c r="G28" s="319"/>
      <c r="H28" s="314">
        <v>0</v>
      </c>
      <c r="I28" s="620">
        <f t="shared" si="6"/>
        <v>0</v>
      </c>
      <c r="J28" s="620">
        <f t="shared" si="8"/>
        <v>0</v>
      </c>
      <c r="K28" s="300">
        <f t="shared" si="9"/>
        <v>0</v>
      </c>
      <c r="L28" s="314">
        <v>0</v>
      </c>
      <c r="M28" s="620">
        <f t="shared" si="7"/>
        <v>0</v>
      </c>
      <c r="N28" s="620">
        <f t="shared" si="10"/>
        <v>0</v>
      </c>
      <c r="O28" s="300">
        <f t="shared" si="11"/>
        <v>0</v>
      </c>
      <c r="P28" s="2"/>
      <c r="Q28" s="4"/>
      <c r="R28" s="2"/>
      <c r="S28" s="2"/>
    </row>
    <row r="29" spans="1:19" s="287" customFormat="1">
      <c r="A29" s="319">
        <f t="shared" si="2"/>
        <v>19</v>
      </c>
      <c r="B29" s="719">
        <f>'P1-Trans Plant'!B28</f>
        <v>44866</v>
      </c>
      <c r="C29" s="298">
        <f t="shared" si="3"/>
        <v>0</v>
      </c>
      <c r="D29" s="298">
        <f t="shared" si="4"/>
        <v>0</v>
      </c>
      <c r="E29" s="298">
        <f t="shared" si="5"/>
        <v>0</v>
      </c>
      <c r="F29" s="328"/>
      <c r="G29" s="319"/>
      <c r="H29" s="314">
        <v>0</v>
      </c>
      <c r="I29" s="620">
        <f t="shared" si="6"/>
        <v>0</v>
      </c>
      <c r="J29" s="620">
        <f t="shared" si="8"/>
        <v>0</v>
      </c>
      <c r="K29" s="300">
        <f t="shared" si="9"/>
        <v>0</v>
      </c>
      <c r="L29" s="314">
        <v>0</v>
      </c>
      <c r="M29" s="620">
        <f t="shared" si="7"/>
        <v>0</v>
      </c>
      <c r="N29" s="620">
        <f t="shared" si="10"/>
        <v>0</v>
      </c>
      <c r="O29" s="300">
        <f t="shared" si="11"/>
        <v>0</v>
      </c>
      <c r="P29" s="2"/>
      <c r="Q29" s="4"/>
      <c r="R29" s="2"/>
      <c r="S29" s="2"/>
    </row>
    <row r="30" spans="1:19" s="287" customFormat="1">
      <c r="A30" s="319">
        <f t="shared" si="2"/>
        <v>20</v>
      </c>
      <c r="B30" s="719">
        <f>'P1-Trans Plant'!B29</f>
        <v>44896</v>
      </c>
      <c r="C30" s="298">
        <f t="shared" si="3"/>
        <v>0</v>
      </c>
      <c r="D30" s="298">
        <f t="shared" si="4"/>
        <v>0</v>
      </c>
      <c r="E30" s="298">
        <f t="shared" si="5"/>
        <v>0</v>
      </c>
      <c r="F30" s="328"/>
      <c r="G30" s="319"/>
      <c r="H30" s="314">
        <v>0</v>
      </c>
      <c r="I30" s="620">
        <f t="shared" si="6"/>
        <v>0</v>
      </c>
      <c r="J30" s="620">
        <f t="shared" si="8"/>
        <v>0</v>
      </c>
      <c r="K30" s="300">
        <f t="shared" si="9"/>
        <v>0</v>
      </c>
      <c r="L30" s="314">
        <v>0</v>
      </c>
      <c r="M30" s="620">
        <f t="shared" si="7"/>
        <v>0</v>
      </c>
      <c r="N30" s="620">
        <f t="shared" si="10"/>
        <v>0</v>
      </c>
      <c r="O30" s="300">
        <f t="shared" si="11"/>
        <v>0</v>
      </c>
      <c r="P30" s="2"/>
      <c r="Q30" s="4"/>
      <c r="R30" s="2"/>
      <c r="S30" s="2"/>
    </row>
    <row r="31" spans="1:19" s="287" customFormat="1">
      <c r="A31" s="319">
        <f t="shared" si="2"/>
        <v>21</v>
      </c>
      <c r="B31" s="719">
        <f>'P1-Trans Plant'!B30</f>
        <v>44927</v>
      </c>
      <c r="C31" s="298">
        <f t="shared" si="3"/>
        <v>0</v>
      </c>
      <c r="D31" s="298">
        <f t="shared" si="4"/>
        <v>0</v>
      </c>
      <c r="E31" s="298">
        <f t="shared" si="5"/>
        <v>0</v>
      </c>
      <c r="F31" s="328"/>
      <c r="G31" s="319"/>
      <c r="H31" s="314">
        <v>0</v>
      </c>
      <c r="I31" s="620">
        <f t="shared" si="6"/>
        <v>0</v>
      </c>
      <c r="J31" s="620">
        <f t="shared" si="8"/>
        <v>0</v>
      </c>
      <c r="K31" s="300">
        <f t="shared" si="9"/>
        <v>0</v>
      </c>
      <c r="L31" s="314">
        <v>0</v>
      </c>
      <c r="M31" s="620">
        <f t="shared" si="7"/>
        <v>0</v>
      </c>
      <c r="N31" s="620">
        <f t="shared" si="10"/>
        <v>0</v>
      </c>
      <c r="O31" s="300">
        <f t="shared" si="11"/>
        <v>0</v>
      </c>
      <c r="P31" s="2"/>
      <c r="Q31" s="4"/>
      <c r="R31" s="2"/>
      <c r="S31" s="2"/>
    </row>
    <row r="32" spans="1:19" s="287" customFormat="1">
      <c r="A32" s="319">
        <f t="shared" si="2"/>
        <v>22</v>
      </c>
      <c r="B32" s="719">
        <f>'P1-Trans Plant'!B31</f>
        <v>44958</v>
      </c>
      <c r="C32" s="298">
        <f t="shared" si="3"/>
        <v>0</v>
      </c>
      <c r="D32" s="298">
        <f t="shared" si="4"/>
        <v>0</v>
      </c>
      <c r="E32" s="298">
        <f t="shared" si="5"/>
        <v>0</v>
      </c>
      <c r="F32" s="328"/>
      <c r="G32" s="319"/>
      <c r="H32" s="314">
        <v>0</v>
      </c>
      <c r="I32" s="620">
        <f t="shared" si="6"/>
        <v>0</v>
      </c>
      <c r="J32" s="620">
        <f t="shared" si="8"/>
        <v>0</v>
      </c>
      <c r="K32" s="300">
        <f t="shared" si="9"/>
        <v>0</v>
      </c>
      <c r="L32" s="314">
        <v>0</v>
      </c>
      <c r="M32" s="620">
        <f t="shared" si="7"/>
        <v>0</v>
      </c>
      <c r="N32" s="620">
        <f t="shared" si="10"/>
        <v>0</v>
      </c>
      <c r="O32" s="300">
        <f t="shared" si="11"/>
        <v>0</v>
      </c>
      <c r="P32" s="2"/>
      <c r="Q32" s="4"/>
      <c r="R32" s="2"/>
      <c r="S32" s="2"/>
    </row>
    <row r="33" spans="1:19" s="287" customFormat="1">
      <c r="A33" s="319">
        <f t="shared" si="2"/>
        <v>23</v>
      </c>
      <c r="B33" s="719">
        <f>'P1-Trans Plant'!B32</f>
        <v>44986</v>
      </c>
      <c r="C33" s="298">
        <f t="shared" si="3"/>
        <v>0</v>
      </c>
      <c r="D33" s="298">
        <f t="shared" si="4"/>
        <v>0</v>
      </c>
      <c r="E33" s="298">
        <f t="shared" si="5"/>
        <v>0</v>
      </c>
      <c r="F33" s="328"/>
      <c r="G33" s="319"/>
      <c r="H33" s="314">
        <v>0</v>
      </c>
      <c r="I33" s="620">
        <f t="shared" si="6"/>
        <v>0</v>
      </c>
      <c r="J33" s="620">
        <f t="shared" si="8"/>
        <v>0</v>
      </c>
      <c r="K33" s="300">
        <f t="shared" si="9"/>
        <v>0</v>
      </c>
      <c r="L33" s="314">
        <v>0</v>
      </c>
      <c r="M33" s="620">
        <f t="shared" si="7"/>
        <v>0</v>
      </c>
      <c r="N33" s="620">
        <f t="shared" si="10"/>
        <v>0</v>
      </c>
      <c r="O33" s="300">
        <f t="shared" si="11"/>
        <v>0</v>
      </c>
      <c r="P33" s="2"/>
      <c r="Q33" s="4"/>
      <c r="R33" s="2"/>
      <c r="S33" s="2"/>
    </row>
    <row r="34" spans="1:19" s="287" customFormat="1">
      <c r="A34" s="319">
        <f t="shared" si="2"/>
        <v>24</v>
      </c>
      <c r="B34" s="719">
        <f>'P1-Trans Plant'!B33</f>
        <v>45017</v>
      </c>
      <c r="C34" s="298">
        <f t="shared" si="3"/>
        <v>0</v>
      </c>
      <c r="D34" s="298">
        <f t="shared" si="4"/>
        <v>0</v>
      </c>
      <c r="E34" s="298">
        <f t="shared" si="5"/>
        <v>0</v>
      </c>
      <c r="F34" s="328"/>
      <c r="G34" s="319"/>
      <c r="H34" s="314">
        <v>0</v>
      </c>
      <c r="I34" s="620">
        <f t="shared" si="6"/>
        <v>0</v>
      </c>
      <c r="J34" s="620">
        <f t="shared" si="8"/>
        <v>0</v>
      </c>
      <c r="K34" s="300">
        <f t="shared" si="9"/>
        <v>0</v>
      </c>
      <c r="L34" s="314">
        <v>0</v>
      </c>
      <c r="M34" s="620">
        <f t="shared" si="7"/>
        <v>0</v>
      </c>
      <c r="N34" s="620">
        <f t="shared" si="10"/>
        <v>0</v>
      </c>
      <c r="O34" s="300">
        <f t="shared" si="11"/>
        <v>0</v>
      </c>
      <c r="P34" s="2"/>
      <c r="Q34" s="4"/>
      <c r="R34" s="2"/>
      <c r="S34" s="2"/>
    </row>
    <row r="35" spans="1:19" s="287" customFormat="1">
      <c r="A35" s="319">
        <f t="shared" si="2"/>
        <v>25</v>
      </c>
      <c r="B35" s="719">
        <f>'P1-Trans Plant'!B34</f>
        <v>45047</v>
      </c>
      <c r="C35" s="298">
        <f t="shared" si="3"/>
        <v>0</v>
      </c>
      <c r="D35" s="298">
        <f t="shared" si="4"/>
        <v>0</v>
      </c>
      <c r="E35" s="298">
        <f t="shared" si="5"/>
        <v>0</v>
      </c>
      <c r="F35" s="328"/>
      <c r="G35" s="319"/>
      <c r="H35" s="314">
        <v>0</v>
      </c>
      <c r="I35" s="620">
        <f t="shared" si="6"/>
        <v>0</v>
      </c>
      <c r="J35" s="620">
        <f t="shared" si="8"/>
        <v>0</v>
      </c>
      <c r="K35" s="300">
        <f t="shared" si="9"/>
        <v>0</v>
      </c>
      <c r="L35" s="314">
        <v>0</v>
      </c>
      <c r="M35" s="620">
        <f t="shared" si="7"/>
        <v>0</v>
      </c>
      <c r="N35" s="620">
        <f t="shared" si="10"/>
        <v>0</v>
      </c>
      <c r="O35" s="300">
        <f t="shared" si="11"/>
        <v>0</v>
      </c>
      <c r="P35" s="2"/>
      <c r="Q35" s="4"/>
      <c r="R35" s="2"/>
      <c r="S35" s="2"/>
    </row>
    <row r="36" spans="1:19" s="287" customFormat="1">
      <c r="A36" s="319">
        <f t="shared" si="2"/>
        <v>26</v>
      </c>
      <c r="B36" s="719">
        <f>'P1-Trans Plant'!B35</f>
        <v>45078</v>
      </c>
      <c r="C36" s="298">
        <f t="shared" si="3"/>
        <v>0</v>
      </c>
      <c r="D36" s="298">
        <f t="shared" si="4"/>
        <v>0</v>
      </c>
      <c r="E36" s="298">
        <f t="shared" si="5"/>
        <v>0</v>
      </c>
      <c r="F36" s="328"/>
      <c r="G36" s="319"/>
      <c r="H36" s="314">
        <v>0</v>
      </c>
      <c r="I36" s="620">
        <f t="shared" si="6"/>
        <v>0</v>
      </c>
      <c r="J36" s="620">
        <f t="shared" si="8"/>
        <v>0</v>
      </c>
      <c r="K36" s="300">
        <f t="shared" si="9"/>
        <v>0</v>
      </c>
      <c r="L36" s="314">
        <v>0</v>
      </c>
      <c r="M36" s="620">
        <f t="shared" si="7"/>
        <v>0</v>
      </c>
      <c r="N36" s="620">
        <f t="shared" si="10"/>
        <v>0</v>
      </c>
      <c r="O36" s="300">
        <f t="shared" si="11"/>
        <v>0</v>
      </c>
      <c r="P36" s="2"/>
      <c r="Q36" s="4"/>
      <c r="R36" s="2"/>
      <c r="S36" s="2"/>
    </row>
    <row r="37" spans="1:19" s="287" customFormat="1">
      <c r="A37" s="319">
        <f t="shared" si="2"/>
        <v>27</v>
      </c>
      <c r="B37" s="719">
        <f>'P1-Trans Plant'!B36</f>
        <v>45108</v>
      </c>
      <c r="C37" s="298">
        <f t="shared" si="3"/>
        <v>0</v>
      </c>
      <c r="D37" s="298">
        <f t="shared" si="4"/>
        <v>0</v>
      </c>
      <c r="E37" s="298">
        <f t="shared" si="5"/>
        <v>0</v>
      </c>
      <c r="F37" s="328"/>
      <c r="G37" s="319"/>
      <c r="H37" s="314">
        <v>0</v>
      </c>
      <c r="I37" s="620">
        <f t="shared" si="6"/>
        <v>0</v>
      </c>
      <c r="J37" s="620">
        <f t="shared" si="8"/>
        <v>0</v>
      </c>
      <c r="K37" s="300">
        <f t="shared" si="9"/>
        <v>0</v>
      </c>
      <c r="L37" s="314">
        <v>0</v>
      </c>
      <c r="M37" s="620">
        <f t="shared" si="7"/>
        <v>0</v>
      </c>
      <c r="N37" s="620">
        <f t="shared" si="10"/>
        <v>0</v>
      </c>
      <c r="O37" s="300">
        <f t="shared" si="11"/>
        <v>0</v>
      </c>
      <c r="P37" s="2"/>
      <c r="Q37" s="4"/>
      <c r="R37" s="2"/>
      <c r="S37" s="2"/>
    </row>
    <row r="38" spans="1:19" s="287" customFormat="1">
      <c r="A38" s="319">
        <f t="shared" si="2"/>
        <v>28</v>
      </c>
      <c r="B38" s="719">
        <f>'P1-Trans Plant'!B37</f>
        <v>45139</v>
      </c>
      <c r="C38" s="298">
        <f t="shared" si="3"/>
        <v>0</v>
      </c>
      <c r="D38" s="298">
        <f t="shared" si="4"/>
        <v>0</v>
      </c>
      <c r="E38" s="298">
        <f t="shared" si="5"/>
        <v>0</v>
      </c>
      <c r="F38" s="328"/>
      <c r="G38" s="319"/>
      <c r="H38" s="314">
        <v>0</v>
      </c>
      <c r="I38" s="620">
        <f t="shared" si="6"/>
        <v>0</v>
      </c>
      <c r="J38" s="620">
        <f t="shared" si="8"/>
        <v>0</v>
      </c>
      <c r="K38" s="300">
        <f t="shared" si="9"/>
        <v>0</v>
      </c>
      <c r="L38" s="314">
        <v>0</v>
      </c>
      <c r="M38" s="620">
        <f t="shared" si="7"/>
        <v>0</v>
      </c>
      <c r="N38" s="620">
        <f t="shared" si="10"/>
        <v>0</v>
      </c>
      <c r="O38" s="300">
        <f t="shared" si="11"/>
        <v>0</v>
      </c>
      <c r="P38" s="2"/>
      <c r="Q38" s="4"/>
      <c r="R38" s="2"/>
      <c r="S38" s="2"/>
    </row>
    <row r="39" spans="1:19" s="287" customFormat="1">
      <c r="A39" s="319">
        <f t="shared" si="2"/>
        <v>29</v>
      </c>
      <c r="B39" s="719">
        <f>'P1-Trans Plant'!B38</f>
        <v>45170</v>
      </c>
      <c r="C39" s="298">
        <f t="shared" si="3"/>
        <v>0</v>
      </c>
      <c r="D39" s="298">
        <f t="shared" si="4"/>
        <v>0</v>
      </c>
      <c r="E39" s="298">
        <f t="shared" si="5"/>
        <v>0</v>
      </c>
      <c r="F39" s="328"/>
      <c r="G39" s="319"/>
      <c r="H39" s="314">
        <v>0</v>
      </c>
      <c r="I39" s="620">
        <f t="shared" si="6"/>
        <v>0</v>
      </c>
      <c r="J39" s="620">
        <f t="shared" si="8"/>
        <v>0</v>
      </c>
      <c r="K39" s="300">
        <f t="shared" si="9"/>
        <v>0</v>
      </c>
      <c r="L39" s="314">
        <v>0</v>
      </c>
      <c r="M39" s="620">
        <f t="shared" si="7"/>
        <v>0</v>
      </c>
      <c r="N39" s="620">
        <f t="shared" si="10"/>
        <v>0</v>
      </c>
      <c r="O39" s="300">
        <f t="shared" si="11"/>
        <v>0</v>
      </c>
      <c r="P39" s="2"/>
      <c r="Q39" s="4"/>
      <c r="R39" s="2"/>
      <c r="S39" s="2"/>
    </row>
    <row r="40" spans="1:19" s="287" customFormat="1">
      <c r="A40" s="319">
        <f t="shared" si="2"/>
        <v>30</v>
      </c>
      <c r="B40" s="719">
        <f>'P1-Trans Plant'!B39</f>
        <v>45200</v>
      </c>
      <c r="C40" s="298">
        <f t="shared" si="3"/>
        <v>0</v>
      </c>
      <c r="D40" s="298">
        <f t="shared" si="4"/>
        <v>0</v>
      </c>
      <c r="E40" s="298">
        <f t="shared" si="5"/>
        <v>0</v>
      </c>
      <c r="F40" s="328"/>
      <c r="G40" s="319"/>
      <c r="H40" s="314">
        <v>0</v>
      </c>
      <c r="I40" s="620">
        <f t="shared" si="6"/>
        <v>0</v>
      </c>
      <c r="J40" s="620">
        <f t="shared" si="8"/>
        <v>0</v>
      </c>
      <c r="K40" s="300">
        <f t="shared" si="9"/>
        <v>0</v>
      </c>
      <c r="L40" s="314">
        <v>0</v>
      </c>
      <c r="M40" s="620">
        <f t="shared" si="7"/>
        <v>0</v>
      </c>
      <c r="N40" s="620">
        <f t="shared" si="10"/>
        <v>0</v>
      </c>
      <c r="O40" s="300">
        <f t="shared" si="11"/>
        <v>0</v>
      </c>
      <c r="P40" s="2"/>
      <c r="Q40" s="4"/>
      <c r="R40" s="2"/>
      <c r="S40" s="2"/>
    </row>
    <row r="41" spans="1:19" s="287" customFormat="1">
      <c r="A41" s="319">
        <f t="shared" si="2"/>
        <v>31</v>
      </c>
      <c r="B41" s="719">
        <f>'P1-Trans Plant'!B40</f>
        <v>45231</v>
      </c>
      <c r="C41" s="298">
        <f t="shared" si="3"/>
        <v>0</v>
      </c>
      <c r="D41" s="298">
        <f t="shared" si="4"/>
        <v>0</v>
      </c>
      <c r="E41" s="298">
        <f t="shared" si="5"/>
        <v>0</v>
      </c>
      <c r="F41" s="328"/>
      <c r="G41" s="319"/>
      <c r="H41" s="314">
        <v>0</v>
      </c>
      <c r="I41" s="620">
        <f t="shared" si="6"/>
        <v>0</v>
      </c>
      <c r="J41" s="620">
        <f t="shared" si="8"/>
        <v>0</v>
      </c>
      <c r="K41" s="300">
        <f t="shared" si="9"/>
        <v>0</v>
      </c>
      <c r="L41" s="314">
        <v>0</v>
      </c>
      <c r="M41" s="620">
        <f t="shared" si="7"/>
        <v>0</v>
      </c>
      <c r="N41" s="620">
        <f t="shared" si="10"/>
        <v>0</v>
      </c>
      <c r="O41" s="300">
        <f t="shared" si="11"/>
        <v>0</v>
      </c>
      <c r="P41" s="2"/>
      <c r="Q41" s="4"/>
      <c r="R41" s="2"/>
      <c r="S41" s="2"/>
    </row>
    <row r="42" spans="1:19" s="287" customFormat="1">
      <c r="A42" s="319">
        <f t="shared" si="2"/>
        <v>32</v>
      </c>
      <c r="B42" s="719">
        <f>'P1-Trans Plant'!B41</f>
        <v>45261</v>
      </c>
      <c r="C42" s="298">
        <f t="shared" si="3"/>
        <v>0</v>
      </c>
      <c r="D42" s="298">
        <f t="shared" si="4"/>
        <v>0</v>
      </c>
      <c r="E42" s="298">
        <f t="shared" si="5"/>
        <v>0</v>
      </c>
      <c r="F42" s="328"/>
      <c r="G42" s="319"/>
      <c r="H42" s="314">
        <v>0</v>
      </c>
      <c r="I42" s="620">
        <f t="shared" si="6"/>
        <v>0</v>
      </c>
      <c r="J42" s="620">
        <f t="shared" si="8"/>
        <v>0</v>
      </c>
      <c r="K42" s="300">
        <f t="shared" si="9"/>
        <v>0</v>
      </c>
      <c r="L42" s="314">
        <v>0</v>
      </c>
      <c r="M42" s="620">
        <f t="shared" si="7"/>
        <v>0</v>
      </c>
      <c r="N42" s="620">
        <f t="shared" si="10"/>
        <v>0</v>
      </c>
      <c r="O42" s="300">
        <f t="shared" si="11"/>
        <v>0</v>
      </c>
      <c r="P42" s="2"/>
      <c r="Q42" s="4"/>
      <c r="R42" s="2"/>
      <c r="S42" s="2"/>
    </row>
    <row r="43" spans="1:19" s="287" customFormat="1">
      <c r="A43" s="319"/>
      <c r="B43" s="319"/>
      <c r="G43" s="319"/>
      <c r="H43" s="332"/>
      <c r="I43" s="306"/>
      <c r="J43" s="306"/>
      <c r="K43" s="335"/>
      <c r="L43" s="336"/>
      <c r="M43" s="306"/>
      <c r="N43" s="306"/>
      <c r="O43" s="337"/>
      <c r="P43" s="2"/>
      <c r="Q43" s="4"/>
      <c r="R43" s="2"/>
      <c r="S43" s="2"/>
    </row>
    <row r="44" spans="1:19" s="287" customFormat="1">
      <c r="A44" s="319">
        <v>33</v>
      </c>
      <c r="B44" s="257" t="s">
        <v>377</v>
      </c>
      <c r="C44" s="262"/>
      <c r="D44" s="265">
        <f>SUM(D31:D42)</f>
        <v>0</v>
      </c>
      <c r="E44" s="262"/>
      <c r="G44" s="319"/>
      <c r="H44" s="331"/>
      <c r="I44" s="265">
        <f>SUM(I31:I42)</f>
        <v>0</v>
      </c>
      <c r="J44" s="263"/>
      <c r="K44" s="335"/>
      <c r="L44" s="331"/>
      <c r="M44" s="265">
        <f>SUM(M31:M42)</f>
        <v>0</v>
      </c>
      <c r="N44" s="263"/>
      <c r="O44" s="337"/>
      <c r="P44" s="2"/>
      <c r="Q44" s="4"/>
      <c r="R44" s="2"/>
      <c r="S44" s="2"/>
    </row>
    <row r="45" spans="1:19" s="287" customFormat="1">
      <c r="A45" s="319">
        <v>34</v>
      </c>
      <c r="B45" s="257" t="s">
        <v>378</v>
      </c>
      <c r="C45" s="262">
        <f>SUM(C30:C42)/13</f>
        <v>0</v>
      </c>
      <c r="D45" s="267"/>
      <c r="E45" s="262">
        <f>SUM(E30:E42)/13</f>
        <v>0</v>
      </c>
      <c r="G45" s="319"/>
      <c r="H45" s="331">
        <f>SUM(H30:H42)/13</f>
        <v>0</v>
      </c>
      <c r="I45" s="267"/>
      <c r="J45" s="263">
        <f>SUM(J30:J42)/13</f>
        <v>0</v>
      </c>
      <c r="K45" s="264">
        <f>SUM(K30:K42)/13</f>
        <v>0</v>
      </c>
      <c r="L45" s="331">
        <f>SUM(L30:L42)/13</f>
        <v>0</v>
      </c>
      <c r="M45" s="267"/>
      <c r="N45" s="263">
        <f>SUM(N30:N42)/13</f>
        <v>0</v>
      </c>
      <c r="O45" s="264">
        <f>SUM(O30:O42)/13</f>
        <v>0</v>
      </c>
      <c r="P45" s="2"/>
      <c r="Q45" s="4"/>
      <c r="R45" s="2"/>
      <c r="S45" s="2"/>
    </row>
    <row r="46" spans="1:19" s="287" customFormat="1" ht="14.4" thickBot="1">
      <c r="A46" s="296"/>
      <c r="B46" s="257"/>
      <c r="G46" s="319"/>
      <c r="H46" s="332"/>
      <c r="I46" s="306"/>
      <c r="J46" s="306"/>
      <c r="K46" s="335"/>
      <c r="L46" s="336"/>
      <c r="M46" s="306"/>
      <c r="N46" s="306"/>
      <c r="O46" s="337"/>
      <c r="P46" s="2"/>
      <c r="Q46" s="4"/>
      <c r="R46" s="2"/>
      <c r="S46" s="2"/>
    </row>
    <row r="47" spans="1:19" s="287" customFormat="1" ht="14.4" thickBot="1">
      <c r="A47" s="319">
        <v>35</v>
      </c>
      <c r="B47" s="257" t="s">
        <v>551</v>
      </c>
      <c r="F47" s="338">
        <f>O47+K47</f>
        <v>0</v>
      </c>
      <c r="G47" s="319"/>
      <c r="H47" s="332"/>
      <c r="I47" s="306"/>
      <c r="J47" s="257"/>
      <c r="K47" s="290">
        <f>ROUND(K45*I11,2)</f>
        <v>0</v>
      </c>
      <c r="L47" s="336"/>
      <c r="M47" s="306"/>
      <c r="N47" s="257"/>
      <c r="O47" s="290">
        <f>ROUND(O45*M11,2)</f>
        <v>0</v>
      </c>
      <c r="P47" s="2"/>
      <c r="Q47" s="4"/>
      <c r="R47" s="2"/>
      <c r="S47" s="2"/>
    </row>
    <row r="48" spans="1:19" s="287" customFormat="1">
      <c r="A48" s="319"/>
      <c r="F48" s="287" t="s">
        <v>704</v>
      </c>
      <c r="G48" s="319"/>
      <c r="H48" s="656"/>
      <c r="J48" s="257"/>
      <c r="K48" s="657" t="s">
        <v>704</v>
      </c>
      <c r="L48" s="658"/>
      <c r="N48" s="257"/>
      <c r="O48" s="659" t="s">
        <v>704</v>
      </c>
      <c r="P48" s="2"/>
      <c r="Q48" s="4"/>
      <c r="R48" s="2"/>
      <c r="S48" s="2"/>
    </row>
    <row r="49" spans="1:19" s="287" customFormat="1" ht="26.4" customHeight="1">
      <c r="A49" s="296"/>
      <c r="B49" s="319"/>
      <c r="G49" s="319"/>
      <c r="H49" s="301"/>
      <c r="I49" s="868" t="s">
        <v>1178</v>
      </c>
      <c r="J49" s="868" t="s">
        <v>1179</v>
      </c>
      <c r="K49" s="865" t="s">
        <v>1180</v>
      </c>
      <c r="L49" s="866"/>
      <c r="M49" s="868" t="s">
        <v>1181</v>
      </c>
      <c r="N49" s="868" t="s">
        <v>1182</v>
      </c>
      <c r="O49" s="867" t="s">
        <v>1183</v>
      </c>
      <c r="P49" s="2"/>
      <c r="Q49" s="4"/>
      <c r="R49" s="2"/>
      <c r="S49" s="2"/>
    </row>
    <row r="50" spans="1:19" s="287" customFormat="1">
      <c r="A50" s="321" t="s">
        <v>155</v>
      </c>
      <c r="B50" s="319"/>
      <c r="G50" s="319"/>
      <c r="H50" s="306"/>
      <c r="I50" s="306"/>
      <c r="J50" s="306"/>
      <c r="K50" s="306"/>
      <c r="L50" s="307"/>
      <c r="M50" s="306"/>
      <c r="N50" s="306"/>
      <c r="O50" s="308"/>
      <c r="P50" s="2"/>
      <c r="Q50" s="4"/>
      <c r="R50" s="2"/>
      <c r="S50" s="2"/>
    </row>
    <row r="51" spans="1:19" s="287" customFormat="1">
      <c r="A51" s="296" t="s">
        <v>76</v>
      </c>
      <c r="B51" s="320" t="s">
        <v>537</v>
      </c>
      <c r="G51" s="319"/>
      <c r="H51" s="306"/>
      <c r="I51" s="306"/>
      <c r="J51" s="306"/>
      <c r="K51" s="306"/>
      <c r="L51" s="307"/>
      <c r="M51" s="306"/>
      <c r="N51" s="306"/>
      <c r="O51" s="308"/>
      <c r="P51" s="2"/>
      <c r="Q51" s="4"/>
      <c r="R51" s="2"/>
      <c r="S51" s="2"/>
    </row>
    <row r="52" spans="1:19" s="16" customFormat="1" ht="15" customHeight="1">
      <c r="A52" s="296" t="s">
        <v>77</v>
      </c>
      <c r="B52" s="320" t="s">
        <v>538</v>
      </c>
      <c r="C52" s="37"/>
      <c r="D52" s="37"/>
      <c r="E52" s="37"/>
      <c r="F52" s="37"/>
      <c r="G52" s="318"/>
      <c r="H52" s="2"/>
      <c r="I52" s="2"/>
      <c r="J52" s="2"/>
      <c r="P52" s="2"/>
      <c r="Q52" s="4"/>
      <c r="R52" s="2"/>
      <c r="S52" s="2"/>
    </row>
    <row r="53" spans="1:19" s="16" customFormat="1" ht="15" customHeight="1">
      <c r="A53" s="296" t="s">
        <v>78</v>
      </c>
      <c r="B53" s="320" t="s">
        <v>706</v>
      </c>
      <c r="C53" s="37"/>
      <c r="D53" s="37"/>
      <c r="E53" s="37"/>
      <c r="F53" s="37"/>
      <c r="G53" s="318"/>
      <c r="H53" s="2"/>
      <c r="I53" s="2"/>
      <c r="J53" s="2"/>
      <c r="P53" s="2"/>
      <c r="Q53" s="4"/>
      <c r="R53" s="2"/>
      <c r="S53" s="2"/>
    </row>
    <row r="54" spans="1:19" ht="30" customHeight="1">
      <c r="A54" s="296" t="s">
        <v>79</v>
      </c>
      <c r="B54" s="965" t="s">
        <v>1262</v>
      </c>
      <c r="C54" s="965"/>
      <c r="D54" s="965"/>
      <c r="E54" s="965"/>
      <c r="F54" s="965"/>
      <c r="G54" s="965"/>
      <c r="H54" s="965"/>
      <c r="I54" s="965"/>
      <c r="J54" s="965"/>
      <c r="K54" s="965"/>
      <c r="L54" s="965"/>
      <c r="M54" s="965"/>
      <c r="N54" s="965"/>
      <c r="O54" s="965"/>
    </row>
    <row r="55" spans="1:19" ht="15" customHeight="1">
      <c r="A55" s="35"/>
      <c r="B55" s="36"/>
      <c r="C55" s="37"/>
      <c r="D55" s="37"/>
      <c r="E55" s="37"/>
      <c r="F55" s="37"/>
      <c r="G55" s="318"/>
    </row>
    <row r="56" spans="1:19" ht="15" customHeight="1">
      <c r="A56" s="35"/>
      <c r="B56" s="36"/>
      <c r="C56" s="37"/>
      <c r="D56" s="37"/>
      <c r="E56" s="37"/>
      <c r="F56" s="37"/>
      <c r="G56" s="318"/>
    </row>
    <row r="57" spans="1:19" ht="15" customHeight="1">
      <c r="A57" s="35"/>
      <c r="B57" s="36"/>
      <c r="C57" s="37"/>
      <c r="D57" s="37"/>
      <c r="E57" s="37"/>
      <c r="F57" s="37"/>
      <c r="G57" s="318"/>
    </row>
    <row r="58" spans="1:19" ht="15" customHeight="1">
      <c r="A58" s="35"/>
      <c r="B58" s="36"/>
      <c r="C58" s="37"/>
      <c r="D58" s="37"/>
      <c r="E58" s="37"/>
      <c r="F58" s="37"/>
      <c r="G58" s="318"/>
    </row>
    <row r="59" spans="1:19" ht="15" customHeight="1">
      <c r="A59" s="35"/>
      <c r="B59" s="36"/>
      <c r="C59" s="37"/>
      <c r="D59" s="37"/>
      <c r="E59" s="37"/>
      <c r="F59" s="37"/>
      <c r="G59" s="318"/>
    </row>
    <row r="60" spans="1:19">
      <c r="A60" s="35"/>
      <c r="B60" s="36"/>
      <c r="C60" s="37"/>
      <c r="D60" s="37"/>
      <c r="E60" s="37"/>
      <c r="F60" s="37"/>
      <c r="G60" s="318"/>
    </row>
    <row r="61" spans="1:19">
      <c r="A61" s="35"/>
      <c r="B61" s="36"/>
      <c r="C61" s="37"/>
      <c r="D61" s="37"/>
      <c r="E61" s="37"/>
      <c r="F61" s="37"/>
      <c r="G61" s="318"/>
    </row>
    <row r="62" spans="1:19">
      <c r="A62" s="35"/>
      <c r="B62" s="36"/>
      <c r="C62" s="37"/>
      <c r="D62" s="37"/>
      <c r="E62" s="37"/>
      <c r="F62" s="37"/>
      <c r="G62" s="318"/>
    </row>
    <row r="63" spans="1:19">
      <c r="A63" s="35"/>
      <c r="B63" s="36"/>
      <c r="C63" s="37"/>
      <c r="D63" s="37"/>
      <c r="E63" s="37"/>
      <c r="F63" s="37"/>
      <c r="G63" s="318"/>
    </row>
    <row r="64" spans="1:19">
      <c r="A64" s="35"/>
      <c r="B64" s="36"/>
      <c r="C64" s="37"/>
      <c r="D64" s="37"/>
      <c r="E64" s="37"/>
      <c r="F64" s="37"/>
      <c r="G64" s="318"/>
    </row>
    <row r="65" spans="1:7">
      <c r="A65" s="35"/>
      <c r="B65" s="36"/>
      <c r="C65" s="37"/>
      <c r="D65" s="37"/>
      <c r="E65" s="37"/>
      <c r="F65" s="37"/>
      <c r="G65" s="318"/>
    </row>
    <row r="66" spans="1:7">
      <c r="A66" s="35"/>
      <c r="B66" s="36"/>
      <c r="C66" s="37"/>
      <c r="D66" s="37"/>
      <c r="E66" s="37"/>
      <c r="F66" s="37"/>
      <c r="G66" s="318"/>
    </row>
    <row r="67" spans="1:7">
      <c r="A67" s="35"/>
      <c r="B67" s="36"/>
      <c r="C67" s="37"/>
      <c r="D67" s="37"/>
      <c r="E67" s="37"/>
      <c r="F67" s="37"/>
      <c r="G67" s="318"/>
    </row>
    <row r="68" spans="1:7">
      <c r="A68" s="35"/>
      <c r="B68" s="36"/>
      <c r="C68" s="37"/>
      <c r="D68" s="37"/>
      <c r="E68" s="37"/>
      <c r="F68" s="37"/>
      <c r="G68" s="318"/>
    </row>
    <row r="69" spans="1:7">
      <c r="A69" s="35"/>
      <c r="B69" s="36"/>
      <c r="C69" s="37"/>
      <c r="D69" s="37"/>
      <c r="E69" s="37"/>
      <c r="F69" s="37"/>
      <c r="G69" s="318"/>
    </row>
    <row r="70" spans="1:7">
      <c r="A70" s="35"/>
      <c r="B70" s="36"/>
      <c r="C70" s="37"/>
      <c r="D70" s="37"/>
      <c r="E70" s="37"/>
      <c r="F70" s="37"/>
      <c r="G70" s="318"/>
    </row>
    <row r="93" spans="11:12">
      <c r="K93" s="3"/>
    </row>
    <row r="94" spans="11:12">
      <c r="K94" s="3"/>
      <c r="L94" s="6"/>
    </row>
    <row r="95" spans="11:12">
      <c r="K95" s="3"/>
    </row>
    <row r="98" spans="1:17" ht="102" customHeight="1"/>
    <row r="99" spans="1:17" s="16" customFormat="1">
      <c r="A99" s="1"/>
      <c r="B99" s="28"/>
      <c r="C99" s="2"/>
      <c r="D99" s="2"/>
      <c r="E99" s="2"/>
      <c r="F99" s="2"/>
      <c r="G99" s="28"/>
      <c r="H99" s="2"/>
      <c r="I99" s="2"/>
      <c r="J99" s="2"/>
      <c r="Q99" s="15"/>
    </row>
    <row r="100" spans="1:17" s="16" customFormat="1" ht="63.75" customHeight="1">
      <c r="A100" s="1"/>
      <c r="B100" s="28"/>
      <c r="C100" s="2"/>
      <c r="D100" s="2"/>
      <c r="E100" s="2"/>
      <c r="F100" s="2"/>
      <c r="G100" s="28"/>
      <c r="H100" s="2"/>
      <c r="I100" s="2"/>
      <c r="J100" s="2"/>
      <c r="Q100" s="15"/>
    </row>
    <row r="116" spans="1:17" s="16" customFormat="1">
      <c r="A116" s="1"/>
      <c r="B116" s="28"/>
      <c r="C116" s="2"/>
      <c r="D116" s="2"/>
      <c r="E116" s="2"/>
      <c r="F116" s="2"/>
      <c r="G116" s="28"/>
      <c r="H116" s="2"/>
      <c r="I116" s="2"/>
      <c r="J116" s="2"/>
      <c r="K116" s="2"/>
      <c r="Q116" s="15"/>
    </row>
    <row r="117" spans="1:17" s="16" customFormat="1">
      <c r="A117" s="1"/>
      <c r="B117" s="28"/>
      <c r="C117" s="2"/>
      <c r="D117" s="2"/>
      <c r="E117" s="2"/>
      <c r="F117" s="2"/>
      <c r="G117" s="28"/>
      <c r="H117" s="2"/>
      <c r="I117" s="2"/>
      <c r="J117" s="2"/>
      <c r="K117" s="2"/>
      <c r="L117" s="2"/>
      <c r="Q117" s="15"/>
    </row>
    <row r="118" spans="1:17" s="16" customFormat="1">
      <c r="A118" s="1"/>
      <c r="B118" s="28"/>
      <c r="C118" s="2"/>
      <c r="D118" s="2"/>
      <c r="E118" s="2"/>
      <c r="F118" s="2"/>
      <c r="G118" s="28"/>
      <c r="H118" s="2"/>
      <c r="I118" s="2"/>
      <c r="J118" s="2"/>
      <c r="K118" s="2"/>
      <c r="L118" s="2"/>
      <c r="Q118" s="15"/>
    </row>
    <row r="119" spans="1:17" s="16" customFormat="1" ht="82.5" customHeight="1">
      <c r="A119" s="1"/>
      <c r="B119" s="28"/>
      <c r="C119" s="2"/>
      <c r="D119" s="2"/>
      <c r="E119" s="2"/>
      <c r="F119" s="2"/>
      <c r="G119" s="28"/>
      <c r="H119" s="2"/>
      <c r="I119" s="2"/>
      <c r="J119" s="2"/>
      <c r="K119" s="30"/>
      <c r="L119" s="30"/>
      <c r="Q119" s="15"/>
    </row>
    <row r="120" spans="1:17" s="16" customFormat="1">
      <c r="A120" s="1"/>
      <c r="B120" s="28"/>
      <c r="C120" s="2"/>
      <c r="D120" s="2"/>
      <c r="E120" s="2"/>
      <c r="F120" s="2"/>
      <c r="G120" s="28"/>
      <c r="H120" s="2"/>
      <c r="I120" s="2"/>
      <c r="J120" s="2"/>
      <c r="K120" s="2"/>
      <c r="L120" s="2"/>
      <c r="Q120" s="15"/>
    </row>
    <row r="121" spans="1:17" s="16" customFormat="1">
      <c r="A121" s="1"/>
      <c r="B121" s="28"/>
      <c r="C121" s="2"/>
      <c r="D121" s="2"/>
      <c r="E121" s="2"/>
      <c r="F121" s="2"/>
      <c r="G121" s="28"/>
      <c r="H121" s="2"/>
      <c r="I121" s="2"/>
      <c r="J121" s="2"/>
      <c r="K121" s="2"/>
      <c r="L121" s="2"/>
      <c r="Q121" s="15"/>
    </row>
    <row r="122" spans="1:17" s="16" customFormat="1">
      <c r="A122" s="1"/>
      <c r="B122" s="28"/>
      <c r="C122" s="2"/>
      <c r="D122" s="2"/>
      <c r="E122" s="2"/>
      <c r="F122" s="2"/>
      <c r="G122" s="28"/>
      <c r="H122" s="2"/>
      <c r="I122" s="2"/>
      <c r="J122" s="2"/>
      <c r="K122" s="2"/>
      <c r="L122" s="2"/>
      <c r="Q122" s="15"/>
    </row>
    <row r="123" spans="1:17" s="16" customFormat="1">
      <c r="A123" s="1"/>
      <c r="B123" s="28"/>
      <c r="C123" s="2"/>
      <c r="D123" s="2"/>
      <c r="E123" s="2"/>
      <c r="F123" s="2"/>
      <c r="G123" s="28"/>
      <c r="H123" s="2"/>
      <c r="I123" s="2"/>
      <c r="J123" s="2"/>
      <c r="K123" s="2"/>
      <c r="L123" s="2"/>
      <c r="Q123" s="15"/>
    </row>
    <row r="124" spans="1:17" s="16" customFormat="1">
      <c r="A124" s="1"/>
      <c r="B124" s="28"/>
      <c r="C124" s="2"/>
      <c r="D124" s="2"/>
      <c r="E124" s="2"/>
      <c r="F124" s="2"/>
      <c r="G124" s="28"/>
      <c r="H124" s="2"/>
      <c r="I124" s="2"/>
      <c r="J124" s="2"/>
      <c r="K124" s="2"/>
      <c r="L124" s="2"/>
      <c r="Q124" s="15"/>
    </row>
    <row r="125" spans="1:17" s="16" customFormat="1">
      <c r="A125" s="1"/>
      <c r="B125" s="28"/>
      <c r="C125" s="2"/>
      <c r="D125" s="2"/>
      <c r="E125" s="2"/>
      <c r="F125" s="2"/>
      <c r="G125" s="28"/>
      <c r="H125" s="2"/>
      <c r="I125" s="2"/>
      <c r="J125" s="2"/>
      <c r="K125" s="2"/>
      <c r="L125" s="2"/>
      <c r="Q125" s="15"/>
    </row>
    <row r="126" spans="1:17" s="16" customFormat="1">
      <c r="A126" s="1"/>
      <c r="B126" s="28"/>
      <c r="C126" s="2"/>
      <c r="D126" s="2"/>
      <c r="E126" s="2"/>
      <c r="F126" s="2"/>
      <c r="G126" s="28"/>
      <c r="H126" s="2"/>
      <c r="I126" s="2"/>
      <c r="J126" s="2"/>
      <c r="K126" s="2"/>
      <c r="Q126" s="15"/>
    </row>
    <row r="127" spans="1:17" s="16" customFormat="1">
      <c r="A127" s="1"/>
      <c r="B127" s="28"/>
      <c r="C127" s="2"/>
      <c r="D127" s="2"/>
      <c r="E127" s="2"/>
      <c r="F127" s="2"/>
      <c r="G127" s="28"/>
      <c r="H127" s="2"/>
      <c r="I127" s="2"/>
      <c r="J127" s="2"/>
      <c r="K127" s="2"/>
      <c r="Q127" s="15"/>
    </row>
    <row r="129" spans="11:15" ht="15" customHeight="1">
      <c r="K129" s="280"/>
    </row>
    <row r="130" spans="11:15" ht="15" customHeight="1">
      <c r="K130" s="280"/>
      <c r="L130" s="6"/>
    </row>
    <row r="131" spans="11:15" ht="30.75" customHeight="1">
      <c r="K131" s="38"/>
    </row>
    <row r="132" spans="11:15">
      <c r="K132" s="38"/>
    </row>
    <row r="133" spans="11:15">
      <c r="K133" s="39"/>
      <c r="L133" s="39"/>
      <c r="M133" s="39"/>
      <c r="N133" s="39"/>
    </row>
    <row r="135" spans="11:15" ht="30.75" customHeight="1">
      <c r="K135" s="281"/>
      <c r="L135" s="281"/>
      <c r="M135" s="281"/>
      <c r="N135" s="281"/>
      <c r="O135" s="281"/>
    </row>
    <row r="136" spans="11:15" ht="15" customHeight="1">
      <c r="K136" s="281"/>
    </row>
    <row r="137" spans="11:15" ht="82.5" customHeight="1">
      <c r="K137" s="281"/>
      <c r="L137" s="281"/>
      <c r="M137" s="281"/>
      <c r="N137" s="281"/>
      <c r="O137" s="281"/>
    </row>
    <row r="138" spans="11:15" ht="15" customHeight="1">
      <c r="K138" s="41"/>
    </row>
    <row r="139" spans="11:15">
      <c r="K139" s="41"/>
    </row>
    <row r="140" spans="11:15" ht="69.75" customHeight="1">
      <c r="K140" s="41"/>
    </row>
  </sheetData>
  <mergeCells count="9">
    <mergeCell ref="B54:O54"/>
    <mergeCell ref="C13:F13"/>
    <mergeCell ref="A1:O1"/>
    <mergeCell ref="A2:O2"/>
    <mergeCell ref="A3:O3"/>
    <mergeCell ref="C14:F14"/>
    <mergeCell ref="C7:F7"/>
    <mergeCell ref="C9:F9"/>
    <mergeCell ref="C11:F11"/>
  </mergeCells>
  <pageMargins left="0.5" right="0.25" top="1" bottom="1" header="0.5" footer="0.5"/>
  <pageSetup scale="58" orientation="portrait" r:id="rId1"/>
  <headerFooter alignWithMargins="0">
    <oddHeader xml:space="preserve">&amp;C&amp;"Times New Roman,Regular"&amp;KFF0000CUI//PRIV&amp;K000000
FOR SETTLEMENT PURPOSES ONLY 
SUBJECT TO RULES 602 AND 606
</oddHeader>
  </headerFooter>
  <ignoredErrors>
    <ignoredError sqref="H45:J45 L45:N45" formulaRange="1"/>
    <ignoredError sqref="B19:B42"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sheetPr>
  <dimension ref="A1:P177"/>
  <sheetViews>
    <sheetView zoomScale="80" zoomScaleNormal="80" workbookViewId="0">
      <selection activeCell="C43" sqref="C43"/>
    </sheetView>
  </sheetViews>
  <sheetFormatPr defaultColWidth="8.6328125" defaultRowHeight="13.2"/>
  <cols>
    <col min="1" max="1" width="5.08984375" style="566" customWidth="1"/>
    <col min="2" max="2" width="9.08984375" style="566" customWidth="1"/>
    <col min="3" max="4" width="7.54296875" style="566" customWidth="1"/>
    <col min="5" max="5" width="8.6328125" style="566" customWidth="1"/>
    <col min="6" max="6" width="7.54296875" style="566" customWidth="1"/>
    <col min="7" max="7" width="2.08984375" style="566" customWidth="1"/>
    <col min="8" max="9" width="11.453125" style="566" customWidth="1"/>
    <col min="10" max="10" width="13.453125" style="566" customWidth="1"/>
    <col min="11" max="11" width="1.453125" style="568" customWidth="1"/>
    <col min="12" max="13" width="10.08984375" style="566" bestFit="1" customWidth="1"/>
    <col min="14" max="14" width="10.6328125" style="566" bestFit="1" customWidth="1"/>
    <col min="15" max="16384" width="8.6328125" style="566"/>
  </cols>
  <sheetData>
    <row r="1" spans="1:16" s="565" customFormat="1">
      <c r="A1" s="935" t="s">
        <v>649</v>
      </c>
      <c r="B1" s="935"/>
      <c r="C1" s="935"/>
      <c r="D1" s="935"/>
      <c r="E1" s="935"/>
      <c r="F1" s="935"/>
      <c r="G1" s="935"/>
      <c r="H1" s="935"/>
      <c r="I1" s="935"/>
      <c r="J1" s="935"/>
      <c r="K1" s="935"/>
    </row>
    <row r="2" spans="1:16" s="565" customFormat="1">
      <c r="A2" s="935" t="s">
        <v>171</v>
      </c>
      <c r="B2" s="935"/>
      <c r="C2" s="935"/>
      <c r="D2" s="935"/>
      <c r="E2" s="935"/>
      <c r="F2" s="935"/>
      <c r="G2" s="935"/>
      <c r="H2" s="935"/>
      <c r="I2" s="935"/>
      <c r="J2" s="935"/>
      <c r="K2" s="935"/>
    </row>
    <row r="3" spans="1:16" s="565" customFormat="1">
      <c r="A3" s="936" t="s">
        <v>911</v>
      </c>
      <c r="B3" s="936"/>
      <c r="C3" s="936"/>
      <c r="D3" s="936"/>
      <c r="E3" s="936"/>
      <c r="F3" s="936"/>
      <c r="G3" s="936"/>
      <c r="H3" s="936"/>
      <c r="I3" s="936"/>
      <c r="J3" s="936"/>
      <c r="K3" s="936"/>
    </row>
    <row r="4" spans="1:16" s="565" customFormat="1">
      <c r="A4" s="564"/>
      <c r="B4" s="564"/>
      <c r="C4" s="564"/>
      <c r="D4" s="564"/>
      <c r="E4" s="564"/>
      <c r="F4" s="564"/>
      <c r="G4" s="564"/>
      <c r="H4" s="564"/>
      <c r="I4" s="564"/>
      <c r="J4" s="519" t="s">
        <v>724</v>
      </c>
    </row>
    <row r="5" spans="1:16">
      <c r="I5" s="567" t="s">
        <v>627</v>
      </c>
      <c r="J5" s="671">
        <v>2023</v>
      </c>
    </row>
    <row r="6" spans="1:16">
      <c r="A6" s="566">
        <v>1</v>
      </c>
      <c r="B6" s="569" t="s">
        <v>628</v>
      </c>
      <c r="H6" s="570"/>
      <c r="I6" s="570"/>
      <c r="J6" s="570"/>
      <c r="K6" s="571"/>
    </row>
    <row r="7" spans="1:16">
      <c r="A7" s="566">
        <f>+A6+1</f>
        <v>2</v>
      </c>
      <c r="B7" s="993" t="s">
        <v>629</v>
      </c>
      <c r="C7" s="994"/>
      <c r="D7" s="994"/>
      <c r="E7" s="994"/>
      <c r="F7" s="995"/>
      <c r="G7" s="572"/>
      <c r="H7" s="993" t="s">
        <v>630</v>
      </c>
      <c r="I7" s="994"/>
      <c r="J7" s="995"/>
      <c r="K7" s="571"/>
    </row>
    <row r="8" spans="1:16">
      <c r="B8" s="573" t="s">
        <v>76</v>
      </c>
      <c r="C8" s="573" t="s">
        <v>77</v>
      </c>
      <c r="D8" s="573" t="s">
        <v>78</v>
      </c>
      <c r="E8" s="573" t="s">
        <v>79</v>
      </c>
      <c r="F8" s="573" t="s">
        <v>80</v>
      </c>
      <c r="G8" s="572"/>
      <c r="H8" s="573" t="s">
        <v>81</v>
      </c>
      <c r="I8" s="573" t="s">
        <v>82</v>
      </c>
      <c r="J8" s="573" t="s">
        <v>343</v>
      </c>
      <c r="K8" s="571"/>
    </row>
    <row r="9" spans="1:16" ht="52.8">
      <c r="A9" s="566">
        <f>+A7+1</f>
        <v>3</v>
      </c>
      <c r="B9" s="574" t="s">
        <v>219</v>
      </c>
      <c r="C9" s="574" t="s">
        <v>631</v>
      </c>
      <c r="D9" s="574" t="s">
        <v>632</v>
      </c>
      <c r="E9" s="574" t="s">
        <v>633</v>
      </c>
      <c r="F9" s="574" t="s">
        <v>634</v>
      </c>
      <c r="G9" s="575"/>
      <c r="H9" s="574" t="s">
        <v>635</v>
      </c>
      <c r="I9" s="574" t="s">
        <v>636</v>
      </c>
      <c r="J9" s="574" t="s">
        <v>637</v>
      </c>
      <c r="K9" s="575"/>
    </row>
    <row r="10" spans="1:16" ht="38.1" customHeight="1">
      <c r="A10" s="566">
        <f t="shared" ref="A10:A24" si="0">+A9+1</f>
        <v>4</v>
      </c>
      <c r="C10" s="575"/>
      <c r="D10" s="575"/>
      <c r="E10" s="575"/>
      <c r="F10" s="575"/>
      <c r="G10" s="575"/>
      <c r="H10" s="575" t="s">
        <v>1187</v>
      </c>
      <c r="I10" s="575"/>
      <c r="J10" s="575"/>
      <c r="K10" s="575"/>
    </row>
    <row r="11" spans="1:16">
      <c r="A11" s="566">
        <f t="shared" si="0"/>
        <v>5</v>
      </c>
      <c r="B11" s="576" t="s">
        <v>638</v>
      </c>
      <c r="C11" s="577"/>
      <c r="D11" s="578"/>
      <c r="E11" s="578"/>
      <c r="F11" s="578"/>
      <c r="G11" s="578"/>
      <c r="H11" s="579"/>
      <c r="I11" s="579"/>
      <c r="J11" s="583">
        <v>0</v>
      </c>
      <c r="K11" s="581"/>
    </row>
    <row r="12" spans="1:16">
      <c r="A12" s="566">
        <f t="shared" si="0"/>
        <v>6</v>
      </c>
      <c r="B12" s="577" t="s">
        <v>146</v>
      </c>
      <c r="C12" s="582">
        <v>31</v>
      </c>
      <c r="D12" s="546">
        <f>E12-C12</f>
        <v>334</v>
      </c>
      <c r="E12" s="672">
        <v>365</v>
      </c>
      <c r="F12" s="517">
        <f>IF(E12=0,0,D12/E12)</f>
        <v>0.91506849315068495</v>
      </c>
      <c r="G12" s="513"/>
      <c r="H12" s="160">
        <f>-H152*'Proj Att-H'!D239</f>
        <v>-24940.279396249247</v>
      </c>
      <c r="I12" s="544">
        <f>+H12*F12</f>
        <v>-22822.063885882872</v>
      </c>
      <c r="J12" s="544">
        <f t="shared" ref="J12:J23" si="1">+I12+J11</f>
        <v>-22822.063885882872</v>
      </c>
      <c r="K12" s="581"/>
      <c r="O12" s="602"/>
      <c r="P12" s="602"/>
    </row>
    <row r="13" spans="1:16">
      <c r="A13" s="566">
        <f t="shared" si="0"/>
        <v>7</v>
      </c>
      <c r="B13" s="577" t="s">
        <v>147</v>
      </c>
      <c r="C13" s="583">
        <v>28</v>
      </c>
      <c r="D13" s="546">
        <f>D12-C13</f>
        <v>306</v>
      </c>
      <c r="E13" s="546">
        <f>$E$12</f>
        <v>365</v>
      </c>
      <c r="F13" s="517">
        <f t="shared" ref="F13:F23" si="2">IF(E13=0,0,D13/E13)</f>
        <v>0.83835616438356164</v>
      </c>
      <c r="G13" s="513"/>
      <c r="H13" s="160">
        <f>-H153*'Proj Att-H'!D239</f>
        <v>-24940.279396249247</v>
      </c>
      <c r="I13" s="544">
        <f t="shared" ref="I13:I23" si="3">+H13*F13</f>
        <v>-20908.836973293888</v>
      </c>
      <c r="J13" s="544">
        <f t="shared" si="1"/>
        <v>-43730.900859176763</v>
      </c>
      <c r="K13" s="581"/>
      <c r="O13" s="602"/>
      <c r="P13" s="602"/>
    </row>
    <row r="14" spans="1:16">
      <c r="A14" s="566">
        <f t="shared" si="0"/>
        <v>8</v>
      </c>
      <c r="B14" s="577" t="s">
        <v>397</v>
      </c>
      <c r="C14" s="582">
        <v>31</v>
      </c>
      <c r="D14" s="546">
        <f t="shared" ref="D14:D22" si="4">D13-C14</f>
        <v>275</v>
      </c>
      <c r="E14" s="546">
        <f t="shared" ref="E14:E23" si="5">$E$12</f>
        <v>365</v>
      </c>
      <c r="F14" s="517">
        <f t="shared" si="2"/>
        <v>0.75342465753424659</v>
      </c>
      <c r="G14" s="513"/>
      <c r="H14" s="160">
        <f>-H154*'Proj Att-H'!D239</f>
        <v>-24940.279396249247</v>
      </c>
      <c r="I14" s="544">
        <f t="shared" si="3"/>
        <v>-18790.621462927516</v>
      </c>
      <c r="J14" s="544">
        <f t="shared" si="1"/>
        <v>-62521.522322104283</v>
      </c>
      <c r="K14" s="581"/>
      <c r="O14" s="602"/>
      <c r="P14" s="602"/>
    </row>
    <row r="15" spans="1:16">
      <c r="A15" s="566">
        <f t="shared" si="0"/>
        <v>9</v>
      </c>
      <c r="B15" s="577" t="s">
        <v>148</v>
      </c>
      <c r="C15" s="582">
        <v>30</v>
      </c>
      <c r="D15" s="546">
        <f t="shared" si="4"/>
        <v>245</v>
      </c>
      <c r="E15" s="546">
        <f t="shared" si="5"/>
        <v>365</v>
      </c>
      <c r="F15" s="517">
        <f t="shared" si="2"/>
        <v>0.67123287671232879</v>
      </c>
      <c r="G15" s="513"/>
      <c r="H15" s="160">
        <f>-H155*'Proj Att-H'!D239</f>
        <v>-24940.279396249247</v>
      </c>
      <c r="I15" s="544">
        <f t="shared" si="3"/>
        <v>-16740.735485153604</v>
      </c>
      <c r="J15" s="544">
        <f t="shared" si="1"/>
        <v>-79262.257807257891</v>
      </c>
      <c r="K15" s="581"/>
      <c r="O15" s="602"/>
      <c r="P15" s="602"/>
    </row>
    <row r="16" spans="1:16">
      <c r="A16" s="566">
        <f t="shared" si="0"/>
        <v>10</v>
      </c>
      <c r="B16" s="577" t="s">
        <v>149</v>
      </c>
      <c r="C16" s="582">
        <v>31</v>
      </c>
      <c r="D16" s="546">
        <f t="shared" si="4"/>
        <v>214</v>
      </c>
      <c r="E16" s="546">
        <f t="shared" si="5"/>
        <v>365</v>
      </c>
      <c r="F16" s="517">
        <f t="shared" si="2"/>
        <v>0.58630136986301373</v>
      </c>
      <c r="G16" s="513"/>
      <c r="H16" s="160">
        <f>-H156*'Proj Att-H'!D239</f>
        <v>-24940.279396249247</v>
      </c>
      <c r="I16" s="544">
        <f t="shared" si="3"/>
        <v>-14622.51997478723</v>
      </c>
      <c r="J16" s="544">
        <f t="shared" si="1"/>
        <v>-93884.777782045116</v>
      </c>
      <c r="K16" s="581"/>
      <c r="O16" s="602"/>
      <c r="P16" s="602"/>
    </row>
    <row r="17" spans="1:16">
      <c r="A17" s="566">
        <f t="shared" si="0"/>
        <v>11</v>
      </c>
      <c r="B17" s="577" t="s">
        <v>150</v>
      </c>
      <c r="C17" s="582">
        <v>30</v>
      </c>
      <c r="D17" s="546">
        <f t="shared" si="4"/>
        <v>184</v>
      </c>
      <c r="E17" s="546">
        <f t="shared" si="5"/>
        <v>365</v>
      </c>
      <c r="F17" s="517">
        <f t="shared" si="2"/>
        <v>0.50410958904109593</v>
      </c>
      <c r="G17" s="513"/>
      <c r="H17" s="160">
        <f>-H157*'Proj Att-H'!D239</f>
        <v>-24940.279396249247</v>
      </c>
      <c r="I17" s="544">
        <f t="shared" si="3"/>
        <v>-12572.633997013319</v>
      </c>
      <c r="J17" s="544">
        <f t="shared" si="1"/>
        <v>-106457.41177905843</v>
      </c>
      <c r="K17" s="581"/>
      <c r="O17" s="602"/>
      <c r="P17" s="602"/>
    </row>
    <row r="18" spans="1:16">
      <c r="A18" s="566">
        <f t="shared" si="0"/>
        <v>12</v>
      </c>
      <c r="B18" s="577" t="s">
        <v>151</v>
      </c>
      <c r="C18" s="582">
        <v>31</v>
      </c>
      <c r="D18" s="546">
        <f t="shared" si="4"/>
        <v>153</v>
      </c>
      <c r="E18" s="546">
        <f t="shared" si="5"/>
        <v>365</v>
      </c>
      <c r="F18" s="517">
        <f t="shared" si="2"/>
        <v>0.41917808219178082</v>
      </c>
      <c r="G18" s="513"/>
      <c r="H18" s="160">
        <f>-H158*'Proj Att-H'!D239</f>
        <v>-24940.279396249247</v>
      </c>
      <c r="I18" s="544">
        <f t="shared" si="3"/>
        <v>-10454.418486646944</v>
      </c>
      <c r="J18" s="544">
        <f t="shared" si="1"/>
        <v>-116911.83026570537</v>
      </c>
      <c r="K18" s="581"/>
      <c r="O18" s="602"/>
      <c r="P18" s="602"/>
    </row>
    <row r="19" spans="1:16">
      <c r="A19" s="566">
        <f t="shared" si="0"/>
        <v>13</v>
      </c>
      <c r="B19" s="577" t="s">
        <v>398</v>
      </c>
      <c r="C19" s="582">
        <v>31</v>
      </c>
      <c r="D19" s="546">
        <f t="shared" si="4"/>
        <v>122</v>
      </c>
      <c r="E19" s="546">
        <f t="shared" si="5"/>
        <v>365</v>
      </c>
      <c r="F19" s="517">
        <f t="shared" si="2"/>
        <v>0.33424657534246577</v>
      </c>
      <c r="G19" s="513"/>
      <c r="H19" s="160">
        <f>-H159*'Proj Att-H'!D239</f>
        <v>-24940.279396249247</v>
      </c>
      <c r="I19" s="544">
        <f t="shared" si="3"/>
        <v>-8336.2029762805705</v>
      </c>
      <c r="J19" s="544">
        <f t="shared" si="1"/>
        <v>-125248.03324198595</v>
      </c>
      <c r="K19" s="581"/>
      <c r="O19" s="602"/>
      <c r="P19" s="602"/>
    </row>
    <row r="20" spans="1:16">
      <c r="A20" s="566">
        <f t="shared" si="0"/>
        <v>14</v>
      </c>
      <c r="B20" s="577" t="s">
        <v>152</v>
      </c>
      <c r="C20" s="582">
        <v>30</v>
      </c>
      <c r="D20" s="546">
        <f t="shared" si="4"/>
        <v>92</v>
      </c>
      <c r="E20" s="546">
        <f t="shared" si="5"/>
        <v>365</v>
      </c>
      <c r="F20" s="517">
        <f t="shared" si="2"/>
        <v>0.25205479452054796</v>
      </c>
      <c r="G20" s="513"/>
      <c r="H20" s="160">
        <f>-H160*'Proj Att-H'!D239</f>
        <v>-24940.279396249247</v>
      </c>
      <c r="I20" s="544">
        <f t="shared" si="3"/>
        <v>-6286.3169985066597</v>
      </c>
      <c r="J20" s="544">
        <f t="shared" si="1"/>
        <v>-131534.35024049261</v>
      </c>
      <c r="K20" s="581"/>
      <c r="O20" s="602"/>
      <c r="P20" s="602"/>
    </row>
    <row r="21" spans="1:16">
      <c r="A21" s="566">
        <f t="shared" si="0"/>
        <v>15</v>
      </c>
      <c r="B21" s="577" t="s">
        <v>153</v>
      </c>
      <c r="C21" s="582">
        <v>31</v>
      </c>
      <c r="D21" s="546">
        <f t="shared" si="4"/>
        <v>61</v>
      </c>
      <c r="E21" s="546">
        <f t="shared" si="5"/>
        <v>365</v>
      </c>
      <c r="F21" s="517">
        <f t="shared" si="2"/>
        <v>0.16712328767123288</v>
      </c>
      <c r="G21" s="513"/>
      <c r="H21" s="160">
        <f>-H161*'Proj Att-H'!D239</f>
        <v>-24940.279396249247</v>
      </c>
      <c r="I21" s="544">
        <f t="shared" si="3"/>
        <v>-4168.1014881402853</v>
      </c>
      <c r="J21" s="544">
        <f t="shared" si="1"/>
        <v>-135702.45172863291</v>
      </c>
      <c r="K21" s="581"/>
      <c r="O21" s="602"/>
      <c r="P21" s="602"/>
    </row>
    <row r="22" spans="1:16">
      <c r="A22" s="566">
        <f t="shared" si="0"/>
        <v>16</v>
      </c>
      <c r="B22" s="577" t="s">
        <v>154</v>
      </c>
      <c r="C22" s="582">
        <v>30</v>
      </c>
      <c r="D22" s="546">
        <f t="shared" si="4"/>
        <v>31</v>
      </c>
      <c r="E22" s="546">
        <f t="shared" si="5"/>
        <v>365</v>
      </c>
      <c r="F22" s="517">
        <f t="shared" si="2"/>
        <v>8.4931506849315067E-2</v>
      </c>
      <c r="G22" s="513"/>
      <c r="H22" s="160">
        <f>-H162*'Proj Att-H'!D239</f>
        <v>-24940.279396249247</v>
      </c>
      <c r="I22" s="544">
        <f t="shared" si="3"/>
        <v>-2118.2155103663745</v>
      </c>
      <c r="J22" s="544">
        <f t="shared" si="1"/>
        <v>-137820.66723899927</v>
      </c>
      <c r="K22" s="581"/>
      <c r="O22" s="602"/>
      <c r="P22" s="602"/>
    </row>
    <row r="23" spans="1:16">
      <c r="A23" s="566">
        <f t="shared" si="0"/>
        <v>17</v>
      </c>
      <c r="B23" s="577" t="s">
        <v>399</v>
      </c>
      <c r="C23" s="582">
        <v>31</v>
      </c>
      <c r="D23" s="546">
        <v>1</v>
      </c>
      <c r="E23" s="546">
        <f t="shared" si="5"/>
        <v>365</v>
      </c>
      <c r="F23" s="517">
        <f t="shared" si="2"/>
        <v>2.7397260273972603E-3</v>
      </c>
      <c r="G23" s="513"/>
      <c r="H23" s="160">
        <f>-H163*'Proj Att-H'!D239</f>
        <v>-24940.279396249247</v>
      </c>
      <c r="I23" s="544">
        <f t="shared" si="3"/>
        <v>-68.329532592463693</v>
      </c>
      <c r="J23" s="544">
        <f t="shared" si="1"/>
        <v>-137888.99677159174</v>
      </c>
      <c r="K23" s="581"/>
      <c r="L23" s="600"/>
      <c r="M23" s="602"/>
      <c r="N23" s="600"/>
      <c r="O23" s="602"/>
      <c r="P23" s="602"/>
    </row>
    <row r="24" spans="1:16">
      <c r="A24" s="566">
        <f t="shared" si="0"/>
        <v>18</v>
      </c>
      <c r="B24" s="584"/>
      <c r="C24" s="584" t="s">
        <v>9</v>
      </c>
      <c r="D24" s="584"/>
      <c r="E24" s="584"/>
      <c r="F24" s="585"/>
      <c r="G24" s="578"/>
      <c r="H24" s="586">
        <f>SUM(H12:H23)</f>
        <v>-299283.35275499098</v>
      </c>
      <c r="I24" s="586">
        <f>SUM(I12:I23)</f>
        <v>-137888.99677159174</v>
      </c>
      <c r="J24" s="585"/>
      <c r="K24" s="575"/>
    </row>
    <row r="25" spans="1:16">
      <c r="B25" s="587"/>
      <c r="C25" s="587"/>
      <c r="D25" s="587"/>
      <c r="E25" s="587"/>
      <c r="F25" s="588"/>
      <c r="G25" s="588"/>
      <c r="I25" s="589"/>
      <c r="J25" s="588"/>
      <c r="K25" s="575"/>
      <c r="L25" s="600"/>
    </row>
    <row r="26" spans="1:16">
      <c r="A26" s="566">
        <f>+A24+1</f>
        <v>19</v>
      </c>
      <c r="B26" s="566" t="s">
        <v>737</v>
      </c>
      <c r="F26" s="566" t="s">
        <v>1056</v>
      </c>
      <c r="G26" s="588"/>
      <c r="I26" s="588"/>
      <c r="J26" s="160">
        <f>'A3-ADIT'!E15</f>
        <v>75736193</v>
      </c>
      <c r="N26" s="736"/>
    </row>
    <row r="27" spans="1:16">
      <c r="A27" s="566">
        <f>+A26+1</f>
        <v>20</v>
      </c>
      <c r="B27" s="566" t="s">
        <v>818</v>
      </c>
      <c r="F27" s="566" t="s">
        <v>906</v>
      </c>
      <c r="G27" s="588"/>
      <c r="I27" s="588"/>
      <c r="J27" s="601">
        <f>J166*-(('Proj Att-H'!D239*'Proj Att-H'!D240)+'Proj Att-H'!D240)</f>
        <v>2171223.7446900001</v>
      </c>
    </row>
    <row r="28" spans="1:16">
      <c r="A28" s="566">
        <f t="shared" ref="A28" si="6">+A27+1</f>
        <v>21</v>
      </c>
      <c r="B28" s="566" t="s">
        <v>819</v>
      </c>
      <c r="F28" s="566" t="s">
        <v>738</v>
      </c>
      <c r="G28" s="588"/>
      <c r="I28" s="588"/>
      <c r="J28" s="601">
        <f>J26-J27</f>
        <v>73564969.255309999</v>
      </c>
    </row>
    <row r="29" spans="1:16">
      <c r="A29" s="566">
        <f>+A28+1</f>
        <v>22</v>
      </c>
      <c r="B29" s="838" t="s">
        <v>820</v>
      </c>
      <c r="F29" s="566" t="s">
        <v>739</v>
      </c>
      <c r="G29" s="588"/>
      <c r="I29" s="588"/>
      <c r="J29" s="601">
        <f>J27</f>
        <v>2171223.7446900001</v>
      </c>
    </row>
    <row r="30" spans="1:16">
      <c r="A30" s="566">
        <f>+A29+1</f>
        <v>23</v>
      </c>
      <c r="B30" s="566" t="s">
        <v>673</v>
      </c>
      <c r="F30" s="566" t="s">
        <v>685</v>
      </c>
      <c r="G30" s="588"/>
      <c r="I30" s="588"/>
      <c r="J30" s="583">
        <v>0</v>
      </c>
    </row>
    <row r="31" spans="1:16">
      <c r="A31" s="566">
        <f>+A30+1</f>
        <v>24</v>
      </c>
      <c r="B31" s="838" t="s">
        <v>817</v>
      </c>
      <c r="F31" s="566" t="s">
        <v>965</v>
      </c>
      <c r="G31" s="588"/>
      <c r="I31" s="588"/>
      <c r="J31" s="590">
        <f>J29+J30</f>
        <v>2171223.7446900001</v>
      </c>
    </row>
    <row r="32" spans="1:16">
      <c r="A32" s="566">
        <v>25</v>
      </c>
      <c r="B32" s="566" t="s">
        <v>643</v>
      </c>
      <c r="F32" s="566" t="s">
        <v>1004</v>
      </c>
      <c r="G32" s="588"/>
      <c r="I32" s="575"/>
      <c r="J32" s="591">
        <f>J23</f>
        <v>-137888.99677159174</v>
      </c>
      <c r="N32" s="736"/>
    </row>
    <row r="33" spans="1:11">
      <c r="A33" s="566">
        <v>26</v>
      </c>
      <c r="B33" s="566" t="s">
        <v>735</v>
      </c>
      <c r="F33" s="566" t="s">
        <v>1040</v>
      </c>
      <c r="J33" s="602">
        <f>J31+J32</f>
        <v>2033334.7479184084</v>
      </c>
    </row>
    <row r="34" spans="1:11">
      <c r="A34" s="566">
        <v>27</v>
      </c>
      <c r="B34" s="837" t="s">
        <v>909</v>
      </c>
      <c r="F34" s="123" t="s">
        <v>907</v>
      </c>
      <c r="J34" s="839">
        <f>'A3.1-EDIT-DDIT'!O43</f>
        <v>0.2268081492677485</v>
      </c>
    </row>
    <row r="35" spans="1:11">
      <c r="A35" s="566">
        <v>28</v>
      </c>
      <c r="B35" s="569" t="s">
        <v>652</v>
      </c>
      <c r="F35" s="566" t="s">
        <v>1041</v>
      </c>
      <c r="J35" s="609">
        <f>J33*J34</f>
        <v>461176.89101717813</v>
      </c>
    </row>
    <row r="36" spans="1:11">
      <c r="J36" s="602"/>
    </row>
    <row r="37" spans="1:11">
      <c r="J37" s="602"/>
    </row>
    <row r="38" spans="1:11" ht="15">
      <c r="A38"/>
      <c r="B38"/>
      <c r="C38"/>
      <c r="D38"/>
      <c r="E38"/>
      <c r="F38"/>
      <c r="G38"/>
      <c r="H38"/>
      <c r="I38"/>
      <c r="J38"/>
    </row>
    <row r="39" spans="1:11">
      <c r="A39" s="992" t="str">
        <f>A1</f>
        <v>Worksheet P5</v>
      </c>
      <c r="B39" s="992"/>
      <c r="C39" s="992"/>
      <c r="D39" s="992"/>
      <c r="E39" s="992"/>
      <c r="F39" s="992"/>
      <c r="G39" s="992"/>
      <c r="H39" s="992"/>
      <c r="I39" s="992"/>
      <c r="J39" s="992"/>
      <c r="K39" s="992"/>
    </row>
    <row r="40" spans="1:11">
      <c r="A40" s="992" t="str">
        <f>A2</f>
        <v>Accumulated Deferred Income Taxes</v>
      </c>
      <c r="B40" s="992"/>
      <c r="C40" s="992"/>
      <c r="D40" s="992"/>
      <c r="E40" s="992"/>
      <c r="F40" s="992"/>
      <c r="G40" s="992"/>
      <c r="H40" s="992"/>
      <c r="I40" s="992"/>
      <c r="J40" s="992"/>
      <c r="K40" s="992"/>
    </row>
    <row r="41" spans="1:11">
      <c r="A41" s="996" t="str">
        <f>A3</f>
        <v>Black Hills Colorado Electric, LLC</v>
      </c>
      <c r="B41" s="996"/>
      <c r="C41" s="996"/>
      <c r="D41" s="996"/>
      <c r="E41" s="996"/>
      <c r="F41" s="996"/>
      <c r="G41" s="996"/>
      <c r="H41" s="996"/>
      <c r="I41" s="996"/>
      <c r="J41" s="996"/>
      <c r="K41" s="996"/>
    </row>
    <row r="42" spans="1:11">
      <c r="J42" s="568" t="s">
        <v>725</v>
      </c>
    </row>
    <row r="43" spans="1:11">
      <c r="B43" s="569"/>
      <c r="J43" s="567"/>
      <c r="K43" s="593"/>
    </row>
    <row r="44" spans="1:11">
      <c r="A44" s="566">
        <f>A35+1</f>
        <v>29</v>
      </c>
      <c r="B44" s="569" t="s">
        <v>646</v>
      </c>
      <c r="H44" s="570"/>
      <c r="I44" s="570"/>
      <c r="J44" s="570"/>
    </row>
    <row r="45" spans="1:11">
      <c r="A45" s="566">
        <f>+A44+1</f>
        <v>30</v>
      </c>
      <c r="B45" s="993" t="s">
        <v>629</v>
      </c>
      <c r="C45" s="994"/>
      <c r="D45" s="994"/>
      <c r="E45" s="994"/>
      <c r="F45" s="995"/>
      <c r="G45" s="572"/>
      <c r="H45" s="993" t="s">
        <v>630</v>
      </c>
      <c r="I45" s="994"/>
      <c r="J45" s="995"/>
    </row>
    <row r="46" spans="1:11">
      <c r="B46" s="573" t="s">
        <v>76</v>
      </c>
      <c r="C46" s="573" t="s">
        <v>77</v>
      </c>
      <c r="D46" s="573" t="s">
        <v>78</v>
      </c>
      <c r="E46" s="573" t="s">
        <v>79</v>
      </c>
      <c r="F46" s="573" t="s">
        <v>80</v>
      </c>
      <c r="G46" s="572"/>
      <c r="H46" s="573" t="s">
        <v>81</v>
      </c>
      <c r="I46" s="573" t="s">
        <v>82</v>
      </c>
      <c r="J46" s="573" t="s">
        <v>343</v>
      </c>
    </row>
    <row r="47" spans="1:11" ht="52.8">
      <c r="A47" s="566">
        <f>+A45+1</f>
        <v>31</v>
      </c>
      <c r="B47" s="574" t="s">
        <v>219</v>
      </c>
      <c r="C47" s="574" t="s">
        <v>631</v>
      </c>
      <c r="D47" s="574" t="s">
        <v>632</v>
      </c>
      <c r="E47" s="574" t="s">
        <v>633</v>
      </c>
      <c r="F47" s="574" t="s">
        <v>634</v>
      </c>
      <c r="G47" s="575"/>
      <c r="H47" s="574" t="s">
        <v>635</v>
      </c>
      <c r="I47" s="574" t="s">
        <v>636</v>
      </c>
      <c r="J47" s="574" t="s">
        <v>637</v>
      </c>
    </row>
    <row r="48" spans="1:11">
      <c r="A48" s="566">
        <f t="shared" ref="A48:A62" si="7">+A47+1</f>
        <v>32</v>
      </c>
      <c r="C48" s="575"/>
      <c r="D48" s="575"/>
      <c r="E48" s="575"/>
      <c r="F48" s="575"/>
      <c r="G48" s="575"/>
      <c r="H48" s="575"/>
      <c r="I48" s="575"/>
      <c r="J48" s="575"/>
    </row>
    <row r="49" spans="1:16">
      <c r="A49" s="566">
        <f t="shared" si="7"/>
        <v>33</v>
      </c>
      <c r="B49" s="576" t="s">
        <v>638</v>
      </c>
      <c r="C49" s="577"/>
      <c r="D49" s="578"/>
      <c r="E49" s="578"/>
      <c r="F49" s="578"/>
      <c r="G49" s="578"/>
      <c r="H49" s="579"/>
      <c r="I49" s="579"/>
      <c r="J49" s="583">
        <v>0</v>
      </c>
      <c r="K49" s="594"/>
    </row>
    <row r="50" spans="1:16">
      <c r="A50" s="566">
        <f t="shared" si="7"/>
        <v>34</v>
      </c>
      <c r="B50" s="577" t="s">
        <v>146</v>
      </c>
      <c r="C50" s="601">
        <v>31</v>
      </c>
      <c r="D50" s="546">
        <f>E50-C50</f>
        <v>334</v>
      </c>
      <c r="E50" s="546">
        <f t="shared" ref="E50:E61" si="8">$E$12</f>
        <v>365</v>
      </c>
      <c r="F50" s="517">
        <f>IF(E50=0,0,D50/E50)</f>
        <v>0.91506849315068495</v>
      </c>
      <c r="G50" s="513"/>
      <c r="H50" s="580"/>
      <c r="I50" s="514">
        <f>+H50*F50</f>
        <v>0</v>
      </c>
      <c r="J50" s="514">
        <f t="shared" ref="J50:J61" si="9">+I50+J49</f>
        <v>0</v>
      </c>
      <c r="N50" s="728"/>
      <c r="O50" s="602"/>
      <c r="P50" s="602"/>
    </row>
    <row r="51" spans="1:16">
      <c r="A51" s="566">
        <f t="shared" si="7"/>
        <v>35</v>
      </c>
      <c r="B51" s="577" t="s">
        <v>147</v>
      </c>
      <c r="C51" s="546">
        <f>C13</f>
        <v>28</v>
      </c>
      <c r="D51" s="546">
        <f>D50-C51</f>
        <v>306</v>
      </c>
      <c r="E51" s="546">
        <f t="shared" si="8"/>
        <v>365</v>
      </c>
      <c r="F51" s="517">
        <f t="shared" ref="F51:F61" si="10">IF(E51=0,0,D51/E51)</f>
        <v>0.83835616438356164</v>
      </c>
      <c r="G51" s="513"/>
      <c r="H51" s="580"/>
      <c r="I51" s="514">
        <f t="shared" ref="I51:I61" si="11">+H51*F51</f>
        <v>0</v>
      </c>
      <c r="J51" s="514">
        <f t="shared" si="9"/>
        <v>0</v>
      </c>
      <c r="N51" s="728"/>
      <c r="O51" s="602"/>
      <c r="P51" s="602"/>
    </row>
    <row r="52" spans="1:16">
      <c r="A52" s="566">
        <f t="shared" si="7"/>
        <v>36</v>
      </c>
      <c r="B52" s="577" t="s">
        <v>397</v>
      </c>
      <c r="C52" s="601">
        <v>31</v>
      </c>
      <c r="D52" s="546">
        <f t="shared" ref="D52:D60" si="12">D51-C52</f>
        <v>275</v>
      </c>
      <c r="E52" s="546">
        <f t="shared" si="8"/>
        <v>365</v>
      </c>
      <c r="F52" s="517">
        <f t="shared" si="10"/>
        <v>0.75342465753424659</v>
      </c>
      <c r="G52" s="513"/>
      <c r="H52" s="580"/>
      <c r="I52" s="514">
        <f t="shared" si="11"/>
        <v>0</v>
      </c>
      <c r="J52" s="514">
        <f t="shared" si="9"/>
        <v>0</v>
      </c>
      <c r="N52" s="728"/>
      <c r="O52" s="602"/>
      <c r="P52" s="602"/>
    </row>
    <row r="53" spans="1:16">
      <c r="A53" s="566">
        <f t="shared" si="7"/>
        <v>37</v>
      </c>
      <c r="B53" s="577" t="s">
        <v>148</v>
      </c>
      <c r="C53" s="601">
        <v>30</v>
      </c>
      <c r="D53" s="546">
        <f t="shared" si="12"/>
        <v>245</v>
      </c>
      <c r="E53" s="546">
        <f t="shared" si="8"/>
        <v>365</v>
      </c>
      <c r="F53" s="517">
        <f t="shared" si="10"/>
        <v>0.67123287671232879</v>
      </c>
      <c r="G53" s="513"/>
      <c r="H53" s="580"/>
      <c r="I53" s="514">
        <f t="shared" si="11"/>
        <v>0</v>
      </c>
      <c r="J53" s="514">
        <f t="shared" si="9"/>
        <v>0</v>
      </c>
      <c r="N53" s="728"/>
      <c r="O53" s="602"/>
      <c r="P53" s="602"/>
    </row>
    <row r="54" spans="1:16">
      <c r="A54" s="566">
        <f t="shared" si="7"/>
        <v>38</v>
      </c>
      <c r="B54" s="577" t="s">
        <v>149</v>
      </c>
      <c r="C54" s="601">
        <v>31</v>
      </c>
      <c r="D54" s="546">
        <f t="shared" si="12"/>
        <v>214</v>
      </c>
      <c r="E54" s="546">
        <f t="shared" si="8"/>
        <v>365</v>
      </c>
      <c r="F54" s="517">
        <f t="shared" si="10"/>
        <v>0.58630136986301373</v>
      </c>
      <c r="G54" s="513"/>
      <c r="H54" s="580"/>
      <c r="I54" s="514">
        <f t="shared" si="11"/>
        <v>0</v>
      </c>
      <c r="J54" s="514">
        <f t="shared" si="9"/>
        <v>0</v>
      </c>
      <c r="N54" s="728"/>
      <c r="O54" s="602"/>
      <c r="P54" s="602"/>
    </row>
    <row r="55" spans="1:16">
      <c r="A55" s="566">
        <f t="shared" si="7"/>
        <v>39</v>
      </c>
      <c r="B55" s="577" t="s">
        <v>150</v>
      </c>
      <c r="C55" s="601">
        <v>30</v>
      </c>
      <c r="D55" s="546">
        <f t="shared" si="12"/>
        <v>184</v>
      </c>
      <c r="E55" s="546">
        <f t="shared" si="8"/>
        <v>365</v>
      </c>
      <c r="F55" s="517">
        <f t="shared" si="10"/>
        <v>0.50410958904109593</v>
      </c>
      <c r="G55" s="513"/>
      <c r="H55" s="580"/>
      <c r="I55" s="514">
        <f t="shared" si="11"/>
        <v>0</v>
      </c>
      <c r="J55" s="514">
        <f t="shared" si="9"/>
        <v>0</v>
      </c>
      <c r="N55" s="728"/>
      <c r="O55" s="602"/>
      <c r="P55" s="602"/>
    </row>
    <row r="56" spans="1:16">
      <c r="A56" s="566">
        <f t="shared" si="7"/>
        <v>40</v>
      </c>
      <c r="B56" s="577" t="s">
        <v>151</v>
      </c>
      <c r="C56" s="601">
        <v>31</v>
      </c>
      <c r="D56" s="546">
        <f t="shared" si="12"/>
        <v>153</v>
      </c>
      <c r="E56" s="546">
        <f t="shared" si="8"/>
        <v>365</v>
      </c>
      <c r="F56" s="517">
        <f t="shared" si="10"/>
        <v>0.41917808219178082</v>
      </c>
      <c r="G56" s="513"/>
      <c r="H56" s="580"/>
      <c r="I56" s="514">
        <f t="shared" si="11"/>
        <v>0</v>
      </c>
      <c r="J56" s="514">
        <f t="shared" si="9"/>
        <v>0</v>
      </c>
      <c r="N56" s="728"/>
      <c r="O56" s="602"/>
      <c r="P56" s="602"/>
    </row>
    <row r="57" spans="1:16">
      <c r="A57" s="566">
        <f t="shared" si="7"/>
        <v>41</v>
      </c>
      <c r="B57" s="577" t="s">
        <v>398</v>
      </c>
      <c r="C57" s="601">
        <v>31</v>
      </c>
      <c r="D57" s="546">
        <f t="shared" si="12"/>
        <v>122</v>
      </c>
      <c r="E57" s="546">
        <f t="shared" si="8"/>
        <v>365</v>
      </c>
      <c r="F57" s="517">
        <f t="shared" si="10"/>
        <v>0.33424657534246577</v>
      </c>
      <c r="G57" s="513"/>
      <c r="H57" s="580"/>
      <c r="I57" s="514">
        <f t="shared" si="11"/>
        <v>0</v>
      </c>
      <c r="J57" s="514">
        <f t="shared" si="9"/>
        <v>0</v>
      </c>
      <c r="N57" s="728"/>
      <c r="O57" s="602"/>
      <c r="P57" s="602"/>
    </row>
    <row r="58" spans="1:16">
      <c r="A58" s="566">
        <f t="shared" si="7"/>
        <v>42</v>
      </c>
      <c r="B58" s="577" t="s">
        <v>152</v>
      </c>
      <c r="C58" s="601">
        <v>30</v>
      </c>
      <c r="D58" s="546">
        <f t="shared" si="12"/>
        <v>92</v>
      </c>
      <c r="E58" s="546">
        <f t="shared" si="8"/>
        <v>365</v>
      </c>
      <c r="F58" s="517">
        <f t="shared" si="10"/>
        <v>0.25205479452054796</v>
      </c>
      <c r="G58" s="513"/>
      <c r="H58" s="580"/>
      <c r="I58" s="514">
        <f t="shared" si="11"/>
        <v>0</v>
      </c>
      <c r="J58" s="514">
        <f t="shared" si="9"/>
        <v>0</v>
      </c>
      <c r="N58" s="728"/>
      <c r="O58" s="602"/>
      <c r="P58" s="602"/>
    </row>
    <row r="59" spans="1:16">
      <c r="A59" s="566">
        <f t="shared" si="7"/>
        <v>43</v>
      </c>
      <c r="B59" s="577" t="s">
        <v>153</v>
      </c>
      <c r="C59" s="601">
        <v>31</v>
      </c>
      <c r="D59" s="546">
        <f t="shared" si="12"/>
        <v>61</v>
      </c>
      <c r="E59" s="546">
        <f t="shared" si="8"/>
        <v>365</v>
      </c>
      <c r="F59" s="517">
        <f t="shared" si="10"/>
        <v>0.16712328767123288</v>
      </c>
      <c r="G59" s="513"/>
      <c r="H59" s="580"/>
      <c r="I59" s="514">
        <f t="shared" si="11"/>
        <v>0</v>
      </c>
      <c r="J59" s="514">
        <f t="shared" si="9"/>
        <v>0</v>
      </c>
      <c r="N59" s="728"/>
      <c r="O59" s="602"/>
      <c r="P59" s="602"/>
    </row>
    <row r="60" spans="1:16">
      <c r="A60" s="566">
        <f t="shared" si="7"/>
        <v>44</v>
      </c>
      <c r="B60" s="577" t="s">
        <v>154</v>
      </c>
      <c r="C60" s="601">
        <v>30</v>
      </c>
      <c r="D60" s="546">
        <f t="shared" si="12"/>
        <v>31</v>
      </c>
      <c r="E60" s="546">
        <f t="shared" si="8"/>
        <v>365</v>
      </c>
      <c r="F60" s="517">
        <f t="shared" si="10"/>
        <v>8.4931506849315067E-2</v>
      </c>
      <c r="G60" s="513"/>
      <c r="H60" s="580"/>
      <c r="I60" s="514">
        <f t="shared" si="11"/>
        <v>0</v>
      </c>
      <c r="J60" s="514">
        <f t="shared" si="9"/>
        <v>0</v>
      </c>
      <c r="N60" s="728"/>
      <c r="O60" s="602"/>
      <c r="P60" s="602"/>
    </row>
    <row r="61" spans="1:16">
      <c r="A61" s="566">
        <f t="shared" si="7"/>
        <v>45</v>
      </c>
      <c r="B61" s="577" t="s">
        <v>399</v>
      </c>
      <c r="C61" s="601">
        <v>31</v>
      </c>
      <c r="D61" s="546">
        <v>1</v>
      </c>
      <c r="E61" s="546">
        <f t="shared" si="8"/>
        <v>365</v>
      </c>
      <c r="F61" s="517">
        <f t="shared" si="10"/>
        <v>2.7397260273972603E-3</v>
      </c>
      <c r="G61" s="513"/>
      <c r="H61" s="580"/>
      <c r="I61" s="514">
        <f t="shared" si="11"/>
        <v>0</v>
      </c>
      <c r="J61" s="514">
        <f t="shared" si="9"/>
        <v>0</v>
      </c>
      <c r="N61" s="728"/>
      <c r="O61" s="602"/>
      <c r="P61" s="602"/>
    </row>
    <row r="62" spans="1:16">
      <c r="A62" s="566">
        <f t="shared" si="7"/>
        <v>46</v>
      </c>
      <c r="B62" s="584"/>
      <c r="C62" s="584" t="s">
        <v>9</v>
      </c>
      <c r="D62" s="584"/>
      <c r="E62" s="584"/>
      <c r="F62" s="585"/>
      <c r="G62" s="578"/>
      <c r="H62" s="586">
        <f>SUM(H50:H61)</f>
        <v>0</v>
      </c>
      <c r="I62" s="586">
        <f>SUM(I50:I61)</f>
        <v>0</v>
      </c>
      <c r="J62" s="585"/>
    </row>
    <row r="63" spans="1:16">
      <c r="B63" s="587"/>
      <c r="C63" s="587"/>
      <c r="D63" s="587"/>
      <c r="E63" s="587"/>
      <c r="F63" s="588"/>
      <c r="G63" s="588"/>
      <c r="I63" s="589"/>
      <c r="J63" s="588"/>
    </row>
    <row r="64" spans="1:16">
      <c r="A64" s="566">
        <f>+A62+1</f>
        <v>47</v>
      </c>
      <c r="B64" s="566" t="s">
        <v>779</v>
      </c>
      <c r="F64" s="566" t="s">
        <v>647</v>
      </c>
      <c r="G64" s="588"/>
      <c r="I64" s="588"/>
      <c r="J64" s="583">
        <v>0</v>
      </c>
    </row>
    <row r="65" spans="1:11">
      <c r="A65" s="566">
        <f>+A64+1</f>
        <v>48</v>
      </c>
      <c r="B65" s="566" t="s">
        <v>640</v>
      </c>
      <c r="F65" s="566" t="str">
        <f>"(Line "&amp;A64&amp;" less line "&amp;A66&amp;")"</f>
        <v>(Line 47 less line 49)</v>
      </c>
      <c r="G65" s="588"/>
      <c r="I65" s="588"/>
      <c r="J65" s="590">
        <f>+J64-J66</f>
        <v>0</v>
      </c>
    </row>
    <row r="66" spans="1:11">
      <c r="A66" s="566">
        <f t="shared" ref="A66:A72" si="13">+A65+1</f>
        <v>49</v>
      </c>
      <c r="B66" s="566" t="s">
        <v>641</v>
      </c>
      <c r="F66" s="566" t="str">
        <f>"(Line "&amp;A49&amp;", Col H)"</f>
        <v>(Line 33, Col H)</v>
      </c>
      <c r="G66" s="588"/>
      <c r="I66" s="588"/>
      <c r="J66" s="579">
        <f>+J49</f>
        <v>0</v>
      </c>
    </row>
    <row r="67" spans="1:11">
      <c r="A67" s="566">
        <f t="shared" si="13"/>
        <v>50</v>
      </c>
      <c r="B67" s="566" t="s">
        <v>642</v>
      </c>
      <c r="F67" s="566" t="s">
        <v>648</v>
      </c>
      <c r="G67" s="588"/>
      <c r="I67" s="588"/>
      <c r="J67" s="583">
        <v>0</v>
      </c>
    </row>
    <row r="68" spans="1:11">
      <c r="A68" s="566">
        <f t="shared" si="13"/>
        <v>51</v>
      </c>
      <c r="B68" s="566" t="str">
        <f>+B65</f>
        <v>Less non Prorated Items</v>
      </c>
      <c r="F68" s="566" t="str">
        <f>"(Line "&amp;A67&amp;" less line "&amp;A69&amp;")"</f>
        <v>(Line 50 less line 52)</v>
      </c>
      <c r="G68" s="588"/>
      <c r="I68" s="588"/>
      <c r="J68" s="590">
        <f>+J67-J69</f>
        <v>0</v>
      </c>
    </row>
    <row r="69" spans="1:11">
      <c r="A69" s="566">
        <f t="shared" si="13"/>
        <v>52</v>
      </c>
      <c r="B69" s="566" t="s">
        <v>643</v>
      </c>
      <c r="F69" s="566" t="str">
        <f>"(Line "&amp;A61&amp;", Col H)"</f>
        <v>(Line 45, Col H)</v>
      </c>
      <c r="G69" s="588"/>
      <c r="I69" s="588"/>
      <c r="J69" s="579">
        <f>+J61</f>
        <v>0</v>
      </c>
    </row>
    <row r="70" spans="1:11">
      <c r="A70" s="566">
        <f t="shared" si="13"/>
        <v>53</v>
      </c>
      <c r="B70" s="566" t="s">
        <v>588</v>
      </c>
      <c r="F70" s="566" t="str">
        <f>"([Lines "&amp;A66&amp;" + "&amp;A69&amp;"] /2)+([Lines "&amp;A65&amp;" +"&amp;A68&amp;")/2])"</f>
        <v>([Lines 49 + 52] /2)+([Lines 48 +51)/2])</v>
      </c>
      <c r="G70" s="588"/>
      <c r="I70" s="575"/>
      <c r="J70" s="591">
        <f>(J66+J69)/2+(J65+J68)/2</f>
        <v>0</v>
      </c>
    </row>
    <row r="71" spans="1:11">
      <c r="A71" s="566">
        <f t="shared" si="13"/>
        <v>54</v>
      </c>
      <c r="B71" s="566" t="s">
        <v>1042</v>
      </c>
      <c r="G71" s="588"/>
      <c r="I71" s="575"/>
      <c r="J71" s="601">
        <v>0</v>
      </c>
    </row>
    <row r="72" spans="1:11">
      <c r="A72" s="566">
        <f t="shared" si="13"/>
        <v>55</v>
      </c>
      <c r="B72" s="566" t="s">
        <v>652</v>
      </c>
      <c r="F72" s="566" t="s">
        <v>1043</v>
      </c>
      <c r="J72" s="592">
        <f>+J70</f>
        <v>0</v>
      </c>
    </row>
    <row r="73" spans="1:11">
      <c r="A73" s="992" t="str">
        <f>A1</f>
        <v>Worksheet P5</v>
      </c>
      <c r="B73" s="992"/>
      <c r="C73" s="992"/>
      <c r="D73" s="992"/>
      <c r="E73" s="992"/>
      <c r="F73" s="992"/>
      <c r="G73" s="992"/>
      <c r="H73" s="992"/>
      <c r="I73" s="992"/>
      <c r="J73" s="992"/>
      <c r="K73" s="992"/>
    </row>
    <row r="74" spans="1:11">
      <c r="A74" s="992" t="str">
        <f>A2</f>
        <v>Accumulated Deferred Income Taxes</v>
      </c>
      <c r="B74" s="992"/>
      <c r="C74" s="992"/>
      <c r="D74" s="992"/>
      <c r="E74" s="992"/>
      <c r="F74" s="992"/>
      <c r="G74" s="992"/>
      <c r="H74" s="992"/>
      <c r="I74" s="992"/>
      <c r="J74" s="992"/>
      <c r="K74" s="992"/>
    </row>
    <row r="75" spans="1:11">
      <c r="A75" s="992" t="str">
        <f>A3</f>
        <v>Black Hills Colorado Electric, LLC</v>
      </c>
      <c r="B75" s="992"/>
      <c r="C75" s="992"/>
      <c r="D75" s="992"/>
      <c r="E75" s="992"/>
      <c r="F75" s="992"/>
      <c r="G75" s="992"/>
      <c r="H75" s="992"/>
      <c r="I75" s="992"/>
      <c r="J75" s="992"/>
      <c r="K75" s="992"/>
    </row>
    <row r="76" spans="1:11">
      <c r="A76" s="595"/>
      <c r="B76" s="595"/>
      <c r="C76" s="595"/>
      <c r="D76" s="595"/>
      <c r="E76" s="595"/>
      <c r="F76" s="595"/>
      <c r="G76" s="595"/>
      <c r="H76" s="595"/>
      <c r="I76" s="595"/>
      <c r="J76" s="568" t="s">
        <v>726</v>
      </c>
      <c r="K76" s="595"/>
    </row>
    <row r="78" spans="1:11">
      <c r="A78" s="566">
        <f>+A72+1</f>
        <v>56</v>
      </c>
      <c r="B78" s="569" t="s">
        <v>644</v>
      </c>
      <c r="H78" s="570"/>
      <c r="I78" s="570"/>
      <c r="J78" s="570"/>
    </row>
    <row r="79" spans="1:11">
      <c r="A79" s="566">
        <f>+A78+1</f>
        <v>57</v>
      </c>
      <c r="B79" s="997" t="s">
        <v>629</v>
      </c>
      <c r="C79" s="998"/>
      <c r="D79" s="998"/>
      <c r="E79" s="998"/>
      <c r="F79" s="999"/>
      <c r="G79" s="572"/>
      <c r="H79" s="993" t="s">
        <v>630</v>
      </c>
      <c r="I79" s="994"/>
      <c r="J79" s="995"/>
    </row>
    <row r="80" spans="1:11">
      <c r="B80" s="573" t="s">
        <v>76</v>
      </c>
      <c r="C80" s="573" t="s">
        <v>77</v>
      </c>
      <c r="D80" s="573" t="s">
        <v>78</v>
      </c>
      <c r="E80" s="573" t="s">
        <v>79</v>
      </c>
      <c r="F80" s="573" t="s">
        <v>80</v>
      </c>
      <c r="G80" s="572"/>
      <c r="H80" s="573" t="s">
        <v>81</v>
      </c>
      <c r="I80" s="573" t="s">
        <v>82</v>
      </c>
      <c r="J80" s="573" t="s">
        <v>343</v>
      </c>
    </row>
    <row r="81" spans="1:16" ht="52.8">
      <c r="A81" s="566">
        <f>+A79+1</f>
        <v>58</v>
      </c>
      <c r="B81" s="574" t="s">
        <v>219</v>
      </c>
      <c r="C81" s="574" t="s">
        <v>631</v>
      </c>
      <c r="D81" s="574" t="s">
        <v>632</v>
      </c>
      <c r="E81" s="574" t="s">
        <v>633</v>
      </c>
      <c r="F81" s="574" t="s">
        <v>634</v>
      </c>
      <c r="G81" s="575"/>
      <c r="H81" s="574" t="s">
        <v>635</v>
      </c>
      <c r="I81" s="574" t="s">
        <v>636</v>
      </c>
      <c r="J81" s="574" t="s">
        <v>637</v>
      </c>
    </row>
    <row r="82" spans="1:16" ht="31.35" customHeight="1">
      <c r="A82" s="566">
        <f t="shared" ref="A82:A96" si="14">+A81+1</f>
        <v>59</v>
      </c>
      <c r="C82" s="575"/>
      <c r="D82" s="575"/>
      <c r="E82" s="575"/>
      <c r="F82" s="575"/>
      <c r="G82" s="575"/>
      <c r="H82" s="575" t="s">
        <v>1186</v>
      </c>
      <c r="I82" s="575"/>
      <c r="J82" s="575"/>
      <c r="L82" s="596"/>
      <c r="M82" s="596"/>
      <c r="N82" s="596"/>
      <c r="O82" s="596"/>
      <c r="P82" s="596"/>
    </row>
    <row r="83" spans="1:16">
      <c r="A83" s="566">
        <f>+A82+1</f>
        <v>60</v>
      </c>
      <c r="B83" s="566" t="s">
        <v>641</v>
      </c>
      <c r="C83" s="577"/>
      <c r="D83" s="578"/>
      <c r="E83" s="578"/>
      <c r="F83" s="578"/>
      <c r="G83" s="578"/>
      <c r="H83" s="579"/>
      <c r="I83" s="579"/>
      <c r="J83" s="583">
        <v>0</v>
      </c>
      <c r="L83" s="597"/>
      <c r="M83" s="596"/>
      <c r="N83" s="596"/>
      <c r="O83" s="596"/>
      <c r="P83" s="596"/>
    </row>
    <row r="84" spans="1:16">
      <c r="A84" s="566">
        <f t="shared" si="14"/>
        <v>61</v>
      </c>
      <c r="B84" s="577" t="s">
        <v>146</v>
      </c>
      <c r="C84" s="601">
        <v>31</v>
      </c>
      <c r="D84" s="546">
        <f>E84-C84</f>
        <v>334</v>
      </c>
      <c r="E84" s="546">
        <f t="shared" ref="E84:E95" si="15">$E$12</f>
        <v>365</v>
      </c>
      <c r="F84" s="534">
        <f>IF(E84=0,0,D84/E84)</f>
        <v>0.91506849315068495</v>
      </c>
      <c r="G84" s="598"/>
      <c r="H84" s="160">
        <f>'P1-Trans Plant'!AA30</f>
        <v>-76677.712309591472</v>
      </c>
      <c r="I84" s="544">
        <f>+H84*F84</f>
        <v>-70165.358661379592</v>
      </c>
      <c r="J84" s="544">
        <f>+I84+J83</f>
        <v>-70165.358661379592</v>
      </c>
      <c r="L84" s="515"/>
      <c r="M84" s="516"/>
      <c r="N84" s="736"/>
      <c r="O84" s="602"/>
      <c r="P84" s="602"/>
    </row>
    <row r="85" spans="1:16">
      <c r="A85" s="566">
        <f t="shared" si="14"/>
        <v>62</v>
      </c>
      <c r="B85" s="577" t="s">
        <v>147</v>
      </c>
      <c r="C85" s="546">
        <f>C13</f>
        <v>28</v>
      </c>
      <c r="D85" s="546">
        <f>D84-C85</f>
        <v>306</v>
      </c>
      <c r="E85" s="546">
        <f t="shared" si="15"/>
        <v>365</v>
      </c>
      <c r="F85" s="534">
        <f t="shared" ref="F85:F95" si="16">IF(E85=0,0,D85/E85)</f>
        <v>0.83835616438356164</v>
      </c>
      <c r="G85" s="518"/>
      <c r="H85" s="160">
        <f>'P1-Trans Plant'!AA31</f>
        <v>-62280.737801100542</v>
      </c>
      <c r="I85" s="544">
        <f t="shared" ref="I85:I95" si="17">+H85*F85</f>
        <v>-52213.440457908946</v>
      </c>
      <c r="J85" s="544">
        <f t="shared" ref="J85:J95" si="18">+I85+J84</f>
        <v>-122378.79911928854</v>
      </c>
      <c r="K85" s="599"/>
      <c r="L85" s="515"/>
      <c r="M85" s="515"/>
      <c r="N85" s="736"/>
      <c r="O85" s="602"/>
      <c r="P85" s="602"/>
    </row>
    <row r="86" spans="1:16">
      <c r="A86" s="566">
        <f t="shared" si="14"/>
        <v>63</v>
      </c>
      <c r="B86" s="577" t="s">
        <v>397</v>
      </c>
      <c r="C86" s="601">
        <v>31</v>
      </c>
      <c r="D86" s="546">
        <f t="shared" ref="D86:D94" si="19">D85-C86</f>
        <v>275</v>
      </c>
      <c r="E86" s="546">
        <f t="shared" si="15"/>
        <v>365</v>
      </c>
      <c r="F86" s="534">
        <f t="shared" si="16"/>
        <v>0.75342465753424659</v>
      </c>
      <c r="G86" s="518"/>
      <c r="H86" s="160">
        <f>'P1-Trans Plant'!AA32</f>
        <v>-62122.123012312033</v>
      </c>
      <c r="I86" s="544">
        <f t="shared" si="17"/>
        <v>-46804.339255851533</v>
      </c>
      <c r="J86" s="544">
        <f t="shared" si="18"/>
        <v>-169183.13837514009</v>
      </c>
      <c r="L86" s="515"/>
      <c r="M86" s="515"/>
      <c r="N86" s="736"/>
      <c r="O86" s="602"/>
      <c r="P86" s="602"/>
    </row>
    <row r="87" spans="1:16">
      <c r="A87" s="566">
        <f t="shared" si="14"/>
        <v>64</v>
      </c>
      <c r="B87" s="577" t="s">
        <v>148</v>
      </c>
      <c r="C87" s="601">
        <v>30</v>
      </c>
      <c r="D87" s="546">
        <f t="shared" si="19"/>
        <v>245</v>
      </c>
      <c r="E87" s="546">
        <f t="shared" si="15"/>
        <v>365</v>
      </c>
      <c r="F87" s="534">
        <f t="shared" si="16"/>
        <v>0.67123287671232879</v>
      </c>
      <c r="G87" s="518"/>
      <c r="H87" s="160">
        <f>'P1-Trans Plant'!AA33</f>
        <v>-61945.804296146176</v>
      </c>
      <c r="I87" s="544">
        <f t="shared" si="17"/>
        <v>-41580.060417961133</v>
      </c>
      <c r="J87" s="544">
        <f t="shared" si="18"/>
        <v>-210763.19879310121</v>
      </c>
      <c r="L87" s="515"/>
      <c r="M87" s="515"/>
      <c r="N87" s="736"/>
      <c r="O87" s="602"/>
      <c r="P87" s="602"/>
    </row>
    <row r="88" spans="1:16">
      <c r="A88" s="566">
        <f t="shared" si="14"/>
        <v>65</v>
      </c>
      <c r="B88" s="577" t="s">
        <v>149</v>
      </c>
      <c r="C88" s="601">
        <v>31</v>
      </c>
      <c r="D88" s="546">
        <f t="shared" si="19"/>
        <v>214</v>
      </c>
      <c r="E88" s="546">
        <f t="shared" si="15"/>
        <v>365</v>
      </c>
      <c r="F88" s="534">
        <f t="shared" si="16"/>
        <v>0.58630136986301373</v>
      </c>
      <c r="G88" s="518"/>
      <c r="H88" s="160">
        <f>'P1-Trans Plant'!AA34</f>
        <v>-61909.076488407976</v>
      </c>
      <c r="I88" s="544">
        <f t="shared" si="17"/>
        <v>-36297.376352107691</v>
      </c>
      <c r="J88" s="544">
        <f t="shared" si="18"/>
        <v>-247060.57514520892</v>
      </c>
      <c r="L88" s="515"/>
      <c r="M88" s="515"/>
      <c r="N88" s="736"/>
      <c r="O88" s="602"/>
      <c r="P88" s="602"/>
    </row>
    <row r="89" spans="1:16">
      <c r="A89" s="566">
        <f t="shared" si="14"/>
        <v>66</v>
      </c>
      <c r="B89" s="577" t="s">
        <v>150</v>
      </c>
      <c r="C89" s="601">
        <v>30</v>
      </c>
      <c r="D89" s="546">
        <f t="shared" si="19"/>
        <v>184</v>
      </c>
      <c r="E89" s="546">
        <f t="shared" si="15"/>
        <v>365</v>
      </c>
      <c r="F89" s="534">
        <f t="shared" si="16"/>
        <v>0.50410958904109593</v>
      </c>
      <c r="G89" s="518"/>
      <c r="H89" s="160">
        <f>'P1-Trans Plant'!AA35</f>
        <v>-61871.177090108496</v>
      </c>
      <c r="I89" s="544">
        <f t="shared" si="17"/>
        <v>-31189.853656383464</v>
      </c>
      <c r="J89" s="544">
        <f t="shared" si="18"/>
        <v>-278250.42880159238</v>
      </c>
      <c r="L89" s="515"/>
      <c r="M89" s="515"/>
      <c r="N89" s="736"/>
      <c r="O89" s="602"/>
      <c r="P89" s="602"/>
    </row>
    <row r="90" spans="1:16">
      <c r="A90" s="566">
        <f t="shared" si="14"/>
        <v>67</v>
      </c>
      <c r="B90" s="577" t="s">
        <v>151</v>
      </c>
      <c r="C90" s="601">
        <v>31</v>
      </c>
      <c r="D90" s="546">
        <f t="shared" si="19"/>
        <v>153</v>
      </c>
      <c r="E90" s="546">
        <f t="shared" si="15"/>
        <v>365</v>
      </c>
      <c r="F90" s="534">
        <f t="shared" si="16"/>
        <v>0.41917808219178082</v>
      </c>
      <c r="G90" s="518"/>
      <c r="H90" s="160">
        <f>'P1-Trans Plant'!AA36</f>
        <v>-61833.249770626731</v>
      </c>
      <c r="I90" s="544">
        <f t="shared" si="17"/>
        <v>-25919.143054536686</v>
      </c>
      <c r="J90" s="544">
        <f t="shared" si="18"/>
        <v>-304169.57185612904</v>
      </c>
      <c r="L90" s="515"/>
      <c r="M90" s="515"/>
      <c r="N90" s="736"/>
      <c r="O90" s="602"/>
      <c r="P90" s="602"/>
    </row>
    <row r="91" spans="1:16">
      <c r="A91" s="566">
        <f t="shared" si="14"/>
        <v>68</v>
      </c>
      <c r="B91" s="577" t="s">
        <v>398</v>
      </c>
      <c r="C91" s="601">
        <v>31</v>
      </c>
      <c r="D91" s="546">
        <f t="shared" si="19"/>
        <v>122</v>
      </c>
      <c r="E91" s="546">
        <f t="shared" si="15"/>
        <v>365</v>
      </c>
      <c r="F91" s="534">
        <f t="shared" si="16"/>
        <v>0.33424657534246577</v>
      </c>
      <c r="G91" s="518"/>
      <c r="H91" s="160">
        <f>'P1-Trans Plant'!AA37</f>
        <v>-60687.482292633482</v>
      </c>
      <c r="I91" s="544">
        <f t="shared" si="17"/>
        <v>-20284.583122469274</v>
      </c>
      <c r="J91" s="544">
        <f t="shared" si="18"/>
        <v>-324454.15497859829</v>
      </c>
      <c r="L91" s="515"/>
      <c r="M91" s="515"/>
      <c r="N91" s="736"/>
      <c r="O91" s="602"/>
      <c r="P91" s="602"/>
    </row>
    <row r="92" spans="1:16">
      <c r="A92" s="566">
        <f t="shared" si="14"/>
        <v>69</v>
      </c>
      <c r="B92" s="577" t="s">
        <v>152</v>
      </c>
      <c r="C92" s="601">
        <v>30</v>
      </c>
      <c r="D92" s="546">
        <f t="shared" si="19"/>
        <v>92</v>
      </c>
      <c r="E92" s="546">
        <f t="shared" si="15"/>
        <v>365</v>
      </c>
      <c r="F92" s="534">
        <f t="shared" si="16"/>
        <v>0.25205479452054796</v>
      </c>
      <c r="G92" s="518"/>
      <c r="H92" s="160">
        <f>'P1-Trans Plant'!AA38</f>
        <v>-60650.334773452829</v>
      </c>
      <c r="I92" s="544">
        <f t="shared" si="17"/>
        <v>-15287.207668925097</v>
      </c>
      <c r="J92" s="544">
        <f t="shared" si="18"/>
        <v>-339741.36264752341</v>
      </c>
      <c r="L92" s="515"/>
      <c r="M92" s="515"/>
      <c r="N92" s="736"/>
      <c r="O92" s="602"/>
      <c r="P92" s="602"/>
    </row>
    <row r="93" spans="1:16">
      <c r="A93" s="566">
        <f t="shared" si="14"/>
        <v>70</v>
      </c>
      <c r="B93" s="577" t="s">
        <v>153</v>
      </c>
      <c r="C93" s="601">
        <v>31</v>
      </c>
      <c r="D93" s="546">
        <f t="shared" si="19"/>
        <v>61</v>
      </c>
      <c r="E93" s="546">
        <f t="shared" si="15"/>
        <v>365</v>
      </c>
      <c r="F93" s="534">
        <f t="shared" si="16"/>
        <v>0.16712328767123288</v>
      </c>
      <c r="G93" s="518"/>
      <c r="H93" s="160">
        <f>'P1-Trans Plant'!AA39</f>
        <v>-60567.867709936116</v>
      </c>
      <c r="I93" s="544">
        <f t="shared" si="17"/>
        <v>-10122.30117892083</v>
      </c>
      <c r="J93" s="544">
        <f t="shared" si="18"/>
        <v>-349863.66382644424</v>
      </c>
      <c r="L93" s="515"/>
      <c r="M93" s="515"/>
      <c r="N93" s="736"/>
      <c r="O93" s="602"/>
      <c r="P93" s="602"/>
    </row>
    <row r="94" spans="1:16">
      <c r="A94" s="566">
        <f t="shared" si="14"/>
        <v>71</v>
      </c>
      <c r="B94" s="577" t="s">
        <v>154</v>
      </c>
      <c r="C94" s="601">
        <v>30</v>
      </c>
      <c r="D94" s="546">
        <f t="shared" si="19"/>
        <v>31</v>
      </c>
      <c r="E94" s="546">
        <f t="shared" si="15"/>
        <v>365</v>
      </c>
      <c r="F94" s="534">
        <f t="shared" si="16"/>
        <v>8.4931506849315067E-2</v>
      </c>
      <c r="G94" s="518"/>
      <c r="H94" s="160">
        <f>'P1-Trans Plant'!AA40</f>
        <v>-60530.913648723617</v>
      </c>
      <c r="I94" s="544">
        <f t="shared" si="17"/>
        <v>-5140.9817071518692</v>
      </c>
      <c r="J94" s="544">
        <f t="shared" si="18"/>
        <v>-355004.64553359611</v>
      </c>
      <c r="L94" s="515"/>
      <c r="M94" s="515"/>
      <c r="N94" s="736"/>
      <c r="O94" s="602"/>
      <c r="P94" s="602"/>
    </row>
    <row r="95" spans="1:16">
      <c r="A95" s="566">
        <f t="shared" si="14"/>
        <v>72</v>
      </c>
      <c r="B95" s="577" t="s">
        <v>399</v>
      </c>
      <c r="C95" s="601">
        <v>31</v>
      </c>
      <c r="D95" s="546">
        <v>1</v>
      </c>
      <c r="E95" s="546">
        <f t="shared" si="15"/>
        <v>365</v>
      </c>
      <c r="F95" s="534">
        <f t="shared" si="16"/>
        <v>2.7397260273972603E-3</v>
      </c>
      <c r="G95" s="518"/>
      <c r="H95" s="160">
        <f>'P1-Trans Plant'!AA41</f>
        <v>-60505.677021564145</v>
      </c>
      <c r="I95" s="544">
        <f t="shared" si="17"/>
        <v>-165.76897814127162</v>
      </c>
      <c r="J95" s="544">
        <f t="shared" si="18"/>
        <v>-355170.41451173736</v>
      </c>
      <c r="L95" s="515"/>
      <c r="M95" s="515"/>
      <c r="N95" s="736"/>
      <c r="O95" s="602"/>
      <c r="P95" s="602"/>
    </row>
    <row r="96" spans="1:16">
      <c r="A96" s="566">
        <f t="shared" si="14"/>
        <v>73</v>
      </c>
      <c r="B96" s="584"/>
      <c r="C96" s="584" t="s">
        <v>9</v>
      </c>
      <c r="D96" s="584"/>
      <c r="E96" s="584"/>
      <c r="F96" s="585"/>
      <c r="G96" s="578"/>
      <c r="H96" s="586">
        <f>SUM(H84:H95)</f>
        <v>-751582.15621460357</v>
      </c>
      <c r="I96" s="586">
        <f>SUM(I84:I95)</f>
        <v>-355170.41451173736</v>
      </c>
      <c r="J96" s="585"/>
      <c r="L96" s="600"/>
    </row>
    <row r="97" spans="1:16">
      <c r="B97" s="587"/>
      <c r="C97" s="587"/>
      <c r="D97" s="587"/>
      <c r="E97" s="587"/>
      <c r="F97" s="588"/>
      <c r="G97" s="578"/>
      <c r="H97" s="579"/>
      <c r="I97" s="579"/>
      <c r="J97" s="588"/>
      <c r="L97" s="600"/>
    </row>
    <row r="98" spans="1:16">
      <c r="A98" s="566">
        <f>+A96+1</f>
        <v>74</v>
      </c>
      <c r="B98" s="576" t="s">
        <v>671</v>
      </c>
      <c r="C98" s="575"/>
      <c r="D98" s="575"/>
      <c r="E98" s="575"/>
      <c r="F98" s="576" t="s">
        <v>675</v>
      </c>
      <c r="G98" s="575"/>
      <c r="H98" s="575"/>
      <c r="I98" s="575"/>
      <c r="J98" s="160">
        <f>'A3-ADIT'!E13</f>
        <v>-137999967</v>
      </c>
      <c r="L98" s="596"/>
      <c r="M98" s="596"/>
      <c r="N98" s="596"/>
      <c r="O98" s="596"/>
      <c r="P98" s="596"/>
    </row>
    <row r="99" spans="1:16">
      <c r="A99" s="566">
        <f>A98+1</f>
        <v>75</v>
      </c>
      <c r="B99" s="566" t="s">
        <v>771</v>
      </c>
      <c r="C99" s="575"/>
      <c r="D99" s="575"/>
      <c r="E99" s="575"/>
      <c r="F99" s="576" t="s">
        <v>828</v>
      </c>
      <c r="G99" s="575"/>
      <c r="H99" s="575"/>
      <c r="I99" s="575"/>
      <c r="J99" s="840">
        <f>'Proj Att-H'!G222</f>
        <v>0.27972226449734816</v>
      </c>
      <c r="L99" s="596"/>
      <c r="M99" s="596"/>
      <c r="N99" s="596"/>
      <c r="O99" s="596"/>
      <c r="P99" s="596"/>
    </row>
    <row r="100" spans="1:16">
      <c r="A100" s="566">
        <f t="shared" ref="A100:A106" si="20">+A99+1</f>
        <v>76</v>
      </c>
      <c r="B100" s="566" t="s">
        <v>672</v>
      </c>
      <c r="C100" s="575"/>
      <c r="D100" s="575"/>
      <c r="E100" s="575"/>
      <c r="F100" s="576" t="s">
        <v>1093</v>
      </c>
      <c r="G100" s="575"/>
      <c r="H100" s="575"/>
      <c r="I100" s="575"/>
      <c r="J100" s="660">
        <f>J98*J99</f>
        <v>-38601663.269799314</v>
      </c>
      <c r="L100" s="596"/>
      <c r="M100" s="596"/>
      <c r="N100" s="596"/>
      <c r="O100" s="596"/>
      <c r="P100" s="596"/>
    </row>
    <row r="101" spans="1:16">
      <c r="A101" s="566">
        <f t="shared" si="20"/>
        <v>77</v>
      </c>
      <c r="B101" s="566" t="s">
        <v>673</v>
      </c>
      <c r="C101" s="575"/>
      <c r="D101" s="575"/>
      <c r="E101" s="575"/>
      <c r="F101" s="576" t="s">
        <v>827</v>
      </c>
      <c r="G101" s="575"/>
      <c r="H101" s="575"/>
      <c r="I101" s="575"/>
      <c r="J101" s="160">
        <f>'P1-Trans Plant'!V42</f>
        <v>-24067.280399276362</v>
      </c>
      <c r="L101" s="596"/>
      <c r="M101" s="596"/>
      <c r="N101" s="596"/>
      <c r="O101" s="596"/>
      <c r="P101" s="596"/>
    </row>
    <row r="102" spans="1:16">
      <c r="A102" s="566">
        <f t="shared" si="20"/>
        <v>78</v>
      </c>
      <c r="B102" s="566" t="s">
        <v>639</v>
      </c>
      <c r="F102" s="566" t="s">
        <v>1094</v>
      </c>
      <c r="G102" s="588"/>
      <c r="I102" s="588"/>
      <c r="J102" s="601">
        <f>J100+J101</f>
        <v>-38625730.550198592</v>
      </c>
    </row>
    <row r="103" spans="1:16">
      <c r="A103" s="566">
        <f t="shared" si="20"/>
        <v>79</v>
      </c>
      <c r="B103" s="566" t="s">
        <v>643</v>
      </c>
      <c r="F103" s="566" t="str">
        <f>"(Line "&amp;A95&amp;", Col H)"</f>
        <v>(Line 72, Col H)</v>
      </c>
      <c r="G103" s="588"/>
      <c r="I103" s="588"/>
      <c r="J103" s="579">
        <f>+J95</f>
        <v>-355170.41451173736</v>
      </c>
    </row>
    <row r="104" spans="1:16">
      <c r="A104" s="566">
        <f t="shared" si="20"/>
        <v>80</v>
      </c>
      <c r="B104" s="566" t="s">
        <v>674</v>
      </c>
      <c r="F104" s="566" t="s">
        <v>1095</v>
      </c>
      <c r="G104" s="588"/>
      <c r="I104" s="575"/>
      <c r="J104" s="591">
        <f>J102+J103</f>
        <v>-38980900.964710332</v>
      </c>
      <c r="L104" s="602"/>
    </row>
    <row r="105" spans="1:16">
      <c r="A105" s="566">
        <f t="shared" si="20"/>
        <v>81</v>
      </c>
      <c r="B105" s="566" t="s">
        <v>1042</v>
      </c>
      <c r="G105" s="588"/>
      <c r="I105" s="575"/>
      <c r="J105" s="601">
        <v>0</v>
      </c>
    </row>
    <row r="106" spans="1:16">
      <c r="A106" s="566">
        <f t="shared" si="20"/>
        <v>82</v>
      </c>
      <c r="B106" s="566" t="s">
        <v>652</v>
      </c>
      <c r="F106" s="566" t="s">
        <v>1044</v>
      </c>
      <c r="J106" s="592">
        <f>+J104</f>
        <v>-38980900.964710332</v>
      </c>
    </row>
    <row r="107" spans="1:16">
      <c r="A107" s="992" t="str">
        <f>A1</f>
        <v>Worksheet P5</v>
      </c>
      <c r="B107" s="992"/>
      <c r="C107" s="992"/>
      <c r="D107" s="992"/>
      <c r="E107" s="992"/>
      <c r="F107" s="992"/>
      <c r="G107" s="992"/>
      <c r="H107" s="992"/>
      <c r="I107" s="992"/>
      <c r="J107" s="992"/>
      <c r="K107" s="992"/>
    </row>
    <row r="108" spans="1:16">
      <c r="A108" s="992" t="str">
        <f>A2</f>
        <v>Accumulated Deferred Income Taxes</v>
      </c>
      <c r="B108" s="992"/>
      <c r="C108" s="992"/>
      <c r="D108" s="992"/>
      <c r="E108" s="992"/>
      <c r="F108" s="992"/>
      <c r="G108" s="992"/>
      <c r="H108" s="992"/>
      <c r="I108" s="992"/>
      <c r="J108" s="992"/>
      <c r="K108" s="992"/>
    </row>
    <row r="109" spans="1:16">
      <c r="A109" s="992" t="str">
        <f>A3</f>
        <v>Black Hills Colorado Electric, LLC</v>
      </c>
      <c r="B109" s="992"/>
      <c r="C109" s="992"/>
      <c r="D109" s="992"/>
      <c r="E109" s="992"/>
      <c r="F109" s="992"/>
      <c r="G109" s="992"/>
      <c r="H109" s="992"/>
      <c r="I109" s="992"/>
      <c r="J109" s="992"/>
      <c r="K109" s="992"/>
    </row>
    <row r="110" spans="1:16">
      <c r="J110" s="568" t="s">
        <v>727</v>
      </c>
    </row>
    <row r="111" spans="1:16">
      <c r="A111" s="603"/>
      <c r="B111" s="603"/>
      <c r="C111" s="603"/>
      <c r="D111" s="603"/>
      <c r="E111" s="603"/>
      <c r="F111" s="603"/>
      <c r="G111" s="603"/>
      <c r="H111" s="603"/>
    </row>
    <row r="112" spans="1:16">
      <c r="A112" s="566">
        <f>A106+1</f>
        <v>83</v>
      </c>
      <c r="B112" s="569" t="s">
        <v>645</v>
      </c>
      <c r="H112" s="570"/>
      <c r="I112" s="570"/>
      <c r="J112" s="570"/>
    </row>
    <row r="113" spans="1:16">
      <c r="A113" s="566">
        <f>+A112+1</f>
        <v>84</v>
      </c>
      <c r="B113" s="993" t="s">
        <v>629</v>
      </c>
      <c r="C113" s="994"/>
      <c r="D113" s="994"/>
      <c r="E113" s="994"/>
      <c r="F113" s="995"/>
      <c r="G113" s="572"/>
      <c r="H113" s="993" t="s">
        <v>630</v>
      </c>
      <c r="I113" s="994"/>
      <c r="J113" s="995"/>
    </row>
    <row r="114" spans="1:16">
      <c r="B114" s="573" t="s">
        <v>76</v>
      </c>
      <c r="C114" s="573" t="s">
        <v>77</v>
      </c>
      <c r="D114" s="573" t="s">
        <v>78</v>
      </c>
      <c r="E114" s="573" t="s">
        <v>79</v>
      </c>
      <c r="F114" s="573" t="s">
        <v>80</v>
      </c>
      <c r="G114" s="572"/>
      <c r="H114" s="573" t="s">
        <v>81</v>
      </c>
      <c r="I114" s="573" t="s">
        <v>82</v>
      </c>
      <c r="J114" s="573" t="s">
        <v>343</v>
      </c>
    </row>
    <row r="115" spans="1:16" ht="52.8">
      <c r="A115" s="566">
        <f>+A113+1</f>
        <v>85</v>
      </c>
      <c r="B115" s="574" t="s">
        <v>219</v>
      </c>
      <c r="C115" s="574" t="s">
        <v>631</v>
      </c>
      <c r="D115" s="574" t="s">
        <v>632</v>
      </c>
      <c r="E115" s="574" t="s">
        <v>633</v>
      </c>
      <c r="F115" s="574" t="s">
        <v>634</v>
      </c>
      <c r="G115" s="575"/>
      <c r="H115" s="574" t="s">
        <v>635</v>
      </c>
      <c r="I115" s="574" t="s">
        <v>636</v>
      </c>
      <c r="J115" s="574" t="s">
        <v>637</v>
      </c>
    </row>
    <row r="116" spans="1:16">
      <c r="A116" s="566">
        <f t="shared" ref="A116:A130" si="21">+A115+1</f>
        <v>86</v>
      </c>
      <c r="C116" s="575"/>
      <c r="D116" s="575"/>
      <c r="E116" s="575"/>
      <c r="F116" s="575"/>
      <c r="G116" s="575"/>
      <c r="H116" s="575"/>
      <c r="I116" s="575"/>
      <c r="J116" s="575"/>
    </row>
    <row r="117" spans="1:16">
      <c r="A117" s="566">
        <f t="shared" si="21"/>
        <v>87</v>
      </c>
      <c r="B117" s="576" t="s">
        <v>638</v>
      </c>
      <c r="C117" s="577"/>
      <c r="D117" s="578"/>
      <c r="E117" s="578"/>
      <c r="F117" s="578"/>
      <c r="G117" s="578"/>
      <c r="H117" s="579"/>
      <c r="I117" s="579"/>
      <c r="J117" s="583">
        <v>0</v>
      </c>
    </row>
    <row r="118" spans="1:16">
      <c r="A118" s="566">
        <f t="shared" si="21"/>
        <v>88</v>
      </c>
      <c r="B118" s="577" t="s">
        <v>146</v>
      </c>
      <c r="C118" s="601">
        <v>31</v>
      </c>
      <c r="D118" s="546">
        <f>E118-C118</f>
        <v>334</v>
      </c>
      <c r="E118" s="546">
        <f t="shared" ref="E118:E129" si="22">$E$12</f>
        <v>365</v>
      </c>
      <c r="F118" s="517">
        <f>IF(E118=0,0,D118/E118)</f>
        <v>0.91506849315068495</v>
      </c>
      <c r="G118" s="513"/>
      <c r="H118" s="580">
        <v>0</v>
      </c>
      <c r="I118" s="514">
        <f>+H118*F118</f>
        <v>0</v>
      </c>
      <c r="J118" s="514">
        <f t="shared" ref="J118:J129" si="23">+I118+J117</f>
        <v>0</v>
      </c>
      <c r="O118" s="602"/>
      <c r="P118" s="602"/>
    </row>
    <row r="119" spans="1:16">
      <c r="A119" s="566">
        <f t="shared" si="21"/>
        <v>89</v>
      </c>
      <c r="B119" s="577" t="s">
        <v>147</v>
      </c>
      <c r="C119" s="546">
        <f>C13</f>
        <v>28</v>
      </c>
      <c r="D119" s="546">
        <f>D118-C119</f>
        <v>306</v>
      </c>
      <c r="E119" s="546">
        <f t="shared" si="22"/>
        <v>365</v>
      </c>
      <c r="F119" s="517">
        <f t="shared" ref="F119:F129" si="24">IF(E119=0,0,D119/E119)</f>
        <v>0.83835616438356164</v>
      </c>
      <c r="G119" s="513"/>
      <c r="H119" s="580">
        <v>0</v>
      </c>
      <c r="I119" s="514">
        <f t="shared" ref="I119:I129" si="25">+H119*F119</f>
        <v>0</v>
      </c>
      <c r="J119" s="514">
        <f t="shared" si="23"/>
        <v>0</v>
      </c>
      <c r="O119" s="602"/>
      <c r="P119" s="602"/>
    </row>
    <row r="120" spans="1:16">
      <c r="A120" s="566">
        <f t="shared" si="21"/>
        <v>90</v>
      </c>
      <c r="B120" s="577" t="s">
        <v>397</v>
      </c>
      <c r="C120" s="601">
        <v>31</v>
      </c>
      <c r="D120" s="546">
        <f t="shared" ref="D120:D128" si="26">D119-C120</f>
        <v>275</v>
      </c>
      <c r="E120" s="546">
        <f t="shared" si="22"/>
        <v>365</v>
      </c>
      <c r="F120" s="517">
        <f t="shared" si="24"/>
        <v>0.75342465753424659</v>
      </c>
      <c r="G120" s="513"/>
      <c r="H120" s="580">
        <v>0</v>
      </c>
      <c r="I120" s="514">
        <f t="shared" si="25"/>
        <v>0</v>
      </c>
      <c r="J120" s="514">
        <f t="shared" si="23"/>
        <v>0</v>
      </c>
      <c r="O120" s="602"/>
      <c r="P120" s="602"/>
    </row>
    <row r="121" spans="1:16">
      <c r="A121" s="566">
        <f t="shared" si="21"/>
        <v>91</v>
      </c>
      <c r="B121" s="577" t="s">
        <v>148</v>
      </c>
      <c r="C121" s="601">
        <v>30</v>
      </c>
      <c r="D121" s="546">
        <f t="shared" si="26"/>
        <v>245</v>
      </c>
      <c r="E121" s="546">
        <f t="shared" si="22"/>
        <v>365</v>
      </c>
      <c r="F121" s="517">
        <f t="shared" si="24"/>
        <v>0.67123287671232879</v>
      </c>
      <c r="G121" s="513"/>
      <c r="H121" s="580">
        <v>0</v>
      </c>
      <c r="I121" s="514">
        <f t="shared" si="25"/>
        <v>0</v>
      </c>
      <c r="J121" s="514">
        <f t="shared" si="23"/>
        <v>0</v>
      </c>
      <c r="O121" s="602"/>
      <c r="P121" s="602"/>
    </row>
    <row r="122" spans="1:16">
      <c r="A122" s="566">
        <f t="shared" si="21"/>
        <v>92</v>
      </c>
      <c r="B122" s="577" t="s">
        <v>149</v>
      </c>
      <c r="C122" s="601">
        <v>31</v>
      </c>
      <c r="D122" s="546">
        <f t="shared" si="26"/>
        <v>214</v>
      </c>
      <c r="E122" s="546">
        <f t="shared" si="22"/>
        <v>365</v>
      </c>
      <c r="F122" s="517">
        <f t="shared" si="24"/>
        <v>0.58630136986301373</v>
      </c>
      <c r="G122" s="513"/>
      <c r="H122" s="580">
        <v>0</v>
      </c>
      <c r="I122" s="514">
        <f t="shared" si="25"/>
        <v>0</v>
      </c>
      <c r="J122" s="514">
        <f t="shared" si="23"/>
        <v>0</v>
      </c>
      <c r="O122" s="602"/>
      <c r="P122" s="602"/>
    </row>
    <row r="123" spans="1:16">
      <c r="A123" s="566">
        <f t="shared" si="21"/>
        <v>93</v>
      </c>
      <c r="B123" s="577" t="s">
        <v>150</v>
      </c>
      <c r="C123" s="601">
        <v>30</v>
      </c>
      <c r="D123" s="546">
        <f t="shared" si="26"/>
        <v>184</v>
      </c>
      <c r="E123" s="546">
        <f t="shared" si="22"/>
        <v>365</v>
      </c>
      <c r="F123" s="517">
        <f t="shared" si="24"/>
        <v>0.50410958904109593</v>
      </c>
      <c r="G123" s="513"/>
      <c r="H123" s="580">
        <v>0</v>
      </c>
      <c r="I123" s="514">
        <f t="shared" si="25"/>
        <v>0</v>
      </c>
      <c r="J123" s="514">
        <f t="shared" si="23"/>
        <v>0</v>
      </c>
      <c r="O123" s="602"/>
      <c r="P123" s="602"/>
    </row>
    <row r="124" spans="1:16">
      <c r="A124" s="566">
        <f t="shared" si="21"/>
        <v>94</v>
      </c>
      <c r="B124" s="577" t="s">
        <v>151</v>
      </c>
      <c r="C124" s="601">
        <v>31</v>
      </c>
      <c r="D124" s="546">
        <f t="shared" si="26"/>
        <v>153</v>
      </c>
      <c r="E124" s="546">
        <f t="shared" si="22"/>
        <v>365</v>
      </c>
      <c r="F124" s="517">
        <f t="shared" si="24"/>
        <v>0.41917808219178082</v>
      </c>
      <c r="G124" s="513"/>
      <c r="H124" s="580">
        <v>0</v>
      </c>
      <c r="I124" s="514">
        <f t="shared" si="25"/>
        <v>0</v>
      </c>
      <c r="J124" s="514">
        <f t="shared" si="23"/>
        <v>0</v>
      </c>
      <c r="O124" s="602"/>
      <c r="P124" s="602"/>
    </row>
    <row r="125" spans="1:16">
      <c r="A125" s="566">
        <f t="shared" si="21"/>
        <v>95</v>
      </c>
      <c r="B125" s="577" t="s">
        <v>398</v>
      </c>
      <c r="C125" s="601">
        <v>31</v>
      </c>
      <c r="D125" s="546">
        <f t="shared" si="26"/>
        <v>122</v>
      </c>
      <c r="E125" s="546">
        <f t="shared" si="22"/>
        <v>365</v>
      </c>
      <c r="F125" s="517">
        <f t="shared" si="24"/>
        <v>0.33424657534246577</v>
      </c>
      <c r="G125" s="513"/>
      <c r="H125" s="580">
        <v>0</v>
      </c>
      <c r="I125" s="514">
        <f t="shared" si="25"/>
        <v>0</v>
      </c>
      <c r="J125" s="514">
        <f t="shared" si="23"/>
        <v>0</v>
      </c>
      <c r="O125" s="602"/>
      <c r="P125" s="602"/>
    </row>
    <row r="126" spans="1:16">
      <c r="A126" s="566">
        <f t="shared" si="21"/>
        <v>96</v>
      </c>
      <c r="B126" s="577" t="s">
        <v>152</v>
      </c>
      <c r="C126" s="601">
        <v>30</v>
      </c>
      <c r="D126" s="546">
        <f t="shared" si="26"/>
        <v>92</v>
      </c>
      <c r="E126" s="546">
        <f t="shared" si="22"/>
        <v>365</v>
      </c>
      <c r="F126" s="517">
        <f t="shared" si="24"/>
        <v>0.25205479452054796</v>
      </c>
      <c r="G126" s="513"/>
      <c r="H126" s="580">
        <v>0</v>
      </c>
      <c r="I126" s="514">
        <f t="shared" si="25"/>
        <v>0</v>
      </c>
      <c r="J126" s="514">
        <f t="shared" si="23"/>
        <v>0</v>
      </c>
      <c r="O126" s="602"/>
      <c r="P126" s="602"/>
    </row>
    <row r="127" spans="1:16">
      <c r="A127" s="566">
        <f t="shared" si="21"/>
        <v>97</v>
      </c>
      <c r="B127" s="577" t="s">
        <v>153</v>
      </c>
      <c r="C127" s="601">
        <v>31</v>
      </c>
      <c r="D127" s="546">
        <f t="shared" si="26"/>
        <v>61</v>
      </c>
      <c r="E127" s="546">
        <f t="shared" si="22"/>
        <v>365</v>
      </c>
      <c r="F127" s="517">
        <f t="shared" si="24"/>
        <v>0.16712328767123288</v>
      </c>
      <c r="G127" s="513"/>
      <c r="H127" s="580">
        <v>0</v>
      </c>
      <c r="I127" s="514">
        <f t="shared" si="25"/>
        <v>0</v>
      </c>
      <c r="J127" s="514">
        <f t="shared" si="23"/>
        <v>0</v>
      </c>
      <c r="O127" s="602"/>
      <c r="P127" s="602"/>
    </row>
    <row r="128" spans="1:16">
      <c r="A128" s="566">
        <f t="shared" si="21"/>
        <v>98</v>
      </c>
      <c r="B128" s="577" t="s">
        <v>154</v>
      </c>
      <c r="C128" s="601">
        <v>30</v>
      </c>
      <c r="D128" s="546">
        <f t="shared" si="26"/>
        <v>31</v>
      </c>
      <c r="E128" s="546">
        <f t="shared" si="22"/>
        <v>365</v>
      </c>
      <c r="F128" s="517">
        <f t="shared" si="24"/>
        <v>8.4931506849315067E-2</v>
      </c>
      <c r="G128" s="513"/>
      <c r="H128" s="580">
        <v>0</v>
      </c>
      <c r="I128" s="514">
        <f t="shared" si="25"/>
        <v>0</v>
      </c>
      <c r="J128" s="514">
        <f t="shared" si="23"/>
        <v>0</v>
      </c>
      <c r="O128" s="602"/>
      <c r="P128" s="602"/>
    </row>
    <row r="129" spans="1:16">
      <c r="A129" s="566">
        <f t="shared" si="21"/>
        <v>99</v>
      </c>
      <c r="B129" s="577" t="s">
        <v>399</v>
      </c>
      <c r="C129" s="601">
        <v>31</v>
      </c>
      <c r="D129" s="546">
        <v>1</v>
      </c>
      <c r="E129" s="546">
        <f t="shared" si="22"/>
        <v>365</v>
      </c>
      <c r="F129" s="517">
        <f t="shared" si="24"/>
        <v>2.7397260273972603E-3</v>
      </c>
      <c r="G129" s="513"/>
      <c r="H129" s="580">
        <v>0</v>
      </c>
      <c r="I129" s="514">
        <f t="shared" si="25"/>
        <v>0</v>
      </c>
      <c r="J129" s="514">
        <f t="shared" si="23"/>
        <v>0</v>
      </c>
      <c r="O129" s="602"/>
      <c r="P129" s="602"/>
    </row>
    <row r="130" spans="1:16">
      <c r="A130" s="566">
        <f t="shared" si="21"/>
        <v>100</v>
      </c>
      <c r="B130" s="584"/>
      <c r="C130" s="584" t="s">
        <v>9</v>
      </c>
      <c r="D130" s="584"/>
      <c r="E130" s="584"/>
      <c r="F130" s="585"/>
      <c r="G130" s="578"/>
      <c r="H130" s="586">
        <f>SUM(H118:H129)</f>
        <v>0</v>
      </c>
      <c r="I130" s="586">
        <f>SUM(I118:I129)</f>
        <v>0</v>
      </c>
      <c r="J130" s="585"/>
    </row>
    <row r="131" spans="1:16">
      <c r="B131" s="587"/>
      <c r="C131" s="587"/>
      <c r="D131" s="587"/>
      <c r="E131" s="587"/>
      <c r="F131" s="588"/>
      <c r="G131" s="588"/>
      <c r="I131" s="589"/>
      <c r="J131" s="588"/>
    </row>
    <row r="132" spans="1:16">
      <c r="A132" s="566">
        <f>+A130+1</f>
        <v>101</v>
      </c>
      <c r="B132" s="566" t="s">
        <v>639</v>
      </c>
      <c r="F132" s="870" t="s">
        <v>1185</v>
      </c>
      <c r="G132" s="588"/>
      <c r="I132" s="588"/>
      <c r="J132" s="160">
        <f>'A3-ADIT'!D14</f>
        <v>-70683636</v>
      </c>
      <c r="N132" s="736"/>
    </row>
    <row r="133" spans="1:16">
      <c r="A133" s="566">
        <f>+A132+1</f>
        <v>102</v>
      </c>
      <c r="B133" s="566" t="s">
        <v>640</v>
      </c>
      <c r="F133" s="566" t="str">
        <f>"(Line "&amp;A132&amp;" less line "&amp;A134&amp;")"</f>
        <v>(Line 101 less line 103)</v>
      </c>
      <c r="G133" s="588"/>
      <c r="I133" s="588"/>
      <c r="J133" s="590">
        <f>+J132-J134</f>
        <v>-70683636</v>
      </c>
    </row>
    <row r="134" spans="1:16">
      <c r="A134" s="566">
        <f t="shared" ref="A134:A140" si="27">+A133+1</f>
        <v>103</v>
      </c>
      <c r="B134" s="566" t="s">
        <v>641</v>
      </c>
      <c r="F134" s="566" t="str">
        <f>"(Line "&amp;A117&amp;", Col H)"</f>
        <v>(Line 87, Col H)</v>
      </c>
      <c r="G134" s="588"/>
      <c r="I134" s="588"/>
      <c r="J134" s="579">
        <f>+J117</f>
        <v>0</v>
      </c>
    </row>
    <row r="135" spans="1:16">
      <c r="A135" s="566">
        <f t="shared" si="27"/>
        <v>104</v>
      </c>
      <c r="B135" s="566" t="s">
        <v>642</v>
      </c>
      <c r="F135" s="566" t="s">
        <v>1046</v>
      </c>
      <c r="G135" s="588"/>
      <c r="I135" s="588"/>
      <c r="J135" s="160">
        <f>'A3-ADIT'!E14</f>
        <v>-61775900</v>
      </c>
    </row>
    <row r="136" spans="1:16">
      <c r="A136" s="566">
        <f t="shared" si="27"/>
        <v>105</v>
      </c>
      <c r="B136" s="566" t="str">
        <f>+B133</f>
        <v>Less non Prorated Items</v>
      </c>
      <c r="F136" s="566" t="str">
        <f>"(Line "&amp;A135&amp;" less line "&amp;A137&amp;")"</f>
        <v>(Line 104 less line 106)</v>
      </c>
      <c r="G136" s="588"/>
      <c r="I136" s="588"/>
      <c r="J136" s="590">
        <f>+J135-J137</f>
        <v>-61775900</v>
      </c>
    </row>
    <row r="137" spans="1:16">
      <c r="A137" s="566">
        <f t="shared" si="27"/>
        <v>106</v>
      </c>
      <c r="B137" s="566" t="s">
        <v>643</v>
      </c>
      <c r="F137" s="566" t="str">
        <f>"(Line "&amp;A129&amp;", Col H)"</f>
        <v>(Line 99, Col H)</v>
      </c>
      <c r="G137" s="588"/>
      <c r="I137" s="588"/>
      <c r="J137" s="579">
        <f>+J129</f>
        <v>0</v>
      </c>
    </row>
    <row r="138" spans="1:16">
      <c r="A138" s="566">
        <f t="shared" si="27"/>
        <v>107</v>
      </c>
      <c r="B138" s="566" t="s">
        <v>588</v>
      </c>
      <c r="F138" s="566" t="str">
        <f>"([Lines "&amp;A134&amp;" + "&amp;A137&amp;"] /2)+([Lines "&amp;A133&amp;" +"&amp;A136&amp;")/2])"</f>
        <v>([Lines 103 + 106] /2)+([Lines 102 +105)/2])</v>
      </c>
      <c r="G138" s="588"/>
      <c r="I138" s="575"/>
      <c r="J138" s="591">
        <f>(J134+J137)/2+(J133+J136)/2</f>
        <v>-66229768</v>
      </c>
    </row>
    <row r="139" spans="1:16">
      <c r="A139" s="566">
        <f t="shared" si="27"/>
        <v>108</v>
      </c>
      <c r="B139" s="566" t="s">
        <v>1042</v>
      </c>
      <c r="G139" s="588"/>
      <c r="I139" s="575"/>
      <c r="J139" s="601">
        <v>0</v>
      </c>
    </row>
    <row r="140" spans="1:16">
      <c r="A140" s="566">
        <f t="shared" si="27"/>
        <v>109</v>
      </c>
      <c r="B140" s="566" t="s">
        <v>652</v>
      </c>
      <c r="F140" s="566" t="s">
        <v>1047</v>
      </c>
      <c r="J140" s="592">
        <f>+J138</f>
        <v>-66229768</v>
      </c>
    </row>
    <row r="141" spans="1:16">
      <c r="A141" s="992" t="str">
        <f>A39</f>
        <v>Worksheet P5</v>
      </c>
      <c r="B141" s="992"/>
      <c r="C141" s="992"/>
      <c r="D141" s="992"/>
      <c r="E141" s="992"/>
      <c r="F141" s="992"/>
      <c r="G141" s="992"/>
      <c r="H141" s="992"/>
      <c r="I141" s="992"/>
      <c r="J141" s="992"/>
      <c r="K141" s="992"/>
    </row>
    <row r="142" spans="1:16">
      <c r="A142" s="992" t="str">
        <f>"Excess "&amp;A40</f>
        <v>Excess Accumulated Deferred Income Taxes</v>
      </c>
      <c r="B142" s="992"/>
      <c r="C142" s="992"/>
      <c r="D142" s="992"/>
      <c r="E142" s="992"/>
      <c r="F142" s="992"/>
      <c r="G142" s="992"/>
      <c r="H142" s="992"/>
      <c r="I142" s="992"/>
      <c r="J142" s="992"/>
      <c r="K142" s="992"/>
    </row>
    <row r="143" spans="1:16">
      <c r="A143" s="992" t="str">
        <f>A41</f>
        <v>Black Hills Colorado Electric, LLC</v>
      </c>
      <c r="B143" s="992"/>
      <c r="C143" s="992"/>
      <c r="D143" s="992"/>
      <c r="E143" s="992"/>
      <c r="F143" s="992"/>
      <c r="G143" s="992"/>
      <c r="H143" s="992"/>
      <c r="I143" s="992"/>
      <c r="J143" s="992"/>
      <c r="K143" s="992"/>
    </row>
    <row r="144" spans="1:16">
      <c r="J144" s="568" t="s">
        <v>728</v>
      </c>
    </row>
    <row r="145" spans="1:16">
      <c r="A145" s="603"/>
      <c r="B145" s="603"/>
      <c r="C145" s="603"/>
      <c r="D145" s="603"/>
      <c r="E145" s="603"/>
      <c r="F145" s="603"/>
      <c r="G145" s="603"/>
      <c r="H145" s="603"/>
    </row>
    <row r="146" spans="1:16">
      <c r="A146" s="566">
        <f>A140+1</f>
        <v>110</v>
      </c>
      <c r="B146" s="569" t="s">
        <v>835</v>
      </c>
      <c r="H146" s="570"/>
      <c r="I146" s="570"/>
      <c r="J146" s="570"/>
    </row>
    <row r="147" spans="1:16">
      <c r="A147" s="566">
        <f>+A146+1</f>
        <v>111</v>
      </c>
      <c r="B147" s="993" t="s">
        <v>629</v>
      </c>
      <c r="C147" s="994"/>
      <c r="D147" s="994"/>
      <c r="E147" s="994"/>
      <c r="F147" s="995"/>
      <c r="G147" s="572"/>
      <c r="H147" s="993" t="s">
        <v>630</v>
      </c>
      <c r="I147" s="994"/>
      <c r="J147" s="995"/>
    </row>
    <row r="148" spans="1:16">
      <c r="B148" s="573" t="s">
        <v>76</v>
      </c>
      <c r="C148" s="573" t="s">
        <v>77</v>
      </c>
      <c r="D148" s="573" t="s">
        <v>78</v>
      </c>
      <c r="E148" s="573" t="s">
        <v>79</v>
      </c>
      <c r="F148" s="573" t="s">
        <v>80</v>
      </c>
      <c r="G148" s="572"/>
      <c r="H148" s="573" t="s">
        <v>81</v>
      </c>
      <c r="I148" s="573" t="s">
        <v>82</v>
      </c>
      <c r="J148" s="573" t="s">
        <v>343</v>
      </c>
    </row>
    <row r="149" spans="1:16" ht="52.8">
      <c r="A149" s="566">
        <f>+A147+1</f>
        <v>112</v>
      </c>
      <c r="B149" s="574" t="s">
        <v>219</v>
      </c>
      <c r="C149" s="574" t="s">
        <v>631</v>
      </c>
      <c r="D149" s="574" t="s">
        <v>632</v>
      </c>
      <c r="E149" s="574" t="s">
        <v>633</v>
      </c>
      <c r="F149" s="574" t="s">
        <v>634</v>
      </c>
      <c r="G149" s="575"/>
      <c r="H149" s="574" t="s">
        <v>635</v>
      </c>
      <c r="I149" s="574" t="s">
        <v>636</v>
      </c>
      <c r="J149" s="574" t="s">
        <v>637</v>
      </c>
    </row>
    <row r="150" spans="1:16" ht="39.6">
      <c r="A150" s="566">
        <f t="shared" ref="A150:A164" si="28">+A149+1</f>
        <v>113</v>
      </c>
      <c r="C150" s="575"/>
      <c r="D150" s="575"/>
      <c r="E150" s="575"/>
      <c r="F150" s="575"/>
      <c r="G150" s="575"/>
      <c r="H150" s="869" t="s">
        <v>1184</v>
      </c>
      <c r="I150" s="575"/>
      <c r="J150" s="575"/>
    </row>
    <row r="151" spans="1:16">
      <c r="A151" s="566">
        <f t="shared" si="28"/>
        <v>114</v>
      </c>
      <c r="B151" s="576" t="s">
        <v>638</v>
      </c>
      <c r="C151" s="577"/>
      <c r="D151" s="578"/>
      <c r="E151" s="578"/>
      <c r="F151" s="578"/>
      <c r="G151" s="578"/>
      <c r="H151" s="579"/>
      <c r="I151" s="579"/>
      <c r="J151" s="580"/>
    </row>
    <row r="152" spans="1:16">
      <c r="A152" s="566">
        <f t="shared" si="28"/>
        <v>115</v>
      </c>
      <c r="B152" s="577" t="s">
        <v>146</v>
      </c>
      <c r="C152" s="601">
        <v>31</v>
      </c>
      <c r="D152" s="546">
        <f>E152-C152</f>
        <v>334</v>
      </c>
      <c r="E152" s="546">
        <f t="shared" ref="E152:E163" si="29">$E$12</f>
        <v>365</v>
      </c>
      <c r="F152" s="517">
        <f>IF(E152=0,0,D152/E152)</f>
        <v>0.91506849315068495</v>
      </c>
      <c r="G152" s="513"/>
      <c r="H152" s="160">
        <f>'A3.1-EDIT-DDIT'!$G$39/12</f>
        <v>118763.23522023451</v>
      </c>
      <c r="I152" s="514">
        <f>+H152*F152</f>
        <v>108676.49469468034</v>
      </c>
      <c r="J152" s="544">
        <f t="shared" ref="J152:J163" si="30">+I152+J151</f>
        <v>108676.49469468034</v>
      </c>
      <c r="N152" s="736"/>
      <c r="O152" s="602"/>
      <c r="P152" s="602"/>
    </row>
    <row r="153" spans="1:16">
      <c r="A153" s="566">
        <f t="shared" si="28"/>
        <v>116</v>
      </c>
      <c r="B153" s="577" t="s">
        <v>147</v>
      </c>
      <c r="C153" s="546">
        <f>C13</f>
        <v>28</v>
      </c>
      <c r="D153" s="546">
        <f>D152-C153</f>
        <v>306</v>
      </c>
      <c r="E153" s="546">
        <f t="shared" si="29"/>
        <v>365</v>
      </c>
      <c r="F153" s="517">
        <f t="shared" ref="F153:F163" si="31">IF(E153=0,0,D153/E153)</f>
        <v>0.83835616438356164</v>
      </c>
      <c r="G153" s="513"/>
      <c r="H153" s="160">
        <f>'A3.1-EDIT-DDIT'!$G$39/12</f>
        <v>118763.23522023451</v>
      </c>
      <c r="I153" s="514">
        <f t="shared" ref="I153:I163" si="32">+H153*F153</f>
        <v>99565.890349018518</v>
      </c>
      <c r="J153" s="544">
        <f t="shared" si="30"/>
        <v>208242.38504369886</v>
      </c>
      <c r="N153" s="736"/>
      <c r="O153" s="602"/>
      <c r="P153" s="602"/>
    </row>
    <row r="154" spans="1:16">
      <c r="A154" s="566">
        <f t="shared" si="28"/>
        <v>117</v>
      </c>
      <c r="B154" s="577" t="s">
        <v>397</v>
      </c>
      <c r="C154" s="601">
        <v>31</v>
      </c>
      <c r="D154" s="546">
        <f t="shared" ref="D154:D162" si="33">D153-C154</f>
        <v>275</v>
      </c>
      <c r="E154" s="546">
        <f t="shared" si="29"/>
        <v>365</v>
      </c>
      <c r="F154" s="517">
        <f t="shared" si="31"/>
        <v>0.75342465753424659</v>
      </c>
      <c r="G154" s="513"/>
      <c r="H154" s="160">
        <f>'A3.1-EDIT-DDIT'!$G$39/12</f>
        <v>118763.23522023451</v>
      </c>
      <c r="I154" s="514">
        <f t="shared" si="32"/>
        <v>89479.149823464351</v>
      </c>
      <c r="J154" s="544">
        <f t="shared" si="30"/>
        <v>297721.53486716322</v>
      </c>
      <c r="N154" s="736"/>
      <c r="O154" s="602"/>
      <c r="P154" s="602"/>
    </row>
    <row r="155" spans="1:16">
      <c r="A155" s="566">
        <f t="shared" si="28"/>
        <v>118</v>
      </c>
      <c r="B155" s="577" t="s">
        <v>148</v>
      </c>
      <c r="C155" s="601">
        <v>30</v>
      </c>
      <c r="D155" s="546">
        <f t="shared" si="33"/>
        <v>245</v>
      </c>
      <c r="E155" s="546">
        <f t="shared" si="29"/>
        <v>365</v>
      </c>
      <c r="F155" s="517">
        <f t="shared" si="31"/>
        <v>0.67123287671232879</v>
      </c>
      <c r="G155" s="513"/>
      <c r="H155" s="160">
        <f>'A3.1-EDIT-DDIT'!$G$39/12</f>
        <v>118763.23522023451</v>
      </c>
      <c r="I155" s="514">
        <f t="shared" si="32"/>
        <v>79717.788024540976</v>
      </c>
      <c r="J155" s="544">
        <f t="shared" si="30"/>
        <v>377439.32289170421</v>
      </c>
      <c r="N155" s="736"/>
      <c r="O155" s="602"/>
      <c r="P155" s="602"/>
    </row>
    <row r="156" spans="1:16">
      <c r="A156" s="566">
        <f t="shared" si="28"/>
        <v>119</v>
      </c>
      <c r="B156" s="577" t="s">
        <v>149</v>
      </c>
      <c r="C156" s="601">
        <v>31</v>
      </c>
      <c r="D156" s="546">
        <f t="shared" si="33"/>
        <v>214</v>
      </c>
      <c r="E156" s="546">
        <f t="shared" si="29"/>
        <v>365</v>
      </c>
      <c r="F156" s="517">
        <f t="shared" si="31"/>
        <v>0.58630136986301373</v>
      </c>
      <c r="G156" s="513"/>
      <c r="H156" s="160">
        <f>'A3.1-EDIT-DDIT'!$G$39/12</f>
        <v>118763.23522023451</v>
      </c>
      <c r="I156" s="514">
        <f t="shared" si="32"/>
        <v>69631.047498986809</v>
      </c>
      <c r="J156" s="544">
        <f t="shared" si="30"/>
        <v>447070.37039069104</v>
      </c>
      <c r="N156" s="736"/>
      <c r="O156" s="602"/>
      <c r="P156" s="602"/>
    </row>
    <row r="157" spans="1:16">
      <c r="A157" s="566">
        <f t="shared" si="28"/>
        <v>120</v>
      </c>
      <c r="B157" s="577" t="s">
        <v>150</v>
      </c>
      <c r="C157" s="601">
        <v>30</v>
      </c>
      <c r="D157" s="546">
        <f t="shared" si="33"/>
        <v>184</v>
      </c>
      <c r="E157" s="546">
        <f t="shared" si="29"/>
        <v>365</v>
      </c>
      <c r="F157" s="517">
        <f t="shared" si="31"/>
        <v>0.50410958904109593</v>
      </c>
      <c r="G157" s="513"/>
      <c r="H157" s="160">
        <f>'A3.1-EDIT-DDIT'!$G$39/12</f>
        <v>118763.23522023451</v>
      </c>
      <c r="I157" s="514">
        <f t="shared" si="32"/>
        <v>59869.685700063426</v>
      </c>
      <c r="J157" s="544">
        <f t="shared" si="30"/>
        <v>506940.05609075446</v>
      </c>
      <c r="N157" s="736"/>
      <c r="O157" s="602"/>
      <c r="P157" s="602"/>
    </row>
    <row r="158" spans="1:16">
      <c r="A158" s="566">
        <f t="shared" si="28"/>
        <v>121</v>
      </c>
      <c r="B158" s="577" t="s">
        <v>151</v>
      </c>
      <c r="C158" s="601">
        <v>31</v>
      </c>
      <c r="D158" s="546">
        <f t="shared" si="33"/>
        <v>153</v>
      </c>
      <c r="E158" s="546">
        <f t="shared" si="29"/>
        <v>365</v>
      </c>
      <c r="F158" s="517">
        <f t="shared" si="31"/>
        <v>0.41917808219178082</v>
      </c>
      <c r="G158" s="513"/>
      <c r="H158" s="160">
        <f>'A3.1-EDIT-DDIT'!$G$39/12</f>
        <v>118763.23522023451</v>
      </c>
      <c r="I158" s="514">
        <f t="shared" si="32"/>
        <v>49782.945174509259</v>
      </c>
      <c r="J158" s="544">
        <f t="shared" si="30"/>
        <v>556723.00126526377</v>
      </c>
      <c r="N158" s="736"/>
      <c r="O158" s="602"/>
      <c r="P158" s="602"/>
    </row>
    <row r="159" spans="1:16">
      <c r="A159" s="566">
        <f t="shared" si="28"/>
        <v>122</v>
      </c>
      <c r="B159" s="577" t="s">
        <v>398</v>
      </c>
      <c r="C159" s="601">
        <v>31</v>
      </c>
      <c r="D159" s="546">
        <f t="shared" si="33"/>
        <v>122</v>
      </c>
      <c r="E159" s="546">
        <f t="shared" si="29"/>
        <v>365</v>
      </c>
      <c r="F159" s="517">
        <f t="shared" si="31"/>
        <v>0.33424657534246577</v>
      </c>
      <c r="G159" s="513"/>
      <c r="H159" s="160">
        <f>'A3.1-EDIT-DDIT'!$G$39/12</f>
        <v>118763.23522023451</v>
      </c>
      <c r="I159" s="514">
        <f t="shared" si="32"/>
        <v>39696.204648955099</v>
      </c>
      <c r="J159" s="544">
        <f t="shared" si="30"/>
        <v>596419.20591421891</v>
      </c>
      <c r="N159" s="736"/>
      <c r="O159" s="602"/>
      <c r="P159" s="602"/>
    </row>
    <row r="160" spans="1:16">
      <c r="A160" s="566">
        <f t="shared" si="28"/>
        <v>123</v>
      </c>
      <c r="B160" s="577" t="s">
        <v>152</v>
      </c>
      <c r="C160" s="601">
        <v>30</v>
      </c>
      <c r="D160" s="546">
        <f t="shared" si="33"/>
        <v>92</v>
      </c>
      <c r="E160" s="546">
        <f t="shared" si="29"/>
        <v>365</v>
      </c>
      <c r="F160" s="517">
        <f t="shared" si="31"/>
        <v>0.25205479452054796</v>
      </c>
      <c r="G160" s="513"/>
      <c r="H160" s="160">
        <f>'A3.1-EDIT-DDIT'!$G$39/12</f>
        <v>118763.23522023451</v>
      </c>
      <c r="I160" s="514">
        <f t="shared" si="32"/>
        <v>29934.842850031713</v>
      </c>
      <c r="J160" s="544">
        <f t="shared" si="30"/>
        <v>626354.04876425059</v>
      </c>
      <c r="N160" s="736"/>
      <c r="O160" s="602"/>
      <c r="P160" s="602"/>
    </row>
    <row r="161" spans="1:16">
      <c r="A161" s="566">
        <f t="shared" si="28"/>
        <v>124</v>
      </c>
      <c r="B161" s="577" t="s">
        <v>153</v>
      </c>
      <c r="C161" s="601">
        <v>31</v>
      </c>
      <c r="D161" s="546">
        <f t="shared" si="33"/>
        <v>61</v>
      </c>
      <c r="E161" s="546">
        <f t="shared" si="29"/>
        <v>365</v>
      </c>
      <c r="F161" s="517">
        <f t="shared" si="31"/>
        <v>0.16712328767123288</v>
      </c>
      <c r="G161" s="513"/>
      <c r="H161" s="160">
        <f>'A3.1-EDIT-DDIT'!$G$39/12</f>
        <v>118763.23522023451</v>
      </c>
      <c r="I161" s="514">
        <f t="shared" si="32"/>
        <v>19848.10232447755</v>
      </c>
      <c r="J161" s="544">
        <f t="shared" si="30"/>
        <v>646202.1510887281</v>
      </c>
      <c r="N161" s="736"/>
      <c r="O161" s="602"/>
      <c r="P161" s="602"/>
    </row>
    <row r="162" spans="1:16">
      <c r="A162" s="566">
        <f t="shared" si="28"/>
        <v>125</v>
      </c>
      <c r="B162" s="577" t="s">
        <v>154</v>
      </c>
      <c r="C162" s="601">
        <v>30</v>
      </c>
      <c r="D162" s="546">
        <f t="shared" si="33"/>
        <v>31</v>
      </c>
      <c r="E162" s="546">
        <f t="shared" si="29"/>
        <v>365</v>
      </c>
      <c r="F162" s="517">
        <f t="shared" si="31"/>
        <v>8.4931506849315067E-2</v>
      </c>
      <c r="G162" s="513"/>
      <c r="H162" s="160">
        <f>'A3.1-EDIT-DDIT'!$G$39/12</f>
        <v>118763.23522023451</v>
      </c>
      <c r="I162" s="514">
        <f t="shared" si="32"/>
        <v>10086.740525554163</v>
      </c>
      <c r="J162" s="544">
        <f t="shared" si="30"/>
        <v>656288.89161428227</v>
      </c>
      <c r="N162" s="736"/>
      <c r="O162" s="602"/>
      <c r="P162" s="602"/>
    </row>
    <row r="163" spans="1:16">
      <c r="A163" s="566">
        <f t="shared" si="28"/>
        <v>126</v>
      </c>
      <c r="B163" s="577" t="s">
        <v>399</v>
      </c>
      <c r="C163" s="601">
        <v>31</v>
      </c>
      <c r="D163" s="546">
        <v>1</v>
      </c>
      <c r="E163" s="546">
        <f t="shared" si="29"/>
        <v>365</v>
      </c>
      <c r="F163" s="517">
        <f t="shared" si="31"/>
        <v>2.7397260273972603E-3</v>
      </c>
      <c r="G163" s="513"/>
      <c r="H163" s="160">
        <f>'A3.1-EDIT-DDIT'!$G$39/12</f>
        <v>118763.23522023451</v>
      </c>
      <c r="I163" s="514">
        <f t="shared" si="32"/>
        <v>325.37872663077945</v>
      </c>
      <c r="J163" s="544">
        <f t="shared" si="30"/>
        <v>656614.27034091309</v>
      </c>
      <c r="L163" s="600"/>
      <c r="N163" s="736"/>
      <c r="O163" s="602"/>
      <c r="P163" s="602"/>
    </row>
    <row r="164" spans="1:16">
      <c r="A164" s="566">
        <f t="shared" si="28"/>
        <v>127</v>
      </c>
      <c r="B164" s="584"/>
      <c r="C164" s="584" t="s">
        <v>9</v>
      </c>
      <c r="D164" s="584"/>
      <c r="E164" s="584"/>
      <c r="F164" s="585"/>
      <c r="G164" s="578"/>
      <c r="H164" s="586">
        <f>SUM(H152:H163)</f>
        <v>1425158.8226428144</v>
      </c>
      <c r="I164" s="586">
        <f>SUM(I152:I163)</f>
        <v>656614.27034091309</v>
      </c>
      <c r="J164" s="585"/>
    </row>
    <row r="165" spans="1:16">
      <c r="B165" s="587"/>
      <c r="C165" s="587"/>
      <c r="D165" s="587"/>
      <c r="E165" s="587"/>
      <c r="F165" s="588"/>
      <c r="G165" s="588"/>
      <c r="I165" s="607"/>
      <c r="J165" s="588"/>
    </row>
    <row r="166" spans="1:16">
      <c r="A166" s="566">
        <f>+A164+1</f>
        <v>128</v>
      </c>
      <c r="B166" s="566" t="s">
        <v>729</v>
      </c>
      <c r="F166" s="566" t="s">
        <v>1005</v>
      </c>
      <c r="G166" s="588"/>
      <c r="I166" s="588"/>
      <c r="J166" s="160">
        <f>'A3.1-EDIT-DDIT'!I39</f>
        <v>-39437358</v>
      </c>
      <c r="M166" s="600"/>
      <c r="N166" s="736"/>
    </row>
    <row r="167" spans="1:16">
      <c r="A167" s="566">
        <f t="shared" ref="A167:A175" si="34">+A166+1</f>
        <v>129</v>
      </c>
      <c r="B167" s="566" t="s">
        <v>673</v>
      </c>
      <c r="F167" s="566" t="s">
        <v>1006</v>
      </c>
      <c r="G167" s="588"/>
      <c r="I167" s="588"/>
      <c r="J167" s="160">
        <f>'A3.1-EDIT-DDIT'!G39</f>
        <v>1425158.8226428141</v>
      </c>
      <c r="N167" s="736"/>
    </row>
    <row r="168" spans="1:16">
      <c r="A168" s="566">
        <f t="shared" si="34"/>
        <v>130</v>
      </c>
      <c r="B168" s="566" t="s">
        <v>730</v>
      </c>
      <c r="F168" s="566" t="s">
        <v>1096</v>
      </c>
      <c r="G168" s="588"/>
      <c r="I168" s="588"/>
      <c r="J168" s="601">
        <f>J166+J167</f>
        <v>-38012199.177357189</v>
      </c>
    </row>
    <row r="169" spans="1:16">
      <c r="A169" s="566">
        <f t="shared" si="34"/>
        <v>131</v>
      </c>
      <c r="B169" s="566" t="s">
        <v>731</v>
      </c>
      <c r="F169" s="576" t="s">
        <v>1097</v>
      </c>
      <c r="G169" s="588"/>
      <c r="I169" s="588"/>
      <c r="J169" s="590">
        <f>J168</f>
        <v>-38012199.177357189</v>
      </c>
      <c r="L169" s="576"/>
    </row>
    <row r="170" spans="1:16">
      <c r="A170" s="566">
        <f t="shared" si="34"/>
        <v>132</v>
      </c>
      <c r="B170" s="566" t="s">
        <v>643</v>
      </c>
      <c r="F170" s="566" t="s">
        <v>1098</v>
      </c>
      <c r="G170" s="588"/>
      <c r="I170" s="575"/>
      <c r="J170" s="591">
        <f>J163</f>
        <v>656614.27034091309</v>
      </c>
    </row>
    <row r="171" spans="1:16">
      <c r="A171" s="566">
        <f t="shared" si="34"/>
        <v>133</v>
      </c>
      <c r="B171" s="566" t="s">
        <v>674</v>
      </c>
      <c r="F171" s="566" t="s">
        <v>1099</v>
      </c>
      <c r="G171" s="588"/>
      <c r="I171" s="575"/>
      <c r="J171" s="601">
        <f>J169+J170</f>
        <v>-37355584.907016277</v>
      </c>
    </row>
    <row r="172" spans="1:16">
      <c r="A172" s="566">
        <f t="shared" si="34"/>
        <v>134</v>
      </c>
      <c r="B172" s="566" t="s">
        <v>1042</v>
      </c>
      <c r="G172" s="588"/>
      <c r="I172" s="575"/>
      <c r="J172" s="601">
        <v>0</v>
      </c>
    </row>
    <row r="173" spans="1:16">
      <c r="A173" s="566">
        <f t="shared" si="34"/>
        <v>135</v>
      </c>
      <c r="B173" s="566" t="s">
        <v>735</v>
      </c>
      <c r="F173" s="566" t="s">
        <v>1100</v>
      </c>
      <c r="J173" s="602">
        <f>J171</f>
        <v>-37355584.907016277</v>
      </c>
    </row>
    <row r="174" spans="1:16">
      <c r="A174" s="566">
        <f t="shared" si="34"/>
        <v>136</v>
      </c>
      <c r="B174" s="837" t="s">
        <v>909</v>
      </c>
      <c r="F174" s="123" t="s">
        <v>907</v>
      </c>
      <c r="J174" s="839">
        <f>'A3.1-EDIT-DDIT'!O43</f>
        <v>0.2268081492677485</v>
      </c>
    </row>
    <row r="175" spans="1:16">
      <c r="A175" s="566">
        <f t="shared" si="34"/>
        <v>137</v>
      </c>
      <c r="B175" s="569" t="s">
        <v>652</v>
      </c>
      <c r="F175" s="566" t="s">
        <v>1048</v>
      </c>
      <c r="J175" s="592">
        <f>J173*J174</f>
        <v>-8472551.0775746014</v>
      </c>
      <c r="L175" s="600"/>
      <c r="M175" s="602"/>
      <c r="N175" s="600"/>
    </row>
    <row r="176" spans="1:16">
      <c r="J176" s="605"/>
      <c r="M176" s="600"/>
      <c r="N176" s="600"/>
    </row>
    <row r="177" spans="10:12">
      <c r="J177" s="606"/>
      <c r="L177" s="606"/>
    </row>
  </sheetData>
  <mergeCells count="25">
    <mergeCell ref="B147:F147"/>
    <mergeCell ref="H147:J147"/>
    <mergeCell ref="A75:K75"/>
    <mergeCell ref="B79:F79"/>
    <mergeCell ref="H79:J79"/>
    <mergeCell ref="A107:K107"/>
    <mergeCell ref="A108:K108"/>
    <mergeCell ref="A109:K109"/>
    <mergeCell ref="B113:F113"/>
    <mergeCell ref="H113:J113"/>
    <mergeCell ref="A141:K141"/>
    <mergeCell ref="A142:K142"/>
    <mergeCell ref="A143:K143"/>
    <mergeCell ref="A74:K74"/>
    <mergeCell ref="A1:K1"/>
    <mergeCell ref="A2:K2"/>
    <mergeCell ref="A3:K3"/>
    <mergeCell ref="B7:F7"/>
    <mergeCell ref="H7:J7"/>
    <mergeCell ref="A39:K39"/>
    <mergeCell ref="A40:K40"/>
    <mergeCell ref="A41:K41"/>
    <mergeCell ref="B45:F45"/>
    <mergeCell ref="H45:J45"/>
    <mergeCell ref="A73:K73"/>
  </mergeCells>
  <pageMargins left="0.5" right="0.25" top="1" bottom="1" header="0.5" footer="0.5"/>
  <pageSetup scale="58" fitToHeight="0" orientation="portrait" r:id="rId1"/>
  <headerFooter alignWithMargins="0">
    <oddHeader xml:space="preserve">&amp;C&amp;"Times New Roman,Regular"&amp;KFF0000CUI//PRIV&amp;K000000
FOR SETTLEMENT PURPOSES ONLY 
SUBJECT TO RULES 602 AND 606
</oddHeader>
  </headerFooter>
  <rowBreaks count="4" manualBreakCount="4">
    <brk id="38" max="9" man="1"/>
    <brk id="72" max="9" man="1"/>
    <brk id="106" max="9" man="1"/>
    <brk id="140" max="9" man="1"/>
  </rowBreaks>
  <ignoredErrors>
    <ignoredError sqref="J32 J103" formula="1"/>
    <ignoredError sqref="E13:E23 E152:E163 E118:E129 E84:E95 E50:E61 D52:D60 D50:D51 D61 D12:D23 D152:D163 D118:D129 D84:D95 C51 C85 C119 C153"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rgb="FFFFFF99"/>
  </sheetPr>
  <dimension ref="A1:K152"/>
  <sheetViews>
    <sheetView zoomScale="80" zoomScaleNormal="80" workbookViewId="0">
      <selection activeCell="M23" sqref="M23"/>
    </sheetView>
  </sheetViews>
  <sheetFormatPr defaultColWidth="8.6328125" defaultRowHeight="13.2"/>
  <cols>
    <col min="1" max="1" width="5.6328125" style="340" bestFit="1" customWidth="1"/>
    <col min="2" max="2" width="52.36328125" style="340" customWidth="1"/>
    <col min="3" max="3" width="19.54296875" style="342" bestFit="1" customWidth="1"/>
    <col min="4" max="4" width="12.08984375" style="345" customWidth="1"/>
    <col min="5" max="5" width="7.54296875" style="340" bestFit="1" customWidth="1"/>
    <col min="6" max="16384" width="8.6328125" style="340"/>
  </cols>
  <sheetData>
    <row r="1" spans="1:7">
      <c r="A1" s="935" t="s">
        <v>564</v>
      </c>
      <c r="B1" s="935"/>
      <c r="C1" s="935"/>
      <c r="D1" s="935"/>
      <c r="E1" s="935"/>
      <c r="F1" s="206"/>
      <c r="G1" s="206"/>
    </row>
    <row r="2" spans="1:7">
      <c r="A2" s="935" t="s">
        <v>565</v>
      </c>
      <c r="B2" s="935"/>
      <c r="C2" s="935"/>
      <c r="D2" s="935"/>
      <c r="E2" s="935"/>
      <c r="F2" s="206"/>
      <c r="G2" s="206"/>
    </row>
    <row r="3" spans="1:7">
      <c r="A3" s="936" t="str">
        <f>'Act Att-H'!C7</f>
        <v>Black Hills Colorado Electric, LLC</v>
      </c>
      <c r="B3" s="936"/>
      <c r="C3" s="936"/>
      <c r="D3" s="936"/>
      <c r="E3" s="936"/>
      <c r="F3" s="218"/>
      <c r="G3" s="218"/>
    </row>
    <row r="4" spans="1:7" ht="12.75" customHeight="1">
      <c r="A4" s="341"/>
      <c r="D4" s="343" t="s">
        <v>193</v>
      </c>
      <c r="E4" s="343"/>
    </row>
    <row r="6" spans="1:7">
      <c r="A6" s="404" t="s">
        <v>396</v>
      </c>
      <c r="B6" s="404" t="s">
        <v>159</v>
      </c>
      <c r="C6" s="350" t="s">
        <v>449</v>
      </c>
      <c r="D6" s="405" t="s">
        <v>7</v>
      </c>
    </row>
    <row r="7" spans="1:7">
      <c r="C7" s="410"/>
    </row>
    <row r="8" spans="1:7">
      <c r="A8" s="342">
        <v>1</v>
      </c>
      <c r="B8" s="344" t="s">
        <v>602</v>
      </c>
      <c r="C8" s="410"/>
    </row>
    <row r="9" spans="1:7">
      <c r="A9" s="342">
        <f>A8+1</f>
        <v>2</v>
      </c>
      <c r="B9" s="346" t="s">
        <v>563</v>
      </c>
      <c r="C9" s="410" t="s">
        <v>428</v>
      </c>
      <c r="D9" s="673">
        <f>739493+85216+875765+45744+217657</f>
        <v>1963875</v>
      </c>
    </row>
    <row r="10" spans="1:7">
      <c r="A10" s="342">
        <f t="shared" ref="A10:A32" si="0">A9+1</f>
        <v>3</v>
      </c>
      <c r="B10" s="348" t="s">
        <v>562</v>
      </c>
      <c r="C10" s="410" t="s">
        <v>566</v>
      </c>
      <c r="D10" s="673">
        <v>0</v>
      </c>
    </row>
    <row r="11" spans="1:7">
      <c r="A11" s="342">
        <f t="shared" si="0"/>
        <v>4</v>
      </c>
      <c r="B11" s="349" t="s">
        <v>561</v>
      </c>
      <c r="C11" s="410" t="s">
        <v>567</v>
      </c>
      <c r="D11" s="673">
        <v>875765</v>
      </c>
    </row>
    <row r="12" spans="1:7">
      <c r="A12" s="342">
        <f t="shared" si="0"/>
        <v>5</v>
      </c>
      <c r="B12" s="349" t="s">
        <v>560</v>
      </c>
      <c r="C12" s="410" t="s">
        <v>568</v>
      </c>
      <c r="D12" s="673">
        <v>0</v>
      </c>
    </row>
    <row r="13" spans="1:7">
      <c r="A13" s="342">
        <f t="shared" si="0"/>
        <v>6</v>
      </c>
      <c r="B13" s="349" t="s">
        <v>559</v>
      </c>
      <c r="C13" s="410" t="s">
        <v>569</v>
      </c>
      <c r="D13" s="673">
        <v>45744</v>
      </c>
    </row>
    <row r="14" spans="1:7">
      <c r="A14" s="342">
        <f t="shared" si="0"/>
        <v>7</v>
      </c>
      <c r="B14" s="349" t="s">
        <v>558</v>
      </c>
      <c r="C14" s="410" t="s">
        <v>570</v>
      </c>
      <c r="D14" s="673">
        <v>217657</v>
      </c>
    </row>
    <row r="15" spans="1:7">
      <c r="A15" s="342">
        <f t="shared" si="0"/>
        <v>8</v>
      </c>
      <c r="B15" s="408" t="s">
        <v>599</v>
      </c>
      <c r="C15" s="675" t="s">
        <v>829</v>
      </c>
      <c r="D15" s="407">
        <f>D9-D10-D11-D12-D13-D14</f>
        <v>824709</v>
      </c>
    </row>
    <row r="16" spans="1:7">
      <c r="A16" s="342">
        <f t="shared" si="0"/>
        <v>9</v>
      </c>
      <c r="B16" s="346"/>
      <c r="D16" s="347"/>
    </row>
    <row r="17" spans="1:11">
      <c r="A17" s="342">
        <f t="shared" si="0"/>
        <v>10</v>
      </c>
      <c r="B17" s="346" t="s">
        <v>605</v>
      </c>
      <c r="C17" s="410" t="s">
        <v>932</v>
      </c>
      <c r="D17" s="673">
        <v>200316.63</v>
      </c>
    </row>
    <row r="18" spans="1:11">
      <c r="A18" s="342">
        <f t="shared" si="0"/>
        <v>11</v>
      </c>
      <c r="B18" s="346"/>
      <c r="D18" s="347"/>
    </row>
    <row r="19" spans="1:11">
      <c r="A19" s="342">
        <f t="shared" si="0"/>
        <v>12</v>
      </c>
      <c r="B19" s="346" t="s">
        <v>606</v>
      </c>
      <c r="C19" s="410" t="s">
        <v>830</v>
      </c>
      <c r="D19" s="412">
        <f>D15-D17</f>
        <v>624392.37</v>
      </c>
    </row>
    <row r="20" spans="1:11">
      <c r="A20" s="342">
        <f t="shared" si="0"/>
        <v>13</v>
      </c>
      <c r="B20" s="346"/>
      <c r="C20" s="410"/>
      <c r="D20" s="411"/>
    </row>
    <row r="21" spans="1:11" s="230" customFormat="1">
      <c r="A21" s="342">
        <f t="shared" si="0"/>
        <v>14</v>
      </c>
      <c r="B21" s="233"/>
      <c r="C21" s="234"/>
      <c r="E21" s="231"/>
      <c r="F21" s="409"/>
      <c r="I21" s="237"/>
      <c r="J21" s="237"/>
      <c r="K21" s="237"/>
    </row>
    <row r="22" spans="1:11">
      <c r="A22" s="342">
        <f t="shared" si="0"/>
        <v>15</v>
      </c>
      <c r="B22" s="344" t="s">
        <v>164</v>
      </c>
      <c r="C22" s="62"/>
      <c r="D22" s="97"/>
      <c r="E22" s="62"/>
      <c r="F22" s="62"/>
      <c r="G22" s="62"/>
      <c r="H22" s="62"/>
      <c r="I22" s="97"/>
      <c r="J22" s="62"/>
      <c r="K22" s="62"/>
    </row>
    <row r="23" spans="1:11">
      <c r="A23" s="342">
        <f t="shared" si="0"/>
        <v>16</v>
      </c>
      <c r="B23" s="62" t="s">
        <v>206</v>
      </c>
      <c r="C23" s="93" t="s">
        <v>440</v>
      </c>
      <c r="D23" s="160">
        <f>'P3-Divisor'!G24</f>
        <v>409525.05732066819</v>
      </c>
      <c r="E23" s="62"/>
      <c r="F23" s="62"/>
      <c r="G23" s="62"/>
      <c r="H23" s="62"/>
      <c r="J23" s="62"/>
      <c r="K23" s="62"/>
    </row>
    <row r="24" spans="1:11">
      <c r="A24" s="342">
        <f t="shared" si="0"/>
        <v>17</v>
      </c>
      <c r="B24" s="62"/>
      <c r="C24" s="97"/>
      <c r="D24" s="97"/>
      <c r="E24" s="97"/>
      <c r="F24" s="97"/>
      <c r="G24" s="97"/>
      <c r="H24" s="97"/>
      <c r="I24" s="97"/>
      <c r="J24" s="62"/>
      <c r="K24" s="62"/>
    </row>
    <row r="25" spans="1:11">
      <c r="A25" s="342">
        <f t="shared" si="0"/>
        <v>18</v>
      </c>
      <c r="B25" s="344" t="s">
        <v>136</v>
      </c>
      <c r="C25" s="97"/>
      <c r="D25" s="97"/>
      <c r="E25" s="97"/>
      <c r="F25" s="97"/>
      <c r="G25" s="97"/>
      <c r="H25" s="97"/>
      <c r="I25" s="97"/>
      <c r="J25" s="97"/>
      <c r="K25" s="62"/>
    </row>
    <row r="26" spans="1:11">
      <c r="A26" s="342">
        <f t="shared" si="0"/>
        <v>19</v>
      </c>
      <c r="B26" s="62" t="s">
        <v>207</v>
      </c>
      <c r="C26" s="62"/>
      <c r="D26" s="538">
        <f>ROUND(D19/D23,2)</f>
        <v>1.52</v>
      </c>
      <c r="E26" s="62" t="s">
        <v>197</v>
      </c>
      <c r="F26" s="97"/>
      <c r="G26" s="97"/>
      <c r="H26" s="97"/>
      <c r="I26" s="97"/>
      <c r="J26" s="97"/>
      <c r="K26" s="62"/>
    </row>
    <row r="27" spans="1:11">
      <c r="A27" s="342">
        <f t="shared" si="0"/>
        <v>20</v>
      </c>
      <c r="B27" s="62" t="s">
        <v>208</v>
      </c>
      <c r="C27" s="62" t="s">
        <v>603</v>
      </c>
      <c r="D27" s="539">
        <f>ROUND(D26/12,2)</f>
        <v>0.13</v>
      </c>
      <c r="E27" s="62" t="s">
        <v>198</v>
      </c>
      <c r="F27" s="97"/>
      <c r="G27" s="97"/>
      <c r="H27" s="97"/>
      <c r="I27" s="97"/>
      <c r="J27" s="97"/>
      <c r="K27" s="62"/>
    </row>
    <row r="28" spans="1:11">
      <c r="A28" s="342">
        <f t="shared" si="0"/>
        <v>21</v>
      </c>
      <c r="B28" s="62" t="s">
        <v>209</v>
      </c>
      <c r="C28" s="62" t="s">
        <v>604</v>
      </c>
      <c r="D28" s="538">
        <f>ROUND(D26/52,2)</f>
        <v>0.03</v>
      </c>
      <c r="E28" s="62" t="s">
        <v>199</v>
      </c>
      <c r="F28" s="97"/>
      <c r="G28" s="97"/>
      <c r="H28" s="97"/>
      <c r="I28" s="97"/>
      <c r="J28" s="97"/>
      <c r="K28" s="62"/>
    </row>
    <row r="29" spans="1:11">
      <c r="A29" s="342">
        <f t="shared" si="0"/>
        <v>22</v>
      </c>
      <c r="B29" s="62" t="s">
        <v>210</v>
      </c>
      <c r="C29" s="62" t="s">
        <v>200</v>
      </c>
      <c r="D29" s="539">
        <f>+D28/6</f>
        <v>5.0000000000000001E-3</v>
      </c>
      <c r="E29" s="62" t="s">
        <v>201</v>
      </c>
      <c r="F29" s="97"/>
      <c r="G29" s="97"/>
      <c r="H29" s="97"/>
      <c r="I29" s="97"/>
      <c r="J29" s="97"/>
      <c r="K29" s="62"/>
    </row>
    <row r="30" spans="1:11">
      <c r="A30" s="342">
        <f t="shared" si="0"/>
        <v>23</v>
      </c>
      <c r="B30" s="62" t="s">
        <v>211</v>
      </c>
      <c r="C30" s="62" t="s">
        <v>202</v>
      </c>
      <c r="D30" s="539">
        <f>+D28/7</f>
        <v>4.2857142857142859E-3</v>
      </c>
      <c r="E30" s="62" t="s">
        <v>201</v>
      </c>
      <c r="F30" s="97"/>
      <c r="G30" s="97"/>
      <c r="H30" s="97"/>
      <c r="I30" s="97"/>
      <c r="J30" s="97"/>
      <c r="K30" s="62"/>
    </row>
    <row r="31" spans="1:11">
      <c r="A31" s="342">
        <f t="shared" si="0"/>
        <v>24</v>
      </c>
      <c r="B31" s="62" t="s">
        <v>212</v>
      </c>
      <c r="C31" s="62" t="s">
        <v>203</v>
      </c>
      <c r="D31" s="538">
        <f>+D29/16*1000</f>
        <v>0.3125</v>
      </c>
      <c r="E31" s="62" t="s">
        <v>668</v>
      </c>
      <c r="F31" s="97"/>
      <c r="G31" s="97"/>
      <c r="H31" s="97"/>
      <c r="I31" s="97"/>
      <c r="J31" s="97"/>
      <c r="K31" s="62"/>
    </row>
    <row r="32" spans="1:11">
      <c r="A32" s="342">
        <f t="shared" si="0"/>
        <v>25</v>
      </c>
      <c r="B32" s="62" t="s">
        <v>213</v>
      </c>
      <c r="C32" s="62" t="s">
        <v>204</v>
      </c>
      <c r="D32" s="538">
        <f>+D30/24*1000</f>
        <v>0.17857142857142858</v>
      </c>
      <c r="E32" s="62" t="s">
        <v>668</v>
      </c>
      <c r="F32" s="97"/>
      <c r="G32" s="97"/>
      <c r="H32" s="97"/>
      <c r="I32" s="97"/>
      <c r="J32" s="97"/>
      <c r="K32" s="62"/>
    </row>
    <row r="33" spans="1:11">
      <c r="A33" s="342"/>
      <c r="B33" s="62"/>
      <c r="C33" s="62"/>
      <c r="D33" s="540"/>
      <c r="E33" s="62"/>
      <c r="F33" s="97"/>
      <c r="G33" s="97"/>
      <c r="H33" s="97"/>
      <c r="I33" s="97"/>
      <c r="J33" s="97"/>
      <c r="K33" s="62"/>
    </row>
    <row r="34" spans="1:11">
      <c r="A34" s="342"/>
      <c r="B34" s="346"/>
      <c r="C34" s="403"/>
      <c r="D34" s="347"/>
    </row>
    <row r="35" spans="1:11">
      <c r="A35" s="193"/>
      <c r="B35" s="346"/>
      <c r="D35" s="347"/>
    </row>
    <row r="36" spans="1:11">
      <c r="A36" s="394"/>
      <c r="B36" s="410"/>
      <c r="C36" s="410"/>
      <c r="D36" s="410"/>
    </row>
    <row r="37" spans="1:11">
      <c r="A37" s="342"/>
      <c r="C37" s="340"/>
      <c r="D37" s="340"/>
    </row>
    <row r="38" spans="1:11">
      <c r="A38" s="342"/>
      <c r="B38" s="876"/>
      <c r="C38" s="876"/>
      <c r="D38" s="876"/>
    </row>
    <row r="39" spans="1:11">
      <c r="A39" s="342"/>
      <c r="B39" s="876"/>
      <c r="C39" s="876"/>
      <c r="D39" s="877"/>
    </row>
    <row r="40" spans="1:11">
      <c r="A40" s="342"/>
      <c r="B40" s="878"/>
      <c r="C40" s="876"/>
      <c r="D40" s="877"/>
    </row>
    <row r="41" spans="1:11">
      <c r="A41" s="342"/>
      <c r="B41" s="879"/>
      <c r="C41" s="879"/>
      <c r="D41" s="879"/>
    </row>
    <row r="42" spans="1:11">
      <c r="A42" s="342"/>
      <c r="B42" s="346"/>
      <c r="D42" s="351"/>
      <c r="E42" s="352"/>
    </row>
    <row r="43" spans="1:11">
      <c r="A43" s="342"/>
      <c r="B43" s="346"/>
      <c r="D43" s="351"/>
    </row>
    <row r="44" spans="1:11">
      <c r="A44" s="342"/>
      <c r="B44" s="346"/>
      <c r="D44" s="351"/>
    </row>
    <row r="45" spans="1:11">
      <c r="A45" s="342"/>
      <c r="B45" s="346"/>
      <c r="D45" s="351"/>
    </row>
    <row r="46" spans="1:11">
      <c r="A46" s="342"/>
      <c r="D46" s="347"/>
    </row>
    <row r="47" spans="1:11">
      <c r="A47" s="342"/>
      <c r="B47" s="353"/>
      <c r="D47" s="347"/>
    </row>
    <row r="48" spans="1:11">
      <c r="A48" s="342"/>
      <c r="B48" s="353"/>
      <c r="D48" s="347"/>
    </row>
    <row r="49" spans="1:4">
      <c r="A49" s="342"/>
      <c r="B49" s="353"/>
      <c r="D49" s="347"/>
    </row>
    <row r="50" spans="1:4">
      <c r="A50" s="342"/>
      <c r="B50" s="353"/>
      <c r="D50" s="347"/>
    </row>
    <row r="51" spans="1:4">
      <c r="A51" s="342"/>
      <c r="B51" s="353"/>
      <c r="D51" s="347"/>
    </row>
    <row r="52" spans="1:4">
      <c r="A52" s="342"/>
      <c r="B52" s="353"/>
      <c r="D52" s="347"/>
    </row>
    <row r="53" spans="1:4">
      <c r="A53" s="342"/>
      <c r="B53" s="353"/>
      <c r="D53" s="347"/>
    </row>
    <row r="54" spans="1:4">
      <c r="A54" s="342"/>
      <c r="B54" s="353"/>
      <c r="D54" s="347"/>
    </row>
    <row r="55" spans="1:4">
      <c r="A55" s="342"/>
      <c r="B55" s="353"/>
      <c r="D55" s="347"/>
    </row>
    <row r="56" spans="1:4">
      <c r="A56" s="342"/>
      <c r="B56" s="353"/>
      <c r="D56" s="347"/>
    </row>
    <row r="57" spans="1:4">
      <c r="A57" s="342"/>
      <c r="B57" s="346"/>
      <c r="D57" s="347"/>
    </row>
    <row r="58" spans="1:4">
      <c r="A58" s="342"/>
      <c r="B58" s="346"/>
      <c r="D58" s="347"/>
    </row>
    <row r="59" spans="1:4">
      <c r="A59" s="342"/>
      <c r="B59" s="346"/>
      <c r="D59" s="347"/>
    </row>
    <row r="60" spans="1:4">
      <c r="A60" s="342"/>
      <c r="B60" s="346"/>
      <c r="D60" s="347"/>
    </row>
    <row r="61" spans="1:4">
      <c r="A61" s="342"/>
      <c r="B61" s="346"/>
      <c r="D61" s="347"/>
    </row>
    <row r="62" spans="1:4">
      <c r="A62" s="342"/>
      <c r="B62" s="350"/>
      <c r="D62" s="347"/>
    </row>
    <row r="63" spans="1:4">
      <c r="A63" s="342"/>
      <c r="B63" s="346"/>
    </row>
    <row r="64" spans="1:4">
      <c r="A64" s="342"/>
      <c r="B64" s="346"/>
    </row>
    <row r="65" spans="1:4">
      <c r="A65" s="342"/>
      <c r="B65" s="346"/>
      <c r="D65" s="351"/>
    </row>
    <row r="66" spans="1:4">
      <c r="A66" s="342"/>
      <c r="B66" s="346"/>
      <c r="D66" s="351"/>
    </row>
    <row r="67" spans="1:4">
      <c r="A67" s="342"/>
      <c r="B67" s="346"/>
      <c r="D67" s="351"/>
    </row>
    <row r="68" spans="1:4">
      <c r="A68" s="342"/>
      <c r="B68" s="346"/>
      <c r="D68" s="351"/>
    </row>
    <row r="69" spans="1:4">
      <c r="A69" s="342"/>
      <c r="B69" s="346"/>
      <c r="D69" s="347"/>
    </row>
    <row r="70" spans="1:4">
      <c r="A70" s="342"/>
      <c r="B70" s="346"/>
      <c r="D70" s="347"/>
    </row>
    <row r="71" spans="1:4">
      <c r="A71" s="342"/>
      <c r="B71" s="346"/>
      <c r="D71" s="347"/>
    </row>
    <row r="141" spans="1:11" s="342" customFormat="1">
      <c r="A141" s="340"/>
      <c r="B141" s="340"/>
      <c r="D141" s="345"/>
      <c r="E141" s="340"/>
      <c r="F141" s="340"/>
      <c r="G141" s="340"/>
      <c r="H141" s="340"/>
      <c r="I141" s="340"/>
      <c r="J141" s="340"/>
      <c r="K141" s="340"/>
    </row>
    <row r="152" spans="5:11">
      <c r="E152" s="342"/>
      <c r="F152" s="342"/>
      <c r="G152" s="342"/>
      <c r="H152" s="342"/>
      <c r="I152" s="342"/>
      <c r="J152" s="342"/>
      <c r="K152" s="342"/>
    </row>
  </sheetData>
  <mergeCells count="3">
    <mergeCell ref="A1:E1"/>
    <mergeCell ref="A2:E2"/>
    <mergeCell ref="A3:E3"/>
  </mergeCells>
  <pageMargins left="0.5" right="0.25" top="1" bottom="1" header="0.5" footer="0.5"/>
  <pageSetup scale="58" firstPageNumber="7" orientation="portrait" r:id="rId1"/>
  <headerFooter alignWithMargins="0">
    <oddHeader xml:space="preserve">&amp;C&amp;"Times New Roman,Regular"&amp;KFF0000CUI//PRIV&amp;K000000
FOR SETTLEMENT PURPOSES ONLY 
SUBJECT TO RULES 602 AND 606
</oddHeader>
  </headerFooter>
  <ignoredErrors>
    <ignoredError sqref="D26:D32"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Rate Review" ma:contentTypeID="0x0101006F446FD6AED4774CAB25A978CF67113A004AB890F7F727D54D8FCE9445F8545C8F" ma:contentTypeVersion="61" ma:contentTypeDescription="" ma:contentTypeScope="" ma:versionID="8d0229a6463ba36e61df8a6ff1de8d74">
  <xsd:schema xmlns:xsd="http://www.w3.org/2001/XMLSchema" xmlns:xs="http://www.w3.org/2001/XMLSchema" xmlns:p="http://schemas.microsoft.com/office/2006/metadata/properties" xmlns:ns2="d8ccb16c-0d7a-4201-87ab-0ab255e843f9" xmlns:ns3="http://schemas.microsoft.com/sharepoint/v3/fields" targetNamespace="http://schemas.microsoft.com/office/2006/metadata/properties" ma:root="true" ma:fieldsID="3f88aae13194705e2f95aca98e53a1c5" ns2:_="" ns3:_="">
    <xsd:import namespace="d8ccb16c-0d7a-4201-87ab-0ab255e843f9"/>
    <xsd:import namespace="http://schemas.microsoft.com/sharepoint/v3/fields"/>
    <xsd:element name="properties">
      <xsd:complexType>
        <xsd:sequence>
          <xsd:element name="documentManagement">
            <xsd:complexType>
              <xsd:all>
                <xsd:element ref="ns2:Data_x0020_Request_x0020_Topic" minOccurs="0"/>
                <xsd:element ref="ns2:Intervenor" minOccurs="0"/>
                <xsd:element ref="ns2:Party_x0020_Name" minOccurs="0"/>
                <xsd:element ref="ns2:Party_x0020_Set" minOccurs="0"/>
                <xsd:element ref="ns2:DR_x0020_Number" minOccurs="0"/>
                <xsd:element ref="ns2:Date_x0020_Received" minOccurs="0"/>
                <xsd:element ref="ns2:Date_x0020_Response_x0020_Due_x0020_for_x0020_Review" minOccurs="0"/>
                <xsd:element ref="ns2:Review_x0020_Date" minOccurs="0"/>
                <xsd:element ref="ns2:Served_x0020_Date" minOccurs="0"/>
                <xsd:element ref="ns2:Regulatory_x0020_Partner" minOccurs="0"/>
                <xsd:element ref="ns2:Response_x0020_Preparer" minOccurs="0"/>
                <xsd:element ref="ns2:SME_x0020_Approver" minOccurs="0"/>
                <xsd:element ref="ns2:Subparts" minOccurs="0"/>
                <xsd:element ref="ns2:Notes1" minOccurs="0"/>
                <xsd:element ref="ns2:Objection" minOccurs="0"/>
                <xsd:element ref="ns2:Internal_x0020_Confidential" minOccurs="0"/>
                <xsd:element ref="ns2:Externally_x0020_Confidential" minOccurs="0"/>
                <xsd:element ref="ns2:Highly_x0020_Confidential" minOccurs="0"/>
                <xsd:element ref="ns2:Type_x0020_of_x0020_Document" minOccurs="0"/>
                <xsd:element ref="ns2:Review_x0020_Task_x0020_Status" minOccurs="0"/>
                <xsd:element ref="ns2:ReviewTasksSent" minOccurs="0"/>
                <xsd:element ref="ns2:VersionProperty" minOccurs="0"/>
                <xsd:element ref="ns2:DR_x0020_Lookup" minOccurs="0"/>
                <xsd:element ref="ns3:TaskDueDate" minOccurs="0"/>
                <xsd:element ref="ns2:TaskUrl" minOccurs="0"/>
                <xsd:element ref="ns2:Questions_x0020_Served" minOccurs="0"/>
                <xsd:element ref="ns2:SMEReviewTaskS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ccb16c-0d7a-4201-87ab-0ab255e843f9" elementFormDefault="qualified">
    <xsd:import namespace="http://schemas.microsoft.com/office/2006/documentManagement/types"/>
    <xsd:import namespace="http://schemas.microsoft.com/office/infopath/2007/PartnerControls"/>
    <xsd:element name="Data_x0020_Request_x0020_Topic" ma:index="2" nillable="true" ma:displayName="Data Request Topic" ma:list="{9230c661-b953-4569-8a9a-b4b70460db10}" ma:internalName="Data_x0020_Request_x0020_Topic0" ma:readOnly="false" ma:showField="Title" ma:web="d8ccb16c-0d7a-4201-87ab-0ab255e843f9">
      <xsd:complexType>
        <xsd:complexContent>
          <xsd:extension base="dms:MultiChoiceLookup">
            <xsd:sequence>
              <xsd:element name="Value" type="dms:Lookup" maxOccurs="unbounded" minOccurs="0" nillable="true"/>
            </xsd:sequence>
          </xsd:extension>
        </xsd:complexContent>
      </xsd:complexType>
    </xsd:element>
    <xsd:element name="Intervenor" ma:index="3" nillable="true" ma:displayName="Intervenor" ma:internalName="Intervenor" ma:readOnly="false">
      <xsd:simpleType>
        <xsd:restriction base="dms:Text">
          <xsd:maxLength value="255"/>
        </xsd:restriction>
      </xsd:simpleType>
    </xsd:element>
    <xsd:element name="Party_x0020_Name" ma:index="4" nillable="true" ma:displayName="Party Name" ma:internalName="Party_x0020_Name" ma:readOnly="false">
      <xsd:simpleType>
        <xsd:restriction base="dms:Text">
          <xsd:maxLength value="255"/>
        </xsd:restriction>
      </xsd:simpleType>
    </xsd:element>
    <xsd:element name="Party_x0020_Set" ma:index="5" nillable="true" ma:displayName="Party Set" ma:internalName="Party_x0020_Set" ma:readOnly="false">
      <xsd:simpleType>
        <xsd:restriction base="dms:Text">
          <xsd:maxLength value="255"/>
        </xsd:restriction>
      </xsd:simpleType>
    </xsd:element>
    <xsd:element name="DR_x0020_Number" ma:index="6" nillable="true" ma:displayName="DR Number" ma:internalName="DR_x0020_Number" ma:readOnly="false">
      <xsd:simpleType>
        <xsd:restriction base="dms:Text">
          <xsd:maxLength value="255"/>
        </xsd:restriction>
      </xsd:simpleType>
    </xsd:element>
    <xsd:element name="Date_x0020_Received" ma:index="7" nillable="true" ma:displayName="Date Received" ma:format="DateOnly" ma:internalName="Date_x0020_Received" ma:readOnly="false">
      <xsd:simpleType>
        <xsd:restriction base="dms:DateTime"/>
      </xsd:simpleType>
    </xsd:element>
    <xsd:element name="Date_x0020_Response_x0020_Due_x0020_for_x0020_Review" ma:index="8" nillable="true" ma:displayName="Date Response Due for Review" ma:format="DateOnly" ma:internalName="Date_x0020_Response_x0020_Due_x0020_for_x0020_Review" ma:readOnly="false">
      <xsd:simpleType>
        <xsd:restriction base="dms:DateTime"/>
      </xsd:simpleType>
    </xsd:element>
    <xsd:element name="Review_x0020_Date" ma:index="9" nillable="true" ma:displayName="Review Date" ma:format="DateOnly" ma:internalName="Review_x0020_Date" ma:readOnly="false">
      <xsd:simpleType>
        <xsd:restriction base="dms:DateTime"/>
      </xsd:simpleType>
    </xsd:element>
    <xsd:element name="Served_x0020_Date" ma:index="10" nillable="true" ma:displayName="Served Date" ma:format="DateOnly" ma:internalName="Served_x0020_Date" ma:readOnly="false">
      <xsd:simpleType>
        <xsd:restriction base="dms:DateTime"/>
      </xsd:simpleType>
    </xsd:element>
    <xsd:element name="Regulatory_x0020_Partner" ma:index="11" nillable="true" ma:displayName="Regulatory Partner" ma:list="UserInfo" ma:SharePointGroup="0" ma:internalName="Regulatory_x0020_Partner"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sponse_x0020_Preparer" ma:index="12" nillable="true" ma:displayName="Response Preparer" ma:list="UserInfo" ma:SharePointGroup="0" ma:internalName="Response_x0020_Preparer"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ME_x0020_Approver" ma:index="13" nillable="true" ma:displayName="SME Approver" ma:list="UserInfo" ma:SharePointGroup="0" ma:internalName="SME_x0020_Approver"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ubparts" ma:index="14" nillable="true" ma:displayName="Subparts" ma:internalName="Subparts">
      <xsd:simpleType>
        <xsd:restriction base="dms:Number"/>
      </xsd:simpleType>
    </xsd:element>
    <xsd:element name="Notes1" ma:index="15" nillable="true" ma:displayName="Notes" ma:internalName="Notes1">
      <xsd:simpleType>
        <xsd:restriction base="dms:Note">
          <xsd:maxLength value="255"/>
        </xsd:restriction>
      </xsd:simpleType>
    </xsd:element>
    <xsd:element name="Objection" ma:index="16" nillable="true" ma:displayName="Objection" ma:default="0" ma:internalName="Objection">
      <xsd:simpleType>
        <xsd:restriction base="dms:Boolean"/>
      </xsd:simpleType>
    </xsd:element>
    <xsd:element name="Internal_x0020_Confidential" ma:index="17" nillable="true" ma:displayName="Internal Confidential" ma:default="0" ma:internalName="Internal_x0020_Confidential">
      <xsd:simpleType>
        <xsd:restriction base="dms:Boolean"/>
      </xsd:simpleType>
    </xsd:element>
    <xsd:element name="Externally_x0020_Confidential" ma:index="18" nillable="true" ma:displayName="Externally Confidential" ma:default="0" ma:internalName="Externally_x0020_Confidential">
      <xsd:simpleType>
        <xsd:restriction base="dms:Boolean"/>
      </xsd:simpleType>
    </xsd:element>
    <xsd:element name="Highly_x0020_Confidential" ma:index="19" nillable="true" ma:displayName="Highly Confidential" ma:default="0" ma:internalName="Highly_x0020_Confidential">
      <xsd:simpleType>
        <xsd:restriction base="dms:Boolean"/>
      </xsd:simpleType>
    </xsd:element>
    <xsd:element name="Type_x0020_of_x0020_Document" ma:index="20" nillable="true" ma:displayName="Type of Document" ma:default="Data Request" ma:format="Dropdown" ma:internalName="Type_x0020_of_x0020_Document">
      <xsd:simpleType>
        <xsd:restriction base="dms:Choice">
          <xsd:enumeration value="Data Request"/>
          <xsd:enumeration value="Attachment"/>
        </xsd:restriction>
      </xsd:simpleType>
    </xsd:element>
    <xsd:element name="Review_x0020_Task_x0020_Status" ma:index="21" nillable="true" ma:displayName="Review Task Status" ma:format="Dropdown" ma:internalName="Review_x0020_Task_x0020_Status">
      <xsd:simpleType>
        <xsd:restriction base="dms:Choice">
          <xsd:enumeration value="Assigned"/>
          <xsd:enumeration value="Ready For SME Review"/>
          <xsd:enumeration value="Ready For Review"/>
          <xsd:enumeration value="In Progress"/>
          <xsd:enumeration value="Final"/>
          <xsd:enumeration value="Served"/>
        </xsd:restriction>
      </xsd:simpleType>
    </xsd:element>
    <xsd:element name="ReviewTasksSent" ma:index="22" nillable="true" ma:displayName="ReviewTasksSent" ma:default="0" ma:internalName="ReviewTasksSent">
      <xsd:simpleType>
        <xsd:restriction base="dms:Boolean"/>
      </xsd:simpleType>
    </xsd:element>
    <xsd:element name="VersionProperty" ma:index="23" nillable="true" ma:displayName="VersionProperty" ma:decimals="1" ma:internalName="VersionProperty">
      <xsd:simpleType>
        <xsd:restriction base="dms:Number"/>
      </xsd:simpleType>
    </xsd:element>
    <xsd:element name="DR_x0020_Lookup" ma:index="26" nillable="true" ma:displayName="DR Lookup" ma:list="{9230c661-b953-4569-8a9a-b4b70460db10}" ma:internalName="DR_x0020_Lookup" ma:showField="Title" ma:web="d8ccb16c-0d7a-4201-87ab-0ab255e843f9">
      <xsd:simpleType>
        <xsd:restriction base="dms:Lookup"/>
      </xsd:simpleType>
    </xsd:element>
    <xsd:element name="TaskUrl" ma:index="28" nillable="true" ma:displayName="TaskUrl" ma:internalName="TaskUrl">
      <xsd:simpleType>
        <xsd:restriction base="dms:Text">
          <xsd:maxLength value="255"/>
        </xsd:restriction>
      </xsd:simpleType>
    </xsd:element>
    <xsd:element name="Questions_x0020_Served" ma:index="36" nillable="true" ma:displayName="Questions Served" ma:decimals="0" ma:internalName="Questions_x0020_Served">
      <xsd:simpleType>
        <xsd:restriction base="dms:Number"/>
      </xsd:simpleType>
    </xsd:element>
    <xsd:element name="SMEReviewTaskSent" ma:index="37" nillable="true" ma:displayName="SMEReviewTaskSent" ma:default="0" ma:internalName="SMEReviewTaskSent">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TaskDueDate" ma:index="27" nillable="true" ma:displayName="Due Date" ma:format="DateOnly" ma:internalName="TaskDueDate" ma:readOnly="fals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arty_x0020_Set xmlns="d8ccb16c-0d7a-4201-87ab-0ab255e843f9" xsi:nil="true"/>
    <Intervenor xmlns="d8ccb16c-0d7a-4201-87ab-0ab255e843f9" xsi:nil="true"/>
    <Regulatory_x0020_Partner xmlns="d8ccb16c-0d7a-4201-87ab-0ab255e843f9">
      <UserInfo>
        <DisplayName/>
        <AccountId xsi:nil="true"/>
        <AccountType/>
      </UserInfo>
    </Regulatory_x0020_Partner>
    <SME_x0020_Approver xmlns="d8ccb16c-0d7a-4201-87ab-0ab255e843f9">
      <UserInfo>
        <DisplayName/>
        <AccountId xsi:nil="true"/>
        <AccountType/>
      </UserInfo>
    </SME_x0020_Approver>
    <Internal_x0020_Confidential xmlns="d8ccb16c-0d7a-4201-87ab-0ab255e843f9">false</Internal_x0020_Confidential>
    <DR_x0020_Lookup xmlns="d8ccb16c-0d7a-4201-87ab-0ab255e843f9" xsi:nil="true"/>
    <Type_x0020_of_x0020_Document xmlns="d8ccb16c-0d7a-4201-87ab-0ab255e843f9">Data Request</Type_x0020_of_x0020_Document>
    <TaskDueDate xmlns="http://schemas.microsoft.com/sharepoint/v3/fields" xsi:nil="true"/>
    <TaskUrl xmlns="d8ccb16c-0d7a-4201-87ab-0ab255e843f9" xsi:nil="true"/>
    <SMEReviewTaskSent xmlns="d8ccb16c-0d7a-4201-87ab-0ab255e843f9">false</SMEReviewTaskSent>
    <Data_x0020_Request_x0020_Topic xmlns="d8ccb16c-0d7a-4201-87ab-0ab255e843f9"/>
    <Response_x0020_Preparer xmlns="d8ccb16c-0d7a-4201-87ab-0ab255e843f9">
      <UserInfo>
        <DisplayName/>
        <AccountId xsi:nil="true"/>
        <AccountType/>
      </UserInfo>
    </Response_x0020_Preparer>
    <Notes1 xmlns="d8ccb16c-0d7a-4201-87ab-0ab255e843f9" xsi:nil="true"/>
    <Externally_x0020_Confidential xmlns="d8ccb16c-0d7a-4201-87ab-0ab255e843f9">false</Externally_x0020_Confidential>
    <VersionProperty xmlns="d8ccb16c-0d7a-4201-87ab-0ab255e843f9" xsi:nil="true"/>
    <DR_x0020_Number xmlns="d8ccb16c-0d7a-4201-87ab-0ab255e843f9" xsi:nil="true"/>
    <ReviewTasksSent xmlns="d8ccb16c-0d7a-4201-87ab-0ab255e843f9">false</ReviewTasksSent>
    <Objection xmlns="d8ccb16c-0d7a-4201-87ab-0ab255e843f9">false</Objection>
    <Review_x0020_Task_x0020_Status xmlns="d8ccb16c-0d7a-4201-87ab-0ab255e843f9" xsi:nil="true"/>
    <Review_x0020_Date xmlns="d8ccb16c-0d7a-4201-87ab-0ab255e843f9" xsi:nil="true"/>
    <Highly_x0020_Confidential xmlns="d8ccb16c-0d7a-4201-87ab-0ab255e843f9">false</Highly_x0020_Confidential>
    <Party_x0020_Name xmlns="d8ccb16c-0d7a-4201-87ab-0ab255e843f9" xsi:nil="true"/>
    <Date_x0020_Received xmlns="d8ccb16c-0d7a-4201-87ab-0ab255e843f9" xsi:nil="true"/>
    <Date_x0020_Response_x0020_Due_x0020_for_x0020_Review xmlns="d8ccb16c-0d7a-4201-87ab-0ab255e843f9" xsi:nil="true"/>
    <Subparts xmlns="d8ccb16c-0d7a-4201-87ab-0ab255e843f9" xsi:nil="true"/>
    <Questions_x0020_Served xmlns="d8ccb16c-0d7a-4201-87ab-0ab255e843f9" xsi:nil="true"/>
    <Served_x0020_Date xmlns="d8ccb16c-0d7a-4201-87ab-0ab255e843f9" xsi:nil="true"/>
  </documentManagement>
</p:properties>
</file>

<file path=customXml/itemProps1.xml><?xml version="1.0" encoding="utf-8"?>
<ds:datastoreItem xmlns:ds="http://schemas.openxmlformats.org/officeDocument/2006/customXml" ds:itemID="{700D6CF8-E809-4BF9-91B7-C9F8DAA3E9D8}">
  <ds:schemaRefs>
    <ds:schemaRef ds:uri="http://schemas.microsoft.com/sharepoint/v3/contenttype/forms"/>
  </ds:schemaRefs>
</ds:datastoreItem>
</file>

<file path=customXml/itemProps2.xml><?xml version="1.0" encoding="utf-8"?>
<ds:datastoreItem xmlns:ds="http://schemas.openxmlformats.org/officeDocument/2006/customXml" ds:itemID="{D5BB7EFF-323D-4E0D-87CE-696C6EF349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ccb16c-0d7a-4201-87ab-0ab255e843f9"/>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EC30B5-1624-4AF3-9936-D11BAFE34F0B}">
  <ds:schemaRefs>
    <ds:schemaRef ds:uri="http://schemas.microsoft.com/office/2006/metadata/properties"/>
    <ds:schemaRef ds:uri="http://www.w3.org/XML/1998/namespace"/>
    <ds:schemaRef ds:uri="http://purl.org/dc/terms/"/>
    <ds:schemaRef ds:uri="http://schemas.microsoft.com/office/2006/documentManagement/types"/>
    <ds:schemaRef ds:uri="http://purl.org/dc/elements/1.1/"/>
    <ds:schemaRef ds:uri="http://schemas.microsoft.com/sharepoint/v3/fields"/>
    <ds:schemaRef ds:uri="http://schemas.openxmlformats.org/package/2006/metadata/core-properties"/>
    <ds:schemaRef ds:uri="http://schemas.microsoft.com/office/infopath/2007/PartnerControls"/>
    <ds:schemaRef ds:uri="d8ccb16c-0d7a-4201-87ab-0ab255e843f9"/>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19</vt:i4>
      </vt:variant>
    </vt:vector>
  </HeadingPairs>
  <TitlesOfParts>
    <vt:vector size="39" baseType="lpstr">
      <vt:lpstr>Table of Contents</vt:lpstr>
      <vt:lpstr>Act Att-H</vt:lpstr>
      <vt:lpstr>A1-RevCred</vt:lpstr>
      <vt:lpstr>A2-A&amp;G</vt:lpstr>
      <vt:lpstr>A3-ADIT</vt:lpstr>
      <vt:lpstr>A3.1-EDIT-DDIT</vt:lpstr>
      <vt:lpstr>A3.2-EDIT-DDIT.dtl</vt:lpstr>
      <vt:lpstr>A4-Rate Base</vt:lpstr>
      <vt:lpstr>A5-Depr</vt:lpstr>
      <vt:lpstr>A6-Divisor</vt:lpstr>
      <vt:lpstr>A7-IncentPlant</vt:lpstr>
      <vt:lpstr>A8-Prepmts</vt:lpstr>
      <vt:lpstr>TU-TrueUp</vt:lpstr>
      <vt:lpstr>Proj Att-H</vt:lpstr>
      <vt:lpstr>P1-Trans Plant</vt:lpstr>
      <vt:lpstr>P2-Exp. &amp; Rev. Credits</vt:lpstr>
      <vt:lpstr>P3-Divisor</vt:lpstr>
      <vt:lpstr>P4-IncentPlant</vt:lpstr>
      <vt:lpstr>P5-ADIT</vt:lpstr>
      <vt:lpstr>Schedule 1</vt:lpstr>
      <vt:lpstr>CE</vt:lpstr>
      <vt:lpstr>GP</vt:lpstr>
      <vt:lpstr>NP</vt:lpstr>
      <vt:lpstr>'A1-RevCred'!Print_Area</vt:lpstr>
      <vt:lpstr>'A2-A&amp;G'!Print_Area</vt:lpstr>
      <vt:lpstr>'A3.2-EDIT-DDIT.dtl'!Print_Area</vt:lpstr>
      <vt:lpstr>'A3-ADIT'!Print_Area</vt:lpstr>
      <vt:lpstr>'A7-IncentPlant'!Print_Area</vt:lpstr>
      <vt:lpstr>'A8-Prepmts'!Print_Area</vt:lpstr>
      <vt:lpstr>'Act Att-H'!Print_Area</vt:lpstr>
      <vt:lpstr>'P1-Trans Plant'!Print_Area</vt:lpstr>
      <vt:lpstr>'P5-ADIT'!Print_Area</vt:lpstr>
      <vt:lpstr>'Proj Att-H'!Print_Area</vt:lpstr>
      <vt:lpstr>'TU-TrueUp'!Print_Area</vt:lpstr>
      <vt:lpstr>'P1-Trans Plant'!Print_Titles</vt:lpstr>
      <vt:lpstr>TE</vt:lpstr>
      <vt:lpstr>TP</vt:lpstr>
      <vt:lpstr>WCLTD</vt:lpstr>
      <vt:lpstr>WS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Newberry, David L</dc:creator>
  <cp:lastModifiedBy>Lever, Henry</cp:lastModifiedBy>
  <cp:lastPrinted>2023-07-07T21:17:25Z</cp:lastPrinted>
  <dcterms:created xsi:type="dcterms:W3CDTF">2008-03-20T17:17:47Z</dcterms:created>
  <dcterms:modified xsi:type="dcterms:W3CDTF">2024-09-19T15:26:27Z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0x0101006F446FD6AED4774CAB25A978CF67113A004AB890F7F727D54D8FCE9445F8545C8F</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