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ATES\BHBE\2018 True Up\"/>
    </mc:Choice>
  </mc:AlternateContent>
  <bookViews>
    <workbookView xWindow="480" yWindow="75" windowWidth="22995" windowHeight="9450" firstSheet="1" activeTab="1"/>
  </bookViews>
  <sheets>
    <sheet name="Cost of Service References" sheetId="4" r:id="rId1"/>
    <sheet name="Capital True up References" sheetId="5" r:id="rId2"/>
    <sheet name="BHP WP1 A&amp;G" sheetId="1" r:id="rId3"/>
    <sheet name="BHP WP4 Transmission Assets" sheetId="2" r:id="rId4"/>
    <sheet name="BHP WP6 Rate Base" sheetId="8" r:id="rId5"/>
    <sheet name="BHP WP9 Accum Depr" sheetId="6" r:id="rId6"/>
    <sheet name="BHP WP10 Plant in Service" sheetId="9" r:id="rId7"/>
    <sheet name="BHP WP11 Property Tax Expense" sheetId="7" r:id="rId8"/>
    <sheet name="BHP WP12 ADIT" sheetId="10" r:id="rId9"/>
  </sheets>
  <externalReferences>
    <externalReference r:id="rId10"/>
  </externalReferences>
  <definedNames>
    <definedName name="_xlnm.Print_Area" localSheetId="2">'BHP WP1 A&amp;G'!$A$1:$D$37</definedName>
    <definedName name="_xlnm.Print_Area" localSheetId="6">'BHP WP10 Plant in Service'!$A$1:$K$28</definedName>
    <definedName name="_xlnm.Print_Area" localSheetId="3">'BHP WP4 Transmission Assets'!$A$1:$G$52</definedName>
    <definedName name="_xlnm.Print_Area" localSheetId="5">'BHP WP9 Accum Depr'!$A$1:$K$28</definedName>
    <definedName name="_xlnm.Print_Area" localSheetId="1">'Capital True up References'!$A$1:$P$104</definedName>
  </definedNames>
  <calcPr calcId="152511" iterate="1"/>
</workbook>
</file>

<file path=xl/calcChain.xml><?xml version="1.0" encoding="utf-8"?>
<calcChain xmlns="http://schemas.openxmlformats.org/spreadsheetml/2006/main">
  <c r="R27" i="8" l="1"/>
  <c r="Q27" i="8"/>
  <c r="P27" i="8"/>
  <c r="O27" i="8"/>
  <c r="N27" i="8"/>
  <c r="M27" i="8"/>
  <c r="L27" i="8"/>
  <c r="K27" i="8"/>
  <c r="J27" i="8"/>
  <c r="I27" i="8"/>
  <c r="H27" i="8"/>
  <c r="G27" i="8"/>
  <c r="R26" i="8"/>
  <c r="Q26" i="8"/>
  <c r="P26" i="8"/>
  <c r="O26" i="8"/>
  <c r="N26" i="8"/>
  <c r="M26" i="8"/>
  <c r="L26" i="8"/>
  <c r="K26" i="8"/>
  <c r="J26" i="8"/>
  <c r="I26" i="8"/>
  <c r="H26" i="8"/>
  <c r="G26" i="8"/>
  <c r="R16" i="8"/>
  <c r="Q16" i="8"/>
  <c r="P16" i="8"/>
  <c r="O16" i="8"/>
  <c r="N16" i="8"/>
  <c r="M16" i="8"/>
  <c r="L16" i="8"/>
  <c r="K16" i="8"/>
  <c r="J16" i="8"/>
  <c r="I16" i="8"/>
  <c r="H16" i="8"/>
  <c r="G16" i="8"/>
  <c r="F16" i="8"/>
  <c r="R17" i="8"/>
  <c r="Q17" i="8"/>
  <c r="P17" i="8"/>
  <c r="O17" i="8"/>
  <c r="N17" i="8"/>
  <c r="M17" i="8"/>
  <c r="L17" i="8"/>
  <c r="K17" i="8"/>
  <c r="J17" i="8"/>
  <c r="I17" i="8"/>
  <c r="H17" i="8"/>
  <c r="G17" i="8"/>
  <c r="F17" i="8"/>
  <c r="AH32" i="8"/>
  <c r="AG32" i="8"/>
  <c r="AF32" i="8"/>
  <c r="AE32" i="8"/>
  <c r="AD32" i="8"/>
  <c r="AC32" i="8"/>
  <c r="AB32" i="8"/>
  <c r="AA32" i="8"/>
  <c r="Z32" i="8"/>
  <c r="Y32" i="8"/>
  <c r="X32" i="8"/>
  <c r="W32" i="8"/>
  <c r="AH31" i="8"/>
  <c r="AG31" i="8"/>
  <c r="AF31" i="8"/>
  <c r="AE31" i="8"/>
  <c r="AD31" i="8"/>
  <c r="AC31" i="8"/>
  <c r="AB31" i="8"/>
  <c r="AA31" i="8"/>
  <c r="Z31" i="8"/>
  <c r="Y31" i="8"/>
  <c r="X31" i="8"/>
  <c r="W31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AH23" i="8"/>
  <c r="AG23" i="8"/>
  <c r="AF23" i="8"/>
  <c r="AE23" i="8"/>
  <c r="AD23" i="8"/>
  <c r="AC23" i="8"/>
  <c r="AB23" i="8"/>
  <c r="AA23" i="8"/>
  <c r="Z23" i="8"/>
  <c r="Y23" i="8"/>
  <c r="X23" i="8"/>
  <c r="W23" i="8"/>
  <c r="V23" i="8"/>
  <c r="AH19" i="8"/>
  <c r="G55" i="8"/>
  <c r="F55" i="8"/>
  <c r="H55" i="8" s="1"/>
  <c r="G51" i="8"/>
  <c r="F51" i="8"/>
  <c r="H23" i="10"/>
  <c r="H24" i="10" l="1"/>
  <c r="G24" i="10"/>
  <c r="F24" i="10"/>
  <c r="A24" i="10" l="1"/>
  <c r="A20" i="10"/>
  <c r="A21" i="10" s="1"/>
  <c r="A22" i="10" s="1"/>
  <c r="A23" i="10" s="1"/>
  <c r="G21" i="10"/>
  <c r="F21" i="10"/>
  <c r="H21" i="10" s="1"/>
  <c r="H19" i="10"/>
  <c r="H22" i="10"/>
  <c r="H13" i="10" l="1"/>
  <c r="H11" i="10"/>
  <c r="G15" i="10"/>
  <c r="F15" i="10"/>
  <c r="A12" i="10"/>
  <c r="A13" i="10" s="1"/>
  <c r="A14" i="10" s="1"/>
  <c r="A15" i="10" s="1"/>
  <c r="A16" i="10" s="1"/>
  <c r="A17" i="10" s="1"/>
  <c r="A18" i="10" s="1"/>
  <c r="A19" i="10" s="1"/>
  <c r="A11" i="10"/>
  <c r="K11" i="9"/>
  <c r="I24" i="9"/>
  <c r="G24" i="9"/>
  <c r="E24" i="9"/>
  <c r="K23" i="9"/>
  <c r="K22" i="9"/>
  <c r="K21" i="9"/>
  <c r="K20" i="9"/>
  <c r="K19" i="9"/>
  <c r="K18" i="9"/>
  <c r="K17" i="9"/>
  <c r="K16" i="9"/>
  <c r="K15" i="9"/>
  <c r="K14" i="9"/>
  <c r="K13" i="9"/>
  <c r="K12" i="9"/>
  <c r="A12" i="9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E42" i="8"/>
  <c r="E41" i="8"/>
  <c r="E40" i="8"/>
  <c r="E39" i="8"/>
  <c r="E38" i="8"/>
  <c r="E37" i="8"/>
  <c r="E36" i="8"/>
  <c r="E35" i="8"/>
  <c r="G65" i="8"/>
  <c r="F65" i="8"/>
  <c r="H64" i="8"/>
  <c r="H63" i="8"/>
  <c r="H62" i="8"/>
  <c r="H58" i="8"/>
  <c r="G56" i="8"/>
  <c r="H54" i="8"/>
  <c r="H53" i="8"/>
  <c r="H52" i="8"/>
  <c r="H51" i="8"/>
  <c r="H50" i="8"/>
  <c r="S31" i="8"/>
  <c r="C31" i="8"/>
  <c r="C41" i="8" s="1"/>
  <c r="S30" i="8"/>
  <c r="C30" i="8"/>
  <c r="C40" i="8" s="1"/>
  <c r="S29" i="8"/>
  <c r="C28" i="8"/>
  <c r="C38" i="8" s="1"/>
  <c r="S25" i="8"/>
  <c r="C25" i="8"/>
  <c r="C35" i="8" s="1"/>
  <c r="S21" i="8"/>
  <c r="S20" i="8"/>
  <c r="S19" i="8"/>
  <c r="A16" i="8"/>
  <c r="A17" i="8" s="1"/>
  <c r="S15" i="8"/>
  <c r="J2" i="8"/>
  <c r="S2" i="8" s="1"/>
  <c r="S39" i="8" l="1"/>
  <c r="H15" i="10"/>
  <c r="S40" i="8"/>
  <c r="J32" i="8"/>
  <c r="G22" i="8"/>
  <c r="O22" i="8"/>
  <c r="K24" i="9"/>
  <c r="R32" i="8"/>
  <c r="K32" i="8"/>
  <c r="H32" i="8"/>
  <c r="L32" i="8"/>
  <c r="P32" i="8"/>
  <c r="S28" i="8"/>
  <c r="K22" i="8"/>
  <c r="I32" i="8"/>
  <c r="M32" i="8"/>
  <c r="Q32" i="8"/>
  <c r="H22" i="8"/>
  <c r="P22" i="8"/>
  <c r="N32" i="8"/>
  <c r="K42" i="8"/>
  <c r="L22" i="8"/>
  <c r="S27" i="8"/>
  <c r="P42" i="8"/>
  <c r="S35" i="8"/>
  <c r="F32" i="8"/>
  <c r="H56" i="8"/>
  <c r="F56" i="8"/>
  <c r="F42" i="8"/>
  <c r="A18" i="8"/>
  <c r="S16" i="8"/>
  <c r="S18" i="8"/>
  <c r="S41" i="8"/>
  <c r="S26" i="8"/>
  <c r="G32" i="8"/>
  <c r="O32" i="8"/>
  <c r="H65" i="8"/>
  <c r="I22" i="8"/>
  <c r="M22" i="8"/>
  <c r="Q22" i="8"/>
  <c r="F22" i="8"/>
  <c r="J22" i="8"/>
  <c r="N22" i="8"/>
  <c r="G16" i="7"/>
  <c r="N42" i="8" l="1"/>
  <c r="R42" i="8"/>
  <c r="L42" i="8"/>
  <c r="G42" i="8"/>
  <c r="M42" i="8"/>
  <c r="O42" i="8"/>
  <c r="S32" i="8"/>
  <c r="J42" i="8"/>
  <c r="I42" i="8"/>
  <c r="Q42" i="8"/>
  <c r="S17" i="8"/>
  <c r="S37" i="8" s="1"/>
  <c r="R22" i="8"/>
  <c r="H42" i="8"/>
  <c r="S38" i="8"/>
  <c r="A19" i="8"/>
  <c r="S36" i="8"/>
  <c r="A11" i="7"/>
  <c r="A12" i="7" s="1"/>
  <c r="A13" i="7" s="1"/>
  <c r="A14" i="7" s="1"/>
  <c r="A15" i="7" s="1"/>
  <c r="A16" i="7" s="1"/>
  <c r="K23" i="6"/>
  <c r="K22" i="6"/>
  <c r="K21" i="6"/>
  <c r="K20" i="6"/>
  <c r="K19" i="6"/>
  <c r="K18" i="6"/>
  <c r="K17" i="6"/>
  <c r="K16" i="6"/>
  <c r="K15" i="6"/>
  <c r="K14" i="6"/>
  <c r="K13" i="6"/>
  <c r="K12" i="6"/>
  <c r="K24" i="6" s="1"/>
  <c r="K11" i="6"/>
  <c r="I24" i="6"/>
  <c r="A12" i="6"/>
  <c r="A13" i="6"/>
  <c r="A14" i="6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E24" i="6"/>
  <c r="S22" i="8" l="1"/>
  <c r="S42" i="8"/>
  <c r="A20" i="8"/>
  <c r="K104" i="5"/>
  <c r="K74" i="5"/>
  <c r="D11" i="1"/>
  <c r="A21" i="8" l="1"/>
  <c r="G45" i="2"/>
  <c r="D22" i="8" l="1"/>
  <c r="A22" i="8"/>
  <c r="A23" i="8" s="1"/>
  <c r="A24" i="8" s="1"/>
  <c r="A25" i="8" s="1"/>
  <c r="E42" i="2"/>
  <c r="D35" i="8" l="1"/>
  <c r="A26" i="8"/>
  <c r="G24" i="6"/>
  <c r="A27" i="8" l="1"/>
  <c r="D36" i="8"/>
  <c r="G3" i="2"/>
  <c r="A28" i="8" l="1"/>
  <c r="D37" i="8"/>
  <c r="N80" i="5"/>
  <c r="N81" i="5" s="1"/>
  <c r="N50" i="5"/>
  <c r="N51" i="5" s="1"/>
  <c r="A29" i="8" l="1"/>
  <c r="D38" i="8"/>
  <c r="M80" i="5"/>
  <c r="M81" i="5" s="1"/>
  <c r="M50" i="5"/>
  <c r="M51" i="5" s="1"/>
  <c r="A30" i="8" l="1"/>
  <c r="D39" i="8"/>
  <c r="A13" i="4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31" i="8" l="1"/>
  <c r="D40" i="8"/>
  <c r="D31" i="1"/>
  <c r="F114" i="2"/>
  <c r="F115" i="2" s="1"/>
  <c r="E45" i="2"/>
  <c r="E31" i="2"/>
  <c r="G20" i="2"/>
  <c r="G25" i="2" s="1"/>
  <c r="G33" i="2" s="1"/>
  <c r="G37" i="2" s="1"/>
  <c r="E16" i="2"/>
  <c r="E20" i="2" s="1"/>
  <c r="E25" i="2" s="1"/>
  <c r="H118" i="1"/>
  <c r="H119" i="1" s="1"/>
  <c r="D23" i="1"/>
  <c r="D25" i="1" s="1"/>
  <c r="D14" i="1"/>
  <c r="A32" i="8" l="1"/>
  <c r="A33" i="8" s="1"/>
  <c r="A34" i="8" s="1"/>
  <c r="A35" i="8" s="1"/>
  <c r="D41" i="8"/>
  <c r="D32" i="8"/>
  <c r="E33" i="2"/>
  <c r="E37" i="2" s="1"/>
  <c r="G47" i="2"/>
  <c r="A36" i="8" l="1"/>
  <c r="A37" i="8" s="1"/>
  <c r="A38" i="8" s="1"/>
  <c r="A39" i="8" s="1"/>
  <c r="A40" i="8" s="1"/>
  <c r="A41" i="8" s="1"/>
  <c r="A42" i="8" s="1"/>
  <c r="A48" i="8" s="1"/>
  <c r="A49" i="8" s="1"/>
  <c r="A50" i="8" s="1"/>
  <c r="E47" i="2"/>
  <c r="D42" i="8" l="1"/>
  <c r="A51" i="8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D56" i="8" l="1"/>
  <c r="A62" i="8"/>
  <c r="A63" i="8" s="1"/>
  <c r="A64" i="8" s="1"/>
  <c r="A65" i="8" s="1"/>
  <c r="D65" i="8" l="1"/>
</calcChain>
</file>

<file path=xl/comments1.xml><?xml version="1.0" encoding="utf-8"?>
<comments xmlns="http://schemas.openxmlformats.org/spreadsheetml/2006/main">
  <authors>
    <author>Hoffman, Cody</author>
  </authors>
  <commentList>
    <comment ref="D55" authorId="0" shapeId="0">
      <text>
        <r>
          <rPr>
            <b/>
            <sz val="9"/>
            <color indexed="81"/>
            <rFont val="Tahoma"/>
            <family val="2"/>
          </rPr>
          <t>Hoffman, Cody:</t>
        </r>
        <r>
          <rPr>
            <sz val="9"/>
            <color indexed="81"/>
            <rFont val="Tahoma"/>
            <family val="2"/>
          </rPr>
          <t xml:space="preserve">
278.3.f not included as it is already grossed up</t>
        </r>
      </text>
    </comment>
  </commentList>
</comments>
</file>

<file path=xl/sharedStrings.xml><?xml version="1.0" encoding="utf-8"?>
<sst xmlns="http://schemas.openxmlformats.org/spreadsheetml/2006/main" count="835" uniqueCount="468">
  <si>
    <t>Workpaper 1</t>
  </si>
  <si>
    <t>Administrative and General Expenses</t>
  </si>
  <si>
    <t>Black Hills Power, Inc.</t>
  </si>
  <si>
    <t>Line</t>
  </si>
  <si>
    <t>Form No. 1</t>
  </si>
  <si>
    <t>No.</t>
  </si>
  <si>
    <t>Page, Line, Col.</t>
  </si>
  <si>
    <t>Company Total</t>
  </si>
  <si>
    <t>EPRI Annual Membership Dues</t>
  </si>
  <si>
    <t>335.1.b</t>
  </si>
  <si>
    <t>Regulatory Commission Expenses</t>
  </si>
  <si>
    <t>Account No. 930.1</t>
  </si>
  <si>
    <t>323.191.b</t>
  </si>
  <si>
    <t xml:space="preserve">Less: Safety Related Advertising </t>
  </si>
  <si>
    <t>EPRI &amp; Reg. Comm. Exp. &amp; Non-safety Ad. (Note I)</t>
  </si>
  <si>
    <t>Transmission Related Regulatory Expense</t>
  </si>
  <si>
    <t>Reserved for future use in the event of a rate case</t>
  </si>
  <si>
    <t>Total</t>
  </si>
  <si>
    <t>Transmission Related Regulatory Expense    (Note I)</t>
  </si>
  <si>
    <t>are safety related advertising.</t>
  </si>
  <si>
    <t>TP</t>
  </si>
  <si>
    <t>Workpaper 4</t>
  </si>
  <si>
    <t>(a)</t>
  </si>
  <si>
    <t>(b)</t>
  </si>
  <si>
    <t>Actual</t>
  </si>
  <si>
    <t>Account</t>
  </si>
  <si>
    <t>Description</t>
  </si>
  <si>
    <t>Actual Cost</t>
  </si>
  <si>
    <t xml:space="preserve"> Accum Depr.</t>
  </si>
  <si>
    <t>230KV Towers and Fixtures</t>
  </si>
  <si>
    <t>230KV Poles and Fixtures</t>
  </si>
  <si>
    <t>230KV Overhead Conductors</t>
  </si>
  <si>
    <t>Road/Trails</t>
  </si>
  <si>
    <t xml:space="preserve">   Subtotal</t>
  </si>
  <si>
    <t>230 KV Substation Equipment</t>
  </si>
  <si>
    <t>230 KV Substation Structures</t>
  </si>
  <si>
    <t xml:space="preserve">  Total 230KV</t>
  </si>
  <si>
    <t>230 KV Lines</t>
  </si>
  <si>
    <t>230 KV Substations</t>
  </si>
  <si>
    <t>TOTAL 230 KV</t>
  </si>
  <si>
    <t>69KV Common Use AC Facilities</t>
  </si>
  <si>
    <t xml:space="preserve">   Subtotal for 69KV Lines</t>
  </si>
  <si>
    <t>Total Transmission Classification</t>
  </si>
  <si>
    <t>Total Transmission per FERC Form 1 (207.58.g) (219.25.b)</t>
  </si>
  <si>
    <t>Amount excluded from the CUS</t>
  </si>
  <si>
    <t>230/69KV Common Use AC Transformers</t>
  </si>
  <si>
    <t>Total 69KV Common Use AC Facilities</t>
  </si>
  <si>
    <t>Total Distribution Plant per FERC Form 1 (207.75.g) (219.26.b)</t>
  </si>
  <si>
    <t>Amount excluded  from the CUS</t>
  </si>
  <si>
    <t>Total CUS System</t>
  </si>
  <si>
    <t>Actual PBOP expense</t>
  </si>
  <si>
    <t>Company Records</t>
  </si>
  <si>
    <t>Notes:</t>
  </si>
  <si>
    <t>Account No. 920</t>
  </si>
  <si>
    <t>Account No. 926</t>
  </si>
  <si>
    <r>
      <t>Company Records</t>
    </r>
    <r>
      <rPr>
        <vertAlign val="superscript"/>
        <sz val="10"/>
        <rFont val="Arial"/>
        <family val="2"/>
      </rPr>
      <t>1</t>
    </r>
  </si>
  <si>
    <r>
      <t>Company Records</t>
    </r>
    <r>
      <rPr>
        <vertAlign val="superscript"/>
        <sz val="10"/>
        <rFont val="Arial"/>
        <family val="2"/>
      </rPr>
      <t>2</t>
    </r>
  </si>
  <si>
    <t>1 - For FERC account no. 930.1, the Company reviews all entries and identifies those that</t>
  </si>
  <si>
    <t>2 - For FERC account nos. 920 and 926, the Company reviews all entries and identifies the</t>
  </si>
  <si>
    <t>PBOP expenses to be removed from A&amp;G.</t>
  </si>
  <si>
    <t>Note:</t>
  </si>
  <si>
    <t>This schedule reflects the transmission and distribution plant determined by Commission order to be</t>
  </si>
  <si>
    <t xml:space="preserve">  FERC Docket No. ER08-1584, the docket that established this formula rate.</t>
  </si>
  <si>
    <t xml:space="preserve">  state-jurisdictional and removed from Common Use Facilities. The jurisdictional split was established in</t>
  </si>
  <si>
    <t>Form 1 Reference</t>
  </si>
  <si>
    <t>(i)</t>
  </si>
  <si>
    <t>Per Tariff and As Filed</t>
  </si>
  <si>
    <t>Updated Reference (Note 3)</t>
  </si>
  <si>
    <t>(1)</t>
  </si>
  <si>
    <t>(2)</t>
  </si>
  <si>
    <t>RATE BASE:</t>
  </si>
  <si>
    <t>GROSS PLANT IN SERVICE</t>
  </si>
  <si>
    <t>(Note H)</t>
  </si>
  <si>
    <t xml:space="preserve">  Production</t>
  </si>
  <si>
    <t>205.46.g</t>
  </si>
  <si>
    <t xml:space="preserve">  Transmission</t>
  </si>
  <si>
    <t>207.58.g</t>
  </si>
  <si>
    <t xml:space="preserve">  Distribution</t>
  </si>
  <si>
    <t>207.75.g</t>
  </si>
  <si>
    <t xml:space="preserve">  General &amp; Intangible</t>
  </si>
  <si>
    <t>See Workpaper 4</t>
  </si>
  <si>
    <t xml:space="preserve">  Allocated Plant</t>
  </si>
  <si>
    <t>See Workpaper 5</t>
  </si>
  <si>
    <t xml:space="preserve">  Communication System</t>
  </si>
  <si>
    <t xml:space="preserve">  Common</t>
  </si>
  <si>
    <t>356.1</t>
  </si>
  <si>
    <t>TOTAL GROSS PLANT</t>
  </si>
  <si>
    <t>(sum lines 1 - 7)</t>
  </si>
  <si>
    <t>ACCUMULATED DEPRECIATION</t>
  </si>
  <si>
    <t>219.20-24.c</t>
  </si>
  <si>
    <t>219.25.c</t>
  </si>
  <si>
    <t>219.26.c</t>
  </si>
  <si>
    <t>219.28.c</t>
  </si>
  <si>
    <t xml:space="preserve">TOTAL ACCUM. DEPRECIATION </t>
  </si>
  <si>
    <t>(sum lines 11 - 17)</t>
  </si>
  <si>
    <t xml:space="preserve"> </t>
  </si>
  <si>
    <t>NET PLANT IN SERVICE</t>
  </si>
  <si>
    <t>(line 1 - line 11)</t>
  </si>
  <si>
    <t>(line 2 - line 12)</t>
  </si>
  <si>
    <t xml:space="preserve">  Distribution </t>
  </si>
  <si>
    <t>(line 3 - line 13)</t>
  </si>
  <si>
    <t>(line 4 - line 14)</t>
  </si>
  <si>
    <t>(line 5 - line 15)</t>
  </si>
  <si>
    <t>(line 6 - line 16)</t>
  </si>
  <si>
    <t>(line 7 - line 17)</t>
  </si>
  <si>
    <t xml:space="preserve">TOTAL NET PLANT </t>
  </si>
  <si>
    <t>(sum lines 21 - 27)</t>
  </si>
  <si>
    <t xml:space="preserve">ADJUSTMENTS TO RATE BASE      </t>
  </si>
  <si>
    <t xml:space="preserve">  Account No. 281 (enter negative)</t>
  </si>
  <si>
    <t>273.8.k</t>
  </si>
  <si>
    <t xml:space="preserve">  Account No. 282 (enter negative)</t>
  </si>
  <si>
    <t>275.2.k</t>
  </si>
  <si>
    <t xml:space="preserve">  Account No. 283 (enter negative)</t>
  </si>
  <si>
    <t>277.9.k</t>
  </si>
  <si>
    <t xml:space="preserve">  Account No. 190 </t>
  </si>
  <si>
    <t>234.8.c</t>
  </si>
  <si>
    <t xml:space="preserve">  Account No. 255 (enter negative)</t>
  </si>
  <si>
    <t>267.8.h</t>
  </si>
  <si>
    <t xml:space="preserve">  FAS 109 Adjustment</t>
  </si>
  <si>
    <t>(232.1.f - 278.1.f - 278.3.f)*.35</t>
  </si>
  <si>
    <t>TOTAL ADJUSTMENTS</t>
  </si>
  <si>
    <t>(sum lines 31 - 36)</t>
  </si>
  <si>
    <t xml:space="preserve">LAND HELD FOR FUTURE USE </t>
  </si>
  <si>
    <t>214.x.d  (Notes B &amp; H)</t>
  </si>
  <si>
    <t>WORKING CAPITAL  (Notes C &amp; H)</t>
  </si>
  <si>
    <t xml:space="preserve">  CWC  </t>
  </si>
  <si>
    <t>(1/8 * line 58)</t>
  </si>
  <si>
    <t xml:space="preserve">  Materials &amp; Supplies</t>
  </si>
  <si>
    <t>227.5.c</t>
  </si>
  <si>
    <t>227.8.c</t>
  </si>
  <si>
    <t xml:space="preserve">  Prepayments (Account 165)</t>
  </si>
  <si>
    <t>111.57.d</t>
  </si>
  <si>
    <t xml:space="preserve">TOTAL WORKING CAPITAL </t>
  </si>
  <si>
    <t>(sum lines 42 - 45)</t>
  </si>
  <si>
    <t xml:space="preserve">TRANSMISSION RATE BASE </t>
  </si>
  <si>
    <t>(sum lines 28, 37, 39, &amp; 46)</t>
  </si>
  <si>
    <t>Updated Reference</t>
  </si>
  <si>
    <t>O&amp;M</t>
  </si>
  <si>
    <t xml:space="preserve">  Transmission </t>
  </si>
  <si>
    <t>321.112.b</t>
  </si>
  <si>
    <t xml:space="preserve">    Less: Account 565 and 561</t>
  </si>
  <si>
    <t>321.85-92.b &amp; 96.b</t>
  </si>
  <si>
    <t xml:space="preserve">  A&amp;G</t>
  </si>
  <si>
    <t>323.194.b</t>
  </si>
  <si>
    <t xml:space="preserve">    Less FERC Annual Fees  (Note D)</t>
  </si>
  <si>
    <t>350.1.b</t>
  </si>
  <si>
    <t>350.1.b, see note 2 below</t>
  </si>
  <si>
    <t xml:space="preserve">    Plus:  Fixed PBOP expense</t>
  </si>
  <si>
    <t xml:space="preserve"> (Note I)</t>
  </si>
  <si>
    <t xml:space="preserve">    Less:  Actual PBOP expense</t>
  </si>
  <si>
    <t xml:space="preserve"> (Company Records)</t>
  </si>
  <si>
    <t>Supplemental Schedule, WP 1, line 22</t>
  </si>
  <si>
    <t xml:space="preserve">    Less: EPRI &amp; Reg. Comm. Exp. &amp; Non-safety  Ad. (Note E)</t>
  </si>
  <si>
    <t>Supplemental Schedule, WP 1, line 5</t>
  </si>
  <si>
    <t xml:space="preserve">    Plus Transmission Related Reg. Comm.  Exp. (Note E)</t>
  </si>
  <si>
    <t>Supplemental Schedule, WP 1, line 16</t>
  </si>
  <si>
    <t>TOTAL O&amp;M   (sum lines 49, 51, 53, 56, 57 less lines 50, 52, 54 , 55)</t>
  </si>
  <si>
    <t>DEPRECIATION EXPENSE  (Note I)</t>
  </si>
  <si>
    <t>336.7.b</t>
  </si>
  <si>
    <t xml:space="preserve">  General &amp; intangible</t>
  </si>
  <si>
    <t>336.10.b &amp; 336.1.d&amp;e</t>
  </si>
  <si>
    <t>336.11.b</t>
  </si>
  <si>
    <t>TOTAL DEPRECIATION (Sum lines 61 - 63)</t>
  </si>
  <si>
    <t>TAXES OTHER THAN INCOME TAXES  (Note F)</t>
  </si>
  <si>
    <t xml:space="preserve">  LABOR RELATED</t>
  </si>
  <si>
    <t xml:space="preserve">          Payroll</t>
  </si>
  <si>
    <t xml:space="preserve">          Highway and vehicle</t>
  </si>
  <si>
    <t>263.i</t>
  </si>
  <si>
    <t xml:space="preserve">  PLANT RELATED</t>
  </si>
  <si>
    <t xml:space="preserve">         Property</t>
  </si>
  <si>
    <t>263.23i</t>
  </si>
  <si>
    <t xml:space="preserve">         Gross Receipts</t>
  </si>
  <si>
    <t xml:space="preserve">         Other</t>
  </si>
  <si>
    <t>TOTAL OTHER TAXES  (sum lines 68 - 73)</t>
  </si>
  <si>
    <t xml:space="preserve">INCOME TAXES          </t>
  </si>
  <si>
    <t xml:space="preserve"> (Note G)</t>
  </si>
  <si>
    <t xml:space="preserve">     T=1 - {[(1 - SIT) * (1 - FIT)] / (1 - SIT * FIT * p)} =</t>
  </si>
  <si>
    <t xml:space="preserve">     CIT=(T/1-T) * (1-(WCLTD/R)) =</t>
  </si>
  <si>
    <t xml:space="preserve">       where WCLTD=(line 154) and R= (line 157)</t>
  </si>
  <si>
    <t xml:space="preserve">       and FIT, SIT &amp; p are as given in footnote G.</t>
  </si>
  <si>
    <t>Total Income Taxes</t>
  </si>
  <si>
    <t>(line 79 * line 86)</t>
  </si>
  <si>
    <t xml:space="preserve">RETURN </t>
  </si>
  <si>
    <t xml:space="preserve">  [ Rate Base (line 48) * R (line 157)]</t>
  </si>
  <si>
    <t>REVENUE REQUIREMENT  (sum lines 58, 64, 74, 83, 85)</t>
  </si>
  <si>
    <t>ESTIMATED REVENUE REQUIREMENT (pg. 3 line 95)</t>
  </si>
  <si>
    <t>TRUE-UP AMOUNT TO BE (REFUNDED)/PAID (line 88 - line 90)</t>
  </si>
  <si>
    <t>SUPPORTING CALCULATIONS AND NOTES</t>
  </si>
  <si>
    <t>TRANSMISSION PLANT INCLUDED IN JOINT TARIFF RATES</t>
  </si>
  <si>
    <t xml:space="preserve">Total transmission plant </t>
  </si>
  <si>
    <t>Column (3) line 2</t>
  </si>
  <si>
    <t xml:space="preserve">Less transmission plant excluded from Common Use Facilities </t>
  </si>
  <si>
    <t>Supplemental Schedule, WP 4, line 27(a)</t>
  </si>
  <si>
    <t xml:space="preserve">Less transmission plant included in Ancillary Services </t>
  </si>
  <si>
    <t>See note 1 below</t>
  </si>
  <si>
    <t>Transmission plant included in Common Use Facilities  (line 93 less lines 94 and 95)</t>
  </si>
  <si>
    <t>Plus Common Use AC Facilities (line 107)</t>
  </si>
  <si>
    <t>Total Gross Plant for the CUS System (line 96 plus line 97)</t>
  </si>
  <si>
    <t>Total CUS Plant (line 93 plus line 107)</t>
  </si>
  <si>
    <t>Percentage of transmission plant included in Common Use Facilities (line 98 divided by line 99)</t>
  </si>
  <si>
    <t>DISTRIBUTION PLANT INCLUDED IN JOINT TARIFF RATES</t>
  </si>
  <si>
    <t xml:space="preserve">Total distribution plant    </t>
  </si>
  <si>
    <t>Column (3) line 3</t>
  </si>
  <si>
    <t xml:space="preserve">Less distribution plant excluded from Common Use Facilities </t>
  </si>
  <si>
    <t>Supplemental Schedule, WP 4</t>
  </si>
  <si>
    <t xml:space="preserve">Less distribution plant included in Ancillary Services </t>
  </si>
  <si>
    <t>Common Use AC Facilities (line 104 less lines 105 &amp; 106)</t>
  </si>
  <si>
    <t>Supplemental Schedule, WP 4, line 32(a)</t>
  </si>
  <si>
    <t>Percentage of distribution plant included in Common Use Facilities (line 104 divided by line 107)</t>
  </si>
  <si>
    <t>Total Transmission Accumulated Depreciation</t>
  </si>
  <si>
    <t>Column (3) line 12</t>
  </si>
  <si>
    <t>Supplemental Schedule, WP 4, line 27(b)</t>
  </si>
  <si>
    <t>Total Transmission Accumulated Depreciation included in Common Use Facilities (line 112 - line 113)</t>
  </si>
  <si>
    <t>Plus Common Use AC Facilities Accumulated Depreciation (line 124)</t>
  </si>
  <si>
    <t>Total Accumulated Depreciation for the CUS System (line 114 plus line 115)</t>
  </si>
  <si>
    <t>Total CUS Accumulated Depreciation (line 112 plus line 115)</t>
  </si>
  <si>
    <t>Percentage of transmission plant accumulated depreciation included in Common Use Facilities (line 116 divided by line 117)</t>
  </si>
  <si>
    <t>Total Distribution Accumulated Depreciation</t>
  </si>
  <si>
    <t>Column (3) line 13</t>
  </si>
  <si>
    <t>Less distribution accumulated depreciation excluded from Common Use Facilities (Company Records)</t>
  </si>
  <si>
    <t>Common Use AC Facilities (line 122 less line 123)</t>
  </si>
  <si>
    <t>Supplemental Schedule, WP 4, line 32(b)</t>
  </si>
  <si>
    <t>Percentage of distribution plant accumulated depreciation included in Common Use Facilities (line 124 divided by line 122)</t>
  </si>
  <si>
    <t>WAGES &amp; SALARY ALLOCATOR   (W&amp;S)</t>
  </si>
  <si>
    <t>354.21.b</t>
  </si>
  <si>
    <t xml:space="preserve">  Total Wages Expense</t>
  </si>
  <si>
    <t>354.28.b</t>
  </si>
  <si>
    <t xml:space="preserve">  Less:  A&amp;G Wages</t>
  </si>
  <si>
    <t>354.27.b</t>
  </si>
  <si>
    <t xml:space="preserve">  Adjusted Total  (sum lines 131-132)</t>
  </si>
  <si>
    <t>TRANSMISSION &amp; DISTRIBUTION ALLOCATOR (T&amp;D)</t>
  </si>
  <si>
    <t>Transmission Net Plant</t>
  </si>
  <si>
    <t>line 22</t>
  </si>
  <si>
    <t>Distribution Net Plant</t>
  </si>
  <si>
    <t>line 23</t>
  </si>
  <si>
    <t xml:space="preserve">  Total  (sum lines 137 - 138)</t>
  </si>
  <si>
    <t>RETURN (R)</t>
  </si>
  <si>
    <t>Long Term Interest</t>
  </si>
  <si>
    <t>117, sum of 62.c through 66.c</t>
  </si>
  <si>
    <t>Preferred Dividends</t>
  </si>
  <si>
    <t>118.29.c (positive number)</t>
  </si>
  <si>
    <t>Development of Common Stock:</t>
  </si>
  <si>
    <t>Proprietary Capital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</si>
  <si>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</si>
  <si>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</si>
  <si>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</si>
  <si>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</si>
  <si>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</si>
  <si>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</si>
  <si>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</si>
  <si>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</si>
  <si>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>(sum lines 147-150)</t>
  </si>
  <si>
    <t xml:space="preserve">  Long Term Debt</t>
  </si>
  <si>
    <t xml:space="preserve">112.24.c </t>
  </si>
  <si>
    <t xml:space="preserve">112.24.c, Supplemental Schedule, WP 8, line 13(j) </t>
  </si>
  <si>
    <t xml:space="preserve">  Preferred Stock </t>
  </si>
  <si>
    <t xml:space="preserve">  Adjusted Common Stock</t>
  </si>
  <si>
    <t>(see above line 151)</t>
  </si>
  <si>
    <t>Total  (sum lines 154-156)</t>
  </si>
  <si>
    <t>NOTES:</t>
  </si>
  <si>
    <t>1 - There are no transmission and distribution plant included in the OATT ancillary services rates which needs to be removed from Common Use Facilities.</t>
  </si>
  <si>
    <t>2 - Line 52 column (4) allocator reference should be DA, as the FERC annual charges for the year are assessed directly under this tariff.</t>
  </si>
  <si>
    <t>3 - Items in the Updated Reference column highlighted in gray did not change from the Tariff and As Filed column.</t>
  </si>
  <si>
    <t>Cost of Service Formula Reference Changes</t>
  </si>
  <si>
    <t>The True-Up Adjustment component of the Formula Rate for each Rate Year beginning with rates effective January 1, 2010 shall be determined as follows:</t>
  </si>
  <si>
    <t>Beginning with 2009, no later than June 1 of each year, Black Hills Power shall recalculate an adjusted Annual</t>
  </si>
  <si>
    <t>Transmission Revenue Requirement (ATRR) for the previous calendar year based on its actual costs as reflected</t>
  </si>
  <si>
    <t>in its Form No. 1 and its books and records for that calendar year, consistent with FERC</t>
  </si>
  <si>
    <t>accounting policies.</t>
  </si>
  <si>
    <t>(ii)</t>
  </si>
  <si>
    <t>Black Hills Power shall determine the difference between the recalculated ATRR as determined in paragraph (i)</t>
  </si>
  <si>
    <t>above, and ATRR based on projected costs for the previous calendar year (True-Up Adj before Interest).</t>
  </si>
  <si>
    <t>(iii)</t>
  </si>
  <si>
    <t>The True-Up Adjustment shall be determined as follows:</t>
  </si>
  <si>
    <t>True-Up Adjustment equals the True-Up Adjustment before Interest multiplied by (1+i)^18 months.</t>
  </si>
  <si>
    <t>Where:</t>
  </si>
  <si>
    <t>i =</t>
  </si>
  <si>
    <t>Sum of (the monthly rates for the 4 months ending April 30 of the current year and</t>
  </si>
  <si>
    <t>the monthly rates for the 12 months ending December 31 of the preceding year)</t>
  </si>
  <si>
    <t>divided by 16 months.</t>
  </si>
  <si>
    <t>Summary of Formula Rate Process including True-Up Adjustment  (Using 2009 as an example)</t>
  </si>
  <si>
    <t>Month</t>
  </si>
  <si>
    <t>Year</t>
  </si>
  <si>
    <t>Action</t>
  </si>
  <si>
    <t>True-Up Calculation:</t>
  </si>
  <si>
    <t>Step 1</t>
  </si>
  <si>
    <t>May</t>
  </si>
  <si>
    <t>TO populates the formula with 2009 Actual data and calculates the 2009 True-up Adjustment before Interest</t>
  </si>
  <si>
    <t>Step 2</t>
  </si>
  <si>
    <t>TO compares the revenue received during 2009 to the True-Up calculation done above</t>
  </si>
  <si>
    <t>Step 3</t>
  </si>
  <si>
    <t>TO calculates the Interest to include in the 2009 True-Up Adjustment</t>
  </si>
  <si>
    <t>Step 4</t>
  </si>
  <si>
    <t xml:space="preserve">July </t>
  </si>
  <si>
    <t>TO either collects or pays the lump-sum adjustment calculated above</t>
  </si>
  <si>
    <t>Annual Rate Calculation:</t>
  </si>
  <si>
    <t>Step 5</t>
  </si>
  <si>
    <t>September</t>
  </si>
  <si>
    <t>TO populates the formula with 2009 Actual data plus known additions placed in service (over $1,000,000) for 2010 (See WP 2 for an example)</t>
  </si>
  <si>
    <t>Step 6</t>
  </si>
  <si>
    <t>TO estimates transmission Capital Additions (over $1,000,000) for 2011 expected to be in service in 2011 (See WP 3 for an example)</t>
  </si>
  <si>
    <t>Step 7</t>
  </si>
  <si>
    <t xml:space="preserve">TO adds weighted Capital Adds, Accumulated Depreciation and Depreciation Expense to plant in service in Formula </t>
  </si>
  <si>
    <t>Step 8</t>
  </si>
  <si>
    <t>Post results of Step 7 on web site</t>
  </si>
  <si>
    <t>Step 9</t>
  </si>
  <si>
    <t>October</t>
  </si>
  <si>
    <t>TO to hold an open meeting for it's customers and representatives to explain the formula rate projections and cost details</t>
  </si>
  <si>
    <t>Step 10</t>
  </si>
  <si>
    <t>January</t>
  </si>
  <si>
    <t>Results of Step 7 go into effect</t>
  </si>
  <si>
    <t>Note 1:</t>
  </si>
  <si>
    <t>To the extent possible each input into the Formula Rate used to calculate the actual ATRR included in the True-Up</t>
  </si>
  <si>
    <t>Adjustment either will be taken directly from the FERC Form No. 1 or will be reconcilable to the FERC Form No. 1</t>
  </si>
  <si>
    <t xml:space="preserve">by the application of clearly identified and supported information.  If the reconciliation is provided through a </t>
  </si>
  <si>
    <t>worksheet included in the filed Formula Rate template, the inputs to the worksheet must meet this transparency</t>
  </si>
  <si>
    <t>standard, and doing so will satisfy this transparency requirement for the amounts that are output from the</t>
  </si>
  <si>
    <t>worksheet and input to the main body of the Formula Rate.</t>
  </si>
  <si>
    <t>Complete for Each Calendar Year beginning in 2009</t>
  </si>
  <si>
    <t>A</t>
  </si>
  <si>
    <t>True-Up Amount (Transmission see pg 7 line 92 and Schedule 1 see pg 18 line 12)</t>
  </si>
  <si>
    <t>B</t>
  </si>
  <si>
    <t>Future Value Factor (1+i)^18</t>
  </si>
  <si>
    <t>C</t>
  </si>
  <si>
    <t>True-Up Amount to be (Refunded)/Paid based on 2009 Actual Load (A*B)</t>
  </si>
  <si>
    <t>i = average interest rate as calculated below</t>
  </si>
  <si>
    <t>Interest on Amount of Refunds or Surcharges Interest 35.19a for Current Year</t>
  </si>
  <si>
    <t>Interest 35.19a</t>
  </si>
  <si>
    <t>for Month</t>
  </si>
  <si>
    <t>Year 1</t>
  </si>
  <si>
    <t>February</t>
  </si>
  <si>
    <t>March</t>
  </si>
  <si>
    <t>April</t>
  </si>
  <si>
    <t>June</t>
  </si>
  <si>
    <t>July</t>
  </si>
  <si>
    <t>August</t>
  </si>
  <si>
    <t>November</t>
  </si>
  <si>
    <t>December</t>
  </si>
  <si>
    <t>Year 2</t>
  </si>
  <si>
    <t>Average Interest Rate</t>
  </si>
  <si>
    <t>(Notes A &amp; H)</t>
  </si>
  <si>
    <t>Transmission</t>
  </si>
  <si>
    <t>Schedule 1</t>
  </si>
  <si>
    <t>Per Tariff</t>
  </si>
  <si>
    <t>True-Up Amount (Transmission see pg 3 line 92 and Schedule 1 see pg 10 line 12)</t>
  </si>
  <si>
    <t>Updated References - As Filed</t>
  </si>
  <si>
    <t>Capital True Up</t>
  </si>
  <si>
    <t>Service Year</t>
  </si>
  <si>
    <t>BHP-Workpaper 6, line 5, (n)</t>
  </si>
  <si>
    <t>BHP-Workpaper 6, line 6, (n)</t>
  </si>
  <si>
    <t>Workpaper 6, line 7, (n)</t>
  </si>
  <si>
    <t>BHP-Workpaper 6, line 11, (n)</t>
  </si>
  <si>
    <t>BHP-Workpaper 6, line 12, (n)</t>
  </si>
  <si>
    <t>BHP-Workpaper 6, line 13, (n)</t>
  </si>
  <si>
    <t>BHP-Workpaper 6, line 14, (n)</t>
  </si>
  <si>
    <t>BHP-Workpaper 6, line 15, (n)</t>
  </si>
  <si>
    <t>BHP-Workpaper 6, line 16, (n)</t>
  </si>
  <si>
    <t>BHP-Workpaper 6, line 17, (n)</t>
  </si>
  <si>
    <t>BHP-Workpaper 6, line 31, ( c)</t>
  </si>
  <si>
    <t>BHP-Workpaper 6, line 33, ( c)</t>
  </si>
  <si>
    <t>BHP-Workpaper 6, line 34, ( c)</t>
  </si>
  <si>
    <t>BHP-Workpaper 6, line 35, ( c)</t>
  </si>
  <si>
    <t>BHP-Workpaper 6, line 43, ( c)</t>
  </si>
  <si>
    <t>BHP-Workpaper 6, line 44, ( c)</t>
  </si>
  <si>
    <t>BHP-Workpaper 6, line 45, ( c)</t>
  </si>
  <si>
    <t>line 2 x BHP-Workpaper 5, line 11</t>
  </si>
  <si>
    <t>(line 4 + line 6) x BHP-Workpaper 5, line 25</t>
  </si>
  <si>
    <t>2 - Communication System - Plant Accounts 397</t>
  </si>
  <si>
    <t>1 - General Plant Electric - Plant Accounts 389,390,391,392,393,394</t>
  </si>
  <si>
    <t>13 month average</t>
  </si>
  <si>
    <t>Account No. 180</t>
  </si>
  <si>
    <t>Intangible Plant</t>
  </si>
  <si>
    <t>System</t>
  </si>
  <si>
    <t>Electric</t>
  </si>
  <si>
    <t>Date</t>
  </si>
  <si>
    <t xml:space="preserve">Total General and  </t>
  </si>
  <si>
    <t>Communication</t>
  </si>
  <si>
    <t xml:space="preserve">General Plant  </t>
  </si>
  <si>
    <t>(b) + (c)</t>
  </si>
  <si>
    <r>
      <t>(c)</t>
    </r>
    <r>
      <rPr>
        <sz val="12"/>
        <rFont val="Calibri"/>
        <family val="2"/>
      </rPr>
      <t>₂</t>
    </r>
  </si>
  <si>
    <r>
      <t>(b)</t>
    </r>
    <r>
      <rPr>
        <sz val="12"/>
        <rFont val="Calibri"/>
        <family val="2"/>
      </rPr>
      <t>₁</t>
    </r>
  </si>
  <si>
    <t>General Plant Accumulated Depreciation by Plant Account</t>
  </si>
  <si>
    <t>WORKPAPER 9</t>
  </si>
  <si>
    <t>321.84-92.b &amp; 96.b</t>
  </si>
  <si>
    <t>263.3i, 263.4i, 263.12i</t>
  </si>
  <si>
    <t>323.189.b - 351.1.h</t>
  </si>
  <si>
    <t>Transmission Assets as of 12/31/2017</t>
  </si>
  <si>
    <t>True-Up Amount to be (Refunded)/Paid based on 2017 Actual Costs (A*B)</t>
  </si>
  <si>
    <t>Horizon Point</t>
  </si>
  <si>
    <t>(d)</t>
  </si>
  <si>
    <t>4 - Total General Intangible Plant - FERC Form 1 219.28c</t>
  </si>
  <si>
    <r>
      <t>(d)</t>
    </r>
    <r>
      <rPr>
        <vertAlign val="subscript"/>
        <sz val="10"/>
        <rFont val="Arial"/>
        <family val="2"/>
      </rPr>
      <t>3</t>
    </r>
  </si>
  <si>
    <r>
      <t>(e)</t>
    </r>
    <r>
      <rPr>
        <vertAlign val="subscript"/>
        <sz val="10"/>
        <rFont val="Arial"/>
        <family val="2"/>
      </rPr>
      <t>4</t>
    </r>
  </si>
  <si>
    <t>3 - Horizon Point Building - From Company Records</t>
  </si>
  <si>
    <t>Reference</t>
  </si>
  <si>
    <t>263.20l</t>
  </si>
  <si>
    <t>Less: Horizon Point Op Unit 801117 (enter negative)</t>
  </si>
  <si>
    <t>Property Tax Adjustment for Horizon Point</t>
  </si>
  <si>
    <t>Accrued Utility SD</t>
  </si>
  <si>
    <t>Property Tax Expense Total</t>
  </si>
  <si>
    <t>Property Tax Expense less Horizon Point</t>
  </si>
  <si>
    <t>Amount</t>
  </si>
  <si>
    <t>Sum Lines 1 to 5</t>
  </si>
  <si>
    <t>Cost of Service</t>
  </si>
  <si>
    <t xml:space="preserve"> Utilizing FERC Form 1 Data</t>
  </si>
  <si>
    <t>(c)</t>
  </si>
  <si>
    <t>(e)</t>
  </si>
  <si>
    <t>(f)</t>
  </si>
  <si>
    <t>(g)</t>
  </si>
  <si>
    <t>(h)</t>
  </si>
  <si>
    <t>(j)</t>
  </si>
  <si>
    <t>(k)</t>
  </si>
  <si>
    <t>(l)</t>
  </si>
  <si>
    <t>(m)</t>
  </si>
  <si>
    <t>(n)</t>
  </si>
  <si>
    <t>GROSS PLANT IN SERVICE (101 &amp; 106)</t>
  </si>
  <si>
    <t>(Note H) **</t>
  </si>
  <si>
    <t>207.99.g - line 6</t>
  </si>
  <si>
    <t>201.13.e + 201.13.f</t>
  </si>
  <si>
    <t>207.94.g</t>
  </si>
  <si>
    <t>ACCUMULATED DEPRECIATION (108)</t>
  </si>
  <si>
    <t>See Workpaper 9 (column b)</t>
  </si>
  <si>
    <t xml:space="preserve">201.14.e + 201.14.f </t>
  </si>
  <si>
    <t>See Workpaper 9 (column c)</t>
  </si>
  <si>
    <t>** Columns a and m use the FERC Form 1 balance except where otherwise referenced. Columns b through l are the Company's FERC account balances.</t>
  </si>
  <si>
    <t>12/31/17 &amp; 12/31/18 average balance</t>
  </si>
  <si>
    <t>ADJUSTMENTS TO RATE BASE       (Notes A &amp; H)</t>
  </si>
  <si>
    <t>Average Balance</t>
  </si>
  <si>
    <t>113.62.c</t>
  </si>
  <si>
    <t>113.63.c</t>
  </si>
  <si>
    <t>113.64.c</t>
  </si>
  <si>
    <t>111.82.c</t>
  </si>
  <si>
    <t>278.2.c</t>
  </si>
  <si>
    <t>(232.1.f)*.21</t>
  </si>
  <si>
    <t>WORKING CAPITAL  EXCLUDING CASH WORKING CAPITAL (Notes C &amp; H)</t>
  </si>
  <si>
    <t>111.57.c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</si>
  <si>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Communication System Accumulated Depreciation based on Communication System Plant in Service share of General &amp; Intangible Accumulated Depreciation.</t>
    </r>
  </si>
  <si>
    <t>Adjustment from Distribution to Transmission</t>
  </si>
  <si>
    <t>Adjustment from Transmission to Distribution</t>
  </si>
  <si>
    <t xml:space="preserve">  Transmission (GL)</t>
  </si>
  <si>
    <t xml:space="preserve">  Distribution (GL)</t>
  </si>
  <si>
    <t xml:space="preserve">  Transmission (Corrected)</t>
  </si>
  <si>
    <t xml:space="preserve">  Distribution (Corrected)</t>
  </si>
  <si>
    <t>Reserve</t>
  </si>
  <si>
    <t>WORKPAPER 10</t>
  </si>
  <si>
    <t>WORKPAPER 11</t>
  </si>
  <si>
    <t>General Plant Plant In Service by Plant Account</t>
  </si>
  <si>
    <t>See Workpaper 12</t>
  </si>
  <si>
    <t>See Workpaper 10 (Column b)</t>
  </si>
  <si>
    <t>See BHP Workpaper 11, Line 6</t>
  </si>
  <si>
    <t>WORKPAPER 12</t>
  </si>
  <si>
    <t>ADIT Adjustment for Horizon Point</t>
  </si>
  <si>
    <t>( c)</t>
  </si>
  <si>
    <t xml:space="preserve">  Less:</t>
  </si>
  <si>
    <t>Account No. 282 (enter negative)</t>
  </si>
  <si>
    <t>Net Account No. 282</t>
  </si>
  <si>
    <t>Beginning Balance</t>
  </si>
  <si>
    <t>Ending Balance</t>
  </si>
  <si>
    <t>Line 1 - Line 3</t>
  </si>
  <si>
    <t>232.1.f</t>
  </si>
  <si>
    <t>Tax Rate</t>
  </si>
  <si>
    <t>AFUDC FAS 109</t>
  </si>
  <si>
    <t>BHP-Workpaper 12, line 14, ( e)</t>
  </si>
  <si>
    <t>BHP-Workpaper 12, line 5, ( e)</t>
  </si>
  <si>
    <t>BHP-Workpaper 9, line 14, (e)</t>
  </si>
  <si>
    <t>Line 11 + Line 12 - Line 13</t>
  </si>
  <si>
    <t>278.2.b,f</t>
  </si>
  <si>
    <t>(Estimated Service Year ATRR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</si>
</sst>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  <numFmt numFmtId="166" formatCode="_(&quot;$&quot;* #,##0_);_(&quot;$&quot;* \(#,##0\);_(&quot;$&quot;* &quot;-&quot;??_);_(@_)"/>
    <numFmt numFmtId="167" formatCode="&quot;$&quot;#,##0.0;[Red]\-&quot;$&quot;#,##0.0"/>
    <numFmt numFmtId="168" formatCode="00000"/>
    <numFmt numFmtId="169" formatCode="#,##0\ ;\(#,##0\);\-\ \ \ \ \ "/>
    <numFmt numFmtId="170" formatCode="#,##0\ ;\(#,##0\);\–\ \ \ \ \ "/>
    <numFmt numFmtId="171" formatCode="#,##0;\(#,##0\)"/>
    <numFmt numFmtId="172" formatCode="yyyymmdd"/>
    <numFmt numFmtId="173" formatCode="_([$€-2]* #,##0.00_);_([$€-2]* \(#,##0.00\);_([$€-2]* &quot;-&quot;??_)"/>
    <numFmt numFmtId="174" formatCode="_-* #,##0.0_-;\-* #,##0.0_-;_-* &quot;-&quot;??_-;_-@_-"/>
    <numFmt numFmtId="175" formatCode="#,##0.00&quot; $&quot;;\-#,##0.00&quot; $&quot;"/>
    <numFmt numFmtId="176" formatCode="000000000"/>
    <numFmt numFmtId="177" formatCode="#,##0.0_);\(#,##0.0\)"/>
    <numFmt numFmtId="178" formatCode="_-&quot;£&quot;* #,##0_-;\-&quot;£&quot;* #,##0_-;_-&quot;£&quot;* &quot;-&quot;_-;_-@_-"/>
    <numFmt numFmtId="179" formatCode="_-&quot;£&quot;* #,##0.00_-;\-&quot;£&quot;* #,##0.00_-;_-&quot;£&quot;* &quot;-&quot;??_-;_-@_-"/>
    <numFmt numFmtId="180" formatCode="0.00_)"/>
    <numFmt numFmtId="181" formatCode="00"/>
    <numFmt numFmtId="182" formatCode="0_);\(0\)"/>
    <numFmt numFmtId="183" formatCode="000\-00\-0000"/>
    <numFmt numFmtId="184" formatCode="mmm\-yyyy"/>
    <numFmt numFmtId="185" formatCode="0.0000%"/>
    <numFmt numFmtId="186" formatCode="0.000%"/>
    <numFmt numFmtId="187" formatCode="#,##0.0000"/>
    <numFmt numFmtId="188" formatCode="[$-409]mmm\-yy;@"/>
  </numFmts>
  <fonts count="89">
    <font>
      <sz val="12"/>
      <name val="Arial MT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 MT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Helv"/>
    </font>
    <font>
      <sz val="10"/>
      <name val="Times New Roman"/>
      <family val="1"/>
    </font>
    <font>
      <sz val="9"/>
      <name val="AGaramond"/>
    </font>
    <font>
      <sz val="11"/>
      <color indexed="20"/>
      <name val="Calibri"/>
      <family val="2"/>
    </font>
    <font>
      <sz val="12"/>
      <name val="Tms Rmn"/>
    </font>
    <font>
      <sz val="11"/>
      <name val="Times New Roman"/>
      <family val="1"/>
    </font>
    <font>
      <sz val="8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ahoma"/>
      <family val="2"/>
    </font>
    <font>
      <sz val="12"/>
      <name val="Helv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0"/>
      <name val="Helv"/>
    </font>
    <font>
      <sz val="9"/>
      <name val="GillSans"/>
    </font>
    <font>
      <sz val="9"/>
      <name val="GillSans Light"/>
    </font>
    <font>
      <sz val="11"/>
      <color indexed="17"/>
      <name val="Calibri"/>
      <family val="2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2"/>
      <color indexed="14"/>
      <name val="Arial"/>
      <family val="2"/>
    </font>
    <font>
      <u/>
      <sz val="8"/>
      <name val="Helv"/>
    </font>
    <font>
      <sz val="11"/>
      <color indexed="60"/>
      <name val="Calibri"/>
      <family val="2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b/>
      <sz val="10"/>
      <name val="MS Sans Serif"/>
      <family val="2"/>
    </font>
    <font>
      <b/>
      <i/>
      <sz val="16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color indexed="12"/>
      <name val="Arial"/>
      <family val="2"/>
    </font>
    <font>
      <sz val="11"/>
      <color indexed="10"/>
      <name val="Calibri"/>
      <family val="2"/>
    </font>
    <font>
      <u/>
      <sz val="10"/>
      <name val="Arial"/>
      <family val="2"/>
    </font>
    <font>
      <sz val="10"/>
      <color indexed="57"/>
      <name val="Arial"/>
      <family val="2"/>
    </font>
    <font>
      <vertAlign val="superscript"/>
      <sz val="1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 MT"/>
    </font>
    <font>
      <sz val="12"/>
      <name val="Calibri"/>
      <family val="2"/>
    </font>
    <font>
      <sz val="10"/>
      <name val="MS Sans Serif"/>
    </font>
    <font>
      <b/>
      <sz val="10"/>
      <name val="MS Sans Serif"/>
    </font>
    <font>
      <vertAlign val="subscript"/>
      <sz val="10"/>
      <name val="Arial"/>
      <family val="2"/>
    </font>
    <font>
      <sz val="12"/>
      <color indexed="10"/>
      <name val="Arial MT"/>
    </font>
    <font>
      <vertAlign val="superscript"/>
      <sz val="12"/>
      <name val="Arial"/>
      <family val="2"/>
    </font>
    <font>
      <b/>
      <sz val="18"/>
      <name val="Arial"/>
      <family val="2"/>
    </font>
    <font>
      <i/>
      <u/>
      <sz val="12"/>
      <color rgb="FFFF0000"/>
      <name val="Arial"/>
      <family val="2"/>
    </font>
    <font>
      <sz val="12"/>
      <color indexed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name val="Arial MT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64"/>
      </bottom>
      <diagonal/>
    </border>
  </borders>
  <cellStyleXfs count="217">
    <xf numFmtId="164" fontId="0" fillId="0" borderId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37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0" fontId="2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38" fontId="8" fillId="0" borderId="0" applyBorder="0" applyAlignment="0"/>
    <xf numFmtId="167" fontId="9" fillId="21" borderId="4">
      <alignment horizontal="center" vertical="center"/>
    </xf>
    <xf numFmtId="168" fontId="2" fillId="0" borderId="5">
      <alignment horizontal="left"/>
    </xf>
    <xf numFmtId="0" fontId="10" fillId="0" borderId="0"/>
    <xf numFmtId="0" fontId="11" fillId="4" borderId="0" applyNumberFormat="0" applyBorder="0" applyAlignment="0" applyProtection="0"/>
    <xf numFmtId="0" fontId="12" fillId="0" borderId="0" applyNumberFormat="0" applyFill="0" applyBorder="0" applyAlignment="0" applyProtection="0"/>
    <xf numFmtId="169" fontId="13" fillId="0" borderId="6" applyNumberFormat="0" applyFill="0" applyAlignment="0" applyProtection="0">
      <alignment horizontal="center"/>
    </xf>
    <xf numFmtId="170" fontId="13" fillId="0" borderId="1" applyFill="0" applyAlignment="0" applyProtection="0">
      <alignment horizontal="center"/>
    </xf>
    <xf numFmtId="38" fontId="2" fillId="0" borderId="0">
      <alignment horizontal="right"/>
    </xf>
    <xf numFmtId="37" fontId="14" fillId="0" borderId="0" applyFill="0">
      <alignment horizontal="right"/>
    </xf>
    <xf numFmtId="37" fontId="14" fillId="0" borderId="0">
      <alignment horizontal="right"/>
    </xf>
    <xf numFmtId="0" fontId="14" fillId="0" borderId="0" applyFill="0">
      <alignment horizontal="center"/>
    </xf>
    <xf numFmtId="37" fontId="14" fillId="0" borderId="7" applyFill="0">
      <alignment horizontal="right"/>
    </xf>
    <xf numFmtId="37" fontId="14" fillId="0" borderId="0">
      <alignment horizontal="right"/>
    </xf>
    <xf numFmtId="0" fontId="15" fillId="0" borderId="0" applyFill="0">
      <alignment vertical="top"/>
    </xf>
    <xf numFmtId="0" fontId="16" fillId="0" borderId="0" applyFill="0">
      <alignment horizontal="left" vertical="top"/>
    </xf>
    <xf numFmtId="37" fontId="14" fillId="0" borderId="3" applyFill="0">
      <alignment horizontal="right"/>
    </xf>
    <xf numFmtId="0" fontId="2" fillId="0" borderId="0" applyNumberFormat="0" applyFont="0" applyAlignment="0"/>
    <xf numFmtId="0" fontId="15" fillId="0" borderId="0" applyFill="0">
      <alignment wrapText="1"/>
    </xf>
    <xf numFmtId="0" fontId="16" fillId="0" borderId="0" applyFill="0">
      <alignment horizontal="left" vertical="top" wrapText="1"/>
    </xf>
    <xf numFmtId="37" fontId="14" fillId="0" borderId="0" applyFill="0">
      <alignment horizontal="right"/>
    </xf>
    <xf numFmtId="0" fontId="17" fillId="0" borderId="0" applyNumberFormat="0" applyFont="0" applyAlignment="0">
      <alignment horizontal="center"/>
    </xf>
    <xf numFmtId="0" fontId="18" fillId="0" borderId="0" applyFill="0">
      <alignment vertical="top" wrapText="1"/>
    </xf>
    <xf numFmtId="0" fontId="19" fillId="0" borderId="0" applyFill="0">
      <alignment horizontal="left" vertical="top" wrapText="1"/>
    </xf>
    <xf numFmtId="37" fontId="14" fillId="0" borderId="0" applyFill="0">
      <alignment horizontal="right"/>
    </xf>
    <xf numFmtId="0" fontId="17" fillId="0" borderId="0" applyNumberFormat="0" applyFont="0" applyAlignment="0">
      <alignment horizontal="center"/>
    </xf>
    <xf numFmtId="0" fontId="20" fillId="0" borderId="0" applyFill="0">
      <alignment vertical="center" wrapText="1"/>
    </xf>
    <xf numFmtId="0" fontId="21" fillId="0" borderId="0">
      <alignment horizontal="left" vertical="center" wrapText="1"/>
    </xf>
    <xf numFmtId="37" fontId="14" fillId="0" borderId="0" applyFill="0">
      <alignment horizontal="right"/>
    </xf>
    <xf numFmtId="0" fontId="17" fillId="0" borderId="0" applyNumberFormat="0" applyFont="0" applyAlignment="0">
      <alignment horizontal="center"/>
    </xf>
    <xf numFmtId="0" fontId="22" fillId="0" borderId="0" applyFill="0">
      <alignment horizontal="center" vertical="center" wrapText="1"/>
    </xf>
    <xf numFmtId="0" fontId="2" fillId="0" borderId="0" applyFill="0">
      <alignment horizontal="center" vertical="center" wrapText="1"/>
    </xf>
    <xf numFmtId="37" fontId="23" fillId="0" borderId="0" applyFill="0">
      <alignment horizontal="right"/>
    </xf>
    <xf numFmtId="0" fontId="17" fillId="0" borderId="0" applyNumberFormat="0" applyFont="0" applyAlignment="0">
      <alignment horizontal="center"/>
    </xf>
    <xf numFmtId="0" fontId="24" fillId="0" borderId="0" applyFill="0">
      <alignment horizontal="center" vertical="center" wrapText="1"/>
    </xf>
    <xf numFmtId="0" fontId="25" fillId="0" borderId="0" applyFill="0">
      <alignment horizontal="center" vertical="center" wrapText="1"/>
    </xf>
    <xf numFmtId="37" fontId="23" fillId="0" borderId="0" applyFill="0">
      <alignment horizontal="right"/>
    </xf>
    <xf numFmtId="0" fontId="17" fillId="0" borderId="0" applyNumberFormat="0" applyFont="0" applyAlignment="0">
      <alignment horizontal="center"/>
    </xf>
    <xf numFmtId="0" fontId="26" fillId="0" borderId="0">
      <alignment horizontal="center" wrapText="1"/>
    </xf>
    <xf numFmtId="0" fontId="27" fillId="0" borderId="0" applyFill="0">
      <alignment horizontal="center" wrapText="1"/>
    </xf>
    <xf numFmtId="0" fontId="28" fillId="22" borderId="8" applyNumberFormat="0" applyAlignment="0" applyProtection="0"/>
    <xf numFmtId="0" fontId="29" fillId="23" borderId="9" applyNumberFormat="0" applyAlignment="0" applyProtection="0"/>
    <xf numFmtId="171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1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5">
      <alignment horizontal="center"/>
    </xf>
    <xf numFmtId="173" fontId="32" fillId="0" borderId="0" applyFont="0" applyFill="0" applyBorder="0" applyAlignment="0" applyProtection="0"/>
    <xf numFmtId="0" fontId="33" fillId="0" borderId="0" applyNumberFormat="0" applyFill="0" applyBorder="0" applyAlignment="0" applyProtection="0"/>
    <xf numFmtId="174" fontId="2" fillId="0" borderId="0">
      <protection locked="0"/>
    </xf>
    <xf numFmtId="0" fontId="34" fillId="0" borderId="0"/>
    <xf numFmtId="0" fontId="35" fillId="0" borderId="0"/>
    <xf numFmtId="0" fontId="36" fillId="0" borderId="0"/>
    <xf numFmtId="0" fontId="37" fillId="5" borderId="0" applyNumberFormat="0" applyBorder="0" applyAlignment="0" applyProtection="0"/>
    <xf numFmtId="38" fontId="14" fillId="24" borderId="0" applyNumberFormat="0" applyBorder="0" applyAlignment="0" applyProtection="0"/>
    <xf numFmtId="0" fontId="38" fillId="0" borderId="0" applyNumberFormat="0" applyFill="0" applyBorder="0" applyAlignment="0" applyProtection="0"/>
    <xf numFmtId="0" fontId="19" fillId="0" borderId="10" applyNumberFormat="0" applyAlignment="0" applyProtection="0">
      <alignment horizontal="left" vertical="center"/>
    </xf>
    <xf numFmtId="0" fontId="19" fillId="0" borderId="11">
      <alignment horizontal="left" vertical="center"/>
    </xf>
    <xf numFmtId="0" fontId="39" fillId="0" borderId="0">
      <alignment horizontal="center"/>
    </xf>
    <xf numFmtId="0" fontId="40" fillId="0" borderId="12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0" applyNumberFormat="0" applyFill="0" applyBorder="0" applyAlignment="0" applyProtection="0"/>
    <xf numFmtId="175" fontId="2" fillId="0" borderId="0">
      <protection locked="0"/>
    </xf>
    <xf numFmtId="175" fontId="2" fillId="0" borderId="0">
      <protection locked="0"/>
    </xf>
    <xf numFmtId="0" fontId="43" fillId="0" borderId="15" applyNumberFormat="0" applyFill="0" applyAlignment="0" applyProtection="0"/>
    <xf numFmtId="10" fontId="14" fillId="25" borderId="5" applyNumberFormat="0" applyBorder="0" applyAlignment="0" applyProtection="0"/>
    <xf numFmtId="0" fontId="44" fillId="8" borderId="8" applyNumberFormat="0" applyAlignment="0" applyProtection="0"/>
    <xf numFmtId="0" fontId="14" fillId="24" borderId="0"/>
    <xf numFmtId="0" fontId="45" fillId="0" borderId="16" applyNumberFormat="0" applyFill="0" applyAlignment="0" applyProtection="0"/>
    <xf numFmtId="176" fontId="2" fillId="0" borderId="5">
      <alignment horizontal="center"/>
    </xf>
    <xf numFmtId="177" fontId="46" fillId="0" borderId="0"/>
    <xf numFmtId="17" fontId="47" fillId="0" borderId="0">
      <alignment horizontal="center"/>
    </xf>
    <xf numFmtId="178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0" fontId="48" fillId="26" borderId="0" applyNumberFormat="0" applyBorder="0" applyAlignment="0" applyProtection="0"/>
    <xf numFmtId="43" fontId="49" fillId="0" borderId="0" applyNumberFormat="0" applyFill="0" applyBorder="0" applyAlignment="0" applyProtection="0"/>
    <xf numFmtId="0" fontId="13" fillId="0" borderId="0" applyNumberFormat="0" applyFill="0" applyAlignment="0" applyProtection="0"/>
    <xf numFmtId="37" fontId="50" fillId="0" borderId="0"/>
    <xf numFmtId="180" fontId="51" fillId="0" borderId="0"/>
    <xf numFmtId="164" fontId="4" fillId="0" borderId="0" applyProtection="0"/>
    <xf numFmtId="0" fontId="2" fillId="0" borderId="0"/>
    <xf numFmtId="0" fontId="1" fillId="0" borderId="0"/>
    <xf numFmtId="0" fontId="30" fillId="0" borderId="0"/>
    <xf numFmtId="0" fontId="2" fillId="0" borderId="0"/>
    <xf numFmtId="0" fontId="2" fillId="0" borderId="5">
      <alignment horizontal="center" wrapText="1"/>
    </xf>
    <xf numFmtId="2" fontId="2" fillId="0" borderId="5">
      <alignment horizontal="center"/>
    </xf>
    <xf numFmtId="181" fontId="3" fillId="0" borderId="5" applyFont="0">
      <alignment horizontal="center"/>
    </xf>
    <xf numFmtId="0" fontId="2" fillId="0" borderId="0"/>
    <xf numFmtId="0" fontId="2" fillId="27" borderId="17" applyNumberFormat="0" applyFont="0" applyAlignment="0" applyProtection="0"/>
    <xf numFmtId="1" fontId="2" fillId="0" borderId="5">
      <alignment horizontal="center"/>
    </xf>
    <xf numFmtId="0" fontId="52" fillId="22" borderId="18" applyNumberFormat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horizontal="left"/>
    </xf>
    <xf numFmtId="15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0" fontId="53" fillId="0" borderId="6">
      <alignment horizontal="center"/>
    </xf>
    <xf numFmtId="3" fontId="5" fillId="0" borderId="0" applyFont="0" applyFill="0" applyBorder="0" applyAlignment="0" applyProtection="0"/>
    <xf numFmtId="0" fontId="5" fillId="28" borderId="0" applyNumberFormat="0" applyFont="0" applyBorder="0" applyAlignment="0" applyProtection="0"/>
    <xf numFmtId="37" fontId="14" fillId="24" borderId="0" applyFill="0">
      <alignment horizontal="right"/>
    </xf>
    <xf numFmtId="0" fontId="23" fillId="0" borderId="0">
      <alignment horizontal="left"/>
    </xf>
    <xf numFmtId="0" fontId="14" fillId="0" borderId="0" applyFill="0">
      <alignment horizontal="left"/>
    </xf>
    <xf numFmtId="37" fontId="14" fillId="0" borderId="1" applyFill="0">
      <alignment horizontal="right"/>
    </xf>
    <xf numFmtId="0" fontId="3" fillId="0" borderId="5" applyNumberFormat="0" applyFont="0" applyBorder="0">
      <alignment horizontal="right"/>
    </xf>
    <xf numFmtId="0" fontId="54" fillId="0" borderId="0" applyFill="0"/>
    <xf numFmtId="0" fontId="14" fillId="0" borderId="0" applyFill="0">
      <alignment horizontal="left"/>
    </xf>
    <xf numFmtId="182" fontId="14" fillId="0" borderId="1" applyFill="0">
      <alignment horizontal="right"/>
    </xf>
    <xf numFmtId="0" fontId="2" fillId="0" borderId="0" applyNumberFormat="0" applyFont="0" applyBorder="0" applyAlignment="0"/>
    <xf numFmtId="0" fontId="18" fillId="0" borderId="0" applyFill="0">
      <alignment horizontal="left" indent="1"/>
    </xf>
    <xf numFmtId="0" fontId="23" fillId="0" borderId="0" applyFill="0">
      <alignment horizontal="left"/>
    </xf>
    <xf numFmtId="37" fontId="14" fillId="0" borderId="0" applyFill="0">
      <alignment horizontal="right"/>
    </xf>
    <xf numFmtId="0" fontId="2" fillId="0" borderId="0" applyNumberFormat="0" applyFont="0" applyFill="0" applyBorder="0" applyAlignment="0"/>
    <xf numFmtId="0" fontId="18" fillId="0" borderId="0" applyFill="0">
      <alignment horizontal="left" indent="2"/>
    </xf>
    <xf numFmtId="0" fontId="14" fillId="0" borderId="0" applyFill="0">
      <alignment horizontal="left"/>
    </xf>
    <xf numFmtId="37" fontId="14" fillId="0" borderId="0" applyFill="0">
      <alignment horizontal="right"/>
    </xf>
    <xf numFmtId="0" fontId="2" fillId="0" borderId="0" applyNumberFormat="0" applyFont="0" applyBorder="0" applyAlignment="0"/>
    <xf numFmtId="0" fontId="55" fillId="0" borderId="0">
      <alignment horizontal="left" indent="3"/>
    </xf>
    <xf numFmtId="0" fontId="14" fillId="0" borderId="0" applyFill="0">
      <alignment horizontal="left"/>
    </xf>
    <xf numFmtId="37" fontId="14" fillId="0" borderId="0" applyFill="0">
      <alignment horizontal="right"/>
    </xf>
    <xf numFmtId="0" fontId="2" fillId="0" borderId="0" applyNumberFormat="0" applyFont="0" applyBorder="0" applyAlignment="0"/>
    <xf numFmtId="0" fontId="22" fillId="0" borderId="0">
      <alignment horizontal="left" indent="4"/>
    </xf>
    <xf numFmtId="0" fontId="14" fillId="0" borderId="0" applyFill="0">
      <alignment horizontal="left"/>
    </xf>
    <xf numFmtId="37" fontId="23" fillId="0" borderId="0" applyFill="0">
      <alignment horizontal="right"/>
    </xf>
    <xf numFmtId="0" fontId="2" fillId="0" borderId="0" applyNumberFormat="0" applyFont="0" applyBorder="0" applyAlignment="0"/>
    <xf numFmtId="0" fontId="24" fillId="0" borderId="0">
      <alignment horizontal="left" indent="5"/>
    </xf>
    <xf numFmtId="0" fontId="23" fillId="0" borderId="0" applyFill="0">
      <alignment horizontal="left"/>
    </xf>
    <xf numFmtId="37" fontId="23" fillId="0" borderId="0" applyFill="0">
      <alignment horizontal="right"/>
    </xf>
    <xf numFmtId="0" fontId="2" fillId="0" borderId="0" applyNumberFormat="0" applyFont="0" applyFill="0" applyBorder="0" applyAlignment="0"/>
    <xf numFmtId="0" fontId="26" fillId="0" borderId="0" applyFill="0">
      <alignment horizontal="left" indent="6"/>
    </xf>
    <xf numFmtId="0" fontId="23" fillId="0" borderId="0" applyFill="0">
      <alignment horizontal="left"/>
    </xf>
    <xf numFmtId="38" fontId="56" fillId="29" borderId="1">
      <alignment horizontal="right"/>
    </xf>
    <xf numFmtId="38" fontId="2" fillId="30" borderId="0" applyNumberFormat="0" applyFont="0" applyBorder="0" applyAlignment="0" applyProtection="0"/>
    <xf numFmtId="0" fontId="57" fillId="0" borderId="0" applyNumberFormat="0" applyAlignment="0">
      <alignment horizontal="centerContinuous"/>
    </xf>
    <xf numFmtId="0" fontId="13" fillId="0" borderId="1" applyNumberFormat="0" applyFill="0" applyAlignment="0" applyProtection="0"/>
    <xf numFmtId="37" fontId="58" fillId="0" borderId="0" applyNumberFormat="0">
      <alignment horizontal="left"/>
    </xf>
    <xf numFmtId="183" fontId="2" fillId="0" borderId="5">
      <alignment horizontal="center" wrapText="1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2" fillId="0" borderId="0" applyNumberFormat="0" applyFill="0" applyBorder="0" applyProtection="0">
      <alignment horizontal="right" wrapText="1"/>
    </xf>
    <xf numFmtId="184" fontId="2" fillId="0" borderId="0" applyFill="0" applyBorder="0" applyAlignment="0" applyProtection="0">
      <alignment wrapText="1"/>
    </xf>
    <xf numFmtId="37" fontId="59" fillId="0" borderId="0" applyNumberFormat="0">
      <alignment horizontal="left"/>
    </xf>
    <xf numFmtId="37" fontId="60" fillId="0" borderId="0" applyNumberFormat="0">
      <alignment horizontal="left"/>
    </xf>
    <xf numFmtId="37" fontId="61" fillId="0" borderId="0" applyNumberFormat="0">
      <alignment horizontal="left"/>
    </xf>
    <xf numFmtId="177" fontId="62" fillId="0" borderId="0"/>
    <xf numFmtId="40" fontId="63" fillId="0" borderId="0"/>
    <xf numFmtId="0" fontId="64" fillId="0" borderId="0" applyNumberFormat="0" applyFill="0" applyBorder="0" applyAlignment="0" applyProtection="0"/>
    <xf numFmtId="0" fontId="65" fillId="0" borderId="19" applyNumberFormat="0" applyFill="0" applyAlignment="0" applyProtection="0"/>
    <xf numFmtId="37" fontId="14" fillId="29" borderId="0" applyNumberFormat="0" applyBorder="0" applyAlignment="0" applyProtection="0"/>
    <xf numFmtId="37" fontId="14" fillId="0" borderId="0"/>
    <xf numFmtId="3" fontId="66" fillId="0" borderId="15" applyProtection="0"/>
    <xf numFmtId="0" fontId="67" fillId="0" borderId="0" applyNumberFormat="0" applyFill="0" applyBorder="0" applyAlignment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9" fontId="2" fillId="0" borderId="0" applyFont="0" applyFill="0" applyBorder="0" applyAlignment="0" applyProtection="0"/>
    <xf numFmtId="0" fontId="78" fillId="0" borderId="0"/>
    <xf numFmtId="38" fontId="78" fillId="0" borderId="0" applyFont="0" applyFill="0" applyBorder="0" applyAlignment="0" applyProtection="0"/>
    <xf numFmtId="6" fontId="78" fillId="0" borderId="0" applyFont="0" applyFill="0" applyBorder="0" applyAlignment="0" applyProtection="0"/>
    <xf numFmtId="0" fontId="78" fillId="0" borderId="0" applyNumberFormat="0" applyFont="0" applyFill="0" applyBorder="0" applyAlignment="0" applyProtection="0">
      <alignment horizontal="left"/>
    </xf>
    <xf numFmtId="15" fontId="78" fillId="0" borderId="0" applyFont="0" applyFill="0" applyBorder="0" applyAlignment="0" applyProtection="0"/>
    <xf numFmtId="4" fontId="78" fillId="0" borderId="0" applyFont="0" applyFill="0" applyBorder="0" applyAlignment="0" applyProtection="0"/>
    <xf numFmtId="0" fontId="79" fillId="0" borderId="6">
      <alignment horizontal="center"/>
    </xf>
    <xf numFmtId="3" fontId="78" fillId="0" borderId="0" applyFont="0" applyFill="0" applyBorder="0" applyAlignment="0" applyProtection="0"/>
    <xf numFmtId="0" fontId="78" fillId="28" borderId="0" applyNumberFormat="0" applyFont="0" applyBorder="0" applyAlignment="0" applyProtection="0"/>
    <xf numFmtId="0" fontId="78" fillId="0" borderId="0"/>
    <xf numFmtId="9" fontId="4" fillId="0" borderId="0" applyFont="0" applyFill="0" applyBorder="0" applyAlignment="0" applyProtection="0"/>
  </cellStyleXfs>
  <cellXfs count="281">
    <xf numFmtId="164" fontId="0" fillId="0" borderId="0" xfId="0"/>
    <xf numFmtId="0" fontId="2" fillId="0" borderId="0" xfId="3"/>
    <xf numFmtId="44" fontId="2" fillId="0" borderId="0" xfId="3" applyNumberFormat="1"/>
    <xf numFmtId="49" fontId="3" fillId="0" borderId="0" xfId="3" applyNumberFormat="1" applyFont="1" applyAlignment="1">
      <alignment horizontal="right"/>
    </xf>
    <xf numFmtId="0" fontId="3" fillId="0" borderId="0" xfId="3" applyFont="1" applyAlignment="1">
      <alignment horizontal="right"/>
    </xf>
    <xf numFmtId="0" fontId="2" fillId="0" borderId="0" xfId="3" applyFont="1"/>
    <xf numFmtId="0" fontId="2" fillId="0" borderId="0" xfId="3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Alignment="1"/>
    <xf numFmtId="0" fontId="2" fillId="0" borderId="1" xfId="3" applyFont="1" applyBorder="1" applyAlignment="1">
      <alignment horizontal="center"/>
    </xf>
    <xf numFmtId="164" fontId="2" fillId="0" borderId="0" xfId="0" applyFont="1" applyAlignment="1">
      <alignment horizontal="center"/>
    </xf>
    <xf numFmtId="0" fontId="2" fillId="0" borderId="0" xfId="0" applyNumberFormat="1" applyFont="1" applyAlignment="1" applyProtection="1">
      <alignment horizontal="center"/>
      <protection locked="0"/>
    </xf>
    <xf numFmtId="0" fontId="2" fillId="0" borderId="0" xfId="3" applyAlignment="1">
      <alignment horizontal="center"/>
    </xf>
    <xf numFmtId="165" fontId="2" fillId="0" borderId="0" xfId="1" applyNumberFormat="1"/>
    <xf numFmtId="0" fontId="2" fillId="0" borderId="0" xfId="3" applyFont="1" applyFill="1"/>
    <xf numFmtId="165" fontId="2" fillId="0" borderId="0" xfId="1" applyNumberFormat="1" applyFill="1"/>
    <xf numFmtId="0" fontId="2" fillId="2" borderId="0" xfId="0" applyNumberFormat="1" applyFont="1" applyFill="1" applyAlignment="1"/>
    <xf numFmtId="166" fontId="2" fillId="0" borderId="2" xfId="2" applyNumberFormat="1" applyFont="1" applyFill="1" applyBorder="1"/>
    <xf numFmtId="0" fontId="3" fillId="0" borderId="0" xfId="3" applyFont="1"/>
    <xf numFmtId="0" fontId="2" fillId="0" borderId="0" xfId="3" applyFill="1"/>
    <xf numFmtId="165" fontId="2" fillId="0" borderId="3" xfId="1" applyNumberFormat="1" applyFill="1" applyBorder="1"/>
    <xf numFmtId="0" fontId="3" fillId="0" borderId="0" xfId="3" applyFont="1" applyFill="1"/>
    <xf numFmtId="165" fontId="3" fillId="0" borderId="0" xfId="1" applyNumberFormat="1" applyFont="1" applyFill="1"/>
    <xf numFmtId="49" fontId="3" fillId="0" borderId="0" xfId="3" applyNumberFormat="1" applyFont="1" applyAlignment="1">
      <alignment horizontal="center"/>
    </xf>
    <xf numFmtId="0" fontId="3" fillId="0" borderId="0" xfId="3" applyFont="1" applyAlignment="1">
      <alignment horizontal="center"/>
    </xf>
    <xf numFmtId="165" fontId="2" fillId="0" borderId="0" xfId="1" quotePrefix="1" applyNumberFormat="1" applyFont="1" applyAlignment="1">
      <alignment horizontal="center"/>
    </xf>
    <xf numFmtId="0" fontId="3" fillId="0" borderId="0" xfId="1" applyNumberFormat="1" applyFont="1" applyAlignment="1">
      <alignment horizontal="center"/>
    </xf>
    <xf numFmtId="0" fontId="2" fillId="0" borderId="3" xfId="3" applyFont="1" applyBorder="1"/>
    <xf numFmtId="0" fontId="2" fillId="0" borderId="0" xfId="127" applyFont="1"/>
    <xf numFmtId="0" fontId="2" fillId="0" borderId="0" xfId="127" applyFont="1" applyAlignment="1">
      <alignment horizontal="center"/>
    </xf>
    <xf numFmtId="0" fontId="68" fillId="0" borderId="0" xfId="127" applyFont="1" applyAlignment="1">
      <alignment horizontal="center"/>
    </xf>
    <xf numFmtId="0" fontId="2" fillId="0" borderId="0" xfId="127" quotePrefix="1" applyFont="1"/>
    <xf numFmtId="0" fontId="2" fillId="0" borderId="0" xfId="127" quotePrefix="1" applyFont="1" applyFill="1"/>
    <xf numFmtId="0" fontId="2" fillId="0" borderId="0" xfId="127" applyFont="1" applyFill="1"/>
    <xf numFmtId="0" fontId="2" fillId="0" borderId="0" xfId="127" applyFont="1" applyFill="1" applyAlignment="1">
      <alignment horizontal="center"/>
    </xf>
    <xf numFmtId="0" fontId="3" fillId="0" borderId="0" xfId="127" applyFont="1"/>
    <xf numFmtId="44" fontId="2" fillId="0" borderId="0" xfId="3" applyNumberFormat="1" applyFont="1"/>
    <xf numFmtId="166" fontId="2" fillId="0" borderId="0" xfId="2" applyNumberFormat="1" applyFont="1" applyFill="1" applyBorder="1"/>
    <xf numFmtId="0" fontId="2" fillId="2" borderId="0" xfId="0" applyNumberFormat="1" applyFont="1" applyFill="1" applyAlignment="1" applyProtection="1">
      <protection locked="0"/>
    </xf>
    <xf numFmtId="164" fontId="2" fillId="0" borderId="0" xfId="0" applyFont="1"/>
    <xf numFmtId="164" fontId="74" fillId="0" borderId="0" xfId="0" applyFont="1"/>
    <xf numFmtId="164" fontId="73" fillId="0" borderId="1" xfId="0" applyFont="1" applyBorder="1" applyAlignment="1">
      <alignment horizontal="center"/>
    </xf>
    <xf numFmtId="164" fontId="21" fillId="2" borderId="0" xfId="0" applyFont="1" applyFill="1" applyAlignment="1"/>
    <xf numFmtId="0" fontId="21" fillId="2" borderId="0" xfId="0" applyNumberFormat="1" applyFont="1" applyFill="1" applyAlignment="1">
      <alignment horizontal="center"/>
    </xf>
    <xf numFmtId="0" fontId="21" fillId="2" borderId="0" xfId="0" applyNumberFormat="1" applyFont="1" applyFill="1" applyAlignment="1"/>
    <xf numFmtId="3" fontId="19" fillId="2" borderId="0" xfId="0" applyNumberFormat="1" applyFont="1" applyFill="1" applyAlignment="1">
      <alignment horizontal="center"/>
    </xf>
    <xf numFmtId="0" fontId="21" fillId="2" borderId="0" xfId="0" applyNumberFormat="1" applyFont="1" applyFill="1" applyAlignment="1" applyProtection="1">
      <alignment horizontal="center"/>
      <protection locked="0"/>
    </xf>
    <xf numFmtId="164" fontId="19" fillId="2" borderId="0" xfId="0" applyFont="1" applyFill="1" applyAlignment="1">
      <alignment horizontal="center"/>
    </xf>
    <xf numFmtId="0" fontId="21" fillId="2" borderId="6" xfId="0" applyNumberFormat="1" applyFont="1" applyFill="1" applyBorder="1" applyAlignment="1" applyProtection="1">
      <alignment horizontal="center"/>
      <protection locked="0"/>
    </xf>
    <xf numFmtId="0" fontId="19" fillId="2" borderId="0" xfId="0" applyNumberFormat="1" applyFont="1" applyFill="1" applyAlignment="1"/>
    <xf numFmtId="3" fontId="21" fillId="2" borderId="0" xfId="0" applyNumberFormat="1" applyFont="1" applyFill="1" applyAlignment="1"/>
    <xf numFmtId="3" fontId="21" fillId="0" borderId="0" xfId="0" applyNumberFormat="1" applyFont="1" applyFill="1" applyAlignment="1"/>
    <xf numFmtId="3" fontId="21" fillId="0" borderId="0" xfId="123" applyNumberFormat="1" applyFont="1" applyFill="1" applyAlignment="1"/>
    <xf numFmtId="3" fontId="21" fillId="0" borderId="0" xfId="127" applyNumberFormat="1" applyFont="1" applyFill="1" applyAlignment="1"/>
    <xf numFmtId="164" fontId="21" fillId="2" borderId="0" xfId="0" applyFont="1" applyFill="1" applyAlignment="1" applyProtection="1">
      <protection locked="0"/>
    </xf>
    <xf numFmtId="3" fontId="21" fillId="31" borderId="0" xfId="0" applyNumberFormat="1" applyFont="1" applyFill="1" applyAlignment="1"/>
    <xf numFmtId="164" fontId="21" fillId="0" borderId="0" xfId="123" applyFont="1" applyFill="1" applyAlignment="1"/>
    <xf numFmtId="164" fontId="21" fillId="0" borderId="0" xfId="0" applyFont="1" applyFill="1" applyAlignment="1"/>
    <xf numFmtId="164" fontId="21" fillId="31" borderId="0" xfId="0" applyFont="1" applyFill="1" applyAlignment="1"/>
    <xf numFmtId="0" fontId="21" fillId="2" borderId="0" xfId="0" applyNumberFormat="1" applyFont="1" applyFill="1" applyProtection="1">
      <protection locked="0"/>
    </xf>
    <xf numFmtId="3" fontId="21" fillId="31" borderId="0" xfId="127" applyNumberFormat="1" applyFont="1" applyFill="1" applyAlignment="1"/>
    <xf numFmtId="186" fontId="21" fillId="2" borderId="0" xfId="0" applyNumberFormat="1" applyFont="1" applyFill="1" applyAlignment="1">
      <alignment horizontal="left"/>
    </xf>
    <xf numFmtId="186" fontId="21" fillId="2" borderId="0" xfId="0" applyNumberFormat="1" applyFont="1" applyFill="1" applyAlignment="1" applyProtection="1">
      <alignment horizontal="left"/>
      <protection locked="0"/>
    </xf>
    <xf numFmtId="164" fontId="21" fillId="2" borderId="0" xfId="0" quotePrefix="1" applyFont="1" applyFill="1" applyAlignment="1"/>
    <xf numFmtId="187" fontId="21" fillId="2" borderId="0" xfId="0" applyNumberFormat="1" applyFont="1" applyFill="1" applyAlignment="1"/>
    <xf numFmtId="186" fontId="21" fillId="2" borderId="0" xfId="0" applyNumberFormat="1" applyFont="1" applyFill="1" applyAlignment="1">
      <alignment horizontal="center"/>
    </xf>
    <xf numFmtId="0" fontId="19" fillId="2" borderId="0" xfId="195" applyNumberFormat="1" applyFont="1" applyFill="1" applyAlignment="1">
      <alignment horizontal="center"/>
    </xf>
    <xf numFmtId="0" fontId="21" fillId="2" borderId="0" xfId="196" applyNumberFormat="1" applyFont="1" applyFill="1" applyAlignment="1" applyProtection="1">
      <alignment horizontal="center"/>
      <protection locked="0"/>
    </xf>
    <xf numFmtId="164" fontId="21" fillId="2" borderId="0" xfId="196" applyFont="1" applyFill="1" applyAlignment="1"/>
    <xf numFmtId="0" fontId="19" fillId="2" borderId="0" xfId="196" applyNumberFormat="1" applyFont="1" applyFill="1" applyAlignment="1"/>
    <xf numFmtId="0" fontId="21" fillId="2" borderId="6" xfId="196" applyNumberFormat="1" applyFont="1" applyFill="1" applyBorder="1" applyAlignment="1" applyProtection="1">
      <alignment horizontal="center"/>
      <protection locked="0"/>
    </xf>
    <xf numFmtId="0" fontId="21" fillId="2" borderId="0" xfId="196" applyNumberFormat="1" applyFont="1" applyFill="1" applyAlignment="1" applyProtection="1">
      <protection locked="0"/>
    </xf>
    <xf numFmtId="0" fontId="21" fillId="2" borderId="0" xfId="196" applyNumberFormat="1" applyFont="1" applyFill="1"/>
    <xf numFmtId="3" fontId="21" fillId="2" borderId="6" xfId="196" applyNumberFormat="1" applyFont="1" applyFill="1" applyBorder="1" applyAlignment="1"/>
    <xf numFmtId="3" fontId="21" fillId="2" borderId="6" xfId="197" applyNumberFormat="1" applyFont="1" applyFill="1" applyBorder="1" applyAlignment="1"/>
    <xf numFmtId="0" fontId="21" fillId="2" borderId="0" xfId="196" applyNumberFormat="1" applyFont="1" applyFill="1" applyProtection="1">
      <protection locked="0"/>
    </xf>
    <xf numFmtId="3" fontId="21" fillId="0" borderId="0" xfId="196" applyNumberFormat="1" applyFont="1" applyFill="1" applyAlignment="1"/>
    <xf numFmtId="3" fontId="21" fillId="31" borderId="0" xfId="196" applyNumberFormat="1" applyFont="1" applyFill="1" applyAlignment="1"/>
    <xf numFmtId="164" fontId="21" fillId="0" borderId="0" xfId="196" applyFont="1" applyFill="1" applyAlignment="1"/>
    <xf numFmtId="164" fontId="21" fillId="2" borderId="0" xfId="198" applyFont="1" applyFill="1" applyAlignment="1"/>
    <xf numFmtId="0" fontId="21" fillId="2" borderId="6" xfId="196" applyNumberFormat="1" applyFont="1" applyFill="1" applyBorder="1" applyProtection="1">
      <protection locked="0"/>
    </xf>
    <xf numFmtId="3" fontId="21" fillId="0" borderId="6" xfId="196" applyNumberFormat="1" applyFont="1" applyFill="1" applyBorder="1" applyAlignment="1"/>
    <xf numFmtId="0" fontId="21" fillId="0" borderId="0" xfId="196" applyNumberFormat="1" applyFont="1" applyFill="1"/>
    <xf numFmtId="3" fontId="21" fillId="2" borderId="0" xfId="196" applyNumberFormat="1" applyFont="1" applyFill="1" applyAlignment="1"/>
    <xf numFmtId="49" fontId="21" fillId="0" borderId="0" xfId="196" applyNumberFormat="1" applyFont="1" applyFill="1"/>
    <xf numFmtId="49" fontId="21" fillId="2" borderId="0" xfId="196" applyNumberFormat="1" applyFont="1" applyFill="1" applyAlignment="1"/>
    <xf numFmtId="3" fontId="21" fillId="2" borderId="6" xfId="199" applyNumberFormat="1" applyFont="1" applyFill="1" applyBorder="1" applyAlignment="1"/>
    <xf numFmtId="3" fontId="21" fillId="2" borderId="6" xfId="200" applyNumberFormat="1" applyFont="1" applyFill="1" applyBorder="1" applyAlignment="1"/>
    <xf numFmtId="164" fontId="21" fillId="2" borderId="3" xfId="196" applyFont="1" applyFill="1" applyBorder="1" applyAlignment="1"/>
    <xf numFmtId="0" fontId="21" fillId="0" borderId="3" xfId="196" applyNumberFormat="1" applyFont="1" applyFill="1" applyBorder="1"/>
    <xf numFmtId="3" fontId="21" fillId="2" borderId="0" xfId="196" applyNumberFormat="1" applyFont="1" applyFill="1" applyBorder="1" applyAlignment="1"/>
    <xf numFmtId="0" fontId="21" fillId="0" borderId="0" xfId="196" applyNumberFormat="1" applyFont="1" applyFill="1" applyBorder="1"/>
    <xf numFmtId="3" fontId="21" fillId="2" borderId="6" xfId="201" applyNumberFormat="1" applyFont="1" applyFill="1" applyBorder="1" applyAlignment="1"/>
    <xf numFmtId="0" fontId="21" fillId="2" borderId="3" xfId="196" applyNumberFormat="1" applyFont="1" applyFill="1" applyBorder="1" applyProtection="1">
      <protection locked="0"/>
    </xf>
    <xf numFmtId="3" fontId="21" fillId="2" borderId="3" xfId="196" applyNumberFormat="1" applyFont="1" applyFill="1" applyBorder="1" applyAlignment="1"/>
    <xf numFmtId="0" fontId="21" fillId="2" borderId="0" xfId="196" applyNumberFormat="1" applyFont="1" applyFill="1" applyAlignment="1"/>
    <xf numFmtId="3" fontId="21" fillId="0" borderId="0" xfId="196" applyNumberFormat="1" applyFont="1" applyFill="1" applyAlignment="1">
      <alignment horizontal="left"/>
    </xf>
    <xf numFmtId="3" fontId="21" fillId="31" borderId="0" xfId="196" applyNumberFormat="1" applyFont="1" applyFill="1" applyAlignment="1">
      <alignment horizontal="left"/>
    </xf>
    <xf numFmtId="0" fontId="9" fillId="2" borderId="0" xfId="196" applyNumberFormat="1" applyFont="1" applyFill="1"/>
    <xf numFmtId="0" fontId="21" fillId="2" borderId="1" xfId="196" applyNumberFormat="1" applyFont="1" applyFill="1" applyBorder="1" applyAlignment="1"/>
    <xf numFmtId="3" fontId="21" fillId="0" borderId="1" xfId="196" applyNumberFormat="1" applyFont="1" applyFill="1" applyBorder="1" applyAlignment="1"/>
    <xf numFmtId="3" fontId="21" fillId="2" borderId="1" xfId="202" applyNumberFormat="1" applyFont="1" applyFill="1" applyBorder="1" applyAlignment="1"/>
    <xf numFmtId="3" fontId="21" fillId="31" borderId="0" xfId="202" applyNumberFormat="1" applyFont="1" applyFill="1" applyAlignment="1"/>
    <xf numFmtId="164" fontId="9" fillId="2" borderId="0" xfId="196" applyFont="1" applyFill="1" applyAlignment="1"/>
    <xf numFmtId="3" fontId="21" fillId="2" borderId="0" xfId="202" applyNumberFormat="1" applyFont="1" applyFill="1" applyAlignment="1"/>
    <xf numFmtId="0" fontId="21" fillId="2" borderId="0" xfId="196" quotePrefix="1" applyNumberFormat="1" applyFont="1" applyFill="1"/>
    <xf numFmtId="0" fontId="21" fillId="31" borderId="0" xfId="196" applyNumberFormat="1" applyFont="1" applyFill="1"/>
    <xf numFmtId="3" fontId="21" fillId="0" borderId="6" xfId="202" applyNumberFormat="1" applyFont="1" applyFill="1" applyBorder="1" applyAlignment="1"/>
    <xf numFmtId="0" fontId="21" fillId="0" borderId="0" xfId="3" applyFont="1" applyFill="1" applyAlignment="1">
      <alignment horizontal="left"/>
    </xf>
    <xf numFmtId="0" fontId="21" fillId="31" borderId="0" xfId="3" applyFont="1" applyFill="1" applyAlignment="1">
      <alignment horizontal="left"/>
    </xf>
    <xf numFmtId="164" fontId="21" fillId="0" borderId="0" xfId="196" applyFont="1" applyFill="1" applyAlignment="1">
      <alignment horizontal="left"/>
    </xf>
    <xf numFmtId="164" fontId="21" fillId="31" borderId="0" xfId="202" applyFont="1" applyFill="1" applyAlignment="1">
      <alignment horizontal="left"/>
    </xf>
    <xf numFmtId="164" fontId="74" fillId="0" borderId="0" xfId="0" applyFont="1" applyFill="1"/>
    <xf numFmtId="0" fontId="21" fillId="2" borderId="0" xfId="203" applyNumberFormat="1" applyFont="1" applyFill="1" applyAlignment="1" applyProtection="1">
      <protection locked="0"/>
    </xf>
    <xf numFmtId="164" fontId="74" fillId="31" borderId="0" xfId="0" applyFont="1" applyFill="1"/>
    <xf numFmtId="164" fontId="2" fillId="0" borderId="0" xfId="204" applyFont="1" applyAlignment="1">
      <alignment horizontal="center"/>
    </xf>
    <xf numFmtId="164" fontId="3" fillId="0" borderId="0" xfId="204" applyFont="1" applyAlignment="1"/>
    <xf numFmtId="164" fontId="3" fillId="0" borderId="1" xfId="204" applyFont="1" applyBorder="1" applyAlignment="1"/>
    <xf numFmtId="164" fontId="2" fillId="0" borderId="1" xfId="204" applyFont="1" applyBorder="1" applyAlignment="1">
      <alignment horizontal="center"/>
    </xf>
    <xf numFmtId="164" fontId="2" fillId="0" borderId="0" xfId="204" applyFont="1" applyAlignment="1"/>
    <xf numFmtId="0" fontId="2" fillId="0" borderId="0" xfId="204" applyNumberFormat="1" applyFont="1" applyFill="1" applyAlignment="1">
      <alignment horizontal="center"/>
    </xf>
    <xf numFmtId="164" fontId="2" fillId="0" borderId="0" xfId="204" applyFont="1" applyFill="1" applyAlignment="1"/>
    <xf numFmtId="164" fontId="2" fillId="0" borderId="0" xfId="204" applyFont="1" applyFill="1" applyAlignment="1">
      <alignment horizontal="right"/>
    </xf>
    <xf numFmtId="164" fontId="68" fillId="0" borderId="0" xfId="204" applyFont="1" applyFill="1" applyAlignment="1"/>
    <xf numFmtId="0" fontId="2" fillId="0" borderId="0" xfId="131" applyFont="1" applyFill="1" applyAlignment="1">
      <alignment horizontal="center"/>
    </xf>
    <xf numFmtId="0" fontId="2" fillId="0" borderId="0" xfId="131" applyFont="1" applyFill="1" applyAlignment="1">
      <alignment horizontal="left"/>
    </xf>
    <xf numFmtId="164" fontId="3" fillId="0" borderId="0" xfId="204" applyFont="1" applyFill="1" applyAlignment="1"/>
    <xf numFmtId="0" fontId="2" fillId="0" borderId="0" xfId="131" applyFont="1" applyFill="1"/>
    <xf numFmtId="16" fontId="2" fillId="0" borderId="0" xfId="131" applyNumberFormat="1" applyFont="1" applyFill="1" applyAlignment="1">
      <alignment horizontal="center"/>
    </xf>
    <xf numFmtId="0" fontId="2" fillId="0" borderId="0" xfId="204" applyNumberFormat="1" applyFont="1" applyAlignment="1">
      <alignment horizontal="center"/>
    </xf>
    <xf numFmtId="164" fontId="2" fillId="0" borderId="0" xfId="204" applyFont="1" applyBorder="1" applyAlignment="1"/>
    <xf numFmtId="164" fontId="72" fillId="0" borderId="0" xfId="204" applyFont="1" applyBorder="1" applyAlignment="1"/>
    <xf numFmtId="185" fontId="72" fillId="0" borderId="0" xfId="205" applyNumberFormat="1" applyFont="1" applyBorder="1" applyAlignment="1"/>
    <xf numFmtId="164" fontId="75" fillId="0" borderId="0" xfId="0" applyFont="1"/>
    <xf numFmtId="164" fontId="75" fillId="0" borderId="1" xfId="0" applyFont="1" applyBorder="1" applyAlignment="1">
      <alignment horizontal="left"/>
    </xf>
    <xf numFmtId="164" fontId="75" fillId="0" borderId="1" xfId="0" applyFont="1" applyBorder="1"/>
    <xf numFmtId="164" fontId="75" fillId="0" borderId="0" xfId="0" applyFont="1" applyFill="1"/>
    <xf numFmtId="164" fontId="3" fillId="31" borderId="0" xfId="204" applyFont="1" applyFill="1" applyAlignment="1"/>
    <xf numFmtId="164" fontId="71" fillId="0" borderId="1" xfId="0" applyFont="1" applyBorder="1" applyAlignment="1">
      <alignment horizontal="center"/>
    </xf>
    <xf numFmtId="164" fontId="71" fillId="0" borderId="1" xfId="0" applyFont="1" applyBorder="1" applyAlignment="1">
      <alignment horizontal="left"/>
    </xf>
    <xf numFmtId="185" fontId="2" fillId="31" borderId="0" xfId="205" applyNumberFormat="1" applyFont="1" applyFill="1" applyAlignment="1"/>
    <xf numFmtId="185" fontId="2" fillId="31" borderId="3" xfId="205" applyNumberFormat="1" applyFont="1" applyFill="1" applyBorder="1" applyAlignment="1"/>
    <xf numFmtId="164" fontId="3" fillId="0" borderId="0" xfId="0" applyFont="1" applyAlignment="1"/>
    <xf numFmtId="43" fontId="3" fillId="0" borderId="0" xfId="1" applyFont="1" applyFill="1" applyAlignment="1"/>
    <xf numFmtId="164" fontId="14" fillId="0" borderId="0" xfId="204" applyFont="1" applyFill="1" applyAlignment="1">
      <alignment horizontal="center"/>
    </xf>
    <xf numFmtId="164" fontId="14" fillId="0" borderId="1" xfId="204" applyFont="1" applyBorder="1" applyAlignment="1">
      <alignment horizontal="center"/>
    </xf>
    <xf numFmtId="164" fontId="14" fillId="0" borderId="0" xfId="204" applyFont="1" applyAlignment="1"/>
    <xf numFmtId="43" fontId="3" fillId="31" borderId="0" xfId="1" applyFont="1" applyFill="1" applyAlignment="1"/>
    <xf numFmtId="43" fontId="3" fillId="31" borderId="0" xfId="1" applyNumberFormat="1" applyFont="1" applyFill="1" applyAlignment="1"/>
    <xf numFmtId="7" fontId="3" fillId="31" borderId="3" xfId="0" applyNumberFormat="1" applyFont="1" applyFill="1" applyBorder="1" applyAlignment="1"/>
    <xf numFmtId="43" fontId="3" fillId="0" borderId="0" xfId="1" applyNumberFormat="1" applyFont="1" applyFill="1" applyAlignment="1"/>
    <xf numFmtId="7" fontId="3" fillId="0" borderId="3" xfId="0" applyNumberFormat="1" applyFont="1" applyFill="1" applyBorder="1" applyAlignment="1"/>
    <xf numFmtId="0" fontId="3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Alignment="1">
      <alignment horizontal="center"/>
    </xf>
    <xf numFmtId="49" fontId="3" fillId="0" borderId="0" xfId="3" applyNumberFormat="1" applyFont="1" applyAlignment="1">
      <alignment horizontal="center"/>
    </xf>
    <xf numFmtId="0" fontId="2" fillId="0" borderId="0" xfId="3" applyAlignment="1">
      <alignment horizontal="right"/>
    </xf>
    <xf numFmtId="0" fontId="2" fillId="0" borderId="0" xfId="3" applyNumberFormat="1"/>
    <xf numFmtId="165" fontId="2" fillId="0" borderId="0" xfId="3" applyNumberFormat="1"/>
    <xf numFmtId="3" fontId="2" fillId="0" borderId="0" xfId="3" applyNumberFormat="1"/>
    <xf numFmtId="0" fontId="3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164" fontId="0" fillId="0" borderId="0" xfId="0" applyBorder="1"/>
    <xf numFmtId="165" fontId="2" fillId="0" borderId="0" xfId="1" applyNumberFormat="1" applyFont="1" applyFill="1" applyBorder="1" applyAlignment="1"/>
    <xf numFmtId="164" fontId="2" fillId="0" borderId="0" xfId="0" applyFont="1" applyBorder="1"/>
    <xf numFmtId="0" fontId="2" fillId="0" borderId="0" xfId="3" applyFont="1" applyBorder="1" applyAlignment="1">
      <alignment horizontal="center"/>
    </xf>
    <xf numFmtId="0" fontId="2" fillId="0" borderId="0" xfId="0" applyNumberFormat="1" applyFont="1" applyBorder="1" applyAlignment="1"/>
    <xf numFmtId="43" fontId="2" fillId="0" borderId="0" xfId="1" applyFont="1" applyBorder="1" applyAlignment="1">
      <alignment wrapText="1"/>
    </xf>
    <xf numFmtId="0" fontId="2" fillId="0" borderId="0" xfId="0" applyNumberFormat="1" applyFont="1" applyBorder="1" applyAlignment="1">
      <alignment vertical="center"/>
    </xf>
    <xf numFmtId="0" fontId="2" fillId="0" borderId="0" xfId="3" applyFont="1" applyBorder="1" applyAlignment="1">
      <alignment horizontal="center" vertical="center"/>
    </xf>
    <xf numFmtId="164" fontId="76" fillId="0" borderId="0" xfId="0" applyFont="1" applyBorder="1"/>
    <xf numFmtId="188" fontId="2" fillId="0" borderId="0" xfId="0" applyNumberFormat="1" applyFont="1" applyBorder="1" applyAlignment="1">
      <alignment horizontal="center"/>
    </xf>
    <xf numFmtId="0" fontId="68" fillId="0" borderId="0" xfId="127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3" fillId="0" borderId="0" xfId="3" applyFont="1" applyBorder="1" applyAlignment="1">
      <alignment horizontal="center"/>
    </xf>
    <xf numFmtId="0" fontId="2" fillId="0" borderId="0" xfId="3" applyFont="1" applyAlignment="1">
      <alignment horizontal="left"/>
    </xf>
    <xf numFmtId="0" fontId="2" fillId="0" borderId="0" xfId="3" applyFont="1" applyAlignment="1">
      <alignment horizontal="center" vertical="center"/>
    </xf>
    <xf numFmtId="164" fontId="0" fillId="0" borderId="0" xfId="0" applyAlignment="1">
      <alignment horizontal="right"/>
    </xf>
    <xf numFmtId="164" fontId="76" fillId="0" borderId="0" xfId="0" applyFont="1"/>
    <xf numFmtId="188" fontId="2" fillId="0" borderId="0" xfId="0" applyNumberFormat="1" applyFont="1" applyAlignment="1">
      <alignment horizontal="center"/>
    </xf>
    <xf numFmtId="164" fontId="2" fillId="0" borderId="0" xfId="0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 vertical="center"/>
    </xf>
    <xf numFmtId="164" fontId="3" fillId="0" borderId="0" xfId="0" applyFont="1" applyAlignment="1">
      <alignment horizontal="right"/>
    </xf>
    <xf numFmtId="164" fontId="3" fillId="0" borderId="0" xfId="0" applyFont="1" applyAlignment="1">
      <alignment horizontal="left"/>
    </xf>
    <xf numFmtId="164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3" applyFont="1" applyAlignment="1"/>
    <xf numFmtId="43" fontId="2" fillId="0" borderId="0" xfId="1" applyFill="1"/>
    <xf numFmtId="3" fontId="2" fillId="0" borderId="0" xfId="3" applyNumberFormat="1" applyFill="1"/>
    <xf numFmtId="164" fontId="2" fillId="0" borderId="0" xfId="0" applyFont="1" applyFill="1"/>
    <xf numFmtId="165" fontId="21" fillId="0" borderId="0" xfId="1" applyNumberFormat="1" applyFont="1" applyFill="1" applyAlignment="1"/>
    <xf numFmtId="164" fontId="0" fillId="0" borderId="0" xfId="0" applyFill="1"/>
    <xf numFmtId="37" fontId="69" fillId="0" borderId="0" xfId="127" applyNumberFormat="1" applyFont="1" applyFill="1"/>
    <xf numFmtId="37" fontId="2" fillId="0" borderId="0" xfId="127" applyNumberFormat="1" applyFont="1" applyFill="1"/>
    <xf numFmtId="37" fontId="2" fillId="0" borderId="3" xfId="127" applyNumberFormat="1" applyFont="1" applyFill="1" applyBorder="1"/>
    <xf numFmtId="37" fontId="69" fillId="0" borderId="3" xfId="127" applyNumberFormat="1" applyFont="1" applyFill="1" applyBorder="1"/>
    <xf numFmtId="37" fontId="2" fillId="0" borderId="0" xfId="127" applyNumberFormat="1" applyFont="1" applyFill="1" applyBorder="1"/>
    <xf numFmtId="37" fontId="69" fillId="0" borderId="1" xfId="127" applyNumberFormat="1" applyFont="1" applyFill="1" applyBorder="1"/>
    <xf numFmtId="37" fontId="2" fillId="0" borderId="1" xfId="127" applyNumberFormat="1" applyFont="1" applyFill="1" applyBorder="1"/>
    <xf numFmtId="37" fontId="43" fillId="0" borderId="1" xfId="127" applyNumberFormat="1" applyFont="1" applyFill="1" applyBorder="1"/>
    <xf numFmtId="37" fontId="43" fillId="0" borderId="0" xfId="127" applyNumberFormat="1" applyFont="1" applyFill="1"/>
    <xf numFmtId="37" fontId="2" fillId="0" borderId="20" xfId="127" applyNumberFormat="1" applyFont="1" applyFill="1" applyBorder="1"/>
    <xf numFmtId="37" fontId="69" fillId="0" borderId="0" xfId="127" applyNumberFormat="1" applyFont="1" applyFill="1" applyBorder="1"/>
    <xf numFmtId="37" fontId="43" fillId="0" borderId="0" xfId="127" applyNumberFormat="1" applyFont="1" applyFill="1" applyBorder="1"/>
    <xf numFmtId="37" fontId="2" fillId="0" borderId="2" xfId="127" applyNumberFormat="1" applyFont="1" applyFill="1" applyBorder="1"/>
    <xf numFmtId="166" fontId="2" fillId="0" borderId="20" xfId="88" applyNumberFormat="1" applyFont="1" applyFill="1" applyBorder="1"/>
    <xf numFmtId="188" fontId="2" fillId="0" borderId="0" xfId="0" applyNumberFormat="1" applyFont="1" applyFill="1" applyAlignment="1">
      <alignment horizontal="right"/>
    </xf>
    <xf numFmtId="165" fontId="2" fillId="0" borderId="0" xfId="1" applyNumberFormat="1" applyFont="1" applyFill="1" applyAlignment="1"/>
    <xf numFmtId="3" fontId="2" fillId="0" borderId="0" xfId="0" applyNumberFormat="1" applyFont="1" applyFill="1" applyAlignment="1">
      <alignment horizontal="center"/>
    </xf>
    <xf numFmtId="165" fontId="2" fillId="0" borderId="0" xfId="1" applyNumberFormat="1" applyFont="1" applyFill="1" applyAlignment="1">
      <alignment horizontal="right" wrapText="1"/>
    </xf>
    <xf numFmtId="0" fontId="3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NumberFormat="1" applyFont="1" applyAlignment="1">
      <alignment horizontal="center"/>
    </xf>
    <xf numFmtId="165" fontId="2" fillId="0" borderId="3" xfId="1" applyNumberFormat="1" applyFont="1" applyFill="1" applyBorder="1" applyAlignment="1"/>
    <xf numFmtId="164" fontId="21" fillId="0" borderId="0" xfId="0" applyFont="1" applyAlignment="1"/>
    <xf numFmtId="164" fontId="19" fillId="0" borderId="0" xfId="0" applyFont="1" applyFill="1" applyAlignment="1"/>
    <xf numFmtId="164" fontId="0" fillId="0" borderId="0" xfId="0" applyAlignment="1"/>
    <xf numFmtId="0" fontId="21" fillId="0" borderId="0" xfId="0" applyNumberFormat="1" applyFont="1"/>
    <xf numFmtId="164" fontId="4" fillId="0" borderId="0" xfId="0" applyFont="1" applyAlignment="1">
      <alignment horizontal="right"/>
    </xf>
    <xf numFmtId="0" fontId="21" fillId="0" borderId="0" xfId="0" applyNumberFormat="1" applyFont="1" applyAlignment="1" applyProtection="1">
      <alignment horizontal="center"/>
      <protection locked="0"/>
    </xf>
    <xf numFmtId="0" fontId="21" fillId="0" borderId="0" xfId="0" applyNumberFormat="1" applyFont="1" applyAlignment="1">
      <alignment horizontal="center"/>
    </xf>
    <xf numFmtId="3" fontId="21" fillId="0" borderId="0" xfId="0" applyNumberFormat="1" applyFont="1" applyAlignment="1"/>
    <xf numFmtId="164" fontId="4" fillId="0" borderId="0" xfId="0" applyFont="1" applyAlignment="1"/>
    <xf numFmtId="0" fontId="21" fillId="0" borderId="0" xfId="0" applyNumberFormat="1" applyFont="1" applyAlignment="1"/>
    <xf numFmtId="3" fontId="19" fillId="0" borderId="0" xfId="0" applyNumberFormat="1" applyFont="1" applyAlignment="1">
      <alignment horizontal="center"/>
    </xf>
    <xf numFmtId="3" fontId="21" fillId="0" borderId="0" xfId="0" applyNumberFormat="1" applyFont="1" applyAlignment="1">
      <alignment horizontal="center"/>
    </xf>
    <xf numFmtId="165" fontId="21" fillId="0" borderId="0" xfId="1" applyNumberFormat="1" applyFont="1" applyAlignment="1"/>
    <xf numFmtId="0" fontId="21" fillId="0" borderId="0" xfId="0" applyNumberFormat="1" applyFont="1" applyAlignment="1" applyProtection="1">
      <protection locked="0"/>
    </xf>
    <xf numFmtId="165" fontId="21" fillId="0" borderId="3" xfId="1" applyNumberFormat="1" applyFont="1" applyFill="1" applyBorder="1" applyAlignment="1"/>
    <xf numFmtId="165" fontId="21" fillId="0" borderId="0" xfId="1" applyNumberFormat="1" applyFont="1" applyFill="1" applyBorder="1" applyAlignment="1"/>
    <xf numFmtId="165" fontId="21" fillId="0" borderId="3" xfId="1" applyNumberFormat="1" applyFont="1" applyBorder="1" applyAlignment="1"/>
    <xf numFmtId="0" fontId="21" fillId="2" borderId="0" xfId="0" applyNumberFormat="1" applyFont="1" applyFill="1" applyAlignment="1" applyProtection="1">
      <protection locked="0"/>
    </xf>
    <xf numFmtId="164" fontId="0" fillId="0" borderId="0" xfId="0" applyFill="1" applyAlignment="1"/>
    <xf numFmtId="3" fontId="83" fillId="0" borderId="0" xfId="0" applyNumberFormat="1" applyFont="1" applyFill="1" applyAlignment="1"/>
    <xf numFmtId="3" fontId="84" fillId="0" borderId="0" xfId="0" applyNumberFormat="1" applyFont="1" applyFill="1" applyAlignment="1">
      <alignment horizontal="center"/>
    </xf>
    <xf numFmtId="165" fontId="21" fillId="0" borderId="0" xfId="1" applyNumberFormat="1" applyFont="1" applyFill="1" applyAlignment="1">
      <alignment horizontal="center"/>
    </xf>
    <xf numFmtId="0" fontId="21" fillId="0" borderId="0" xfId="0" applyNumberFormat="1" applyFont="1" applyFill="1" applyAlignment="1" applyProtection="1">
      <protection locked="0"/>
    </xf>
    <xf numFmtId="188" fontId="21" fillId="0" borderId="0" xfId="0" applyNumberFormat="1" applyFont="1" applyFill="1" applyAlignment="1">
      <alignment horizontal="center"/>
    </xf>
    <xf numFmtId="0" fontId="21" fillId="0" borderId="0" xfId="0" applyNumberFormat="1" applyFont="1" applyFill="1" applyAlignment="1"/>
    <xf numFmtId="165" fontId="21" fillId="0" borderId="1" xfId="1" applyNumberFormat="1" applyFont="1" applyFill="1" applyBorder="1" applyAlignment="1"/>
    <xf numFmtId="164" fontId="4" fillId="0" borderId="0" xfId="0" applyFont="1" applyFill="1" applyAlignment="1"/>
    <xf numFmtId="0" fontId="21" fillId="0" borderId="0" xfId="0" applyNumberFormat="1" applyFont="1" applyFill="1"/>
    <xf numFmtId="165" fontId="88" fillId="0" borderId="0" xfId="1" applyNumberFormat="1" applyFont="1" applyFill="1" applyAlignment="1">
      <alignment horizontal="left" indent="1"/>
    </xf>
    <xf numFmtId="188" fontId="2" fillId="0" borderId="0" xfId="0" applyNumberFormat="1" applyFont="1" applyFill="1" applyAlignment="1">
      <alignment horizontal="left"/>
    </xf>
    <xf numFmtId="165" fontId="2" fillId="0" borderId="0" xfId="1" applyNumberFormat="1" applyFont="1"/>
    <xf numFmtId="165" fontId="2" fillId="0" borderId="3" xfId="1" applyNumberFormat="1" applyFont="1" applyBorder="1"/>
    <xf numFmtId="9" fontId="2" fillId="0" borderId="0" xfId="216" applyFont="1"/>
    <xf numFmtId="43" fontId="2" fillId="0" borderId="3" xfId="1" applyNumberFormat="1" applyFont="1" applyBorder="1"/>
    <xf numFmtId="3" fontId="21" fillId="32" borderId="0" xfId="0" applyNumberFormat="1" applyFont="1" applyFill="1" applyAlignment="1"/>
    <xf numFmtId="164" fontId="21" fillId="0" borderId="0" xfId="0" applyFont="1" applyFill="1" applyAlignment="1">
      <alignment horizontal="right"/>
    </xf>
    <xf numFmtId="49" fontId="21" fillId="0" borderId="0" xfId="0" applyNumberFormat="1" applyFont="1" applyFill="1"/>
    <xf numFmtId="0" fontId="21" fillId="0" borderId="0" xfId="0" applyNumberFormat="1" applyFont="1" applyFill="1" applyAlignment="1">
      <alignment horizontal="center"/>
    </xf>
    <xf numFmtId="0" fontId="19" fillId="0" borderId="0" xfId="0" applyNumberFormat="1" applyFont="1" applyFill="1" applyAlignment="1" applyProtection="1">
      <alignment horizontal="center"/>
      <protection locked="0"/>
    </xf>
    <xf numFmtId="3" fontId="19" fillId="0" borderId="0" xfId="0" applyNumberFormat="1" applyFont="1" applyFill="1" applyAlignment="1"/>
    <xf numFmtId="164" fontId="81" fillId="0" borderId="0" xfId="0" applyFont="1" applyFill="1" applyAlignment="1"/>
    <xf numFmtId="3" fontId="21" fillId="0" borderId="0" xfId="0" applyNumberFormat="1" applyFont="1" applyFill="1" applyAlignment="1">
      <alignment horizontal="center"/>
    </xf>
    <xf numFmtId="3" fontId="85" fillId="0" borderId="0" xfId="0" applyNumberFormat="1" applyFont="1" applyFill="1" applyAlignment="1"/>
    <xf numFmtId="0" fontId="21" fillId="0" borderId="0" xfId="0" applyNumberFormat="1" applyFont="1" applyFill="1" applyAlignment="1">
      <alignment horizontal="fill"/>
    </xf>
    <xf numFmtId="49" fontId="21" fillId="31" borderId="0" xfId="0" applyNumberFormat="1" applyFont="1" applyFill="1" applyAlignment="1"/>
    <xf numFmtId="0" fontId="21" fillId="0" borderId="0" xfId="0" applyNumberFormat="1" applyFont="1" applyBorder="1" applyAlignment="1" applyProtection="1">
      <alignment horizontal="center"/>
      <protection locked="0"/>
    </xf>
    <xf numFmtId="164" fontId="21" fillId="0" borderId="0" xfId="0" applyFont="1" applyBorder="1" applyAlignment="1"/>
    <xf numFmtId="0" fontId="19" fillId="0" borderId="0" xfId="0" applyNumberFormat="1" applyFont="1" applyBorder="1" applyAlignment="1"/>
    <xf numFmtId="164" fontId="19" fillId="0" borderId="0" xfId="0" applyFont="1" applyBorder="1" applyAlignment="1">
      <alignment horizontal="center"/>
    </xf>
    <xf numFmtId="164" fontId="73" fillId="0" borderId="0" xfId="0" applyFont="1" applyBorder="1" applyAlignment="1">
      <alignment horizontal="center"/>
    </xf>
    <xf numFmtId="164" fontId="0" fillId="0" borderId="0" xfId="0" applyFill="1" applyAlignment="1">
      <alignment horizontal="left" indent="1"/>
    </xf>
    <xf numFmtId="165" fontId="4" fillId="0" borderId="0" xfId="1" applyNumberFormat="1" applyFont="1" applyFill="1"/>
    <xf numFmtId="165" fontId="0" fillId="0" borderId="0" xfId="1" applyNumberFormat="1" applyFont="1" applyFill="1" applyAlignment="1"/>
    <xf numFmtId="165" fontId="4" fillId="0" borderId="0" xfId="1" applyNumberFormat="1" applyFont="1" applyFill="1" applyAlignment="1"/>
    <xf numFmtId="44" fontId="0" fillId="0" borderId="0" xfId="2" applyFont="1" applyFill="1"/>
    <xf numFmtId="0" fontId="19" fillId="2" borderId="0" xfId="195" applyNumberFormat="1" applyFont="1" applyFill="1" applyAlignment="1">
      <alignment horizontal="center"/>
    </xf>
    <xf numFmtId="164" fontId="73" fillId="0" borderId="0" xfId="0" applyFont="1" applyAlignment="1">
      <alignment horizontal="center"/>
    </xf>
    <xf numFmtId="164" fontId="19" fillId="0" borderId="0" xfId="0" applyFont="1" applyAlignment="1">
      <alignment horizontal="center"/>
    </xf>
    <xf numFmtId="0" fontId="3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Alignment="1">
      <alignment horizontal="center"/>
    </xf>
    <xf numFmtId="49" fontId="3" fillId="0" borderId="0" xfId="3" applyNumberFormat="1" applyFont="1" applyAlignment="1">
      <alignment horizontal="center"/>
    </xf>
    <xf numFmtId="0" fontId="19" fillId="0" borderId="0" xfId="0" applyNumberFormat="1" applyFont="1" applyAlignment="1" applyProtection="1">
      <alignment horizontal="center"/>
      <protection locked="0"/>
    </xf>
    <xf numFmtId="3" fontId="19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</cellXfs>
  <cellStyles count="217">
    <cellStyle name="%" xfId="4"/>
    <cellStyle name="_033103 13 week CF1" xfId="5"/>
    <cellStyle name="_181000-189000" xfId="6"/>
    <cellStyle name="_2002  What- No Cap X Morgan" xfId="7"/>
    <cellStyle name="_Baseline Rollforward Support 050817" xfId="8"/>
    <cellStyle name="_EGTG_2003_YTD_Cash_Flow" xfId="9"/>
    <cellStyle name="_Everest_Board_Book_2003_FINAL" xfId="10"/>
    <cellStyle name="_Oct03_Everest_Board_Financial_Operating_Report" xfId="11"/>
    <cellStyle name="_SpreadSM" xfId="12"/>
    <cellStyle name="_Vacation Hours 7-14-08 (2)" xfId="13"/>
    <cellStyle name="=C:\WINNT35\SYSTEM32\COMMAND.COM" xfId="14"/>
    <cellStyle name="20% - Accent1 2" xfId="15"/>
    <cellStyle name="20% - Accent2 2" xfId="16"/>
    <cellStyle name="20% - Accent3 2" xfId="17"/>
    <cellStyle name="20% - Accent4 2" xfId="18"/>
    <cellStyle name="20% - Accent5 2" xfId="19"/>
    <cellStyle name="20% - Accent6 2" xfId="20"/>
    <cellStyle name="40% - Accent1 2" xfId="21"/>
    <cellStyle name="40% - Accent2 2" xfId="22"/>
    <cellStyle name="40% - Accent3 2" xfId="23"/>
    <cellStyle name="40% - Accent4 2" xfId="24"/>
    <cellStyle name="40% - Accent5 2" xfId="25"/>
    <cellStyle name="40% - Accent6 2" xfId="26"/>
    <cellStyle name="60% - Accent1 2" xfId="27"/>
    <cellStyle name="60% - Accent2 2" xfId="28"/>
    <cellStyle name="60% - Accent3 2" xfId="29"/>
    <cellStyle name="60% - Accent4 2" xfId="30"/>
    <cellStyle name="60% - Accent5 2" xfId="31"/>
    <cellStyle name="60% - Accent6 2" xfId="32"/>
    <cellStyle name="Accent1 2" xfId="33"/>
    <cellStyle name="Accent2 2" xfId="34"/>
    <cellStyle name="Accent3 2" xfId="35"/>
    <cellStyle name="Accent4 2" xfId="36"/>
    <cellStyle name="Accent5 2" xfId="37"/>
    <cellStyle name="Accent6 2" xfId="38"/>
    <cellStyle name="Accounting" xfId="39"/>
    <cellStyle name="Actual Date" xfId="40"/>
    <cellStyle name="ADDR" xfId="41"/>
    <cellStyle name="Agara" xfId="42"/>
    <cellStyle name="Bad 2" xfId="43"/>
    <cellStyle name="Body" xfId="44"/>
    <cellStyle name="Bottom bold border" xfId="45"/>
    <cellStyle name="Bottom single border" xfId="46"/>
    <cellStyle name="Business Unit" xfId="47"/>
    <cellStyle name="C00A" xfId="48"/>
    <cellStyle name="C00B" xfId="49"/>
    <cellStyle name="C00L" xfId="50"/>
    <cellStyle name="C01A" xfId="51"/>
    <cellStyle name="C01B" xfId="52"/>
    <cellStyle name="C01H" xfId="53"/>
    <cellStyle name="C01L" xfId="54"/>
    <cellStyle name="C02A" xfId="55"/>
    <cellStyle name="C02B" xfId="56"/>
    <cellStyle name="C02H" xfId="57"/>
    <cellStyle name="C02L" xfId="58"/>
    <cellStyle name="C03A" xfId="59"/>
    <cellStyle name="C03B" xfId="60"/>
    <cellStyle name="C03H" xfId="61"/>
    <cellStyle name="C03L" xfId="62"/>
    <cellStyle name="C04A" xfId="63"/>
    <cellStyle name="C04B" xfId="64"/>
    <cellStyle name="C04H" xfId="65"/>
    <cellStyle name="C04L" xfId="66"/>
    <cellStyle name="C05A" xfId="67"/>
    <cellStyle name="C05B" xfId="68"/>
    <cellStyle name="C05H" xfId="69"/>
    <cellStyle name="C05L" xfId="70"/>
    <cellStyle name="C06A" xfId="71"/>
    <cellStyle name="C06B" xfId="72"/>
    <cellStyle name="C06H" xfId="73"/>
    <cellStyle name="C06L" xfId="74"/>
    <cellStyle name="C07A" xfId="75"/>
    <cellStyle name="C07B" xfId="76"/>
    <cellStyle name="C07H" xfId="77"/>
    <cellStyle name="C07L" xfId="78"/>
    <cellStyle name="Calculation 2" xfId="79"/>
    <cellStyle name="Check Cell 2" xfId="80"/>
    <cellStyle name="Comma" xfId="1" builtinId="3"/>
    <cellStyle name="Comma [0] 2" xfId="207"/>
    <cellStyle name="Comma 0" xfId="81"/>
    <cellStyle name="Comma 2" xfId="82"/>
    <cellStyle name="Comma 3" xfId="83"/>
    <cellStyle name="Comma 4" xfId="84"/>
    <cellStyle name="Comma 5" xfId="85"/>
    <cellStyle name="Comma0 - Style1" xfId="86"/>
    <cellStyle name="Currency" xfId="2" builtinId="4"/>
    <cellStyle name="Currency [0] 2" xfId="208"/>
    <cellStyle name="Currency 2" xfId="87"/>
    <cellStyle name="Currency 3" xfId="88"/>
    <cellStyle name="Date" xfId="89"/>
    <cellStyle name="Euro" xfId="90"/>
    <cellStyle name="Explanatory Text 2" xfId="91"/>
    <cellStyle name="Fixed" xfId="92"/>
    <cellStyle name="Fixed1 - Style1" xfId="93"/>
    <cellStyle name="Gilsans" xfId="94"/>
    <cellStyle name="Gilsansl" xfId="95"/>
    <cellStyle name="Good 2" xfId="96"/>
    <cellStyle name="Grey" xfId="97"/>
    <cellStyle name="HEADER" xfId="98"/>
    <cellStyle name="Header1" xfId="99"/>
    <cellStyle name="Header2" xfId="100"/>
    <cellStyle name="Heading" xfId="101"/>
    <cellStyle name="Heading 1 2" xfId="102"/>
    <cellStyle name="Heading 2 2" xfId="103"/>
    <cellStyle name="Heading 3 2" xfId="104"/>
    <cellStyle name="Heading 4 2" xfId="105"/>
    <cellStyle name="Heading1" xfId="106"/>
    <cellStyle name="Heading2" xfId="107"/>
    <cellStyle name="HIGHLIGHT" xfId="108"/>
    <cellStyle name="Input [yellow]" xfId="109"/>
    <cellStyle name="Input 2" xfId="110"/>
    <cellStyle name="Lines" xfId="111"/>
    <cellStyle name="Linked Cell 2" xfId="112"/>
    <cellStyle name="MEM SSN" xfId="113"/>
    <cellStyle name="Mine" xfId="114"/>
    <cellStyle name="mmm-yy" xfId="115"/>
    <cellStyle name="Monétaire [0]_pldt" xfId="116"/>
    <cellStyle name="Monétaire_pldt" xfId="117"/>
    <cellStyle name="Neutral 2" xfId="118"/>
    <cellStyle name="New" xfId="119"/>
    <cellStyle name="No Border" xfId="120"/>
    <cellStyle name="no dec" xfId="121"/>
    <cellStyle name="Normal" xfId="0" builtinId="0"/>
    <cellStyle name="Normal - Style1" xfId="122"/>
    <cellStyle name="Normal 10" xfId="199"/>
    <cellStyle name="Normal 11" xfId="200"/>
    <cellStyle name="Normal 12" xfId="201"/>
    <cellStyle name="Normal 14" xfId="202"/>
    <cellStyle name="Normal 15" xfId="204"/>
    <cellStyle name="Normal 18" xfId="198"/>
    <cellStyle name="Normal 2" xfId="123"/>
    <cellStyle name="Normal 2 2" xfId="124"/>
    <cellStyle name="Normal 22" xfId="203"/>
    <cellStyle name="Normal 3" xfId="125"/>
    <cellStyle name="Normal 3 2" xfId="126"/>
    <cellStyle name="Normal 4" xfId="127"/>
    <cellStyle name="Normal 5" xfId="195"/>
    <cellStyle name="Normal 6" xfId="206"/>
    <cellStyle name="Normal 7" xfId="215"/>
    <cellStyle name="Normal 8" xfId="196"/>
    <cellStyle name="Normal 9" xfId="197"/>
    <cellStyle name="Normal CEN" xfId="128"/>
    <cellStyle name="Normal Centered" xfId="129"/>
    <cellStyle name="NORMAL CTR" xfId="130"/>
    <cellStyle name="Normal_Capital True-up" xfId="131"/>
    <cellStyle name="Normal_PRECorp2002HeintzResponse 8-21-03" xfId="3"/>
    <cellStyle name="Note 2" xfId="132"/>
    <cellStyle name="nUMBER" xfId="133"/>
    <cellStyle name="Output 2" xfId="134"/>
    <cellStyle name="Percent" xfId="216" builtinId="5"/>
    <cellStyle name="Percent [2]" xfId="135"/>
    <cellStyle name="Percent 14" xfId="205"/>
    <cellStyle name="Percent 2" xfId="136"/>
    <cellStyle name="PSChar" xfId="137"/>
    <cellStyle name="PSChar 2" xfId="209"/>
    <cellStyle name="PSDate" xfId="138"/>
    <cellStyle name="PSDate 2" xfId="210"/>
    <cellStyle name="PSDec" xfId="139"/>
    <cellStyle name="PSDec 2" xfId="211"/>
    <cellStyle name="PSHeading" xfId="140"/>
    <cellStyle name="PSHeading 2" xfId="212"/>
    <cellStyle name="PSInt" xfId="141"/>
    <cellStyle name="PSInt 2" xfId="213"/>
    <cellStyle name="PSSpacer" xfId="142"/>
    <cellStyle name="PSSpacer 2" xfId="214"/>
    <cellStyle name="R00A" xfId="143"/>
    <cellStyle name="R00B" xfId="144"/>
    <cellStyle name="R00L" xfId="145"/>
    <cellStyle name="R01A" xfId="146"/>
    <cellStyle name="R01B" xfId="147"/>
    <cellStyle name="R01H" xfId="148"/>
    <cellStyle name="R01L" xfId="149"/>
    <cellStyle name="R02A" xfId="150"/>
    <cellStyle name="R02B" xfId="151"/>
    <cellStyle name="R02H" xfId="152"/>
    <cellStyle name="R02L" xfId="153"/>
    <cellStyle name="R03A" xfId="154"/>
    <cellStyle name="R03B" xfId="155"/>
    <cellStyle name="R03H" xfId="156"/>
    <cellStyle name="R03L" xfId="157"/>
    <cellStyle name="R04A" xfId="158"/>
    <cellStyle name="R04B" xfId="159"/>
    <cellStyle name="R04H" xfId="160"/>
    <cellStyle name="R04L" xfId="161"/>
    <cellStyle name="R05A" xfId="162"/>
    <cellStyle name="R05B" xfId="163"/>
    <cellStyle name="R05H" xfId="164"/>
    <cellStyle name="R05L" xfId="165"/>
    <cellStyle name="R06A" xfId="166"/>
    <cellStyle name="R06B" xfId="167"/>
    <cellStyle name="R06H" xfId="168"/>
    <cellStyle name="R06L" xfId="169"/>
    <cellStyle name="R07A" xfId="170"/>
    <cellStyle name="R07B" xfId="171"/>
    <cellStyle name="R07H" xfId="172"/>
    <cellStyle name="R07L" xfId="173"/>
    <cellStyle name="Resource Detail" xfId="174"/>
    <cellStyle name="Shade" xfId="175"/>
    <cellStyle name="single acct" xfId="176"/>
    <cellStyle name="Single Border" xfId="177"/>
    <cellStyle name="Small Page Heading" xfId="178"/>
    <cellStyle name="ssn" xfId="179"/>
    <cellStyle name="Style 1" xfId="180"/>
    <cellStyle name="Style 2" xfId="181"/>
    <cellStyle name="Style 27" xfId="182"/>
    <cellStyle name="Style 28" xfId="183"/>
    <cellStyle name="Table Sub Heading" xfId="184"/>
    <cellStyle name="Table Title" xfId="185"/>
    <cellStyle name="Table Units" xfId="186"/>
    <cellStyle name="Theirs" xfId="187"/>
    <cellStyle name="Times New Roman" xfId="188"/>
    <cellStyle name="Title 2" xfId="189"/>
    <cellStyle name="Total 2" xfId="190"/>
    <cellStyle name="Unprot" xfId="191"/>
    <cellStyle name="Unprot$" xfId="192"/>
    <cellStyle name="Unprotect" xfId="193"/>
    <cellStyle name="Warning Text 2" xfId="194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welbig\AppData\Local\Microsoft\Windows\INetCache\Content.Outlook\ZY77OILQ\2018%20BHP%20Attachment%20H%20Transmission%20Rate%20True-Up%20-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 AC Rate Design - True-Up"/>
      <sheetName val="True-Up"/>
      <sheetName val="Capital True-up"/>
      <sheetName val="BHP WP5 Depreciation Rates"/>
      <sheetName val="WP6 Rate Base"/>
      <sheetName val="WP7 CU AC LOADS"/>
      <sheetName val="BHP Sch. 1"/>
    </sheetNames>
    <sheetDataSet>
      <sheetData sheetId="0">
        <row r="1">
          <cell r="H1" t="str">
            <v>Date: May 31, 2019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3"/>
  <sheetViews>
    <sheetView topLeftCell="A88" zoomScaleNormal="100" workbookViewId="0">
      <selection activeCell="F97" sqref="F97"/>
    </sheetView>
  </sheetViews>
  <sheetFormatPr defaultRowHeight="15"/>
  <cols>
    <col min="1" max="1" width="5.33203125" customWidth="1"/>
    <col min="2" max="2" width="1.77734375" customWidth="1"/>
    <col min="3" max="3" width="45.77734375" customWidth="1"/>
    <col min="4" max="4" width="32.88671875" customWidth="1"/>
    <col min="5" max="5" width="2.5546875" customWidth="1"/>
    <col min="6" max="6" width="40.5546875" customWidth="1"/>
  </cols>
  <sheetData>
    <row r="1" spans="1:6" ht="15.75">
      <c r="A1" s="272" t="s">
        <v>2</v>
      </c>
      <c r="B1" s="272"/>
      <c r="C1" s="272"/>
      <c r="D1" s="272"/>
      <c r="E1" s="272"/>
      <c r="F1" s="272"/>
    </row>
    <row r="2" spans="1:6" ht="15.75">
      <c r="A2" s="272" t="s">
        <v>263</v>
      </c>
      <c r="B2" s="272"/>
      <c r="C2" s="272"/>
      <c r="D2" s="272"/>
      <c r="E2" s="272"/>
      <c r="F2" s="272"/>
    </row>
    <row r="3" spans="1:6">
      <c r="A3" s="40"/>
      <c r="B3" s="40"/>
      <c r="C3" s="40"/>
      <c r="D3" s="40"/>
      <c r="E3" s="40"/>
      <c r="F3" s="40"/>
    </row>
    <row r="4" spans="1:6">
      <c r="A4" s="40"/>
      <c r="B4" s="40"/>
      <c r="C4" s="40"/>
      <c r="D4" s="40"/>
      <c r="E4" s="40"/>
      <c r="F4" s="40"/>
    </row>
    <row r="5" spans="1:6" ht="15.75">
      <c r="A5" s="40"/>
      <c r="B5" s="40"/>
      <c r="C5" s="40"/>
      <c r="D5" s="41" t="s">
        <v>66</v>
      </c>
      <c r="E5" s="40"/>
      <c r="F5" s="41" t="s">
        <v>67</v>
      </c>
    </row>
    <row r="6" spans="1:6">
      <c r="A6" s="42"/>
      <c r="B6" s="42"/>
      <c r="C6" s="43" t="s">
        <v>68</v>
      </c>
      <c r="D6" s="43" t="s">
        <v>69</v>
      </c>
      <c r="E6" s="40"/>
      <c r="F6" s="43" t="s">
        <v>69</v>
      </c>
    </row>
    <row r="7" spans="1:6" ht="15.75">
      <c r="A7" s="42"/>
      <c r="B7" s="42"/>
      <c r="C7" s="44"/>
      <c r="D7" s="45" t="s">
        <v>4</v>
      </c>
      <c r="E7" s="40"/>
      <c r="F7" s="45" t="s">
        <v>4</v>
      </c>
    </row>
    <row r="8" spans="1:6" ht="15.75">
      <c r="A8" s="46" t="s">
        <v>3</v>
      </c>
      <c r="B8" s="42"/>
      <c r="C8" s="44"/>
      <c r="D8" s="47" t="s">
        <v>6</v>
      </c>
      <c r="E8" s="40"/>
      <c r="F8" s="47" t="s">
        <v>6</v>
      </c>
    </row>
    <row r="9" spans="1:6" ht="16.5" thickBot="1">
      <c r="A9" s="48" t="s">
        <v>5</v>
      </c>
      <c r="B9" s="42"/>
      <c r="C9" s="49" t="s">
        <v>70</v>
      </c>
      <c r="D9" s="50"/>
      <c r="E9" s="40"/>
      <c r="F9" s="50"/>
    </row>
    <row r="10" spans="1:6">
      <c r="A10" s="46"/>
      <c r="B10" s="42"/>
      <c r="C10" s="44"/>
      <c r="D10" s="51"/>
      <c r="E10" s="40"/>
      <c r="F10" s="50"/>
    </row>
    <row r="11" spans="1:6">
      <c r="A11" s="46"/>
      <c r="B11" s="42"/>
      <c r="C11" s="42" t="s">
        <v>71</v>
      </c>
      <c r="D11" s="52" t="s">
        <v>72</v>
      </c>
      <c r="E11" s="40"/>
      <c r="F11" s="55" t="s">
        <v>72</v>
      </c>
    </row>
    <row r="12" spans="1:6">
      <c r="A12" s="46">
        <v>1</v>
      </c>
      <c r="B12" s="42"/>
      <c r="C12" s="42" t="s">
        <v>73</v>
      </c>
      <c r="D12" s="53" t="s">
        <v>74</v>
      </c>
      <c r="E12" s="40"/>
      <c r="F12" s="50" t="s">
        <v>74</v>
      </c>
    </row>
    <row r="13" spans="1:6">
      <c r="A13" s="46">
        <f>+A12+1</f>
        <v>2</v>
      </c>
      <c r="B13" s="42"/>
      <c r="C13" s="42" t="s">
        <v>75</v>
      </c>
      <c r="D13" s="53" t="s">
        <v>76</v>
      </c>
      <c r="E13" s="40"/>
      <c r="F13" s="50" t="s">
        <v>76</v>
      </c>
    </row>
    <row r="14" spans="1:6">
      <c r="A14" s="46">
        <f t="shared" ref="A14:A59" si="0">+A13+1</f>
        <v>3</v>
      </c>
      <c r="B14" s="42"/>
      <c r="C14" s="42" t="s">
        <v>77</v>
      </c>
      <c r="D14" s="53" t="s">
        <v>78</v>
      </c>
      <c r="E14" s="40"/>
      <c r="F14" s="50" t="s">
        <v>78</v>
      </c>
    </row>
    <row r="15" spans="1:6">
      <c r="A15" s="46">
        <f t="shared" si="0"/>
        <v>4</v>
      </c>
      <c r="B15" s="42"/>
      <c r="C15" s="42" t="s">
        <v>79</v>
      </c>
      <c r="D15" s="53" t="s">
        <v>80</v>
      </c>
      <c r="E15" s="40"/>
      <c r="F15" s="250" t="s">
        <v>464</v>
      </c>
    </row>
    <row r="16" spans="1:6">
      <c r="A16" s="46">
        <f t="shared" si="0"/>
        <v>5</v>
      </c>
      <c r="B16" s="42"/>
      <c r="C16" s="42" t="s">
        <v>81</v>
      </c>
      <c r="D16" s="53" t="s">
        <v>82</v>
      </c>
      <c r="E16" s="40"/>
      <c r="F16" s="50" t="s">
        <v>348</v>
      </c>
    </row>
    <row r="17" spans="1:6">
      <c r="A17" s="46">
        <f t="shared" si="0"/>
        <v>6</v>
      </c>
      <c r="B17" s="42"/>
      <c r="C17" s="42" t="s">
        <v>83</v>
      </c>
      <c r="D17" s="53" t="s">
        <v>80</v>
      </c>
      <c r="E17" s="40"/>
      <c r="F17" s="50" t="s">
        <v>349</v>
      </c>
    </row>
    <row r="18" spans="1:6">
      <c r="A18" s="46">
        <f t="shared" si="0"/>
        <v>7</v>
      </c>
      <c r="B18" s="42"/>
      <c r="C18" s="42" t="s">
        <v>84</v>
      </c>
      <c r="D18" s="53" t="s">
        <v>85</v>
      </c>
      <c r="E18" s="40"/>
      <c r="F18" s="50" t="s">
        <v>350</v>
      </c>
    </row>
    <row r="19" spans="1:6">
      <c r="A19" s="46">
        <f t="shared" si="0"/>
        <v>8</v>
      </c>
      <c r="B19" s="42"/>
      <c r="C19" s="54" t="s">
        <v>86</v>
      </c>
      <c r="D19" s="51" t="s">
        <v>87</v>
      </c>
      <c r="E19" s="40"/>
      <c r="F19" s="55" t="s">
        <v>87</v>
      </c>
    </row>
    <row r="20" spans="1:6">
      <c r="A20" s="46">
        <f t="shared" si="0"/>
        <v>9</v>
      </c>
      <c r="B20" s="42"/>
      <c r="C20" s="44"/>
      <c r="D20" s="51"/>
      <c r="E20" s="40"/>
      <c r="F20" s="50"/>
    </row>
    <row r="21" spans="1:6">
      <c r="A21" s="46">
        <f t="shared" si="0"/>
        <v>10</v>
      </c>
      <c r="B21" s="42"/>
      <c r="C21" s="42" t="s">
        <v>88</v>
      </c>
      <c r="D21" s="52" t="s">
        <v>72</v>
      </c>
      <c r="E21" s="40"/>
      <c r="F21" s="55" t="s">
        <v>72</v>
      </c>
    </row>
    <row r="22" spans="1:6">
      <c r="A22" s="46">
        <f t="shared" si="0"/>
        <v>11</v>
      </c>
      <c r="B22" s="42"/>
      <c r="C22" s="44" t="s">
        <v>73</v>
      </c>
      <c r="D22" s="52" t="s">
        <v>89</v>
      </c>
      <c r="E22" s="40"/>
      <c r="F22" s="50" t="s">
        <v>351</v>
      </c>
    </row>
    <row r="23" spans="1:6">
      <c r="A23" s="46">
        <f t="shared" si="0"/>
        <v>12</v>
      </c>
      <c r="B23" s="42"/>
      <c r="C23" s="42" t="s">
        <v>75</v>
      </c>
      <c r="D23" s="52" t="s">
        <v>90</v>
      </c>
      <c r="E23" s="40"/>
      <c r="F23" s="50" t="s">
        <v>352</v>
      </c>
    </row>
    <row r="24" spans="1:6">
      <c r="A24" s="46">
        <f t="shared" si="0"/>
        <v>13</v>
      </c>
      <c r="B24" s="42"/>
      <c r="C24" s="42" t="s">
        <v>77</v>
      </c>
      <c r="D24" s="52" t="s">
        <v>91</v>
      </c>
      <c r="E24" s="40"/>
      <c r="F24" s="50" t="s">
        <v>353</v>
      </c>
    </row>
    <row r="25" spans="1:6">
      <c r="A25" s="46">
        <f t="shared" si="0"/>
        <v>14</v>
      </c>
      <c r="B25" s="42"/>
      <c r="C25" s="44" t="s">
        <v>79</v>
      </c>
      <c r="D25" s="52" t="s">
        <v>92</v>
      </c>
      <c r="E25" s="40"/>
      <c r="F25" s="50" t="s">
        <v>354</v>
      </c>
    </row>
    <row r="26" spans="1:6">
      <c r="A26" s="46">
        <f t="shared" si="0"/>
        <v>15</v>
      </c>
      <c r="B26" s="42"/>
      <c r="C26" s="42" t="s">
        <v>81</v>
      </c>
      <c r="D26" s="52" t="s">
        <v>82</v>
      </c>
      <c r="E26" s="40"/>
      <c r="F26" s="50" t="s">
        <v>355</v>
      </c>
    </row>
    <row r="27" spans="1:6">
      <c r="A27" s="46">
        <f t="shared" si="0"/>
        <v>16</v>
      </c>
      <c r="B27" s="42"/>
      <c r="C27" s="44" t="s">
        <v>83</v>
      </c>
      <c r="D27" s="52" t="s">
        <v>80</v>
      </c>
      <c r="E27" s="40"/>
      <c r="F27" s="50" t="s">
        <v>356</v>
      </c>
    </row>
    <row r="28" spans="1:6">
      <c r="A28" s="46">
        <f t="shared" si="0"/>
        <v>17</v>
      </c>
      <c r="B28" s="42"/>
      <c r="C28" s="44" t="s">
        <v>84</v>
      </c>
      <c r="D28" s="52" t="s">
        <v>85</v>
      </c>
      <c r="E28" s="40"/>
      <c r="F28" s="50" t="s">
        <v>357</v>
      </c>
    </row>
    <row r="29" spans="1:6">
      <c r="A29" s="46">
        <f t="shared" si="0"/>
        <v>18</v>
      </c>
      <c r="B29" s="42"/>
      <c r="C29" s="42" t="s">
        <v>93</v>
      </c>
      <c r="D29" s="51" t="s">
        <v>94</v>
      </c>
      <c r="E29" s="40"/>
      <c r="F29" s="55" t="s">
        <v>94</v>
      </c>
    </row>
    <row r="30" spans="1:6">
      <c r="A30" s="46">
        <f t="shared" si="0"/>
        <v>19</v>
      </c>
      <c r="B30" s="42"/>
      <c r="C30" s="42"/>
      <c r="D30" s="51" t="s">
        <v>95</v>
      </c>
      <c r="E30" s="40"/>
      <c r="F30" s="50" t="s">
        <v>95</v>
      </c>
    </row>
    <row r="31" spans="1:6">
      <c r="A31" s="46">
        <f t="shared" si="0"/>
        <v>20</v>
      </c>
      <c r="B31" s="42"/>
      <c r="C31" s="42" t="s">
        <v>96</v>
      </c>
      <c r="D31" s="52" t="s">
        <v>72</v>
      </c>
      <c r="E31" s="40"/>
      <c r="F31" s="55" t="s">
        <v>72</v>
      </c>
    </row>
    <row r="32" spans="1:6">
      <c r="A32" s="46">
        <f t="shared" si="0"/>
        <v>21</v>
      </c>
      <c r="B32" s="42"/>
      <c r="C32" s="44" t="s">
        <v>73</v>
      </c>
      <c r="D32" s="51" t="s">
        <v>97</v>
      </c>
      <c r="E32" s="40"/>
      <c r="F32" s="55" t="s">
        <v>97</v>
      </c>
    </row>
    <row r="33" spans="1:6">
      <c r="A33" s="46">
        <f t="shared" si="0"/>
        <v>22</v>
      </c>
      <c r="B33" s="42"/>
      <c r="C33" s="42" t="s">
        <v>75</v>
      </c>
      <c r="D33" s="51" t="s">
        <v>98</v>
      </c>
      <c r="E33" s="40"/>
      <c r="F33" s="55" t="s">
        <v>98</v>
      </c>
    </row>
    <row r="34" spans="1:6">
      <c r="A34" s="46">
        <f t="shared" si="0"/>
        <v>23</v>
      </c>
      <c r="B34" s="42"/>
      <c r="C34" s="42" t="s">
        <v>99</v>
      </c>
      <c r="D34" s="51" t="s">
        <v>100</v>
      </c>
      <c r="E34" s="40"/>
      <c r="F34" s="55" t="s">
        <v>100</v>
      </c>
    </row>
    <row r="35" spans="1:6">
      <c r="A35" s="46">
        <f t="shared" si="0"/>
        <v>24</v>
      </c>
      <c r="B35" s="42"/>
      <c r="C35" s="44" t="s">
        <v>79</v>
      </c>
      <c r="D35" s="51" t="s">
        <v>101</v>
      </c>
      <c r="E35" s="40"/>
      <c r="F35" s="55" t="s">
        <v>101</v>
      </c>
    </row>
    <row r="36" spans="1:6">
      <c r="A36" s="46">
        <f t="shared" si="0"/>
        <v>25</v>
      </c>
      <c r="B36" s="42"/>
      <c r="C36" s="42" t="s">
        <v>81</v>
      </c>
      <c r="D36" s="51" t="s">
        <v>102</v>
      </c>
      <c r="E36" s="40"/>
      <c r="F36" s="55" t="s">
        <v>102</v>
      </c>
    </row>
    <row r="37" spans="1:6">
      <c r="A37" s="46">
        <f t="shared" si="0"/>
        <v>26</v>
      </c>
      <c r="B37" s="42"/>
      <c r="C37" s="44" t="s">
        <v>83</v>
      </c>
      <c r="D37" s="51" t="s">
        <v>103</v>
      </c>
      <c r="E37" s="40"/>
      <c r="F37" s="55" t="s">
        <v>103</v>
      </c>
    </row>
    <row r="38" spans="1:6">
      <c r="A38" s="46">
        <f t="shared" si="0"/>
        <v>27</v>
      </c>
      <c r="B38" s="42"/>
      <c r="C38" s="44" t="s">
        <v>84</v>
      </c>
      <c r="D38" s="51" t="s">
        <v>104</v>
      </c>
      <c r="E38" s="40"/>
      <c r="F38" s="55" t="s">
        <v>104</v>
      </c>
    </row>
    <row r="39" spans="1:6">
      <c r="A39" s="46">
        <f t="shared" si="0"/>
        <v>28</v>
      </c>
      <c r="B39" s="42"/>
      <c r="C39" s="42" t="s">
        <v>105</v>
      </c>
      <c r="D39" s="51" t="s">
        <v>106</v>
      </c>
      <c r="E39" s="40"/>
      <c r="F39" s="55" t="s">
        <v>106</v>
      </c>
    </row>
    <row r="40" spans="1:6">
      <c r="A40" s="46">
        <f t="shared" si="0"/>
        <v>29</v>
      </c>
      <c r="B40" s="42"/>
      <c r="C40" s="42"/>
      <c r="D40" s="51"/>
      <c r="E40" s="40"/>
      <c r="F40" s="50"/>
    </row>
    <row r="41" spans="1:6">
      <c r="A41" s="46">
        <f t="shared" si="0"/>
        <v>30</v>
      </c>
      <c r="B41" s="42"/>
      <c r="C41" s="54" t="s">
        <v>107</v>
      </c>
      <c r="D41" s="52" t="s">
        <v>340</v>
      </c>
      <c r="E41" s="40"/>
      <c r="F41" s="55" t="s">
        <v>340</v>
      </c>
    </row>
    <row r="42" spans="1:6">
      <c r="A42" s="46">
        <f t="shared" si="0"/>
        <v>31</v>
      </c>
      <c r="B42" s="42"/>
      <c r="C42" s="42" t="s">
        <v>108</v>
      </c>
      <c r="D42" s="52" t="s">
        <v>109</v>
      </c>
      <c r="E42" s="40"/>
      <c r="F42" s="50" t="s">
        <v>358</v>
      </c>
    </row>
    <row r="43" spans="1:6">
      <c r="A43" s="46">
        <f t="shared" si="0"/>
        <v>32</v>
      </c>
      <c r="B43" s="42"/>
      <c r="C43" s="42" t="s">
        <v>110</v>
      </c>
      <c r="D43" s="52" t="s">
        <v>111</v>
      </c>
      <c r="E43" s="40"/>
      <c r="F43" s="250" t="s">
        <v>463</v>
      </c>
    </row>
    <row r="44" spans="1:6">
      <c r="A44" s="46">
        <f t="shared" si="0"/>
        <v>33</v>
      </c>
      <c r="B44" s="42"/>
      <c r="C44" s="42" t="s">
        <v>112</v>
      </c>
      <c r="D44" s="52" t="s">
        <v>113</v>
      </c>
      <c r="E44" s="40"/>
      <c r="F44" s="50" t="s">
        <v>359</v>
      </c>
    </row>
    <row r="45" spans="1:6">
      <c r="A45" s="46">
        <f t="shared" si="0"/>
        <v>34</v>
      </c>
      <c r="B45" s="42"/>
      <c r="C45" s="42" t="s">
        <v>114</v>
      </c>
      <c r="D45" s="52" t="s">
        <v>115</v>
      </c>
      <c r="E45" s="40"/>
      <c r="F45" s="50" t="s">
        <v>360</v>
      </c>
    </row>
    <row r="46" spans="1:6">
      <c r="A46" s="46">
        <f t="shared" si="0"/>
        <v>35</v>
      </c>
      <c r="B46" s="42"/>
      <c r="C46" s="42" t="s">
        <v>116</v>
      </c>
      <c r="D46" s="56" t="s">
        <v>117</v>
      </c>
      <c r="E46" s="40"/>
      <c r="F46" s="50" t="s">
        <v>361</v>
      </c>
    </row>
    <row r="47" spans="1:6">
      <c r="A47" s="46">
        <f t="shared" si="0"/>
        <v>36</v>
      </c>
      <c r="B47" s="42"/>
      <c r="C47" s="42" t="s">
        <v>118</v>
      </c>
      <c r="D47" s="56" t="s">
        <v>119</v>
      </c>
      <c r="E47" s="112"/>
      <c r="F47" s="250" t="s">
        <v>462</v>
      </c>
    </row>
    <row r="48" spans="1:6">
      <c r="A48" s="46">
        <f t="shared" si="0"/>
        <v>37</v>
      </c>
      <c r="B48" s="42"/>
      <c r="C48" s="42" t="s">
        <v>120</v>
      </c>
      <c r="D48" s="51" t="s">
        <v>121</v>
      </c>
      <c r="E48" s="40"/>
      <c r="F48" s="55" t="s">
        <v>121</v>
      </c>
    </row>
    <row r="49" spans="1:6">
      <c r="A49" s="46">
        <f t="shared" si="0"/>
        <v>38</v>
      </c>
      <c r="B49" s="42"/>
      <c r="C49" s="42"/>
      <c r="D49" s="51"/>
      <c r="E49" s="40"/>
      <c r="F49" s="50"/>
    </row>
    <row r="50" spans="1:6">
      <c r="A50" s="46">
        <f t="shared" si="0"/>
        <v>39</v>
      </c>
      <c r="B50" s="42"/>
      <c r="C50" s="54" t="s">
        <v>122</v>
      </c>
      <c r="D50" s="51" t="s">
        <v>123</v>
      </c>
      <c r="E50" s="40"/>
      <c r="F50" s="55" t="s">
        <v>123</v>
      </c>
    </row>
    <row r="51" spans="1:6">
      <c r="A51" s="46">
        <f t="shared" si="0"/>
        <v>40</v>
      </c>
      <c r="B51" s="42"/>
      <c r="C51" s="44"/>
      <c r="D51" s="51"/>
      <c r="E51" s="40"/>
      <c r="F51" s="50"/>
    </row>
    <row r="52" spans="1:6">
      <c r="A52" s="46">
        <f t="shared" si="0"/>
        <v>41</v>
      </c>
      <c r="B52" s="42"/>
      <c r="C52" s="42" t="s">
        <v>124</v>
      </c>
      <c r="D52" s="51" t="s">
        <v>95</v>
      </c>
      <c r="E52" s="40"/>
      <c r="F52" s="50" t="s">
        <v>95</v>
      </c>
    </row>
    <row r="53" spans="1:6">
      <c r="A53" s="46">
        <f t="shared" si="0"/>
        <v>42</v>
      </c>
      <c r="B53" s="42"/>
      <c r="C53" s="42" t="s">
        <v>125</v>
      </c>
      <c r="D53" s="57" t="s">
        <v>126</v>
      </c>
      <c r="E53" s="40"/>
      <c r="F53" s="58" t="s">
        <v>126</v>
      </c>
    </row>
    <row r="54" spans="1:6">
      <c r="A54" s="46">
        <f t="shared" si="0"/>
        <v>43</v>
      </c>
      <c r="B54" s="42"/>
      <c r="C54" s="42" t="s">
        <v>127</v>
      </c>
      <c r="D54" s="52" t="s">
        <v>128</v>
      </c>
      <c r="E54" s="40"/>
      <c r="F54" s="50" t="s">
        <v>362</v>
      </c>
    </row>
    <row r="55" spans="1:6">
      <c r="A55" s="46">
        <f t="shared" si="0"/>
        <v>44</v>
      </c>
      <c r="B55" s="42"/>
      <c r="C55" s="42" t="s">
        <v>127</v>
      </c>
      <c r="D55" s="52" t="s">
        <v>129</v>
      </c>
      <c r="E55" s="40"/>
      <c r="F55" s="50" t="s">
        <v>363</v>
      </c>
    </row>
    <row r="56" spans="1:6">
      <c r="A56" s="46">
        <f t="shared" si="0"/>
        <v>45</v>
      </c>
      <c r="B56" s="42"/>
      <c r="C56" s="42" t="s">
        <v>130</v>
      </c>
      <c r="D56" s="52" t="s">
        <v>131</v>
      </c>
      <c r="E56" s="40"/>
      <c r="F56" s="50" t="s">
        <v>364</v>
      </c>
    </row>
    <row r="57" spans="1:6">
      <c r="A57" s="46">
        <f t="shared" si="0"/>
        <v>46</v>
      </c>
      <c r="B57" s="42"/>
      <c r="C57" s="42" t="s">
        <v>132</v>
      </c>
      <c r="D57" s="51" t="s">
        <v>133</v>
      </c>
      <c r="E57" s="40"/>
      <c r="F57" s="55" t="s">
        <v>133</v>
      </c>
    </row>
    <row r="58" spans="1:6">
      <c r="A58" s="46">
        <f t="shared" si="0"/>
        <v>47</v>
      </c>
      <c r="B58" s="42"/>
      <c r="C58" s="42"/>
      <c r="D58" s="51"/>
      <c r="E58" s="40"/>
      <c r="F58" s="51"/>
    </row>
    <row r="59" spans="1:6">
      <c r="A59" s="46">
        <f t="shared" si="0"/>
        <v>48</v>
      </c>
      <c r="B59" s="42"/>
      <c r="C59" s="42" t="s">
        <v>134</v>
      </c>
      <c r="D59" s="51" t="s">
        <v>135</v>
      </c>
      <c r="E59" s="40"/>
      <c r="F59" s="55" t="s">
        <v>135</v>
      </c>
    </row>
    <row r="60" spans="1:6">
      <c r="A60" s="40"/>
      <c r="B60" s="40"/>
      <c r="C60" s="40"/>
      <c r="D60" s="40"/>
      <c r="E60" s="40"/>
      <c r="F60" s="40"/>
    </row>
    <row r="61" spans="1:6">
      <c r="A61" s="40"/>
      <c r="B61" s="40"/>
      <c r="C61" s="40"/>
      <c r="D61" s="40"/>
      <c r="E61" s="40"/>
      <c r="F61" s="40"/>
    </row>
    <row r="62" spans="1:6">
      <c r="A62" s="46"/>
      <c r="B62" s="42"/>
      <c r="C62" s="43"/>
      <c r="D62" s="59"/>
      <c r="E62" s="40"/>
      <c r="F62" s="40"/>
    </row>
    <row r="63" spans="1:6" ht="15.75">
      <c r="A63" s="46"/>
      <c r="B63" s="42"/>
      <c r="C63" s="40"/>
      <c r="D63" s="41" t="s">
        <v>66</v>
      </c>
      <c r="E63" s="40"/>
      <c r="F63" s="41" t="s">
        <v>136</v>
      </c>
    </row>
    <row r="64" spans="1:6">
      <c r="A64" s="46"/>
      <c r="B64" s="42"/>
      <c r="C64" s="43" t="s">
        <v>68</v>
      </c>
      <c r="D64" s="43" t="s">
        <v>69</v>
      </c>
      <c r="E64" s="40"/>
      <c r="F64" s="43" t="s">
        <v>69</v>
      </c>
    </row>
    <row r="65" spans="1:6" ht="15.75">
      <c r="A65" s="46" t="s">
        <v>3</v>
      </c>
      <c r="B65" s="42"/>
      <c r="C65" s="44"/>
      <c r="D65" s="45" t="s">
        <v>4</v>
      </c>
      <c r="E65" s="40"/>
      <c r="F65" s="45" t="s">
        <v>4</v>
      </c>
    </row>
    <row r="66" spans="1:6" ht="16.5" thickBot="1">
      <c r="A66" s="48" t="s">
        <v>5</v>
      </c>
      <c r="B66" s="42"/>
      <c r="C66" s="44"/>
      <c r="D66" s="47" t="s">
        <v>6</v>
      </c>
      <c r="E66" s="40"/>
      <c r="F66" s="47" t="s">
        <v>6</v>
      </c>
    </row>
    <row r="67" spans="1:6">
      <c r="A67" s="42"/>
      <c r="B67" s="42"/>
      <c r="C67" s="44"/>
      <c r="D67" s="50"/>
      <c r="E67" s="40"/>
      <c r="F67" s="50"/>
    </row>
    <row r="68" spans="1:6">
      <c r="A68" s="46"/>
      <c r="B68" s="42"/>
      <c r="C68" s="44" t="s">
        <v>137</v>
      </c>
      <c r="D68" s="50"/>
      <c r="E68" s="40"/>
      <c r="F68" s="50"/>
    </row>
    <row r="69" spans="1:6">
      <c r="A69" s="46">
        <f>+A59+1</f>
        <v>49</v>
      </c>
      <c r="B69" s="42"/>
      <c r="C69" s="44" t="s">
        <v>138</v>
      </c>
      <c r="D69" s="50" t="s">
        <v>139</v>
      </c>
      <c r="E69" s="40"/>
      <c r="F69" s="55" t="s">
        <v>139</v>
      </c>
    </row>
    <row r="70" spans="1:6">
      <c r="A70" s="46">
        <f>+A69+1</f>
        <v>50</v>
      </c>
      <c r="B70" s="42"/>
      <c r="C70" s="44" t="s">
        <v>140</v>
      </c>
      <c r="D70" s="50" t="s">
        <v>383</v>
      </c>
      <c r="E70" s="40"/>
      <c r="F70" s="50" t="s">
        <v>141</v>
      </c>
    </row>
    <row r="71" spans="1:6">
      <c r="A71" s="46">
        <f t="shared" ref="A71:A112" si="1">+A70+1</f>
        <v>51</v>
      </c>
      <c r="B71" s="42"/>
      <c r="C71" s="44" t="s">
        <v>142</v>
      </c>
      <c r="D71" s="51" t="s">
        <v>143</v>
      </c>
      <c r="E71" s="40"/>
      <c r="F71" s="55" t="s">
        <v>143</v>
      </c>
    </row>
    <row r="72" spans="1:6">
      <c r="A72" s="46">
        <f t="shared" si="1"/>
        <v>52</v>
      </c>
      <c r="B72" s="42"/>
      <c r="C72" s="44" t="s">
        <v>144</v>
      </c>
      <c r="D72" s="51" t="s">
        <v>145</v>
      </c>
      <c r="E72" s="40"/>
      <c r="F72" s="51" t="s">
        <v>146</v>
      </c>
    </row>
    <row r="73" spans="1:6">
      <c r="A73" s="46">
        <f t="shared" si="1"/>
        <v>53</v>
      </c>
      <c r="B73" s="42"/>
      <c r="C73" s="44" t="s">
        <v>147</v>
      </c>
      <c r="D73" s="51" t="s">
        <v>148</v>
      </c>
      <c r="E73" s="40"/>
      <c r="F73" s="55" t="s">
        <v>148</v>
      </c>
    </row>
    <row r="74" spans="1:6">
      <c r="A74" s="46">
        <f t="shared" si="1"/>
        <v>54</v>
      </c>
      <c r="B74" s="42"/>
      <c r="C74" s="44" t="s">
        <v>149</v>
      </c>
      <c r="D74" s="51" t="s">
        <v>150</v>
      </c>
      <c r="E74" s="40"/>
      <c r="F74" s="50" t="s">
        <v>151</v>
      </c>
    </row>
    <row r="75" spans="1:6">
      <c r="A75" s="46">
        <f t="shared" si="1"/>
        <v>55</v>
      </c>
      <c r="B75" s="42"/>
      <c r="C75" s="44" t="s">
        <v>152</v>
      </c>
      <c r="D75" s="51"/>
      <c r="E75" s="40"/>
      <c r="F75" s="50" t="s">
        <v>153</v>
      </c>
    </row>
    <row r="76" spans="1:6">
      <c r="A76" s="46">
        <f t="shared" si="1"/>
        <v>56</v>
      </c>
      <c r="B76" s="42"/>
      <c r="C76" s="44" t="s">
        <v>154</v>
      </c>
      <c r="D76" s="51"/>
      <c r="E76" s="40"/>
      <c r="F76" s="50" t="s">
        <v>155</v>
      </c>
    </row>
    <row r="77" spans="1:6">
      <c r="A77" s="46">
        <f t="shared" si="1"/>
        <v>57</v>
      </c>
      <c r="B77" s="42"/>
      <c r="C77" s="44" t="s">
        <v>84</v>
      </c>
      <c r="D77" s="53" t="s">
        <v>85</v>
      </c>
      <c r="E77" s="40"/>
      <c r="F77" s="60" t="s">
        <v>85</v>
      </c>
    </row>
    <row r="78" spans="1:6">
      <c r="A78" s="46">
        <f t="shared" si="1"/>
        <v>58</v>
      </c>
      <c r="B78" s="42"/>
      <c r="C78" s="44" t="s">
        <v>156</v>
      </c>
      <c r="D78" s="51"/>
      <c r="E78" s="40"/>
      <c r="F78" s="50"/>
    </row>
    <row r="79" spans="1:6">
      <c r="A79" s="46">
        <f t="shared" si="1"/>
        <v>59</v>
      </c>
      <c r="B79" s="42"/>
      <c r="C79" s="42"/>
      <c r="D79" s="51"/>
      <c r="E79" s="40"/>
      <c r="F79" s="50"/>
    </row>
    <row r="80" spans="1:6">
      <c r="A80" s="46">
        <f t="shared" si="1"/>
        <v>60</v>
      </c>
      <c r="B80" s="42"/>
      <c r="C80" s="44" t="s">
        <v>157</v>
      </c>
      <c r="D80" s="51"/>
      <c r="E80" s="40"/>
      <c r="F80" s="50"/>
    </row>
    <row r="81" spans="1:7">
      <c r="A81" s="46">
        <f t="shared" si="1"/>
        <v>61</v>
      </c>
      <c r="B81" s="42"/>
      <c r="C81" s="44" t="s">
        <v>70</v>
      </c>
      <c r="D81" s="51" t="s">
        <v>158</v>
      </c>
      <c r="E81" s="40"/>
      <c r="F81" s="50" t="s">
        <v>365</v>
      </c>
    </row>
    <row r="82" spans="1:7">
      <c r="A82" s="46">
        <f t="shared" si="1"/>
        <v>62</v>
      </c>
      <c r="B82" s="42"/>
      <c r="C82" s="44" t="s">
        <v>159</v>
      </c>
      <c r="D82" s="51" t="s">
        <v>160</v>
      </c>
      <c r="E82" s="40"/>
      <c r="F82" s="50" t="s">
        <v>366</v>
      </c>
    </row>
    <row r="83" spans="1:7">
      <c r="A83" s="46">
        <f t="shared" si="1"/>
        <v>63</v>
      </c>
      <c r="B83" s="42"/>
      <c r="C83" s="44" t="s">
        <v>84</v>
      </c>
      <c r="D83" s="51" t="s">
        <v>161</v>
      </c>
      <c r="E83" s="40"/>
      <c r="F83" s="55" t="s">
        <v>161</v>
      </c>
    </row>
    <row r="84" spans="1:7">
      <c r="A84" s="46">
        <f t="shared" si="1"/>
        <v>64</v>
      </c>
      <c r="B84" s="42"/>
      <c r="C84" s="44" t="s">
        <v>162</v>
      </c>
      <c r="D84" s="51"/>
      <c r="E84" s="40"/>
      <c r="F84" s="50"/>
    </row>
    <row r="85" spans="1:7">
      <c r="A85" s="46">
        <f t="shared" si="1"/>
        <v>65</v>
      </c>
      <c r="B85" s="42"/>
      <c r="C85" s="44"/>
      <c r="D85" s="51"/>
      <c r="E85" s="40"/>
      <c r="F85" s="50"/>
    </row>
    <row r="86" spans="1:7">
      <c r="A86" s="46">
        <f t="shared" si="1"/>
        <v>66</v>
      </c>
      <c r="B86" s="42"/>
      <c r="C86" s="44" t="s">
        <v>163</v>
      </c>
      <c r="D86" s="57"/>
      <c r="E86" s="40"/>
      <c r="F86" s="42"/>
    </row>
    <row r="87" spans="1:7">
      <c r="A87" s="46">
        <f t="shared" si="1"/>
        <v>67</v>
      </c>
      <c r="B87" s="42"/>
      <c r="C87" s="44" t="s">
        <v>164</v>
      </c>
      <c r="D87" s="57"/>
      <c r="E87" s="40"/>
      <c r="F87" s="42"/>
    </row>
    <row r="88" spans="1:7">
      <c r="A88" s="46">
        <f t="shared" si="1"/>
        <v>68</v>
      </c>
      <c r="B88" s="42"/>
      <c r="C88" s="44" t="s">
        <v>165</v>
      </c>
      <c r="D88" s="50" t="s">
        <v>384</v>
      </c>
      <c r="E88" s="40"/>
      <c r="F88" s="55" t="s">
        <v>384</v>
      </c>
      <c r="G88" s="51"/>
    </row>
    <row r="89" spans="1:7">
      <c r="A89" s="46">
        <f t="shared" si="1"/>
        <v>69</v>
      </c>
      <c r="B89" s="42"/>
      <c r="C89" s="44" t="s">
        <v>166</v>
      </c>
      <c r="D89" s="51" t="s">
        <v>167</v>
      </c>
      <c r="E89" s="40"/>
      <c r="F89" s="55" t="s">
        <v>167</v>
      </c>
    </row>
    <row r="90" spans="1:7">
      <c r="A90" s="46">
        <f t="shared" si="1"/>
        <v>70</v>
      </c>
      <c r="B90" s="42"/>
      <c r="C90" s="44" t="s">
        <v>168</v>
      </c>
      <c r="D90" s="51" t="s">
        <v>95</v>
      </c>
      <c r="E90" s="40"/>
      <c r="F90" s="50" t="s">
        <v>95</v>
      </c>
    </row>
    <row r="91" spans="1:7">
      <c r="A91" s="46">
        <f t="shared" si="1"/>
        <v>71</v>
      </c>
      <c r="B91" s="42"/>
      <c r="C91" s="44" t="s">
        <v>169</v>
      </c>
      <c r="D91" s="51" t="s">
        <v>170</v>
      </c>
      <c r="E91" s="40"/>
      <c r="F91" s="51" t="s">
        <v>449</v>
      </c>
    </row>
    <row r="92" spans="1:7">
      <c r="A92" s="46">
        <f t="shared" si="1"/>
        <v>72</v>
      </c>
      <c r="B92" s="42"/>
      <c r="C92" s="44" t="s">
        <v>171</v>
      </c>
      <c r="D92" s="51" t="s">
        <v>167</v>
      </c>
      <c r="E92" s="40"/>
      <c r="F92" s="55" t="s">
        <v>167</v>
      </c>
    </row>
    <row r="93" spans="1:7">
      <c r="A93" s="46">
        <f t="shared" si="1"/>
        <v>73</v>
      </c>
      <c r="B93" s="42"/>
      <c r="C93" s="44" t="s">
        <v>172</v>
      </c>
      <c r="D93" s="51" t="s">
        <v>167</v>
      </c>
      <c r="E93" s="40"/>
      <c r="F93" s="55" t="s">
        <v>167</v>
      </c>
    </row>
    <row r="94" spans="1:7">
      <c r="A94" s="46">
        <f t="shared" si="1"/>
        <v>74</v>
      </c>
      <c r="B94" s="42"/>
      <c r="C94" s="44" t="s">
        <v>173</v>
      </c>
      <c r="D94" s="51"/>
      <c r="E94" s="40"/>
      <c r="F94" s="50"/>
    </row>
    <row r="95" spans="1:7">
      <c r="A95" s="46">
        <f t="shared" si="1"/>
        <v>75</v>
      </c>
      <c r="B95" s="42"/>
      <c r="C95" s="44"/>
      <c r="D95" s="51"/>
      <c r="E95" s="40"/>
      <c r="F95" s="50"/>
    </row>
    <row r="96" spans="1:7">
      <c r="A96" s="46">
        <f t="shared" si="1"/>
        <v>76</v>
      </c>
      <c r="B96" s="42"/>
      <c r="C96" s="44"/>
      <c r="D96" s="50"/>
      <c r="E96" s="40"/>
      <c r="F96" s="50"/>
    </row>
    <row r="97" spans="1:6">
      <c r="A97" s="46">
        <f t="shared" si="1"/>
        <v>77</v>
      </c>
      <c r="B97" s="42"/>
      <c r="C97" s="44" t="s">
        <v>174</v>
      </c>
      <c r="D97" s="50" t="s">
        <v>175</v>
      </c>
      <c r="E97" s="40"/>
      <c r="F97" s="55" t="s">
        <v>175</v>
      </c>
    </row>
    <row r="98" spans="1:6">
      <c r="A98" s="46">
        <f t="shared" si="1"/>
        <v>78</v>
      </c>
      <c r="B98" s="42"/>
      <c r="C98" s="61" t="s">
        <v>176</v>
      </c>
      <c r="D98" s="50"/>
      <c r="E98" s="40"/>
      <c r="F98" s="50"/>
    </row>
    <row r="99" spans="1:6">
      <c r="A99" s="46">
        <f t="shared" si="1"/>
        <v>79</v>
      </c>
      <c r="B99" s="42"/>
      <c r="C99" s="42" t="s">
        <v>177</v>
      </c>
      <c r="D99" s="50"/>
      <c r="E99" s="40"/>
      <c r="F99" s="50"/>
    </row>
    <row r="100" spans="1:6">
      <c r="A100" s="46">
        <f t="shared" si="1"/>
        <v>80</v>
      </c>
      <c r="B100" s="42"/>
      <c r="C100" s="44" t="s">
        <v>178</v>
      </c>
      <c r="D100" s="50"/>
      <c r="E100" s="40"/>
      <c r="F100" s="50"/>
    </row>
    <row r="101" spans="1:6">
      <c r="A101" s="46">
        <f t="shared" si="1"/>
        <v>81</v>
      </c>
      <c r="B101" s="42"/>
      <c r="C101" s="44" t="s">
        <v>179</v>
      </c>
      <c r="D101" s="50"/>
      <c r="E101" s="40"/>
      <c r="F101" s="50"/>
    </row>
    <row r="102" spans="1:6">
      <c r="A102" s="46">
        <f t="shared" si="1"/>
        <v>82</v>
      </c>
      <c r="B102" s="42"/>
      <c r="C102" s="61"/>
      <c r="D102" s="50"/>
      <c r="E102" s="40"/>
      <c r="F102" s="50"/>
    </row>
    <row r="103" spans="1:6">
      <c r="A103" s="46">
        <f t="shared" si="1"/>
        <v>83</v>
      </c>
      <c r="B103" s="42"/>
      <c r="C103" s="62" t="s">
        <v>180</v>
      </c>
      <c r="D103" s="42" t="s">
        <v>181</v>
      </c>
      <c r="E103" s="40"/>
      <c r="F103" s="58" t="s">
        <v>181</v>
      </c>
    </row>
    <row r="104" spans="1:6">
      <c r="A104" s="46">
        <f t="shared" si="1"/>
        <v>84</v>
      </c>
      <c r="B104" s="42"/>
      <c r="C104" s="63"/>
      <c r="D104" s="64"/>
      <c r="E104" s="40"/>
      <c r="F104" s="40"/>
    </row>
    <row r="105" spans="1:6">
      <c r="A105" s="46">
        <f t="shared" si="1"/>
        <v>85</v>
      </c>
      <c r="B105" s="42"/>
      <c r="C105" s="44" t="s">
        <v>182</v>
      </c>
      <c r="D105" s="65"/>
      <c r="E105" s="40"/>
      <c r="F105" s="40"/>
    </row>
    <row r="106" spans="1:6">
      <c r="A106" s="46">
        <f t="shared" si="1"/>
        <v>86</v>
      </c>
      <c r="B106" s="42"/>
      <c r="C106" s="62" t="s">
        <v>183</v>
      </c>
      <c r="D106" s="42"/>
      <c r="E106" s="40"/>
      <c r="F106" s="40"/>
    </row>
    <row r="107" spans="1:6">
      <c r="A107" s="46">
        <f t="shared" si="1"/>
        <v>87</v>
      </c>
      <c r="B107" s="42"/>
      <c r="C107" s="44"/>
      <c r="D107" s="42"/>
      <c r="E107" s="40"/>
      <c r="F107" s="40"/>
    </row>
    <row r="108" spans="1:6">
      <c r="A108" s="46">
        <f t="shared" si="1"/>
        <v>88</v>
      </c>
      <c r="B108" s="42"/>
      <c r="C108" s="44" t="s">
        <v>184</v>
      </c>
      <c r="D108" s="50"/>
      <c r="E108" s="40"/>
      <c r="F108" s="40"/>
    </row>
    <row r="109" spans="1:6">
      <c r="A109" s="46">
        <f t="shared" si="1"/>
        <v>89</v>
      </c>
      <c r="B109" s="42"/>
      <c r="C109" s="42"/>
      <c r="D109" s="42"/>
      <c r="E109" s="40"/>
      <c r="F109" s="40"/>
    </row>
    <row r="110" spans="1:6">
      <c r="A110" s="46">
        <f t="shared" si="1"/>
        <v>90</v>
      </c>
      <c r="B110" s="42"/>
      <c r="C110" s="44" t="s">
        <v>185</v>
      </c>
      <c r="D110" s="42"/>
      <c r="E110" s="40"/>
      <c r="F110" s="44" t="s">
        <v>467</v>
      </c>
    </row>
    <row r="111" spans="1:6">
      <c r="A111" s="46">
        <f t="shared" si="1"/>
        <v>91</v>
      </c>
      <c r="B111" s="42"/>
      <c r="C111" s="42"/>
      <c r="D111" s="42"/>
      <c r="E111" s="40"/>
      <c r="F111" s="40"/>
    </row>
    <row r="112" spans="1:6">
      <c r="A112" s="46">
        <f t="shared" si="1"/>
        <v>92</v>
      </c>
      <c r="B112" s="42"/>
      <c r="C112" s="42" t="s">
        <v>186</v>
      </c>
      <c r="D112" s="42"/>
      <c r="E112" s="40"/>
      <c r="F112" s="40"/>
    </row>
    <row r="113" spans="1:6">
      <c r="A113" s="40"/>
      <c r="B113" s="40"/>
      <c r="C113" s="40"/>
      <c r="D113" s="40"/>
      <c r="E113" s="40"/>
      <c r="F113" s="40"/>
    </row>
    <row r="114" spans="1:6">
      <c r="A114" s="40"/>
      <c r="B114" s="40"/>
      <c r="C114" s="40"/>
      <c r="D114" s="40"/>
      <c r="E114" s="40"/>
      <c r="F114" s="40"/>
    </row>
    <row r="115" spans="1:6">
      <c r="A115" s="40"/>
      <c r="B115" s="40"/>
      <c r="C115" s="40"/>
      <c r="D115" s="40"/>
      <c r="E115" s="40"/>
      <c r="F115" s="40"/>
    </row>
    <row r="116" spans="1:6" ht="15.75">
      <c r="A116" s="271" t="s">
        <v>187</v>
      </c>
      <c r="B116" s="271"/>
      <c r="C116" s="271"/>
      <c r="D116" s="271"/>
      <c r="E116" s="271"/>
      <c r="F116" s="271"/>
    </row>
    <row r="117" spans="1:6" ht="15.75">
      <c r="A117" s="66"/>
      <c r="B117" s="66"/>
      <c r="C117" s="66"/>
      <c r="D117" s="66"/>
      <c r="E117" s="66"/>
      <c r="F117" s="66"/>
    </row>
    <row r="118" spans="1:6">
      <c r="A118" s="40"/>
      <c r="B118" s="40"/>
      <c r="C118" s="40"/>
      <c r="D118" s="40"/>
      <c r="E118" s="40"/>
      <c r="F118" s="40"/>
    </row>
    <row r="119" spans="1:6" ht="15.75">
      <c r="A119" s="67" t="s">
        <v>3</v>
      </c>
      <c r="B119" s="68"/>
      <c r="C119" s="69"/>
      <c r="D119" s="41" t="s">
        <v>66</v>
      </c>
      <c r="E119" s="40"/>
      <c r="F119" s="41" t="s">
        <v>136</v>
      </c>
    </row>
    <row r="120" spans="1:6" ht="15.75" thickBot="1">
      <c r="A120" s="70" t="s">
        <v>5</v>
      </c>
      <c r="B120" s="68"/>
      <c r="C120" s="71" t="s">
        <v>188</v>
      </c>
      <c r="D120" s="72"/>
      <c r="E120" s="72"/>
      <c r="F120" s="40"/>
    </row>
    <row r="121" spans="1:6" ht="15.75" thickBot="1">
      <c r="A121" s="67"/>
      <c r="B121" s="68"/>
      <c r="C121" s="71"/>
      <c r="D121" s="73" t="s">
        <v>64</v>
      </c>
      <c r="E121" s="40"/>
      <c r="F121" s="74" t="s">
        <v>64</v>
      </c>
    </row>
    <row r="122" spans="1:6">
      <c r="A122" s="67">
        <v>93</v>
      </c>
      <c r="B122" s="68"/>
      <c r="C122" s="75" t="s">
        <v>189</v>
      </c>
      <c r="D122" s="76" t="s">
        <v>190</v>
      </c>
      <c r="E122" s="76"/>
      <c r="F122" s="77" t="s">
        <v>190</v>
      </c>
    </row>
    <row r="123" spans="1:6">
      <c r="A123" s="67">
        <v>94</v>
      </c>
      <c r="B123" s="68"/>
      <c r="C123" s="75" t="s">
        <v>191</v>
      </c>
      <c r="D123" s="78" t="s">
        <v>51</v>
      </c>
      <c r="E123" s="78"/>
      <c r="F123" s="79" t="s">
        <v>192</v>
      </c>
    </row>
    <row r="124" spans="1:6" ht="15.75" thickBot="1">
      <c r="A124" s="67">
        <v>95</v>
      </c>
      <c r="B124" s="68"/>
      <c r="C124" s="80" t="s">
        <v>193</v>
      </c>
      <c r="D124" s="81" t="s">
        <v>51</v>
      </c>
      <c r="E124" s="72"/>
      <c r="F124" s="79" t="s">
        <v>194</v>
      </c>
    </row>
    <row r="125" spans="1:6">
      <c r="A125" s="67">
        <v>96</v>
      </c>
      <c r="B125" s="68"/>
      <c r="C125" s="75" t="s">
        <v>195</v>
      </c>
      <c r="D125" s="82"/>
      <c r="E125" s="83"/>
      <c r="F125" s="40"/>
    </row>
    <row r="126" spans="1:6">
      <c r="A126" s="67">
        <v>97</v>
      </c>
      <c r="B126" s="68"/>
      <c r="C126" s="75" t="s">
        <v>196</v>
      </c>
      <c r="D126" s="82"/>
      <c r="E126" s="83"/>
      <c r="F126" s="40"/>
    </row>
    <row r="127" spans="1:6">
      <c r="A127" s="67">
        <v>98</v>
      </c>
      <c r="B127" s="68"/>
      <c r="C127" s="75" t="s">
        <v>197</v>
      </c>
      <c r="D127" s="82"/>
      <c r="E127" s="83"/>
      <c r="F127" s="40"/>
    </row>
    <row r="128" spans="1:6">
      <c r="A128" s="67">
        <v>99</v>
      </c>
      <c r="B128" s="68"/>
      <c r="C128" s="75" t="s">
        <v>198</v>
      </c>
      <c r="D128" s="82"/>
      <c r="E128" s="83"/>
      <c r="F128" s="40"/>
    </row>
    <row r="129" spans="1:6">
      <c r="A129" s="67">
        <v>100</v>
      </c>
      <c r="B129" s="68"/>
      <c r="C129" s="68"/>
      <c r="D129" s="82"/>
      <c r="E129" s="83"/>
      <c r="F129" s="40"/>
    </row>
    <row r="130" spans="1:6">
      <c r="A130" s="67">
        <v>101</v>
      </c>
      <c r="B130" s="68"/>
      <c r="C130" s="75" t="s">
        <v>199</v>
      </c>
      <c r="D130" s="84"/>
      <c r="E130" s="85"/>
      <c r="F130" s="40"/>
    </row>
    <row r="131" spans="1:6">
      <c r="A131" s="67">
        <v>102</v>
      </c>
      <c r="B131" s="68"/>
      <c r="C131" s="68"/>
      <c r="D131" s="78"/>
      <c r="E131" s="68"/>
      <c r="F131" s="40"/>
    </row>
    <row r="132" spans="1:6" ht="15.75" thickBot="1">
      <c r="A132" s="67">
        <v>103</v>
      </c>
      <c r="B132" s="68"/>
      <c r="C132" s="71" t="s">
        <v>200</v>
      </c>
      <c r="D132" s="81" t="s">
        <v>64</v>
      </c>
      <c r="E132" s="40"/>
      <c r="F132" s="86" t="s">
        <v>64</v>
      </c>
    </row>
    <row r="133" spans="1:6">
      <c r="A133" s="67">
        <v>104</v>
      </c>
      <c r="B133" s="68"/>
      <c r="C133" s="75" t="s">
        <v>201</v>
      </c>
      <c r="D133" s="76" t="s">
        <v>202</v>
      </c>
      <c r="E133" s="40"/>
      <c r="F133" s="77" t="s">
        <v>202</v>
      </c>
    </row>
    <row r="134" spans="1:6">
      <c r="A134" s="67">
        <v>105</v>
      </c>
      <c r="B134" s="68"/>
      <c r="C134" s="75" t="s">
        <v>203</v>
      </c>
      <c r="D134" s="78" t="s">
        <v>51</v>
      </c>
      <c r="E134" s="40"/>
      <c r="F134" s="79" t="s">
        <v>204</v>
      </c>
    </row>
    <row r="135" spans="1:6" ht="15.75" thickBot="1">
      <c r="A135" s="67">
        <v>106</v>
      </c>
      <c r="B135" s="68"/>
      <c r="C135" s="80" t="s">
        <v>205</v>
      </c>
      <c r="D135" s="81" t="s">
        <v>51</v>
      </c>
      <c r="E135" s="40"/>
      <c r="F135" s="79" t="s">
        <v>194</v>
      </c>
    </row>
    <row r="136" spans="1:6">
      <c r="A136" s="67">
        <v>107</v>
      </c>
      <c r="B136" s="68"/>
      <c r="C136" s="75" t="s">
        <v>206</v>
      </c>
      <c r="D136" s="82"/>
      <c r="E136" s="83"/>
      <c r="F136" s="79" t="s">
        <v>207</v>
      </c>
    </row>
    <row r="137" spans="1:6">
      <c r="A137" s="67">
        <v>108</v>
      </c>
      <c r="B137" s="68"/>
      <c r="C137" s="68"/>
      <c r="D137" s="82"/>
      <c r="E137" s="83"/>
      <c r="F137" s="40"/>
    </row>
    <row r="138" spans="1:6">
      <c r="A138" s="67">
        <v>109</v>
      </c>
      <c r="B138" s="68"/>
      <c r="C138" s="75" t="s">
        <v>208</v>
      </c>
      <c r="D138" s="84"/>
      <c r="E138" s="85"/>
      <c r="F138" s="40"/>
    </row>
    <row r="139" spans="1:6">
      <c r="A139" s="67">
        <v>110</v>
      </c>
      <c r="B139" s="68"/>
      <c r="C139" s="68"/>
      <c r="D139" s="82"/>
      <c r="E139" s="83"/>
      <c r="F139" s="40"/>
    </row>
    <row r="140" spans="1:6" ht="15.75" thickBot="1">
      <c r="A140" s="67">
        <v>111</v>
      </c>
      <c r="B140" s="68"/>
      <c r="C140" s="71" t="s">
        <v>88</v>
      </c>
      <c r="D140" s="81" t="s">
        <v>64</v>
      </c>
      <c r="E140" s="40"/>
      <c r="F140" s="87" t="s">
        <v>64</v>
      </c>
    </row>
    <row r="141" spans="1:6">
      <c r="A141" s="67">
        <v>112</v>
      </c>
      <c r="B141" s="68"/>
      <c r="C141" s="68" t="s">
        <v>209</v>
      </c>
      <c r="D141" s="76" t="s">
        <v>210</v>
      </c>
      <c r="E141" s="40"/>
      <c r="F141" s="77" t="s">
        <v>210</v>
      </c>
    </row>
    <row r="142" spans="1:6">
      <c r="A142" s="67">
        <v>113</v>
      </c>
      <c r="B142" s="68"/>
      <c r="C142" s="75" t="s">
        <v>191</v>
      </c>
      <c r="D142" s="76" t="s">
        <v>51</v>
      </c>
      <c r="E142" s="85"/>
      <c r="F142" s="79" t="s">
        <v>211</v>
      </c>
    </row>
    <row r="143" spans="1:6">
      <c r="A143" s="67">
        <v>114</v>
      </c>
      <c r="B143" s="68"/>
      <c r="C143" s="88" t="s">
        <v>212</v>
      </c>
      <c r="D143" s="89"/>
      <c r="E143" s="90"/>
      <c r="F143" s="40"/>
    </row>
    <row r="144" spans="1:6">
      <c r="A144" s="67">
        <v>115</v>
      </c>
      <c r="B144" s="68"/>
      <c r="C144" s="75" t="s">
        <v>213</v>
      </c>
      <c r="D144" s="91"/>
      <c r="E144" s="90"/>
      <c r="F144" s="40"/>
    </row>
    <row r="145" spans="1:6">
      <c r="A145" s="67">
        <v>116</v>
      </c>
      <c r="B145" s="68"/>
      <c r="C145" s="75" t="s">
        <v>214</v>
      </c>
      <c r="D145" s="91"/>
      <c r="E145" s="90"/>
      <c r="F145" s="40"/>
    </row>
    <row r="146" spans="1:6">
      <c r="A146" s="67">
        <v>117</v>
      </c>
      <c r="B146" s="68"/>
      <c r="C146" s="75" t="s">
        <v>215</v>
      </c>
      <c r="D146" s="91"/>
      <c r="E146" s="90"/>
      <c r="F146" s="40"/>
    </row>
    <row r="147" spans="1:6">
      <c r="A147" s="67">
        <v>118</v>
      </c>
      <c r="B147" s="68"/>
      <c r="C147" s="68"/>
      <c r="D147" s="82"/>
      <c r="E147" s="83"/>
      <c r="F147" s="40"/>
    </row>
    <row r="148" spans="1:6">
      <c r="A148" s="67">
        <v>119</v>
      </c>
      <c r="B148" s="68"/>
      <c r="C148" s="75" t="s">
        <v>216</v>
      </c>
      <c r="D148" s="82"/>
      <c r="E148" s="83"/>
      <c r="F148" s="40"/>
    </row>
    <row r="149" spans="1:6">
      <c r="A149" s="67">
        <v>120</v>
      </c>
      <c r="B149" s="68"/>
      <c r="C149" s="68"/>
      <c r="D149" s="82"/>
      <c r="E149" s="40"/>
      <c r="F149" s="40"/>
    </row>
    <row r="150" spans="1:6" ht="15.75" thickBot="1">
      <c r="A150" s="67">
        <v>121</v>
      </c>
      <c r="B150" s="68"/>
      <c r="C150" s="68"/>
      <c r="D150" s="81" t="s">
        <v>64</v>
      </c>
      <c r="E150" s="40"/>
      <c r="F150" s="92" t="s">
        <v>64</v>
      </c>
    </row>
    <row r="151" spans="1:6">
      <c r="A151" s="67">
        <v>122</v>
      </c>
      <c r="B151" s="68"/>
      <c r="C151" s="68" t="s">
        <v>217</v>
      </c>
      <c r="D151" s="76" t="s">
        <v>218</v>
      </c>
      <c r="E151" s="40"/>
      <c r="F151" s="77" t="s">
        <v>218</v>
      </c>
    </row>
    <row r="152" spans="1:6">
      <c r="A152" s="67">
        <v>123</v>
      </c>
      <c r="B152" s="68"/>
      <c r="C152" s="68" t="s">
        <v>219</v>
      </c>
      <c r="D152" s="82"/>
      <c r="E152" s="40"/>
      <c r="F152" s="79" t="s">
        <v>204</v>
      </c>
    </row>
    <row r="153" spans="1:6">
      <c r="A153" s="67">
        <v>124</v>
      </c>
      <c r="B153" s="68"/>
      <c r="C153" s="93" t="s">
        <v>220</v>
      </c>
      <c r="D153" s="89"/>
      <c r="E153" s="94"/>
      <c r="F153" s="79" t="s">
        <v>221</v>
      </c>
    </row>
    <row r="154" spans="1:6">
      <c r="A154" s="67">
        <v>125</v>
      </c>
      <c r="B154" s="68"/>
      <c r="C154" s="68"/>
      <c r="D154" s="82"/>
      <c r="E154" s="83"/>
      <c r="F154" s="40"/>
    </row>
    <row r="155" spans="1:6">
      <c r="A155" s="67">
        <v>126</v>
      </c>
      <c r="B155" s="68"/>
      <c r="C155" s="75" t="s">
        <v>222</v>
      </c>
      <c r="D155" s="82"/>
      <c r="E155" s="83"/>
      <c r="F155" s="40"/>
    </row>
    <row r="156" spans="1:6">
      <c r="A156" s="67">
        <v>127</v>
      </c>
      <c r="B156" s="68"/>
      <c r="C156" s="68"/>
      <c r="D156" s="82"/>
      <c r="E156" s="83"/>
      <c r="F156" s="40"/>
    </row>
    <row r="157" spans="1:6">
      <c r="A157" s="67">
        <v>128</v>
      </c>
      <c r="B157" s="68"/>
      <c r="C157" s="95" t="s">
        <v>223</v>
      </c>
      <c r="D157" s="76"/>
      <c r="E157" s="83"/>
      <c r="F157" s="40"/>
    </row>
    <row r="158" spans="1:6" ht="15.75" thickBot="1">
      <c r="A158" s="67">
        <v>129</v>
      </c>
      <c r="B158" s="68"/>
      <c r="C158" s="95"/>
      <c r="D158" s="81" t="s">
        <v>64</v>
      </c>
      <c r="E158" s="40"/>
      <c r="F158" s="73" t="s">
        <v>64</v>
      </c>
    </row>
    <row r="159" spans="1:6">
      <c r="A159" s="67">
        <v>130</v>
      </c>
      <c r="B159" s="68"/>
      <c r="C159" s="95" t="s">
        <v>75</v>
      </c>
      <c r="D159" s="76" t="s">
        <v>224</v>
      </c>
      <c r="E159" s="40"/>
      <c r="F159" s="77" t="s">
        <v>224</v>
      </c>
    </row>
    <row r="160" spans="1:6">
      <c r="A160" s="67">
        <v>131</v>
      </c>
      <c r="B160" s="68"/>
      <c r="C160" s="95" t="s">
        <v>225</v>
      </c>
      <c r="D160" s="76" t="s">
        <v>226</v>
      </c>
      <c r="E160" s="40"/>
      <c r="F160" s="77" t="s">
        <v>226</v>
      </c>
    </row>
    <row r="161" spans="1:6">
      <c r="A161" s="67">
        <v>132</v>
      </c>
      <c r="B161" s="68"/>
      <c r="C161" s="95" t="s">
        <v>227</v>
      </c>
      <c r="D161" s="76" t="s">
        <v>228</v>
      </c>
      <c r="E161" s="40"/>
      <c r="F161" s="77" t="s">
        <v>228</v>
      </c>
    </row>
    <row r="162" spans="1:6">
      <c r="A162" s="67">
        <v>133</v>
      </c>
      <c r="B162" s="68"/>
      <c r="C162" s="95" t="s">
        <v>229</v>
      </c>
      <c r="D162" s="76"/>
      <c r="E162" s="83"/>
      <c r="F162" s="40"/>
    </row>
    <row r="163" spans="1:6">
      <c r="A163" s="67">
        <v>134</v>
      </c>
      <c r="B163" s="68"/>
      <c r="C163" s="95"/>
      <c r="D163" s="76"/>
      <c r="E163" s="83"/>
      <c r="F163" s="40"/>
    </row>
    <row r="164" spans="1:6">
      <c r="A164" s="67">
        <v>135</v>
      </c>
      <c r="B164" s="68"/>
      <c r="C164" s="95" t="s">
        <v>230</v>
      </c>
      <c r="D164" s="76"/>
      <c r="E164" s="40"/>
      <c r="F164" s="40"/>
    </row>
    <row r="165" spans="1:6">
      <c r="A165" s="67">
        <v>136</v>
      </c>
      <c r="B165" s="68"/>
      <c r="C165" s="95"/>
      <c r="D165" s="76"/>
      <c r="E165" s="40"/>
      <c r="F165" s="40"/>
    </row>
    <row r="166" spans="1:6">
      <c r="A166" s="67">
        <v>137</v>
      </c>
      <c r="B166" s="68"/>
      <c r="C166" s="95" t="s">
        <v>231</v>
      </c>
      <c r="D166" s="96" t="s">
        <v>232</v>
      </c>
      <c r="E166" s="40"/>
      <c r="F166" s="97" t="s">
        <v>232</v>
      </c>
    </row>
    <row r="167" spans="1:6">
      <c r="A167" s="67">
        <v>138</v>
      </c>
      <c r="B167" s="68"/>
      <c r="C167" s="95" t="s">
        <v>233</v>
      </c>
      <c r="D167" s="96" t="s">
        <v>234</v>
      </c>
      <c r="E167" s="40"/>
      <c r="F167" s="97" t="s">
        <v>234</v>
      </c>
    </row>
    <row r="168" spans="1:6">
      <c r="A168" s="67">
        <v>139</v>
      </c>
      <c r="B168" s="68"/>
      <c r="C168" s="95" t="s">
        <v>235</v>
      </c>
      <c r="D168" s="76"/>
      <c r="E168" s="40"/>
      <c r="F168" s="40"/>
    </row>
    <row r="169" spans="1:6">
      <c r="A169" s="67">
        <v>140</v>
      </c>
      <c r="B169" s="68"/>
      <c r="C169" s="95"/>
      <c r="D169" s="76"/>
      <c r="E169" s="68"/>
      <c r="F169" s="40"/>
    </row>
    <row r="170" spans="1:6">
      <c r="A170" s="67">
        <v>141</v>
      </c>
      <c r="B170" s="98"/>
      <c r="C170" s="99" t="s">
        <v>236</v>
      </c>
      <c r="D170" s="100" t="s">
        <v>64</v>
      </c>
      <c r="E170" s="83"/>
      <c r="F170" s="101" t="s">
        <v>64</v>
      </c>
    </row>
    <row r="171" spans="1:6">
      <c r="A171" s="67">
        <v>142</v>
      </c>
      <c r="B171" s="98"/>
      <c r="C171" s="72" t="s">
        <v>237</v>
      </c>
      <c r="D171" s="76" t="s">
        <v>238</v>
      </c>
      <c r="E171" s="83"/>
      <c r="F171" s="102" t="s">
        <v>238</v>
      </c>
    </row>
    <row r="172" spans="1:6">
      <c r="A172" s="67">
        <v>143</v>
      </c>
      <c r="B172" s="103"/>
      <c r="C172" s="95"/>
      <c r="D172" s="76"/>
      <c r="E172" s="83"/>
      <c r="F172" s="104"/>
    </row>
    <row r="173" spans="1:6">
      <c r="A173" s="67">
        <v>144</v>
      </c>
      <c r="B173" s="98"/>
      <c r="C173" s="95" t="s">
        <v>239</v>
      </c>
      <c r="D173" s="76" t="s">
        <v>240</v>
      </c>
      <c r="E173" s="83"/>
      <c r="F173" s="102" t="s">
        <v>240</v>
      </c>
    </row>
    <row r="174" spans="1:6">
      <c r="A174" s="67">
        <v>145</v>
      </c>
      <c r="B174" s="98"/>
      <c r="C174" s="95"/>
      <c r="D174" s="76"/>
      <c r="E174" s="83"/>
      <c r="F174" s="104"/>
    </row>
    <row r="175" spans="1:6">
      <c r="A175" s="67">
        <v>146</v>
      </c>
      <c r="B175" s="98"/>
      <c r="C175" s="99" t="s">
        <v>241</v>
      </c>
      <c r="D175" s="100" t="s">
        <v>64</v>
      </c>
      <c r="E175" s="83"/>
      <c r="F175" s="101" t="s">
        <v>64</v>
      </c>
    </row>
    <row r="176" spans="1:6">
      <c r="A176" s="67">
        <v>147</v>
      </c>
      <c r="B176" s="98"/>
      <c r="C176" s="95" t="s">
        <v>242</v>
      </c>
      <c r="D176" s="76" t="s">
        <v>243</v>
      </c>
      <c r="E176" s="72"/>
      <c r="F176" s="102" t="s">
        <v>243</v>
      </c>
    </row>
    <row r="177" spans="1:6">
      <c r="A177" s="67">
        <v>148</v>
      </c>
      <c r="B177" s="98"/>
      <c r="C177" s="95" t="s">
        <v>244</v>
      </c>
      <c r="D177" s="76" t="s">
        <v>245</v>
      </c>
      <c r="E177" s="83"/>
      <c r="F177" s="102" t="s">
        <v>245</v>
      </c>
    </row>
    <row r="178" spans="1:6">
      <c r="A178" s="67">
        <v>149</v>
      </c>
      <c r="B178" s="98"/>
      <c r="C178" s="95" t="s">
        <v>246</v>
      </c>
      <c r="D178" s="76" t="s">
        <v>247</v>
      </c>
      <c r="E178" s="83"/>
      <c r="F178" s="102" t="s">
        <v>247</v>
      </c>
    </row>
    <row r="179" spans="1:6">
      <c r="A179" s="67">
        <v>150</v>
      </c>
      <c r="B179" s="98"/>
      <c r="C179" s="95" t="s">
        <v>248</v>
      </c>
      <c r="D179" s="76" t="s">
        <v>249</v>
      </c>
      <c r="E179" s="83"/>
      <c r="F179" s="102" t="s">
        <v>249</v>
      </c>
    </row>
    <row r="180" spans="1:6">
      <c r="A180" s="67">
        <v>151</v>
      </c>
      <c r="B180" s="98"/>
      <c r="C180" s="105" t="s">
        <v>250</v>
      </c>
      <c r="D180" s="82" t="s">
        <v>251</v>
      </c>
      <c r="E180" s="72"/>
      <c r="F180" s="106" t="s">
        <v>251</v>
      </c>
    </row>
    <row r="181" spans="1:6">
      <c r="A181" s="67">
        <v>152</v>
      </c>
      <c r="B181" s="68"/>
      <c r="C181" s="95"/>
      <c r="D181" s="76"/>
      <c r="E181" s="83"/>
      <c r="F181" s="104"/>
    </row>
    <row r="182" spans="1:6" ht="15.75" thickBot="1">
      <c r="A182" s="67">
        <v>153</v>
      </c>
      <c r="B182" s="68"/>
      <c r="C182" s="95"/>
      <c r="D182" s="81" t="s">
        <v>64</v>
      </c>
      <c r="E182" s="40"/>
      <c r="F182" s="107" t="s">
        <v>64</v>
      </c>
    </row>
    <row r="183" spans="1:6">
      <c r="A183" s="67">
        <v>154</v>
      </c>
      <c r="B183" s="68"/>
      <c r="C183" s="71" t="s">
        <v>252</v>
      </c>
      <c r="D183" s="108" t="s">
        <v>253</v>
      </c>
      <c r="E183" s="40"/>
      <c r="F183" s="109" t="s">
        <v>254</v>
      </c>
    </row>
    <row r="184" spans="1:6">
      <c r="A184" s="67">
        <v>155</v>
      </c>
      <c r="B184" s="68"/>
      <c r="C184" s="71" t="s">
        <v>255</v>
      </c>
      <c r="D184" s="110" t="s">
        <v>245</v>
      </c>
      <c r="E184" s="40"/>
      <c r="F184" s="111" t="s">
        <v>245</v>
      </c>
    </row>
    <row r="185" spans="1:6">
      <c r="A185" s="67">
        <v>156</v>
      </c>
      <c r="B185" s="68"/>
      <c r="C185" s="105" t="s">
        <v>256</v>
      </c>
      <c r="D185" s="110" t="s">
        <v>257</v>
      </c>
      <c r="E185" s="40"/>
      <c r="F185" s="111" t="s">
        <v>257</v>
      </c>
    </row>
    <row r="186" spans="1:6">
      <c r="A186" s="67">
        <v>157</v>
      </c>
      <c r="B186" s="68"/>
      <c r="C186" s="95" t="s">
        <v>258</v>
      </c>
      <c r="D186" s="78"/>
      <c r="E186" s="40"/>
      <c r="F186" s="40"/>
    </row>
    <row r="187" spans="1:6">
      <c r="A187" s="40"/>
      <c r="B187" s="40"/>
      <c r="C187" s="40"/>
      <c r="D187" s="112"/>
      <c r="E187" s="40"/>
      <c r="F187" s="40"/>
    </row>
    <row r="188" spans="1:6">
      <c r="A188" s="40"/>
      <c r="B188" s="40" t="s">
        <v>259</v>
      </c>
      <c r="C188" s="40"/>
      <c r="D188" s="112"/>
      <c r="E188" s="40"/>
      <c r="F188" s="40"/>
    </row>
    <row r="189" spans="1:6">
      <c r="A189" s="40"/>
      <c r="B189" s="40"/>
      <c r="C189" s="113" t="s">
        <v>260</v>
      </c>
      <c r="D189" s="112"/>
      <c r="E189" s="40"/>
      <c r="F189" s="40"/>
    </row>
    <row r="190" spans="1:6">
      <c r="A190" s="40"/>
      <c r="B190" s="40"/>
      <c r="C190" s="113"/>
      <c r="D190" s="112"/>
      <c r="E190" s="40"/>
      <c r="F190" s="40"/>
    </row>
    <row r="191" spans="1:6">
      <c r="A191" s="40"/>
      <c r="B191" s="40"/>
      <c r="C191" s="40" t="s">
        <v>261</v>
      </c>
      <c r="D191" s="112"/>
      <c r="E191" s="40"/>
      <c r="F191" s="40"/>
    </row>
    <row r="192" spans="1:6">
      <c r="A192" s="40"/>
      <c r="B192" s="40"/>
      <c r="C192" s="40"/>
      <c r="D192" s="112"/>
      <c r="E192" s="40"/>
      <c r="F192" s="40"/>
    </row>
    <row r="193" spans="1:6">
      <c r="A193" s="40"/>
      <c r="B193" s="40"/>
      <c r="C193" s="114" t="s">
        <v>262</v>
      </c>
      <c r="D193" s="114"/>
      <c r="E193" s="114"/>
      <c r="F193" s="114"/>
    </row>
  </sheetData>
  <mergeCells count="3">
    <mergeCell ref="A116:F116"/>
    <mergeCell ref="A1:F1"/>
    <mergeCell ref="A2:F2"/>
  </mergeCells>
  <pageMargins left="0.7" right="0.7" top="0.75" bottom="0.75" header="0.3" footer="0.3"/>
  <pageSetup scale="55" fitToHeight="3" orientation="portrait" verticalDpi="1200" r:id="rId1"/>
  <headerFooter>
    <oddHeader>&amp;L&amp;8 2016 BHP Attachment H Supplemental Supporting Schedules&amp;C&amp;"Arial MT,Bold"&amp;10ACTUAL SERVICE YEAR ATRR
BLACK HILLS POWER, INC.
SUPPORTING SCHEDULES&amp;R&amp;P of &amp;N</oddHeader>
  </headerFooter>
  <rowBreaks count="2" manualBreakCount="2">
    <brk id="60" max="16383" man="1"/>
    <brk id="1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04"/>
  <sheetViews>
    <sheetView tabSelected="1" zoomScaleNormal="100" workbookViewId="0">
      <selection activeCell="K51" sqref="K51"/>
    </sheetView>
  </sheetViews>
  <sheetFormatPr defaultRowHeight="12.75"/>
  <cols>
    <col min="1" max="1" width="4.33203125" style="39" customWidth="1"/>
    <col min="2" max="2" width="2.77734375" style="39" customWidth="1"/>
    <col min="3" max="3" width="3.109375" style="39" customWidth="1"/>
    <col min="4" max="4" width="2.44140625" style="39" customWidth="1"/>
    <col min="5" max="6" width="8.88671875" style="39"/>
    <col min="7" max="7" width="2.21875" style="39" customWidth="1"/>
    <col min="8" max="11" width="8.88671875" style="39"/>
    <col min="12" max="12" width="15.21875" style="39" customWidth="1"/>
    <col min="13" max="13" width="11.6640625" style="39" customWidth="1"/>
    <col min="14" max="14" width="11" style="39" customWidth="1"/>
    <col min="15" max="15" width="10.33203125" style="39" customWidth="1"/>
    <col min="16" max="16384" width="8.88671875" style="39"/>
  </cols>
  <sheetData>
    <row r="2" spans="1:15" ht="15.75">
      <c r="A2" s="273" t="s">
        <v>346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</row>
    <row r="3" spans="1:15">
      <c r="A3" s="115" t="s">
        <v>3</v>
      </c>
      <c r="B3" s="116"/>
      <c r="C3" s="117"/>
      <c r="D3" s="117"/>
      <c r="E3" s="138" t="s">
        <v>343</v>
      </c>
      <c r="F3" s="117"/>
      <c r="G3" s="116"/>
      <c r="H3" s="116"/>
      <c r="I3" s="116"/>
      <c r="J3" s="116"/>
      <c r="K3" s="116"/>
      <c r="L3" s="116"/>
      <c r="M3" s="116"/>
      <c r="N3" s="116"/>
    </row>
    <row r="4" spans="1:15">
      <c r="A4" s="118" t="s">
        <v>5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</row>
    <row r="5" spans="1:15">
      <c r="A5" s="120">
        <v>1</v>
      </c>
      <c r="B5" s="121" t="s">
        <v>264</v>
      </c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</row>
    <row r="6" spans="1:15">
      <c r="A6" s="120">
        <v>2</v>
      </c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</row>
    <row r="7" spans="1:15">
      <c r="A7" s="120">
        <v>3</v>
      </c>
      <c r="B7" s="121" t="s">
        <v>65</v>
      </c>
      <c r="C7" s="121"/>
      <c r="D7" s="121" t="s">
        <v>265</v>
      </c>
      <c r="E7" s="121"/>
      <c r="F7" s="121"/>
      <c r="G7" s="121"/>
      <c r="H7" s="121"/>
      <c r="I7" s="121"/>
      <c r="J7" s="121"/>
      <c r="K7" s="121"/>
      <c r="L7" s="121"/>
      <c r="M7" s="121"/>
      <c r="N7" s="121"/>
    </row>
    <row r="8" spans="1:15">
      <c r="A8" s="120">
        <v>4</v>
      </c>
      <c r="B8" s="121"/>
      <c r="C8" s="121"/>
      <c r="D8" s="121"/>
      <c r="E8" s="121" t="s">
        <v>266</v>
      </c>
      <c r="F8" s="121"/>
      <c r="G8" s="121"/>
      <c r="H8" s="121"/>
      <c r="I8" s="121"/>
      <c r="J8" s="121"/>
      <c r="K8" s="121"/>
      <c r="L8" s="121"/>
      <c r="M8" s="121"/>
      <c r="N8" s="121"/>
    </row>
    <row r="9" spans="1:15">
      <c r="A9" s="120">
        <v>5</v>
      </c>
      <c r="B9" s="121"/>
      <c r="C9" s="121"/>
      <c r="D9" s="121"/>
      <c r="E9" s="121" t="s">
        <v>267</v>
      </c>
      <c r="F9" s="121"/>
      <c r="G9" s="121"/>
      <c r="H9" s="121"/>
      <c r="I9" s="121"/>
      <c r="J9" s="121"/>
      <c r="K9" s="121"/>
      <c r="L9" s="121"/>
      <c r="M9" s="121"/>
      <c r="N9" s="121"/>
    </row>
    <row r="10" spans="1:15">
      <c r="A10" s="120">
        <v>6</v>
      </c>
      <c r="B10" s="121"/>
      <c r="C10" s="121"/>
      <c r="D10" s="121"/>
      <c r="E10" s="121" t="s">
        <v>268</v>
      </c>
      <c r="F10" s="121"/>
      <c r="G10" s="121"/>
      <c r="H10" s="121"/>
      <c r="I10" s="121"/>
      <c r="J10" s="121"/>
      <c r="K10" s="121"/>
      <c r="L10" s="121"/>
      <c r="M10" s="121"/>
      <c r="N10" s="121"/>
    </row>
    <row r="11" spans="1:15">
      <c r="A11" s="120">
        <v>7</v>
      </c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</row>
    <row r="12" spans="1:15">
      <c r="A12" s="120">
        <v>8</v>
      </c>
      <c r="B12" s="121" t="s">
        <v>269</v>
      </c>
      <c r="C12" s="121"/>
      <c r="D12" s="121" t="s">
        <v>270</v>
      </c>
      <c r="E12" s="121"/>
      <c r="F12" s="121"/>
      <c r="G12" s="121"/>
      <c r="H12" s="121"/>
      <c r="I12" s="121"/>
      <c r="J12" s="121"/>
      <c r="K12" s="121"/>
      <c r="L12" s="121"/>
      <c r="M12" s="121"/>
      <c r="N12" s="121"/>
    </row>
    <row r="13" spans="1:15">
      <c r="A13" s="120">
        <v>9</v>
      </c>
      <c r="B13" s="121"/>
      <c r="C13" s="121"/>
      <c r="D13" s="121"/>
      <c r="E13" s="121" t="s">
        <v>271</v>
      </c>
      <c r="F13" s="121"/>
      <c r="G13" s="121"/>
      <c r="H13" s="121"/>
      <c r="I13" s="121"/>
      <c r="J13" s="121"/>
      <c r="K13" s="121"/>
      <c r="L13" s="121"/>
      <c r="M13" s="121"/>
      <c r="N13" s="121"/>
    </row>
    <row r="14" spans="1:15">
      <c r="A14" s="120">
        <v>10</v>
      </c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</row>
    <row r="15" spans="1:15">
      <c r="A15" s="120">
        <v>11</v>
      </c>
      <c r="B15" s="121" t="s">
        <v>272</v>
      </c>
      <c r="C15" s="121"/>
      <c r="D15" s="121" t="s">
        <v>273</v>
      </c>
      <c r="E15" s="121"/>
      <c r="F15" s="121"/>
      <c r="G15" s="121"/>
      <c r="H15" s="121"/>
      <c r="I15" s="121"/>
      <c r="J15" s="121"/>
      <c r="K15" s="121"/>
      <c r="L15" s="121"/>
      <c r="M15" s="121"/>
      <c r="N15" s="121"/>
    </row>
    <row r="16" spans="1:15">
      <c r="A16" s="120">
        <v>12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</row>
    <row r="17" spans="1:14">
      <c r="A17" s="120">
        <v>13</v>
      </c>
      <c r="B17" s="121"/>
      <c r="C17" s="121"/>
      <c r="D17" s="121" t="s">
        <v>274</v>
      </c>
      <c r="E17" s="121"/>
      <c r="F17" s="121"/>
      <c r="G17" s="121"/>
      <c r="H17" s="121"/>
      <c r="I17" s="121"/>
      <c r="J17" s="121"/>
      <c r="K17" s="121"/>
      <c r="L17" s="121"/>
      <c r="M17" s="121"/>
      <c r="N17" s="121"/>
    </row>
    <row r="18" spans="1:14">
      <c r="A18" s="120">
        <v>14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</row>
    <row r="19" spans="1:14">
      <c r="A19" s="120">
        <v>15</v>
      </c>
      <c r="B19" s="121"/>
      <c r="C19" s="121"/>
      <c r="D19" s="121" t="s">
        <v>275</v>
      </c>
      <c r="E19" s="121"/>
      <c r="F19" s="122" t="s">
        <v>276</v>
      </c>
      <c r="G19" s="121" t="s">
        <v>277</v>
      </c>
      <c r="H19" s="121"/>
      <c r="I19" s="121"/>
      <c r="J19" s="121"/>
      <c r="K19" s="121"/>
      <c r="L19" s="121"/>
      <c r="M19" s="121"/>
      <c r="N19" s="121"/>
    </row>
    <row r="20" spans="1:14">
      <c r="A20" s="120">
        <v>16</v>
      </c>
      <c r="B20" s="121"/>
      <c r="C20" s="121"/>
      <c r="D20" s="121"/>
      <c r="E20" s="121"/>
      <c r="F20" s="121"/>
      <c r="G20" s="121"/>
      <c r="H20" s="121" t="s">
        <v>278</v>
      </c>
      <c r="I20" s="121"/>
      <c r="J20" s="121"/>
      <c r="K20" s="121"/>
      <c r="L20" s="121"/>
      <c r="M20" s="121"/>
      <c r="N20" s="121"/>
    </row>
    <row r="21" spans="1:14">
      <c r="A21" s="120">
        <v>17</v>
      </c>
      <c r="B21" s="121"/>
      <c r="C21" s="121"/>
      <c r="D21" s="121"/>
      <c r="E21" s="121"/>
      <c r="F21" s="121"/>
      <c r="G21" s="121"/>
      <c r="H21" s="121" t="s">
        <v>279</v>
      </c>
      <c r="I21" s="121"/>
      <c r="J21" s="121"/>
      <c r="K21" s="121"/>
      <c r="L21" s="121"/>
      <c r="M21" s="121"/>
      <c r="N21" s="121"/>
    </row>
    <row r="22" spans="1:14">
      <c r="A22" s="120">
        <v>18</v>
      </c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</row>
    <row r="23" spans="1:14">
      <c r="A23" s="120">
        <v>19</v>
      </c>
      <c r="B23" s="123" t="s">
        <v>280</v>
      </c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</row>
    <row r="24" spans="1:14">
      <c r="A24" s="120">
        <v>20</v>
      </c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</row>
    <row r="25" spans="1:14">
      <c r="A25" s="120">
        <v>21</v>
      </c>
      <c r="B25" s="121"/>
      <c r="C25" s="121"/>
      <c r="D25" s="121"/>
      <c r="E25" s="124" t="s">
        <v>281</v>
      </c>
      <c r="F25" s="124" t="s">
        <v>282</v>
      </c>
      <c r="G25" s="125" t="s">
        <v>283</v>
      </c>
      <c r="H25" s="121"/>
      <c r="I25" s="121"/>
      <c r="J25" s="121"/>
      <c r="K25" s="121"/>
      <c r="L25" s="121"/>
      <c r="M25" s="121"/>
      <c r="N25" s="121"/>
    </row>
    <row r="26" spans="1:14">
      <c r="A26" s="120">
        <v>22</v>
      </c>
      <c r="B26" s="126" t="s">
        <v>284</v>
      </c>
      <c r="C26" s="121"/>
      <c r="D26" s="121"/>
      <c r="E26" s="124"/>
      <c r="F26" s="124"/>
      <c r="G26" s="127"/>
      <c r="H26" s="121"/>
      <c r="I26" s="121"/>
      <c r="J26" s="121"/>
      <c r="K26" s="121"/>
      <c r="L26" s="121"/>
      <c r="M26" s="121"/>
      <c r="N26" s="121"/>
    </row>
    <row r="27" spans="1:14">
      <c r="A27" s="120">
        <v>23</v>
      </c>
      <c r="B27" s="121"/>
      <c r="C27" s="121" t="s">
        <v>285</v>
      </c>
      <c r="D27" s="121"/>
      <c r="E27" s="124" t="s">
        <v>286</v>
      </c>
      <c r="F27" s="124">
        <v>2010</v>
      </c>
      <c r="G27" s="125" t="s">
        <v>287</v>
      </c>
      <c r="H27" s="121"/>
      <c r="I27" s="121"/>
      <c r="J27" s="121"/>
      <c r="K27" s="121"/>
      <c r="L27" s="121"/>
      <c r="M27" s="121"/>
      <c r="N27" s="121"/>
    </row>
    <row r="28" spans="1:14">
      <c r="A28" s="120">
        <v>24</v>
      </c>
      <c r="B28" s="121"/>
      <c r="C28" s="121" t="s">
        <v>288</v>
      </c>
      <c r="D28" s="121"/>
      <c r="E28" s="124" t="s">
        <v>286</v>
      </c>
      <c r="F28" s="124">
        <v>2010</v>
      </c>
      <c r="G28" s="125" t="s">
        <v>289</v>
      </c>
      <c r="H28" s="121"/>
      <c r="I28" s="121"/>
      <c r="J28" s="121"/>
      <c r="K28" s="121"/>
      <c r="L28" s="121"/>
      <c r="M28" s="121"/>
      <c r="N28" s="121"/>
    </row>
    <row r="29" spans="1:14">
      <c r="A29" s="120">
        <v>25</v>
      </c>
      <c r="B29" s="121"/>
      <c r="C29" s="121" t="s">
        <v>290</v>
      </c>
      <c r="D29" s="121"/>
      <c r="E29" s="124" t="s">
        <v>286</v>
      </c>
      <c r="F29" s="124">
        <v>2010</v>
      </c>
      <c r="G29" s="125" t="s">
        <v>291</v>
      </c>
      <c r="H29" s="121"/>
      <c r="I29" s="121"/>
      <c r="J29" s="121"/>
      <c r="K29" s="121"/>
      <c r="L29" s="121"/>
      <c r="M29" s="121"/>
      <c r="N29" s="121"/>
    </row>
    <row r="30" spans="1:14">
      <c r="A30" s="120">
        <v>26</v>
      </c>
      <c r="B30" s="121"/>
      <c r="C30" s="121" t="s">
        <v>292</v>
      </c>
      <c r="D30" s="121"/>
      <c r="E30" s="124" t="s">
        <v>293</v>
      </c>
      <c r="F30" s="124">
        <v>2010</v>
      </c>
      <c r="G30" s="125" t="s">
        <v>294</v>
      </c>
      <c r="H30" s="121"/>
      <c r="I30" s="121"/>
      <c r="J30" s="121"/>
      <c r="K30" s="121"/>
      <c r="L30" s="121"/>
      <c r="M30" s="121"/>
      <c r="N30" s="121"/>
    </row>
    <row r="31" spans="1:14">
      <c r="A31" s="120">
        <v>27</v>
      </c>
      <c r="B31" s="121"/>
      <c r="C31" s="121"/>
      <c r="D31" s="121"/>
      <c r="E31" s="124"/>
      <c r="F31" s="124"/>
      <c r="G31" s="125"/>
      <c r="H31" s="121"/>
      <c r="I31" s="121"/>
      <c r="J31" s="121"/>
      <c r="K31" s="121"/>
      <c r="L31" s="121"/>
      <c r="M31" s="121"/>
      <c r="N31" s="121"/>
    </row>
    <row r="32" spans="1:14">
      <c r="A32" s="120">
        <v>28</v>
      </c>
      <c r="B32" s="126" t="s">
        <v>295</v>
      </c>
      <c r="C32" s="121"/>
      <c r="D32" s="121"/>
      <c r="E32" s="128"/>
      <c r="F32" s="124"/>
      <c r="G32" s="125"/>
      <c r="H32" s="121"/>
      <c r="I32" s="121"/>
      <c r="J32" s="121"/>
      <c r="K32" s="121"/>
      <c r="L32" s="121"/>
      <c r="M32" s="121"/>
      <c r="N32" s="121"/>
    </row>
    <row r="33" spans="1:14">
      <c r="A33" s="120">
        <v>29</v>
      </c>
      <c r="B33" s="121"/>
      <c r="C33" s="121" t="s">
        <v>296</v>
      </c>
      <c r="D33" s="121"/>
      <c r="E33" s="124" t="s">
        <v>297</v>
      </c>
      <c r="F33" s="124">
        <v>2010</v>
      </c>
      <c r="G33" s="125" t="s">
        <v>298</v>
      </c>
      <c r="H33" s="121"/>
      <c r="I33" s="121"/>
      <c r="J33" s="121"/>
      <c r="K33" s="121"/>
      <c r="L33" s="121"/>
      <c r="M33" s="121"/>
      <c r="N33" s="121"/>
    </row>
    <row r="34" spans="1:14">
      <c r="A34" s="120">
        <v>30</v>
      </c>
      <c r="B34" s="121"/>
      <c r="C34" s="121" t="s">
        <v>299</v>
      </c>
      <c r="D34" s="121"/>
      <c r="E34" s="124" t="s">
        <v>297</v>
      </c>
      <c r="F34" s="124">
        <v>2010</v>
      </c>
      <c r="G34" s="125" t="s">
        <v>300</v>
      </c>
      <c r="H34" s="121"/>
      <c r="I34" s="121"/>
      <c r="J34" s="121"/>
      <c r="K34" s="121"/>
      <c r="L34" s="121"/>
      <c r="M34" s="121"/>
      <c r="N34" s="121"/>
    </row>
    <row r="35" spans="1:14">
      <c r="A35" s="120">
        <v>31</v>
      </c>
      <c r="B35" s="121"/>
      <c r="C35" s="121" t="s">
        <v>301</v>
      </c>
      <c r="D35" s="121"/>
      <c r="E35" s="124" t="s">
        <v>297</v>
      </c>
      <c r="F35" s="124">
        <v>2010</v>
      </c>
      <c r="G35" s="125" t="s">
        <v>302</v>
      </c>
      <c r="H35" s="121"/>
      <c r="I35" s="121"/>
      <c r="J35" s="121"/>
      <c r="K35" s="121"/>
      <c r="L35" s="121"/>
      <c r="M35" s="121"/>
      <c r="N35" s="121"/>
    </row>
    <row r="36" spans="1:14">
      <c r="A36" s="120">
        <v>32</v>
      </c>
      <c r="B36" s="121"/>
      <c r="C36" s="121" t="s">
        <v>303</v>
      </c>
      <c r="D36" s="121"/>
      <c r="E36" s="124" t="s">
        <v>297</v>
      </c>
      <c r="F36" s="124">
        <v>2010</v>
      </c>
      <c r="G36" s="125" t="s">
        <v>304</v>
      </c>
      <c r="H36" s="121"/>
      <c r="I36" s="121"/>
      <c r="J36" s="121"/>
      <c r="K36" s="121"/>
      <c r="L36" s="121"/>
      <c r="M36" s="121"/>
      <c r="N36" s="121"/>
    </row>
    <row r="37" spans="1:14">
      <c r="A37" s="120">
        <v>33</v>
      </c>
      <c r="B37" s="121"/>
      <c r="C37" s="121" t="s">
        <v>305</v>
      </c>
      <c r="D37" s="121"/>
      <c r="E37" s="124" t="s">
        <v>306</v>
      </c>
      <c r="F37" s="124">
        <v>2010</v>
      </c>
      <c r="G37" s="125" t="s">
        <v>307</v>
      </c>
      <c r="H37" s="121"/>
      <c r="I37" s="121"/>
      <c r="J37" s="121"/>
      <c r="K37" s="121"/>
      <c r="L37" s="121"/>
      <c r="M37" s="121"/>
      <c r="N37" s="121"/>
    </row>
    <row r="38" spans="1:14">
      <c r="A38" s="120">
        <v>34</v>
      </c>
      <c r="B38" s="121"/>
      <c r="C38" s="121" t="s">
        <v>308</v>
      </c>
      <c r="D38" s="121"/>
      <c r="E38" s="128" t="s">
        <v>309</v>
      </c>
      <c r="F38" s="124">
        <v>2011</v>
      </c>
      <c r="G38" s="125" t="s">
        <v>310</v>
      </c>
      <c r="H38" s="121"/>
      <c r="I38" s="121"/>
      <c r="J38" s="121"/>
      <c r="K38" s="121"/>
      <c r="L38" s="121"/>
      <c r="M38" s="121"/>
      <c r="N38" s="121"/>
    </row>
    <row r="39" spans="1:14">
      <c r="A39" s="120">
        <v>35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</row>
    <row r="40" spans="1:14">
      <c r="A40" s="120">
        <v>36</v>
      </c>
      <c r="B40" s="121"/>
      <c r="C40" s="121"/>
      <c r="D40" s="121"/>
      <c r="E40" s="121" t="s">
        <v>311</v>
      </c>
      <c r="F40" s="121" t="s">
        <v>312</v>
      </c>
      <c r="G40" s="121"/>
      <c r="H40" s="121"/>
      <c r="I40" s="121"/>
      <c r="J40" s="121"/>
      <c r="K40" s="121"/>
      <c r="L40" s="121"/>
      <c r="M40" s="121"/>
      <c r="N40" s="121"/>
    </row>
    <row r="41" spans="1:14">
      <c r="A41" s="120">
        <v>37</v>
      </c>
      <c r="B41" s="121"/>
      <c r="C41" s="121"/>
      <c r="D41" s="121"/>
      <c r="E41" s="121"/>
      <c r="F41" s="121" t="s">
        <v>313</v>
      </c>
      <c r="G41" s="121"/>
      <c r="H41" s="121"/>
      <c r="I41" s="121"/>
      <c r="J41" s="121"/>
      <c r="K41" s="121"/>
      <c r="L41" s="121"/>
      <c r="M41" s="121"/>
      <c r="N41" s="121"/>
    </row>
    <row r="42" spans="1:14">
      <c r="A42" s="120">
        <v>38</v>
      </c>
      <c r="B42" s="121"/>
      <c r="C42" s="121"/>
      <c r="D42" s="121"/>
      <c r="E42" s="121"/>
      <c r="F42" s="121" t="s">
        <v>314</v>
      </c>
      <c r="G42" s="121"/>
      <c r="H42" s="121"/>
      <c r="I42" s="121"/>
      <c r="J42" s="121"/>
      <c r="K42" s="121"/>
      <c r="L42" s="121"/>
      <c r="M42" s="121"/>
      <c r="N42" s="121"/>
    </row>
    <row r="43" spans="1:14">
      <c r="A43" s="120">
        <v>39</v>
      </c>
      <c r="B43" s="121"/>
      <c r="C43" s="121"/>
      <c r="D43" s="121"/>
      <c r="E43" s="121"/>
      <c r="F43" s="121" t="s">
        <v>315</v>
      </c>
      <c r="G43" s="121"/>
      <c r="H43" s="121"/>
      <c r="I43" s="121"/>
      <c r="J43" s="121"/>
      <c r="K43" s="121"/>
      <c r="L43" s="121"/>
      <c r="M43" s="121"/>
      <c r="N43" s="121"/>
    </row>
    <row r="44" spans="1:14">
      <c r="A44" s="120">
        <v>40</v>
      </c>
      <c r="B44" s="121"/>
      <c r="C44" s="121"/>
      <c r="D44" s="121"/>
      <c r="E44" s="121"/>
      <c r="F44" s="121" t="s">
        <v>316</v>
      </c>
      <c r="G44" s="121"/>
      <c r="H44" s="121"/>
      <c r="I44" s="121"/>
      <c r="J44" s="121"/>
      <c r="K44" s="121"/>
      <c r="L44" s="121"/>
      <c r="M44" s="121"/>
      <c r="N44" s="121"/>
    </row>
    <row r="45" spans="1:14">
      <c r="A45" s="120">
        <v>41</v>
      </c>
      <c r="B45" s="121"/>
      <c r="C45" s="121"/>
      <c r="D45" s="121"/>
      <c r="E45" s="121"/>
      <c r="F45" s="121" t="s">
        <v>317</v>
      </c>
      <c r="G45" s="121"/>
      <c r="H45" s="121"/>
      <c r="I45" s="121"/>
      <c r="J45" s="121"/>
      <c r="K45" s="121"/>
      <c r="L45" s="121"/>
      <c r="M45" s="121"/>
      <c r="N45" s="121"/>
    </row>
    <row r="46" spans="1:14">
      <c r="A46" s="120">
        <v>42</v>
      </c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</row>
    <row r="47" spans="1:14">
      <c r="A47" s="120">
        <v>43</v>
      </c>
      <c r="B47" s="121"/>
      <c r="C47" s="121"/>
      <c r="D47" s="121"/>
      <c r="E47" s="121"/>
      <c r="F47" s="121" t="s">
        <v>318</v>
      </c>
      <c r="G47" s="121"/>
      <c r="H47" s="121"/>
      <c r="I47" s="121"/>
      <c r="J47" s="121"/>
      <c r="K47" s="121"/>
      <c r="L47" s="121"/>
      <c r="M47" s="121"/>
      <c r="N47" s="121"/>
    </row>
    <row r="48" spans="1:14">
      <c r="A48" s="129">
        <v>44</v>
      </c>
      <c r="B48" s="119"/>
      <c r="C48" s="119"/>
      <c r="D48" s="116"/>
      <c r="E48" s="116"/>
      <c r="F48" s="116"/>
      <c r="G48" s="116"/>
      <c r="H48" s="116"/>
      <c r="I48" s="116"/>
      <c r="J48" s="121"/>
      <c r="K48" s="121"/>
      <c r="L48" s="121"/>
      <c r="M48" s="142" t="s">
        <v>341</v>
      </c>
      <c r="N48" s="142" t="s">
        <v>342</v>
      </c>
    </row>
    <row r="49" spans="1:14">
      <c r="A49" s="129">
        <v>45</v>
      </c>
      <c r="B49" s="119"/>
      <c r="C49" s="119" t="s">
        <v>319</v>
      </c>
      <c r="D49" s="126" t="s">
        <v>320</v>
      </c>
      <c r="E49" s="126"/>
      <c r="F49" s="126"/>
      <c r="G49" s="126"/>
      <c r="H49" s="126"/>
      <c r="I49" s="126"/>
      <c r="J49" s="126"/>
      <c r="K49" s="126"/>
      <c r="L49" s="126"/>
      <c r="M49" s="147"/>
      <c r="N49" s="147"/>
    </row>
    <row r="50" spans="1:14">
      <c r="A50" s="129">
        <v>46</v>
      </c>
      <c r="B50" s="119"/>
      <c r="C50" s="119" t="s">
        <v>321</v>
      </c>
      <c r="D50" s="126" t="s">
        <v>322</v>
      </c>
      <c r="E50" s="126"/>
      <c r="F50" s="126"/>
      <c r="G50" s="126"/>
      <c r="H50" s="126"/>
      <c r="I50" s="126"/>
      <c r="J50" s="126"/>
      <c r="K50" s="126"/>
      <c r="L50" s="126"/>
      <c r="M50" s="148">
        <f>ROUND((1+$K$74)^18,2)</f>
        <v>1</v>
      </c>
      <c r="N50" s="148">
        <f>ROUND((1+$K$74)^18,2)</f>
        <v>1</v>
      </c>
    </row>
    <row r="51" spans="1:14">
      <c r="A51" s="129">
        <v>47</v>
      </c>
      <c r="B51" s="119"/>
      <c r="C51" s="119" t="s">
        <v>323</v>
      </c>
      <c r="D51" s="137" t="s">
        <v>324</v>
      </c>
      <c r="E51" s="137"/>
      <c r="F51" s="137"/>
      <c r="G51" s="137"/>
      <c r="H51" s="137"/>
      <c r="I51" s="137"/>
      <c r="J51" s="137"/>
      <c r="K51" s="137"/>
      <c r="L51" s="126"/>
      <c r="M51" s="149">
        <f>+M49*M50</f>
        <v>0</v>
      </c>
      <c r="N51" s="149">
        <f>+N49*N50</f>
        <v>0</v>
      </c>
    </row>
    <row r="52" spans="1:14">
      <c r="A52" s="129">
        <v>48</v>
      </c>
      <c r="B52" s="119"/>
      <c r="C52" s="119"/>
      <c r="D52" s="121"/>
      <c r="E52" s="121"/>
      <c r="F52" s="121"/>
      <c r="G52" s="121"/>
      <c r="H52" s="121"/>
      <c r="I52" s="121"/>
      <c r="J52" s="121"/>
      <c r="K52" s="121"/>
      <c r="L52" s="121"/>
      <c r="M52" s="119"/>
      <c r="N52" s="119"/>
    </row>
    <row r="53" spans="1:14">
      <c r="A53" s="129">
        <v>49</v>
      </c>
      <c r="B53" s="119"/>
      <c r="C53" s="119"/>
      <c r="D53" s="119"/>
      <c r="E53" s="119" t="s">
        <v>275</v>
      </c>
      <c r="F53" s="119" t="s">
        <v>325</v>
      </c>
      <c r="G53" s="119"/>
      <c r="H53" s="119"/>
      <c r="I53" s="119"/>
      <c r="J53" s="119"/>
      <c r="K53" s="119"/>
      <c r="L53" s="119"/>
      <c r="M53" s="119"/>
      <c r="N53" s="119"/>
    </row>
    <row r="54" spans="1:14">
      <c r="A54" s="129">
        <v>50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</row>
    <row r="55" spans="1:14">
      <c r="A55" s="129">
        <v>51</v>
      </c>
      <c r="B55" s="119"/>
      <c r="C55" s="119"/>
      <c r="D55" s="146" t="s">
        <v>326</v>
      </c>
      <c r="E55" s="119"/>
      <c r="F55" s="119"/>
      <c r="G55" s="119"/>
      <c r="H55" s="119"/>
      <c r="I55" s="119"/>
      <c r="J55" s="119"/>
      <c r="K55" s="119"/>
      <c r="L55" s="119"/>
      <c r="M55" s="119"/>
      <c r="N55" s="119"/>
    </row>
    <row r="56" spans="1:14">
      <c r="A56" s="129">
        <v>52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44" t="s">
        <v>327</v>
      </c>
      <c r="L56" s="119"/>
      <c r="M56" s="119"/>
      <c r="N56" s="119"/>
    </row>
    <row r="57" spans="1:14">
      <c r="A57" s="129">
        <v>53</v>
      </c>
      <c r="B57" s="119"/>
      <c r="C57" s="119"/>
      <c r="D57" s="119"/>
      <c r="E57" s="145" t="s">
        <v>281</v>
      </c>
      <c r="F57" s="115"/>
      <c r="G57" s="115"/>
      <c r="H57" s="145" t="s">
        <v>282</v>
      </c>
      <c r="I57" s="130"/>
      <c r="J57" s="119"/>
      <c r="K57" s="145" t="s">
        <v>328</v>
      </c>
      <c r="L57" s="119"/>
      <c r="M57" s="119"/>
      <c r="N57" s="131"/>
    </row>
    <row r="58" spans="1:14">
      <c r="A58" s="129">
        <v>54</v>
      </c>
      <c r="B58" s="119"/>
      <c r="C58" s="119"/>
      <c r="D58" s="119"/>
      <c r="E58" s="119" t="s">
        <v>309</v>
      </c>
      <c r="F58" s="119"/>
      <c r="G58" s="119"/>
      <c r="H58" s="119" t="s">
        <v>329</v>
      </c>
      <c r="I58" s="119"/>
      <c r="J58" s="119"/>
      <c r="K58" s="140">
        <v>0</v>
      </c>
      <c r="L58" s="119"/>
      <c r="M58" s="132"/>
      <c r="N58" s="132"/>
    </row>
    <row r="59" spans="1:14">
      <c r="A59" s="129">
        <v>55</v>
      </c>
      <c r="B59" s="119"/>
      <c r="C59" s="119"/>
      <c r="D59" s="119"/>
      <c r="E59" s="119" t="s">
        <v>330</v>
      </c>
      <c r="F59" s="119"/>
      <c r="G59" s="119"/>
      <c r="H59" s="119" t="s">
        <v>329</v>
      </c>
      <c r="I59" s="119"/>
      <c r="J59" s="119"/>
      <c r="K59" s="140">
        <v>0</v>
      </c>
      <c r="L59" s="119"/>
      <c r="M59" s="132"/>
      <c r="N59" s="132"/>
    </row>
    <row r="60" spans="1:14">
      <c r="A60" s="129">
        <v>56</v>
      </c>
      <c r="B60" s="119"/>
      <c r="C60" s="119"/>
      <c r="D60" s="119"/>
      <c r="E60" s="119" t="s">
        <v>331</v>
      </c>
      <c r="F60" s="119"/>
      <c r="G60" s="119"/>
      <c r="H60" s="119" t="s">
        <v>329</v>
      </c>
      <c r="I60" s="119"/>
      <c r="J60" s="119"/>
      <c r="K60" s="140">
        <v>0</v>
      </c>
      <c r="L60" s="119"/>
      <c r="M60" s="132"/>
      <c r="N60" s="132"/>
    </row>
    <row r="61" spans="1:14">
      <c r="A61" s="129">
        <v>57</v>
      </c>
      <c r="B61" s="119"/>
      <c r="C61" s="119"/>
      <c r="D61" s="119"/>
      <c r="E61" s="119" t="s">
        <v>332</v>
      </c>
      <c r="F61" s="119"/>
      <c r="G61" s="119"/>
      <c r="H61" s="119" t="s">
        <v>329</v>
      </c>
      <c r="I61" s="119"/>
      <c r="J61" s="119"/>
      <c r="K61" s="140">
        <v>0</v>
      </c>
      <c r="L61" s="119"/>
      <c r="M61" s="132"/>
      <c r="N61" s="132"/>
    </row>
    <row r="62" spans="1:14">
      <c r="A62" s="129">
        <v>58</v>
      </c>
      <c r="B62" s="119"/>
      <c r="C62" s="119"/>
      <c r="D62" s="119"/>
      <c r="E62" s="119" t="s">
        <v>286</v>
      </c>
      <c r="F62" s="119"/>
      <c r="G62" s="119"/>
      <c r="H62" s="119" t="s">
        <v>329</v>
      </c>
      <c r="I62" s="119"/>
      <c r="J62" s="119"/>
      <c r="K62" s="140">
        <v>0</v>
      </c>
      <c r="L62" s="119"/>
      <c r="M62" s="132"/>
      <c r="N62" s="132"/>
    </row>
    <row r="63" spans="1:14">
      <c r="A63" s="129">
        <v>59</v>
      </c>
      <c r="B63" s="119"/>
      <c r="C63" s="119"/>
      <c r="D63" s="119"/>
      <c r="E63" s="119" t="s">
        <v>333</v>
      </c>
      <c r="F63" s="119"/>
      <c r="G63" s="119"/>
      <c r="H63" s="119" t="s">
        <v>329</v>
      </c>
      <c r="I63" s="119"/>
      <c r="J63" s="119"/>
      <c r="K63" s="140">
        <v>0</v>
      </c>
      <c r="L63" s="119"/>
      <c r="M63" s="132"/>
      <c r="N63" s="132"/>
    </row>
    <row r="64" spans="1:14">
      <c r="A64" s="129">
        <v>60</v>
      </c>
      <c r="B64" s="119"/>
      <c r="C64" s="119"/>
      <c r="D64" s="119"/>
      <c r="E64" s="119" t="s">
        <v>334</v>
      </c>
      <c r="F64" s="119"/>
      <c r="G64" s="119"/>
      <c r="H64" s="119" t="s">
        <v>329</v>
      </c>
      <c r="I64" s="119"/>
      <c r="J64" s="119"/>
      <c r="K64" s="140">
        <v>0</v>
      </c>
      <c r="L64" s="119"/>
      <c r="M64" s="132"/>
      <c r="N64" s="132"/>
    </row>
    <row r="65" spans="1:14">
      <c r="A65" s="129">
        <v>61</v>
      </c>
      <c r="B65" s="119"/>
      <c r="C65" s="119"/>
      <c r="D65" s="119"/>
      <c r="E65" s="119" t="s">
        <v>335</v>
      </c>
      <c r="F65" s="119"/>
      <c r="G65" s="119"/>
      <c r="H65" s="119" t="s">
        <v>329</v>
      </c>
      <c r="I65" s="119"/>
      <c r="J65" s="119"/>
      <c r="K65" s="140">
        <v>0</v>
      </c>
      <c r="L65" s="119"/>
      <c r="M65" s="132"/>
      <c r="N65" s="132"/>
    </row>
    <row r="66" spans="1:14">
      <c r="A66" s="129">
        <v>62</v>
      </c>
      <c r="B66" s="119"/>
      <c r="C66" s="119"/>
      <c r="D66" s="119"/>
      <c r="E66" s="119" t="s">
        <v>297</v>
      </c>
      <c r="F66" s="119"/>
      <c r="G66" s="119"/>
      <c r="H66" s="119" t="s">
        <v>329</v>
      </c>
      <c r="I66" s="119"/>
      <c r="J66" s="119"/>
      <c r="K66" s="140">
        <v>0</v>
      </c>
      <c r="L66" s="119"/>
      <c r="M66" s="132"/>
      <c r="N66" s="132"/>
    </row>
    <row r="67" spans="1:14">
      <c r="A67" s="129">
        <v>63</v>
      </c>
      <c r="B67" s="119"/>
      <c r="C67" s="119"/>
      <c r="D67" s="119"/>
      <c r="E67" s="119" t="s">
        <v>306</v>
      </c>
      <c r="F67" s="119"/>
      <c r="G67" s="119"/>
      <c r="H67" s="119" t="s">
        <v>329</v>
      </c>
      <c r="I67" s="119"/>
      <c r="J67" s="119"/>
      <c r="K67" s="140">
        <v>0</v>
      </c>
      <c r="L67" s="119"/>
      <c r="M67" s="132"/>
      <c r="N67" s="132"/>
    </row>
    <row r="68" spans="1:14">
      <c r="A68" s="129">
        <v>64</v>
      </c>
      <c r="B68" s="119"/>
      <c r="C68" s="119"/>
      <c r="D68" s="119"/>
      <c r="E68" s="119" t="s">
        <v>336</v>
      </c>
      <c r="F68" s="119"/>
      <c r="G68" s="119"/>
      <c r="H68" s="119" t="s">
        <v>329</v>
      </c>
      <c r="I68" s="119"/>
      <c r="J68" s="119"/>
      <c r="K68" s="140">
        <v>0</v>
      </c>
      <c r="L68" s="119"/>
      <c r="M68" s="132"/>
      <c r="N68" s="132"/>
    </row>
    <row r="69" spans="1:14">
      <c r="A69" s="129">
        <v>65</v>
      </c>
      <c r="B69" s="119"/>
      <c r="C69" s="119"/>
      <c r="D69" s="119"/>
      <c r="E69" s="119" t="s">
        <v>337</v>
      </c>
      <c r="F69" s="119"/>
      <c r="G69" s="119"/>
      <c r="H69" s="119" t="s">
        <v>329</v>
      </c>
      <c r="I69" s="119"/>
      <c r="J69" s="119"/>
      <c r="K69" s="140">
        <v>0</v>
      </c>
      <c r="L69" s="119"/>
      <c r="M69" s="132"/>
      <c r="N69" s="132"/>
    </row>
    <row r="70" spans="1:14">
      <c r="A70" s="129">
        <v>66</v>
      </c>
      <c r="B70" s="119"/>
      <c r="C70" s="119"/>
      <c r="D70" s="119"/>
      <c r="E70" s="119" t="s">
        <v>309</v>
      </c>
      <c r="F70" s="119"/>
      <c r="G70" s="119"/>
      <c r="H70" s="119" t="s">
        <v>338</v>
      </c>
      <c r="I70" s="119"/>
      <c r="J70" s="119"/>
      <c r="K70" s="140">
        <v>0</v>
      </c>
      <c r="L70" s="119"/>
      <c r="M70" s="132"/>
      <c r="N70" s="132"/>
    </row>
    <row r="71" spans="1:14">
      <c r="A71" s="129">
        <v>67</v>
      </c>
      <c r="B71" s="119"/>
      <c r="C71" s="119"/>
      <c r="D71" s="119"/>
      <c r="E71" s="119" t="s">
        <v>330</v>
      </c>
      <c r="F71" s="119"/>
      <c r="G71" s="119"/>
      <c r="H71" s="119" t="s">
        <v>338</v>
      </c>
      <c r="I71" s="119"/>
      <c r="J71" s="119"/>
      <c r="K71" s="140">
        <v>0</v>
      </c>
      <c r="L71" s="119"/>
      <c r="M71" s="132"/>
      <c r="N71" s="132"/>
    </row>
    <row r="72" spans="1:14">
      <c r="A72" s="129">
        <v>68</v>
      </c>
      <c r="B72" s="119"/>
      <c r="C72" s="119"/>
      <c r="D72" s="119"/>
      <c r="E72" s="119" t="s">
        <v>331</v>
      </c>
      <c r="F72" s="119"/>
      <c r="G72" s="119"/>
      <c r="H72" s="119" t="s">
        <v>338</v>
      </c>
      <c r="I72" s="119"/>
      <c r="J72" s="119"/>
      <c r="K72" s="140">
        <v>0</v>
      </c>
      <c r="L72" s="119"/>
      <c r="M72" s="132"/>
      <c r="N72" s="132"/>
    </row>
    <row r="73" spans="1:14">
      <c r="A73" s="129">
        <v>69</v>
      </c>
      <c r="B73" s="119"/>
      <c r="C73" s="119"/>
      <c r="D73" s="119"/>
      <c r="E73" s="119" t="s">
        <v>332</v>
      </c>
      <c r="F73" s="119"/>
      <c r="G73" s="119"/>
      <c r="H73" s="119" t="s">
        <v>338</v>
      </c>
      <c r="I73" s="119"/>
      <c r="J73" s="119"/>
      <c r="K73" s="140">
        <v>0</v>
      </c>
      <c r="L73" s="119"/>
      <c r="M73" s="132"/>
      <c r="N73" s="132"/>
    </row>
    <row r="74" spans="1:14">
      <c r="A74" s="129">
        <v>70</v>
      </c>
      <c r="B74" s="119"/>
      <c r="C74" s="119"/>
      <c r="D74" s="119"/>
      <c r="E74" s="119"/>
      <c r="F74" s="119" t="s">
        <v>339</v>
      </c>
      <c r="G74" s="119"/>
      <c r="H74" s="119"/>
      <c r="I74" s="119"/>
      <c r="J74" s="119"/>
      <c r="K74" s="141">
        <f>ROUND(AVERAGE(K58:K73),6)</f>
        <v>0</v>
      </c>
      <c r="L74" s="119"/>
      <c r="M74" s="132"/>
      <c r="N74" s="132"/>
    </row>
    <row r="75" spans="1:14">
      <c r="A75" s="133"/>
      <c r="B75" s="133"/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</row>
    <row r="76" spans="1:14">
      <c r="A76" s="133"/>
      <c r="B76" s="133"/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</row>
    <row r="77" spans="1:14">
      <c r="A77" s="135"/>
      <c r="B77" s="135"/>
      <c r="C77" s="139" t="s">
        <v>345</v>
      </c>
      <c r="D77" s="134"/>
      <c r="E77" s="134"/>
      <c r="F77" s="135"/>
      <c r="G77" s="135"/>
      <c r="H77" s="135"/>
      <c r="I77" s="135"/>
      <c r="J77" s="135"/>
      <c r="K77" s="135"/>
      <c r="L77" s="135"/>
      <c r="M77" s="135"/>
      <c r="N77" s="135"/>
    </row>
    <row r="78" spans="1:14">
      <c r="A78" s="133"/>
      <c r="B78" s="133"/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42" t="s">
        <v>341</v>
      </c>
      <c r="N78" s="142" t="s">
        <v>342</v>
      </c>
    </row>
    <row r="79" spans="1:14">
      <c r="A79" s="129">
        <v>45</v>
      </c>
      <c r="B79" s="119"/>
      <c r="C79" s="119" t="s">
        <v>319</v>
      </c>
      <c r="D79" s="126" t="s">
        <v>344</v>
      </c>
      <c r="E79" s="126"/>
      <c r="F79" s="136"/>
      <c r="G79" s="133"/>
      <c r="H79" s="133"/>
      <c r="I79" s="133"/>
      <c r="J79" s="133"/>
      <c r="K79" s="133"/>
      <c r="L79" s="133"/>
      <c r="M79" s="143">
        <v>1540050.6178830266</v>
      </c>
      <c r="N79" s="143">
        <v>-252540</v>
      </c>
    </row>
    <row r="80" spans="1:14">
      <c r="A80" s="129">
        <v>46</v>
      </c>
      <c r="B80" s="119"/>
      <c r="C80" s="119" t="s">
        <v>321</v>
      </c>
      <c r="D80" s="126" t="s">
        <v>322</v>
      </c>
      <c r="E80" s="126"/>
      <c r="F80" s="136"/>
      <c r="G80" s="133"/>
      <c r="H80" s="133"/>
      <c r="I80" s="133"/>
      <c r="J80" s="133"/>
      <c r="K80" s="133"/>
      <c r="L80" s="133"/>
      <c r="M80" s="150">
        <f>ROUND((1+$K$104)^18,2)</f>
        <v>1.07</v>
      </c>
      <c r="N80" s="150">
        <f>ROUND((1+$K$104)^18,2)</f>
        <v>1.07</v>
      </c>
    </row>
    <row r="81" spans="1:14">
      <c r="A81" s="129">
        <v>47</v>
      </c>
      <c r="B81" s="119"/>
      <c r="C81" s="119" t="s">
        <v>323</v>
      </c>
      <c r="D81" s="126" t="s">
        <v>387</v>
      </c>
      <c r="E81" s="126"/>
      <c r="F81" s="136"/>
      <c r="G81" s="133"/>
      <c r="H81" s="133"/>
      <c r="I81" s="133"/>
      <c r="J81" s="133"/>
      <c r="K81" s="133"/>
      <c r="L81" s="133"/>
      <c r="M81" s="151">
        <f>+M79*M80</f>
        <v>1647854.1611348386</v>
      </c>
      <c r="N81" s="151">
        <f>+N79*N80</f>
        <v>-270217.8</v>
      </c>
    </row>
    <row r="82" spans="1:14">
      <c r="A82" s="129">
        <v>48</v>
      </c>
      <c r="B82" s="119"/>
      <c r="C82" s="119"/>
      <c r="D82" s="121"/>
      <c r="E82" s="121"/>
      <c r="F82" s="121"/>
      <c r="G82" s="121"/>
      <c r="H82" s="121"/>
      <c r="I82" s="121"/>
      <c r="J82" s="121"/>
      <c r="K82" s="121"/>
      <c r="L82" s="133"/>
      <c r="M82" s="133"/>
      <c r="N82" s="133"/>
    </row>
    <row r="83" spans="1:14">
      <c r="A83" s="129">
        <v>49</v>
      </c>
      <c r="B83" s="119"/>
      <c r="C83" s="119"/>
      <c r="D83" s="119"/>
      <c r="E83" s="119" t="s">
        <v>275</v>
      </c>
      <c r="F83" s="119" t="s">
        <v>325</v>
      </c>
      <c r="G83" s="119"/>
      <c r="H83" s="119"/>
      <c r="I83" s="119"/>
      <c r="J83" s="119"/>
      <c r="K83" s="119"/>
      <c r="L83" s="133"/>
      <c r="M83" s="133"/>
      <c r="N83" s="133"/>
    </row>
    <row r="84" spans="1:14">
      <c r="A84" s="129">
        <v>50</v>
      </c>
      <c r="B84" s="119"/>
      <c r="C84" s="119"/>
      <c r="D84" s="119"/>
      <c r="E84" s="119"/>
      <c r="F84" s="119"/>
      <c r="G84" s="119"/>
      <c r="H84" s="119"/>
      <c r="I84" s="119"/>
      <c r="J84" s="119"/>
      <c r="K84" s="119"/>
      <c r="L84" s="133"/>
      <c r="M84" s="133"/>
      <c r="N84" s="133"/>
    </row>
    <row r="85" spans="1:14">
      <c r="A85" s="129">
        <v>51</v>
      </c>
      <c r="B85" s="119"/>
      <c r="C85" s="119"/>
      <c r="D85" s="146" t="s">
        <v>326</v>
      </c>
      <c r="E85" s="119"/>
      <c r="F85" s="119"/>
      <c r="G85" s="119"/>
      <c r="H85" s="119"/>
      <c r="I85" s="119"/>
      <c r="J85" s="119"/>
      <c r="K85" s="119"/>
      <c r="L85" s="133"/>
      <c r="M85" s="133"/>
      <c r="N85" s="133"/>
    </row>
    <row r="86" spans="1:14">
      <c r="A86" s="129">
        <v>52</v>
      </c>
      <c r="B86" s="119"/>
      <c r="C86" s="119"/>
      <c r="D86" s="119"/>
      <c r="E86" s="119"/>
      <c r="F86" s="119"/>
      <c r="G86" s="119"/>
      <c r="H86" s="119"/>
      <c r="I86" s="119"/>
      <c r="J86" s="119"/>
      <c r="K86" s="144" t="s">
        <v>327</v>
      </c>
    </row>
    <row r="87" spans="1:14">
      <c r="A87" s="129">
        <v>53</v>
      </c>
      <c r="B87" s="119"/>
      <c r="C87" s="119"/>
      <c r="D87" s="119"/>
      <c r="E87" s="145" t="s">
        <v>281</v>
      </c>
      <c r="F87" s="115"/>
      <c r="G87" s="115"/>
      <c r="H87" s="145" t="s">
        <v>282</v>
      </c>
      <c r="I87" s="130"/>
      <c r="J87" s="119"/>
      <c r="K87" s="145" t="s">
        <v>328</v>
      </c>
    </row>
    <row r="88" spans="1:14">
      <c r="A88" s="129">
        <v>54</v>
      </c>
      <c r="B88" s="119"/>
      <c r="C88" s="119"/>
      <c r="D88" s="119"/>
      <c r="E88" s="119" t="s">
        <v>309</v>
      </c>
      <c r="F88" s="119"/>
      <c r="G88" s="119"/>
      <c r="H88" s="119" t="s">
        <v>329</v>
      </c>
      <c r="I88" s="119"/>
      <c r="J88" s="119"/>
      <c r="K88" s="140">
        <v>3.5999999999999999E-3</v>
      </c>
    </row>
    <row r="89" spans="1:14">
      <c r="A89" s="129">
        <v>55</v>
      </c>
      <c r="B89" s="119"/>
      <c r="C89" s="119"/>
      <c r="D89" s="119"/>
      <c r="E89" s="119" t="s">
        <v>330</v>
      </c>
      <c r="F89" s="119"/>
      <c r="G89" s="119"/>
      <c r="H89" s="119" t="s">
        <v>329</v>
      </c>
      <c r="I89" s="119"/>
      <c r="J89" s="119"/>
      <c r="K89" s="140">
        <v>3.3E-3</v>
      </c>
    </row>
    <row r="90" spans="1:14">
      <c r="A90" s="129">
        <v>56</v>
      </c>
      <c r="B90" s="119"/>
      <c r="C90" s="119"/>
      <c r="D90" s="119"/>
      <c r="E90" s="119" t="s">
        <v>331</v>
      </c>
      <c r="F90" s="119"/>
      <c r="G90" s="119"/>
      <c r="H90" s="119" t="s">
        <v>329</v>
      </c>
      <c r="I90" s="119"/>
      <c r="J90" s="119"/>
      <c r="K90" s="140">
        <v>3.5999999999999999E-3</v>
      </c>
    </row>
    <row r="91" spans="1:14">
      <c r="A91" s="129">
        <v>57</v>
      </c>
      <c r="B91" s="119"/>
      <c r="C91" s="119"/>
      <c r="D91" s="119"/>
      <c r="E91" s="119" t="s">
        <v>332</v>
      </c>
      <c r="F91" s="119"/>
      <c r="G91" s="119"/>
      <c r="H91" s="119" t="s">
        <v>329</v>
      </c>
      <c r="I91" s="119"/>
      <c r="J91" s="119"/>
      <c r="K91" s="140">
        <v>3.7000000000000002E-3</v>
      </c>
    </row>
    <row r="92" spans="1:14">
      <c r="A92" s="129">
        <v>58</v>
      </c>
      <c r="B92" s="119"/>
      <c r="C92" s="119"/>
      <c r="D92" s="119"/>
      <c r="E92" s="119" t="s">
        <v>286</v>
      </c>
      <c r="F92" s="119"/>
      <c r="G92" s="119"/>
      <c r="H92" s="119" t="s">
        <v>329</v>
      </c>
      <c r="I92" s="119"/>
      <c r="J92" s="119"/>
      <c r="K92" s="140">
        <v>3.8E-3</v>
      </c>
    </row>
    <row r="93" spans="1:14">
      <c r="A93" s="129">
        <v>59</v>
      </c>
      <c r="B93" s="119"/>
      <c r="C93" s="119"/>
      <c r="D93" s="119"/>
      <c r="E93" s="119" t="s">
        <v>333</v>
      </c>
      <c r="F93" s="119"/>
      <c r="G93" s="119"/>
      <c r="H93" s="119" t="s">
        <v>329</v>
      </c>
      <c r="I93" s="119"/>
      <c r="J93" s="119"/>
      <c r="K93" s="140">
        <v>3.7000000000000002E-3</v>
      </c>
    </row>
    <row r="94" spans="1:14">
      <c r="A94" s="129">
        <v>60</v>
      </c>
      <c r="B94" s="119"/>
      <c r="C94" s="119"/>
      <c r="D94" s="119"/>
      <c r="E94" s="119" t="s">
        <v>334</v>
      </c>
      <c r="F94" s="119"/>
      <c r="G94" s="119"/>
      <c r="H94" s="119" t="s">
        <v>329</v>
      </c>
      <c r="I94" s="119"/>
      <c r="J94" s="119"/>
      <c r="K94" s="140">
        <v>4.0000000000000001E-3</v>
      </c>
    </row>
    <row r="95" spans="1:14">
      <c r="A95" s="129">
        <v>61</v>
      </c>
      <c r="B95" s="119"/>
      <c r="C95" s="119"/>
      <c r="D95" s="119"/>
      <c r="E95" s="119" t="s">
        <v>335</v>
      </c>
      <c r="F95" s="119"/>
      <c r="G95" s="119"/>
      <c r="H95" s="119" t="s">
        <v>329</v>
      </c>
      <c r="I95" s="119"/>
      <c r="J95" s="119"/>
      <c r="K95" s="140">
        <v>4.0000000000000001E-3</v>
      </c>
    </row>
    <row r="96" spans="1:14">
      <c r="A96" s="129">
        <v>62</v>
      </c>
      <c r="B96" s="119"/>
      <c r="C96" s="119"/>
      <c r="D96" s="119"/>
      <c r="E96" s="119" t="s">
        <v>297</v>
      </c>
      <c r="F96" s="119"/>
      <c r="G96" s="119"/>
      <c r="H96" s="119" t="s">
        <v>329</v>
      </c>
      <c r="I96" s="119"/>
      <c r="J96" s="119"/>
      <c r="K96" s="140">
        <v>3.8999999999999998E-3</v>
      </c>
    </row>
    <row r="97" spans="1:11">
      <c r="A97" s="129">
        <v>63</v>
      </c>
      <c r="B97" s="119"/>
      <c r="C97" s="119"/>
      <c r="D97" s="119"/>
      <c r="E97" s="119" t="s">
        <v>306</v>
      </c>
      <c r="F97" s="119"/>
      <c r="G97" s="119"/>
      <c r="H97" s="119" t="s">
        <v>329</v>
      </c>
      <c r="I97" s="119"/>
      <c r="J97" s="119"/>
      <c r="K97" s="140">
        <v>4.1999999999999997E-3</v>
      </c>
    </row>
    <row r="98" spans="1:11">
      <c r="A98" s="129">
        <v>64</v>
      </c>
      <c r="B98" s="119"/>
      <c r="C98" s="119"/>
      <c r="D98" s="119"/>
      <c r="E98" s="119" t="s">
        <v>336</v>
      </c>
      <c r="F98" s="119"/>
      <c r="G98" s="119"/>
      <c r="H98" s="119" t="s">
        <v>329</v>
      </c>
      <c r="I98" s="119"/>
      <c r="J98" s="119"/>
      <c r="K98" s="140">
        <v>4.1000000000000003E-3</v>
      </c>
    </row>
    <row r="99" spans="1:11">
      <c r="A99" s="129">
        <v>65</v>
      </c>
      <c r="B99" s="119"/>
      <c r="C99" s="119"/>
      <c r="D99" s="119"/>
      <c r="E99" s="119" t="s">
        <v>337</v>
      </c>
      <c r="F99" s="119"/>
      <c r="G99" s="119"/>
      <c r="H99" s="119" t="s">
        <v>329</v>
      </c>
      <c r="I99" s="119"/>
      <c r="J99" s="119"/>
      <c r="K99" s="140">
        <v>4.1999999999999997E-3</v>
      </c>
    </row>
    <row r="100" spans="1:11">
      <c r="A100" s="129">
        <v>66</v>
      </c>
      <c r="B100" s="119"/>
      <c r="C100" s="119"/>
      <c r="D100" s="119"/>
      <c r="E100" s="119" t="s">
        <v>309</v>
      </c>
      <c r="F100" s="119"/>
      <c r="G100" s="119"/>
      <c r="H100" s="119" t="s">
        <v>338</v>
      </c>
      <c r="I100" s="119"/>
      <c r="J100" s="119"/>
      <c r="K100" s="140">
        <v>4.4000000000000003E-3</v>
      </c>
    </row>
    <row r="101" spans="1:11">
      <c r="A101" s="129">
        <v>67</v>
      </c>
      <c r="B101" s="119"/>
      <c r="C101" s="119"/>
      <c r="D101" s="119"/>
      <c r="E101" s="119" t="s">
        <v>330</v>
      </c>
      <c r="F101" s="119"/>
      <c r="G101" s="119"/>
      <c r="H101" s="119" t="s">
        <v>338</v>
      </c>
      <c r="I101" s="119"/>
      <c r="J101" s="119"/>
      <c r="K101" s="140">
        <v>4.0000000000000001E-3</v>
      </c>
    </row>
    <row r="102" spans="1:11">
      <c r="A102" s="129">
        <v>68</v>
      </c>
      <c r="B102" s="119"/>
      <c r="C102" s="119"/>
      <c r="D102" s="119"/>
      <c r="E102" s="119" t="s">
        <v>331</v>
      </c>
      <c r="F102" s="119"/>
      <c r="G102" s="119"/>
      <c r="H102" s="119" t="s">
        <v>338</v>
      </c>
      <c r="I102" s="119"/>
      <c r="J102" s="119"/>
      <c r="K102" s="140">
        <v>4.4000000000000003E-3</v>
      </c>
    </row>
    <row r="103" spans="1:11">
      <c r="A103" s="129">
        <v>69</v>
      </c>
      <c r="B103" s="119"/>
      <c r="C103" s="119"/>
      <c r="D103" s="119"/>
      <c r="E103" s="119" t="s">
        <v>332</v>
      </c>
      <c r="F103" s="119"/>
      <c r="G103" s="119"/>
      <c r="H103" s="119" t="s">
        <v>338</v>
      </c>
      <c r="I103" s="119"/>
      <c r="J103" s="119"/>
      <c r="K103" s="140">
        <v>4.4999999999999997E-3</v>
      </c>
    </row>
    <row r="104" spans="1:11">
      <c r="A104" s="129">
        <v>70</v>
      </c>
      <c r="B104" s="119"/>
      <c r="C104" s="119"/>
      <c r="D104" s="119"/>
      <c r="E104" s="119"/>
      <c r="F104" s="119" t="s">
        <v>339</v>
      </c>
      <c r="G104" s="119"/>
      <c r="H104" s="119"/>
      <c r="I104" s="119"/>
      <c r="J104" s="119"/>
      <c r="K104" s="141">
        <f>ROUND(AVERAGE(K88:K103),6)</f>
        <v>3.9630000000000004E-3</v>
      </c>
    </row>
  </sheetData>
  <mergeCells count="1">
    <mergeCell ref="A2:O2"/>
  </mergeCells>
  <pageMargins left="0.7" right="0.7" top="0.75" bottom="0.75" header="0.3" footer="0.3"/>
  <pageSetup scale="60" fitToHeight="2" orientation="portrait" verticalDpi="1200" r:id="rId1"/>
  <headerFooter>
    <oddHeader>&amp;L&amp;8 2016 BHP Attachment H Supplemental Supporting Schedules&amp;C&amp;"Arial MT,Bold"&amp;10
ACTUAL SERVICE YEAR ATRR
BLACK HILLS POWER, INC.
SUPPORTING SCHEDULES&amp;R&amp;10Page &amp;P of &amp;N</oddHeader>
  </headerFooter>
  <rowBreaks count="1" manualBreakCount="1">
    <brk id="7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19"/>
  <sheetViews>
    <sheetView zoomScaleNormal="100" workbookViewId="0">
      <selection activeCell="E20" sqref="E20"/>
    </sheetView>
  </sheetViews>
  <sheetFormatPr defaultColWidth="7.109375" defaultRowHeight="12.75"/>
  <cols>
    <col min="1" max="1" width="5.5546875" style="1" customWidth="1"/>
    <col min="2" max="2" width="35.5546875" style="1" customWidth="1"/>
    <col min="3" max="3" width="14.77734375" style="1" customWidth="1"/>
    <col min="4" max="4" width="11.109375" style="2" customWidth="1"/>
    <col min="5" max="5" width="7.109375" style="1"/>
    <col min="6" max="6" width="8.77734375" style="1" bestFit="1" customWidth="1"/>
    <col min="7" max="16384" width="7.109375" style="1"/>
  </cols>
  <sheetData>
    <row r="3" spans="1:8">
      <c r="C3" s="156" t="s">
        <v>347</v>
      </c>
      <c r="D3" s="157">
        <v>2018</v>
      </c>
      <c r="F3" s="3"/>
    </row>
    <row r="4" spans="1:8">
      <c r="A4" s="274" t="s">
        <v>0</v>
      </c>
      <c r="B4" s="274"/>
      <c r="C4" s="274"/>
      <c r="D4" s="274"/>
      <c r="F4" s="4"/>
    </row>
    <row r="5" spans="1:8">
      <c r="A5" s="274" t="s">
        <v>1</v>
      </c>
      <c r="B5" s="274"/>
      <c r="C5" s="274"/>
      <c r="D5" s="274"/>
    </row>
    <row r="6" spans="1:8" s="5" customFormat="1">
      <c r="A6" s="274" t="s">
        <v>2</v>
      </c>
      <c r="B6" s="274"/>
      <c r="C6" s="274"/>
      <c r="D6" s="274"/>
    </row>
    <row r="7" spans="1:8">
      <c r="B7" s="275"/>
      <c r="C7" s="276"/>
      <c r="D7" s="276"/>
    </row>
    <row r="8" spans="1:8">
      <c r="A8" s="6" t="s">
        <v>3</v>
      </c>
      <c r="C8" s="7" t="s">
        <v>4</v>
      </c>
      <c r="D8" s="8"/>
    </row>
    <row r="9" spans="1:8">
      <c r="A9" s="9" t="s">
        <v>5</v>
      </c>
      <c r="C9" s="10" t="s">
        <v>6</v>
      </c>
      <c r="D9" s="11" t="s">
        <v>7</v>
      </c>
    </row>
    <row r="10" spans="1:8">
      <c r="A10" s="12">
        <v>1</v>
      </c>
      <c r="B10" s="5" t="s">
        <v>8</v>
      </c>
      <c r="C10" s="1" t="s">
        <v>9</v>
      </c>
      <c r="D10" s="15">
        <v>167690</v>
      </c>
      <c r="E10" s="19"/>
      <c r="F10" s="19"/>
      <c r="G10" s="19"/>
      <c r="H10" s="19"/>
    </row>
    <row r="11" spans="1:8">
      <c r="A11" s="12">
        <v>2</v>
      </c>
      <c r="B11" s="1" t="s">
        <v>10</v>
      </c>
      <c r="C11" s="19" t="s">
        <v>385</v>
      </c>
      <c r="D11" s="15">
        <f>725358-399049</f>
        <v>326309</v>
      </c>
      <c r="E11" s="19"/>
      <c r="F11" s="189"/>
      <c r="G11" s="19"/>
      <c r="H11" s="190"/>
    </row>
    <row r="12" spans="1:8">
      <c r="A12" s="12">
        <v>3</v>
      </c>
      <c r="B12" s="1" t="s">
        <v>11</v>
      </c>
      <c r="C12" s="1" t="s">
        <v>12</v>
      </c>
      <c r="D12" s="15">
        <v>304671.17000000004</v>
      </c>
      <c r="F12" s="15"/>
    </row>
    <row r="13" spans="1:8" ht="14.25">
      <c r="A13" s="12">
        <v>4</v>
      </c>
      <c r="B13" s="1" t="s">
        <v>13</v>
      </c>
      <c r="C13" s="14" t="s">
        <v>55</v>
      </c>
      <c r="D13" s="15">
        <v>-799.09</v>
      </c>
      <c r="F13" s="158"/>
    </row>
    <row r="14" spans="1:8" ht="13.5" thickBot="1">
      <c r="A14" s="12">
        <v>5</v>
      </c>
      <c r="B14" s="16" t="s">
        <v>14</v>
      </c>
      <c r="D14" s="17">
        <f>SUM(D10:D13)</f>
        <v>797871.08000000007</v>
      </c>
      <c r="G14" s="158"/>
    </row>
    <row r="15" spans="1:8" ht="13.5" thickTop="1">
      <c r="A15" s="12">
        <v>6</v>
      </c>
    </row>
    <row r="16" spans="1:8">
      <c r="A16" s="12">
        <v>7</v>
      </c>
    </row>
    <row r="17" spans="1:8">
      <c r="A17" s="12">
        <v>8</v>
      </c>
      <c r="B17" s="18" t="s">
        <v>15</v>
      </c>
      <c r="D17" s="13"/>
      <c r="G17" s="159"/>
    </row>
    <row r="18" spans="1:8">
      <c r="A18" s="12">
        <v>9</v>
      </c>
      <c r="D18" s="13"/>
      <c r="H18" s="159"/>
    </row>
    <row r="19" spans="1:8">
      <c r="A19" s="12">
        <v>10</v>
      </c>
      <c r="B19" s="1" t="s">
        <v>16</v>
      </c>
      <c r="C19" s="14"/>
      <c r="D19" s="15"/>
    </row>
    <row r="20" spans="1:8" ht="12.75" customHeight="1">
      <c r="A20" s="12">
        <v>11</v>
      </c>
      <c r="C20" s="14"/>
      <c r="D20" s="15"/>
      <c r="H20" s="159"/>
    </row>
    <row r="21" spans="1:8">
      <c r="A21" s="12">
        <v>12</v>
      </c>
      <c r="C21" s="14"/>
      <c r="D21" s="15"/>
    </row>
    <row r="22" spans="1:8">
      <c r="A22" s="12">
        <v>13</v>
      </c>
      <c r="C22" s="19"/>
      <c r="D22" s="20"/>
    </row>
    <row r="23" spans="1:8" ht="16.5" customHeight="1">
      <c r="A23" s="12">
        <v>14</v>
      </c>
      <c r="B23" s="1" t="s">
        <v>17</v>
      </c>
      <c r="C23" s="21"/>
      <c r="D23" s="22">
        <f>SUM(D19:D22)</f>
        <v>0</v>
      </c>
    </row>
    <row r="24" spans="1:8">
      <c r="A24" s="12">
        <v>15</v>
      </c>
      <c r="B24" s="19"/>
      <c r="C24" s="19"/>
      <c r="D24" s="15"/>
      <c r="E24" s="19"/>
      <c r="F24" s="19"/>
      <c r="G24" s="19"/>
    </row>
    <row r="25" spans="1:8" ht="13.5" thickBot="1">
      <c r="A25" s="12">
        <v>16</v>
      </c>
      <c r="B25" s="5" t="s">
        <v>18</v>
      </c>
      <c r="D25" s="17">
        <f>+D23/3</f>
        <v>0</v>
      </c>
      <c r="E25" s="19"/>
      <c r="F25" s="19"/>
      <c r="G25" s="19"/>
    </row>
    <row r="26" spans="1:8" ht="13.5" thickTop="1">
      <c r="A26" s="12">
        <v>17</v>
      </c>
      <c r="B26" s="5"/>
      <c r="D26" s="37"/>
      <c r="E26" s="19"/>
      <c r="F26" s="19"/>
      <c r="G26" s="19"/>
    </row>
    <row r="27" spans="1:8">
      <c r="A27" s="12">
        <v>18</v>
      </c>
      <c r="B27" s="5"/>
      <c r="D27" s="37"/>
      <c r="E27" s="19"/>
      <c r="F27" s="19"/>
      <c r="G27" s="19"/>
    </row>
    <row r="28" spans="1:8">
      <c r="A28" s="12">
        <v>19</v>
      </c>
      <c r="B28" s="18" t="s">
        <v>50</v>
      </c>
      <c r="D28" s="37"/>
      <c r="E28" s="19"/>
      <c r="F28" s="19"/>
      <c r="G28" s="19"/>
    </row>
    <row r="29" spans="1:8" ht="14.25">
      <c r="A29" s="12">
        <v>20</v>
      </c>
      <c r="B29" s="1" t="s">
        <v>53</v>
      </c>
      <c r="C29" s="14" t="s">
        <v>56</v>
      </c>
      <c r="D29" s="15">
        <v>0</v>
      </c>
      <c r="E29" s="19"/>
      <c r="F29" s="19"/>
      <c r="G29" s="19"/>
    </row>
    <row r="30" spans="1:8" ht="14.25">
      <c r="A30" s="12">
        <v>21</v>
      </c>
      <c r="B30" s="1" t="s">
        <v>54</v>
      </c>
      <c r="C30" s="14" t="s">
        <v>56</v>
      </c>
      <c r="D30" s="15">
        <v>211473</v>
      </c>
      <c r="E30" s="19"/>
      <c r="F30" s="19"/>
      <c r="G30" s="19"/>
    </row>
    <row r="31" spans="1:8" ht="13.5" thickBot="1">
      <c r="A31" s="12">
        <v>22</v>
      </c>
      <c r="B31" s="5" t="s">
        <v>50</v>
      </c>
      <c r="D31" s="17">
        <f>SUM(D29:D30)</f>
        <v>211473</v>
      </c>
      <c r="E31" s="19"/>
      <c r="F31" s="19"/>
      <c r="G31" s="19"/>
    </row>
    <row r="32" spans="1:8" ht="13.5" thickTop="1">
      <c r="A32" s="154">
        <v>23</v>
      </c>
      <c r="B32" s="5"/>
      <c r="D32" s="37"/>
      <c r="E32" s="19"/>
      <c r="F32" s="19"/>
      <c r="G32" s="19"/>
    </row>
    <row r="33" spans="1:7">
      <c r="A33" s="154">
        <v>24</v>
      </c>
      <c r="B33" s="5" t="s">
        <v>52</v>
      </c>
      <c r="D33" s="37"/>
      <c r="E33" s="19"/>
      <c r="F33" s="19"/>
      <c r="G33" s="19"/>
    </row>
    <row r="34" spans="1:7">
      <c r="A34" s="154">
        <v>25</v>
      </c>
      <c r="B34" s="1" t="s">
        <v>57</v>
      </c>
    </row>
    <row r="35" spans="1:7">
      <c r="A35" s="154">
        <v>26</v>
      </c>
      <c r="B35" s="5" t="s">
        <v>19</v>
      </c>
      <c r="D35" s="1"/>
    </row>
    <row r="36" spans="1:7">
      <c r="A36" s="154">
        <v>27</v>
      </c>
      <c r="B36" s="1" t="s">
        <v>58</v>
      </c>
    </row>
    <row r="37" spans="1:7">
      <c r="A37" s="154">
        <v>28</v>
      </c>
      <c r="B37" s="5" t="s">
        <v>59</v>
      </c>
    </row>
    <row r="118" spans="7:8">
      <c r="G118" s="1" t="s">
        <v>20</v>
      </c>
      <c r="H118" s="1">
        <f>+J187</f>
        <v>0</v>
      </c>
    </row>
    <row r="119" spans="7:8">
      <c r="H119" s="1">
        <f>+H118</f>
        <v>0</v>
      </c>
    </row>
  </sheetData>
  <mergeCells count="4">
    <mergeCell ref="A4:D4"/>
    <mergeCell ref="A5:D5"/>
    <mergeCell ref="A6:D6"/>
    <mergeCell ref="B7:D7"/>
  </mergeCells>
  <printOptions horizontalCentered="1"/>
  <pageMargins left="0.75" right="0.75" top="1" bottom="1" header="0.5" footer="0.5"/>
  <pageSetup orientation="portrait" r:id="rId1"/>
  <headerFooter alignWithMargins="0">
    <oddHeader>&amp;L&amp;8 2017 BHP-Workpaper 1 Supplemental Supporting Schedules&amp;C&amp;"Arial MT,Bold"&amp;10
ACTUAL SERVICE YEAR ATRR&amp;"Arial MT,Regular"&amp;12
&amp;"Arial MT,Bold"&amp;10BLACK HILLS POWER, INC.
SUPPORTING SCHEDULES&amp;R&amp;10Page 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15"/>
  <sheetViews>
    <sheetView zoomScaleNormal="100" workbookViewId="0">
      <selection activeCell="G36" sqref="G36"/>
    </sheetView>
  </sheetViews>
  <sheetFormatPr defaultColWidth="7.109375" defaultRowHeight="12.75"/>
  <cols>
    <col min="1" max="1" width="4.33203125" style="5" customWidth="1"/>
    <col min="2" max="2" width="8.21875" style="5" customWidth="1"/>
    <col min="3" max="3" width="35.77734375" style="5" customWidth="1"/>
    <col min="4" max="4" width="1.6640625" style="36" customWidth="1"/>
    <col min="5" max="5" width="11.6640625" style="5" bestFit="1" customWidth="1"/>
    <col min="6" max="6" width="1.88671875" style="5" customWidth="1"/>
    <col min="7" max="7" width="10.77734375" style="5" bestFit="1" customWidth="1"/>
    <col min="8" max="16384" width="7.109375" style="5"/>
  </cols>
  <sheetData>
    <row r="2" spans="1:7">
      <c r="B2" s="277"/>
      <c r="C2" s="274"/>
      <c r="D2" s="274"/>
    </row>
    <row r="3" spans="1:7">
      <c r="B3" s="155"/>
      <c r="C3" s="152"/>
      <c r="D3" s="152"/>
      <c r="F3" s="156" t="s">
        <v>347</v>
      </c>
      <c r="G3" s="157">
        <f>+'BHP WP1 A&amp;G'!D3</f>
        <v>2018</v>
      </c>
    </row>
    <row r="4" spans="1:7">
      <c r="A4" s="274" t="s">
        <v>21</v>
      </c>
      <c r="B4" s="274"/>
      <c r="C4" s="274"/>
      <c r="D4" s="274"/>
      <c r="E4" s="274"/>
      <c r="F4" s="274"/>
      <c r="G4" s="274"/>
    </row>
    <row r="5" spans="1:7">
      <c r="A5" s="274" t="s">
        <v>386</v>
      </c>
      <c r="B5" s="274"/>
      <c r="C5" s="274"/>
      <c r="D5" s="274"/>
      <c r="E5" s="274"/>
      <c r="F5" s="274"/>
      <c r="G5" s="274"/>
    </row>
    <row r="6" spans="1:7">
      <c r="A6" s="274" t="s">
        <v>2</v>
      </c>
      <c r="B6" s="274"/>
      <c r="C6" s="274"/>
      <c r="D6" s="274"/>
      <c r="E6" s="274"/>
      <c r="F6" s="274"/>
      <c r="G6" s="274"/>
    </row>
    <row r="7" spans="1:7">
      <c r="B7" s="23"/>
      <c r="C7" s="24"/>
      <c r="D7" s="24"/>
    </row>
    <row r="8" spans="1:7">
      <c r="A8" s="6" t="s">
        <v>3</v>
      </c>
      <c r="D8" s="25"/>
      <c r="E8" s="25"/>
    </row>
    <row r="9" spans="1:7">
      <c r="A9" s="6" t="s">
        <v>5</v>
      </c>
      <c r="D9" s="26"/>
      <c r="E9" s="7" t="s">
        <v>22</v>
      </c>
      <c r="F9" s="7"/>
      <c r="G9" s="7" t="s">
        <v>23</v>
      </c>
    </row>
    <row r="10" spans="1:7">
      <c r="A10" s="27"/>
      <c r="B10" s="28"/>
      <c r="C10" s="28"/>
      <c r="D10" s="28"/>
      <c r="E10" s="28"/>
      <c r="F10" s="28"/>
      <c r="G10" s="29" t="s">
        <v>24</v>
      </c>
    </row>
    <row r="11" spans="1:7">
      <c r="B11" s="30" t="s">
        <v>25</v>
      </c>
      <c r="C11" s="30" t="s">
        <v>26</v>
      </c>
      <c r="D11" s="28"/>
      <c r="E11" s="30" t="s">
        <v>27</v>
      </c>
      <c r="F11" s="28"/>
      <c r="G11" s="30" t="s">
        <v>28</v>
      </c>
    </row>
    <row r="12" spans="1:7">
      <c r="A12" s="6">
        <v>1</v>
      </c>
      <c r="B12" s="29">
        <v>354</v>
      </c>
      <c r="C12" s="28" t="s">
        <v>29</v>
      </c>
      <c r="D12" s="28"/>
      <c r="E12" s="194">
        <v>466725.14</v>
      </c>
      <c r="F12" s="195"/>
      <c r="G12" s="195"/>
    </row>
    <row r="13" spans="1:7" ht="12.75" customHeight="1">
      <c r="A13" s="6">
        <v>2</v>
      </c>
      <c r="B13" s="29">
        <v>355</v>
      </c>
      <c r="C13" s="28" t="s">
        <v>30</v>
      </c>
      <c r="D13" s="28"/>
      <c r="E13" s="194">
        <v>75830727.760000005</v>
      </c>
      <c r="F13" s="195"/>
      <c r="G13" s="195"/>
    </row>
    <row r="14" spans="1:7">
      <c r="A14" s="6">
        <v>3</v>
      </c>
      <c r="B14" s="29">
        <v>356</v>
      </c>
      <c r="C14" s="28" t="s">
        <v>31</v>
      </c>
      <c r="D14" s="28"/>
      <c r="E14" s="194">
        <v>53921080.950000003</v>
      </c>
      <c r="F14" s="195"/>
      <c r="G14" s="195"/>
    </row>
    <row r="15" spans="1:7">
      <c r="A15" s="6">
        <v>4</v>
      </c>
      <c r="B15" s="29">
        <v>359</v>
      </c>
      <c r="C15" s="28" t="s">
        <v>32</v>
      </c>
      <c r="D15" s="28"/>
      <c r="E15" s="194">
        <v>6920.2800000000007</v>
      </c>
      <c r="F15" s="195"/>
      <c r="G15" s="195"/>
    </row>
    <row r="16" spans="1:7">
      <c r="A16" s="6">
        <v>5</v>
      </c>
      <c r="B16" s="28"/>
      <c r="C16" s="31" t="s">
        <v>33</v>
      </c>
      <c r="D16" s="28"/>
      <c r="E16" s="196">
        <f>SUM(E12:E15)</f>
        <v>130225454.13000001</v>
      </c>
      <c r="F16" s="195"/>
      <c r="G16" s="197">
        <v>26799752.387683813</v>
      </c>
    </row>
    <row r="17" spans="1:7">
      <c r="A17" s="6">
        <v>6</v>
      </c>
      <c r="B17" s="28"/>
      <c r="C17" s="31"/>
      <c r="D17" s="28"/>
      <c r="E17" s="198"/>
      <c r="F17" s="195"/>
      <c r="G17" s="198"/>
    </row>
    <row r="18" spans="1:7">
      <c r="A18" s="6">
        <v>7</v>
      </c>
      <c r="B18" s="29">
        <v>353</v>
      </c>
      <c r="C18" s="32" t="s">
        <v>34</v>
      </c>
      <c r="D18" s="33"/>
      <c r="E18" s="194">
        <v>31562220.785350002</v>
      </c>
      <c r="F18" s="194"/>
      <c r="G18" s="194">
        <v>10945279.628174219</v>
      </c>
    </row>
    <row r="19" spans="1:7">
      <c r="A19" s="6">
        <v>9</v>
      </c>
      <c r="B19" s="29">
        <v>352</v>
      </c>
      <c r="C19" s="32" t="s">
        <v>35</v>
      </c>
      <c r="D19" s="33"/>
      <c r="E19" s="194">
        <v>777038.61822999991</v>
      </c>
      <c r="F19" s="194"/>
      <c r="G19" s="194">
        <v>449194.99079425214</v>
      </c>
    </row>
    <row r="20" spans="1:7">
      <c r="A20" s="6">
        <v>10</v>
      </c>
      <c r="B20" s="28"/>
      <c r="C20" s="28" t="s">
        <v>36</v>
      </c>
      <c r="D20" s="28"/>
      <c r="E20" s="196">
        <f>SUM(E16:E19)</f>
        <v>162564713.53358001</v>
      </c>
      <c r="F20" s="195"/>
      <c r="G20" s="196">
        <f>SUM(G16:G19)</f>
        <v>38194227.006652281</v>
      </c>
    </row>
    <row r="21" spans="1:7">
      <c r="A21" s="6">
        <v>11</v>
      </c>
      <c r="B21" s="28"/>
      <c r="C21" s="28"/>
      <c r="D21" s="28"/>
      <c r="E21" s="195"/>
      <c r="F21" s="195"/>
      <c r="G21" s="195"/>
    </row>
    <row r="22" spans="1:7">
      <c r="A22" s="6">
        <v>12</v>
      </c>
      <c r="B22" s="34">
        <v>350</v>
      </c>
      <c r="C22" s="31" t="s">
        <v>37</v>
      </c>
      <c r="D22" s="28"/>
      <c r="E22" s="194">
        <v>18553749.68</v>
      </c>
      <c r="F22" s="195"/>
      <c r="G22" s="195"/>
    </row>
    <row r="23" spans="1:7">
      <c r="A23" s="6">
        <v>13</v>
      </c>
      <c r="B23" s="29">
        <v>350</v>
      </c>
      <c r="C23" s="32" t="s">
        <v>38</v>
      </c>
      <c r="D23" s="33"/>
      <c r="E23" s="199">
        <v>236019.86</v>
      </c>
      <c r="F23" s="33"/>
      <c r="G23" s="33"/>
    </row>
    <row r="24" spans="1:7">
      <c r="A24" s="6">
        <v>14</v>
      </c>
      <c r="B24" s="28"/>
      <c r="C24" s="28"/>
      <c r="D24" s="28"/>
      <c r="E24" s="33"/>
      <c r="F24" s="33"/>
      <c r="G24" s="33"/>
    </row>
    <row r="25" spans="1:7">
      <c r="A25" s="6">
        <v>15</v>
      </c>
      <c r="B25" s="28"/>
      <c r="C25" s="28" t="s">
        <v>39</v>
      </c>
      <c r="D25" s="35"/>
      <c r="E25" s="195">
        <f>E20+E22+E23</f>
        <v>181354483.07358003</v>
      </c>
      <c r="F25" s="33"/>
      <c r="G25" s="195">
        <f>G20+G22+G23</f>
        <v>38194227.006652281</v>
      </c>
    </row>
    <row r="26" spans="1:7">
      <c r="A26" s="6">
        <v>16</v>
      </c>
      <c r="B26" s="28"/>
      <c r="C26" s="28"/>
      <c r="D26" s="28"/>
      <c r="E26" s="195"/>
      <c r="F26" s="195"/>
      <c r="G26" s="195"/>
    </row>
    <row r="27" spans="1:7">
      <c r="A27" s="6">
        <v>17</v>
      </c>
      <c r="B27" s="29">
        <v>352</v>
      </c>
      <c r="C27" s="28" t="s">
        <v>40</v>
      </c>
      <c r="D27" s="28"/>
      <c r="E27" s="194">
        <v>29047.102070000001</v>
      </c>
      <c r="F27" s="195"/>
      <c r="G27" s="195"/>
    </row>
    <row r="28" spans="1:7">
      <c r="A28" s="6">
        <v>18</v>
      </c>
      <c r="B28" s="29">
        <v>353</v>
      </c>
      <c r="C28" s="28" t="s">
        <v>40</v>
      </c>
      <c r="D28" s="28"/>
      <c r="E28" s="194">
        <v>917737.73371000018</v>
      </c>
      <c r="F28" s="195"/>
      <c r="G28" s="195"/>
    </row>
    <row r="29" spans="1:7">
      <c r="A29" s="6">
        <v>19</v>
      </c>
      <c r="B29" s="29">
        <v>355</v>
      </c>
      <c r="C29" s="28" t="s">
        <v>40</v>
      </c>
      <c r="D29" s="28"/>
      <c r="E29" s="194">
        <v>257365.58</v>
      </c>
      <c r="F29" s="195"/>
      <c r="G29" s="195"/>
    </row>
    <row r="30" spans="1:7">
      <c r="A30" s="6">
        <v>20</v>
      </c>
      <c r="B30" s="29">
        <v>356</v>
      </c>
      <c r="C30" s="28" t="s">
        <v>40</v>
      </c>
      <c r="D30" s="28"/>
      <c r="E30" s="194">
        <v>207251.595</v>
      </c>
      <c r="F30" s="195"/>
      <c r="G30" s="195"/>
    </row>
    <row r="31" spans="1:7">
      <c r="A31" s="6">
        <v>21</v>
      </c>
      <c r="B31" s="28"/>
      <c r="C31" s="31" t="s">
        <v>41</v>
      </c>
      <c r="D31" s="28"/>
      <c r="E31" s="196">
        <f>SUM(E27:E30)</f>
        <v>1411402.0107800001</v>
      </c>
      <c r="F31" s="195"/>
      <c r="G31" s="197">
        <v>533579.55548258102</v>
      </c>
    </row>
    <row r="32" spans="1:7">
      <c r="A32" s="6">
        <v>22</v>
      </c>
      <c r="B32" s="28"/>
      <c r="C32" s="31"/>
      <c r="D32" s="28"/>
      <c r="E32" s="198"/>
      <c r="F32" s="195"/>
      <c r="G32" s="198"/>
    </row>
    <row r="33" spans="1:7">
      <c r="A33" s="6">
        <v>23</v>
      </c>
      <c r="B33" s="35" t="s">
        <v>42</v>
      </c>
      <c r="C33" s="31"/>
      <c r="D33" s="28"/>
      <c r="E33" s="200">
        <f>+E31+E25</f>
        <v>182765885.08436003</v>
      </c>
      <c r="F33" s="195"/>
      <c r="G33" s="200">
        <f>+G31+G25</f>
        <v>38727806.562134862</v>
      </c>
    </row>
    <row r="34" spans="1:7">
      <c r="A34" s="6">
        <v>24</v>
      </c>
      <c r="B34" s="35"/>
      <c r="C34" s="31"/>
      <c r="D34" s="28"/>
      <c r="E34" s="196"/>
      <c r="F34" s="195"/>
      <c r="G34" s="198"/>
    </row>
    <row r="35" spans="1:7">
      <c r="A35" s="6">
        <v>25</v>
      </c>
      <c r="B35" s="28" t="s">
        <v>43</v>
      </c>
      <c r="C35" s="31"/>
      <c r="D35" s="28"/>
      <c r="E35" s="201">
        <v>208155662</v>
      </c>
      <c r="F35" s="202"/>
      <c r="G35" s="201">
        <v>47708256</v>
      </c>
    </row>
    <row r="36" spans="1:7">
      <c r="A36" s="6">
        <v>26</v>
      </c>
      <c r="B36" s="28"/>
      <c r="C36" s="31"/>
      <c r="D36" s="28"/>
      <c r="E36" s="198"/>
      <c r="F36" s="195"/>
      <c r="G36" s="196"/>
    </row>
    <row r="37" spans="1:7" ht="13.5" thickBot="1">
      <c r="A37" s="6">
        <v>27</v>
      </c>
      <c r="B37" s="28"/>
      <c r="C37" s="28" t="s">
        <v>44</v>
      </c>
      <c r="D37" s="28"/>
      <c r="E37" s="203">
        <f>+E35-E33</f>
        <v>25389776.915639967</v>
      </c>
      <c r="F37" s="195"/>
      <c r="G37" s="203">
        <f>+G35-G33</f>
        <v>8980449.4378651381</v>
      </c>
    </row>
    <row r="38" spans="1:7" ht="13.5" thickTop="1">
      <c r="A38" s="6">
        <v>28</v>
      </c>
      <c r="B38" s="28"/>
      <c r="C38" s="31"/>
      <c r="D38" s="28"/>
      <c r="E38" s="198"/>
      <c r="F38" s="195"/>
      <c r="G38" s="198"/>
    </row>
    <row r="39" spans="1:7">
      <c r="A39" s="6">
        <v>29</v>
      </c>
      <c r="B39" s="29">
        <v>362</v>
      </c>
      <c r="C39" s="28" t="s">
        <v>40</v>
      </c>
      <c r="D39" s="28"/>
      <c r="E39" s="204">
        <v>5512047.1199999992</v>
      </c>
      <c r="F39" s="194"/>
      <c r="G39" s="204">
        <v>2559925.4200000004</v>
      </c>
    </row>
    <row r="40" spans="1:7">
      <c r="A40" s="6">
        <v>30</v>
      </c>
      <c r="B40" s="29">
        <v>362</v>
      </c>
      <c r="C40" s="28" t="s">
        <v>45</v>
      </c>
      <c r="D40" s="28"/>
      <c r="E40" s="194">
        <v>4159274.0249999994</v>
      </c>
      <c r="F40" s="194"/>
      <c r="G40" s="194">
        <v>1102750.32</v>
      </c>
    </row>
    <row r="41" spans="1:7">
      <c r="A41" s="6">
        <v>31</v>
      </c>
      <c r="B41" s="28"/>
      <c r="C41" s="28"/>
      <c r="D41" s="28"/>
      <c r="E41" s="196"/>
      <c r="F41" s="195"/>
      <c r="G41" s="196"/>
    </row>
    <row r="42" spans="1:7">
      <c r="A42" s="6">
        <v>32</v>
      </c>
      <c r="B42" s="35" t="s">
        <v>46</v>
      </c>
      <c r="C42" s="31"/>
      <c r="D42" s="28"/>
      <c r="E42" s="200">
        <f>SUM(E39:E41)</f>
        <v>9671321.1449999996</v>
      </c>
      <c r="F42" s="195"/>
      <c r="G42" s="200">
        <v>3662675.74</v>
      </c>
    </row>
    <row r="43" spans="1:7">
      <c r="A43" s="6">
        <v>33</v>
      </c>
      <c r="B43" s="35"/>
      <c r="C43" s="31"/>
      <c r="D43" s="28"/>
      <c r="E43" s="198"/>
      <c r="F43" s="195"/>
      <c r="G43" s="198"/>
    </row>
    <row r="44" spans="1:7">
      <c r="A44" s="6">
        <v>34</v>
      </c>
      <c r="B44" s="28" t="s">
        <v>47</v>
      </c>
      <c r="C44" s="31"/>
      <c r="D44" s="28"/>
      <c r="E44" s="205">
        <v>394674921</v>
      </c>
      <c r="F44" s="202"/>
      <c r="G44" s="205">
        <v>141955214</v>
      </c>
    </row>
    <row r="45" spans="1:7" ht="13.5" thickBot="1">
      <c r="A45" s="6">
        <v>35</v>
      </c>
      <c r="B45" s="28"/>
      <c r="C45" s="28" t="s">
        <v>48</v>
      </c>
      <c r="D45" s="28"/>
      <c r="E45" s="206">
        <f>+E44-E42</f>
        <v>385003599.85500002</v>
      </c>
      <c r="F45" s="195"/>
      <c r="G45" s="206">
        <f>+G44-G42</f>
        <v>138292538.25999999</v>
      </c>
    </row>
    <row r="46" spans="1:7" ht="13.5" thickTop="1">
      <c r="A46" s="6">
        <v>36</v>
      </c>
      <c r="B46" s="28"/>
      <c r="C46" s="31"/>
      <c r="D46" s="28"/>
      <c r="E46" s="198"/>
      <c r="F46" s="195"/>
      <c r="G46" s="198"/>
    </row>
    <row r="47" spans="1:7" ht="13.5" thickBot="1">
      <c r="A47" s="6">
        <v>37</v>
      </c>
      <c r="B47" s="28"/>
      <c r="C47" s="35" t="s">
        <v>49</v>
      </c>
      <c r="D47" s="28"/>
      <c r="E47" s="207">
        <f>+E42+E33</f>
        <v>192437206.22936004</v>
      </c>
      <c r="F47" s="195"/>
      <c r="G47" s="207">
        <f>+G42+G33</f>
        <v>42390482.302134864</v>
      </c>
    </row>
    <row r="48" spans="1:7" ht="13.5" thickTop="1">
      <c r="A48" s="153">
        <v>38</v>
      </c>
    </row>
    <row r="49" spans="1:2">
      <c r="A49" s="153">
        <v>39</v>
      </c>
      <c r="B49" s="5" t="s">
        <v>60</v>
      </c>
    </row>
    <row r="50" spans="1:2">
      <c r="A50" s="153">
        <v>40</v>
      </c>
      <c r="B50" s="38" t="s">
        <v>61</v>
      </c>
    </row>
    <row r="51" spans="1:2">
      <c r="A51" s="153">
        <v>41</v>
      </c>
      <c r="B51" s="38" t="s">
        <v>63</v>
      </c>
    </row>
    <row r="52" spans="1:2">
      <c r="A52" s="153">
        <v>42</v>
      </c>
      <c r="B52" s="38" t="s">
        <v>62</v>
      </c>
    </row>
    <row r="114" spans="6:6">
      <c r="F114" s="5">
        <f>+H183</f>
        <v>0</v>
      </c>
    </row>
    <row r="115" spans="6:6">
      <c r="F115" s="5">
        <f>+F114</f>
        <v>0</v>
      </c>
    </row>
  </sheetData>
  <mergeCells count="4">
    <mergeCell ref="B2:D2"/>
    <mergeCell ref="A4:G4"/>
    <mergeCell ref="A5:G5"/>
    <mergeCell ref="A6:G6"/>
  </mergeCells>
  <printOptions horizontalCentered="1"/>
  <pageMargins left="0.5" right="0.25" top="1" bottom="1" header="0.5" footer="0.5"/>
  <pageSetup scale="98" orientation="portrait" r:id="rId1"/>
  <headerFooter alignWithMargins="0">
    <oddHeader>&amp;L&amp;8 2016 BHP-Workpaper 4 Supplemental Supporting Schedules&amp;C&amp;"Arial MT,Bold"&amp;10
ACTUAL SERVICE YEAR ATRR
BLACK HILLS POWER, INC.
SUPPORTING SCHEDULES&amp;R&amp;10Page &amp;P of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H66"/>
  <sheetViews>
    <sheetView topLeftCell="A37" workbookViewId="0">
      <selection activeCell="E56" sqref="E56"/>
    </sheetView>
  </sheetViews>
  <sheetFormatPr defaultRowHeight="15"/>
  <cols>
    <col min="1" max="1" width="6" style="218" customWidth="1"/>
    <col min="2" max="2" width="1.44140625" style="218" customWidth="1"/>
    <col min="3" max="3" width="36" style="218" customWidth="1"/>
    <col min="4" max="4" width="28.88671875" style="218" bestFit="1" customWidth="1"/>
    <col min="5" max="5" width="28.88671875" style="218" customWidth="1"/>
    <col min="6" max="6" width="15.21875" style="234" customWidth="1"/>
    <col min="7" max="13" width="15.88671875" style="234" customWidth="1"/>
    <col min="14" max="14" width="14.33203125" style="234" bestFit="1" customWidth="1"/>
    <col min="15" max="16" width="15.88671875" style="234" customWidth="1"/>
    <col min="17" max="18" width="19.6640625" style="234" bestFit="1" customWidth="1"/>
    <col min="19" max="19" width="17.77734375" style="218" bestFit="1" customWidth="1"/>
    <col min="21" max="21" width="37.33203125" bestFit="1" customWidth="1"/>
    <col min="22" max="22" width="12.33203125" bestFit="1" customWidth="1"/>
    <col min="23" max="34" width="15.5546875" bestFit="1" customWidth="1"/>
  </cols>
  <sheetData>
    <row r="2" spans="1:19" ht="15.75">
      <c r="A2" s="216"/>
      <c r="B2" s="216"/>
      <c r="C2" s="216"/>
      <c r="D2" s="217"/>
      <c r="E2" s="217"/>
      <c r="F2" s="57"/>
      <c r="G2" s="57"/>
      <c r="H2" s="57"/>
      <c r="I2" s="57"/>
      <c r="J2" s="251" t="str">
        <f>'[1]CU AC Rate Design - True-Up'!H1</f>
        <v>Date: May 31, 2019</v>
      </c>
      <c r="K2" s="57"/>
      <c r="L2" s="57"/>
      <c r="M2" s="57"/>
      <c r="P2" s="243"/>
      <c r="S2" s="220" t="str">
        <f>J2</f>
        <v>Date: May 31, 2019</v>
      </c>
    </row>
    <row r="3" spans="1:19">
      <c r="A3" s="216"/>
      <c r="B3" s="216"/>
      <c r="C3" s="216"/>
      <c r="D3" s="216"/>
      <c r="E3" s="216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219"/>
    </row>
    <row r="4" spans="1:19" ht="15.75">
      <c r="A4" s="278" t="s">
        <v>403</v>
      </c>
      <c r="B4" s="278"/>
      <c r="C4" s="278"/>
      <c r="D4" s="278"/>
      <c r="E4" s="278"/>
      <c r="F4" s="278"/>
      <c r="G4" s="278"/>
      <c r="H4" s="278"/>
      <c r="I4" s="278"/>
      <c r="J4" s="278"/>
      <c r="K4" s="278" t="s">
        <v>403</v>
      </c>
      <c r="L4" s="278"/>
      <c r="M4" s="278"/>
      <c r="N4" s="278"/>
      <c r="O4" s="278"/>
      <c r="P4" s="278"/>
      <c r="Q4" s="278"/>
      <c r="R4" s="278"/>
      <c r="S4" s="278"/>
    </row>
    <row r="5" spans="1:19" ht="15.75">
      <c r="A5" s="279" t="s">
        <v>404</v>
      </c>
      <c r="B5" s="279"/>
      <c r="C5" s="279"/>
      <c r="D5" s="279"/>
      <c r="E5" s="279"/>
      <c r="F5" s="279"/>
      <c r="G5" s="279"/>
      <c r="H5" s="279"/>
      <c r="I5" s="279"/>
      <c r="J5" s="279"/>
      <c r="K5" s="279" t="s">
        <v>404</v>
      </c>
      <c r="L5" s="279"/>
      <c r="M5" s="279"/>
      <c r="N5" s="279"/>
      <c r="O5" s="279"/>
      <c r="P5" s="279"/>
      <c r="Q5" s="279"/>
      <c r="R5" s="279"/>
      <c r="S5" s="279"/>
    </row>
    <row r="6" spans="1:19">
      <c r="A6" s="216"/>
      <c r="B6" s="216"/>
      <c r="C6" s="219"/>
      <c r="D6" s="219"/>
      <c r="E6" s="219"/>
      <c r="G6" s="243"/>
      <c r="H6" s="243"/>
      <c r="I6" s="243"/>
      <c r="J6" s="243"/>
      <c r="K6" s="57"/>
      <c r="L6" s="57"/>
      <c r="M6" s="243"/>
      <c r="N6" s="243"/>
      <c r="P6" s="243"/>
      <c r="Q6" s="243"/>
      <c r="R6" s="243"/>
      <c r="S6" s="219"/>
    </row>
    <row r="7" spans="1:19" ht="15.75">
      <c r="A7" s="280" t="s">
        <v>2</v>
      </c>
      <c r="B7" s="280"/>
      <c r="C7" s="280"/>
      <c r="D7" s="280"/>
      <c r="E7" s="280"/>
      <c r="F7" s="280"/>
      <c r="G7" s="280"/>
      <c r="H7" s="280"/>
      <c r="I7" s="280"/>
      <c r="J7" s="280"/>
      <c r="K7" s="280" t="s">
        <v>2</v>
      </c>
      <c r="L7" s="280"/>
      <c r="M7" s="280"/>
      <c r="N7" s="280"/>
      <c r="O7" s="280"/>
      <c r="P7" s="280"/>
      <c r="Q7" s="280"/>
      <c r="R7" s="280"/>
      <c r="S7" s="280"/>
    </row>
    <row r="8" spans="1:19">
      <c r="A8" s="221"/>
      <c r="B8" s="216"/>
      <c r="C8" s="219"/>
      <c r="D8" s="219"/>
      <c r="E8" s="219"/>
      <c r="F8" s="252"/>
      <c r="G8" s="243"/>
      <c r="H8" s="243"/>
      <c r="I8" s="243"/>
      <c r="J8" s="243"/>
      <c r="K8" s="243"/>
      <c r="L8" s="243"/>
      <c r="M8" s="243"/>
      <c r="N8" s="243"/>
      <c r="O8" s="243"/>
      <c r="P8" s="243"/>
      <c r="Q8" s="243"/>
      <c r="R8" s="243"/>
      <c r="S8" s="219"/>
    </row>
    <row r="9" spans="1:19">
      <c r="A9" s="216"/>
      <c r="B9" s="216"/>
      <c r="C9" s="222"/>
      <c r="D9" s="222"/>
      <c r="E9" s="222"/>
      <c r="F9" s="253"/>
      <c r="G9" s="51"/>
      <c r="H9" s="51"/>
      <c r="I9" s="51"/>
      <c r="J9" s="51"/>
      <c r="K9" s="51"/>
      <c r="L9" s="51"/>
      <c r="M9" s="253"/>
      <c r="P9" s="242"/>
      <c r="Q9" s="242"/>
      <c r="R9" s="242"/>
      <c r="S9" s="224"/>
    </row>
    <row r="10" spans="1:19" ht="15.75">
      <c r="A10" s="221" t="s">
        <v>3</v>
      </c>
      <c r="B10" s="216"/>
      <c r="C10" s="225"/>
      <c r="D10" s="226" t="s">
        <v>4</v>
      </c>
      <c r="E10" s="226"/>
      <c r="F10" s="51"/>
      <c r="G10" s="51"/>
      <c r="H10" s="51"/>
      <c r="I10" s="51"/>
      <c r="J10" s="51"/>
      <c r="K10" s="51"/>
      <c r="L10" s="51"/>
      <c r="M10" s="253"/>
      <c r="P10" s="242"/>
      <c r="Q10" s="242"/>
      <c r="R10" s="242"/>
      <c r="S10" s="224"/>
    </row>
    <row r="11" spans="1:19" ht="15.75">
      <c r="A11" s="261" t="s">
        <v>5</v>
      </c>
      <c r="B11" s="262"/>
      <c r="C11" s="263" t="s">
        <v>70</v>
      </c>
      <c r="D11" s="264" t="s">
        <v>6</v>
      </c>
      <c r="E11" s="265" t="s">
        <v>67</v>
      </c>
      <c r="F11" s="254" t="s">
        <v>7</v>
      </c>
      <c r="G11" s="255"/>
      <c r="H11" s="255"/>
      <c r="I11" s="255"/>
      <c r="J11" s="255"/>
      <c r="K11" s="255"/>
      <c r="L11" s="255"/>
      <c r="M11" s="253"/>
      <c r="P11" s="242"/>
      <c r="Q11" s="242"/>
      <c r="R11" s="256"/>
      <c r="S11" s="224"/>
    </row>
    <row r="12" spans="1:19">
      <c r="D12" s="223"/>
      <c r="E12" s="223"/>
      <c r="F12" s="257" t="s">
        <v>22</v>
      </c>
      <c r="G12" s="257" t="s">
        <v>23</v>
      </c>
      <c r="H12" s="257" t="s">
        <v>405</v>
      </c>
      <c r="I12" s="257" t="s">
        <v>389</v>
      </c>
      <c r="J12" s="257" t="s">
        <v>406</v>
      </c>
      <c r="K12" s="257" t="s">
        <v>407</v>
      </c>
      <c r="L12" s="257" t="s">
        <v>408</v>
      </c>
      <c r="M12" s="257" t="s">
        <v>409</v>
      </c>
      <c r="N12" s="257" t="s">
        <v>65</v>
      </c>
      <c r="O12" s="257" t="s">
        <v>410</v>
      </c>
      <c r="P12" s="257" t="s">
        <v>411</v>
      </c>
      <c r="Q12" s="257" t="s">
        <v>412</v>
      </c>
      <c r="R12" s="257" t="s">
        <v>413</v>
      </c>
      <c r="S12" s="227" t="s">
        <v>414</v>
      </c>
    </row>
    <row r="13" spans="1:19">
      <c r="A13" s="221"/>
      <c r="B13" s="216"/>
      <c r="C13" s="225"/>
      <c r="D13" s="223"/>
      <c r="E13" s="223"/>
      <c r="F13" s="239">
        <v>43070</v>
      </c>
      <c r="G13" s="239">
        <v>43101</v>
      </c>
      <c r="H13" s="239">
        <v>43132</v>
      </c>
      <c r="I13" s="239">
        <v>43160</v>
      </c>
      <c r="J13" s="239">
        <v>43191</v>
      </c>
      <c r="K13" s="239">
        <v>43221</v>
      </c>
      <c r="L13" s="239">
        <v>43252</v>
      </c>
      <c r="M13" s="239">
        <v>43282</v>
      </c>
      <c r="N13" s="239">
        <v>43313</v>
      </c>
      <c r="O13" s="239">
        <v>43344</v>
      </c>
      <c r="P13" s="239">
        <v>43374</v>
      </c>
      <c r="Q13" s="239">
        <v>43405</v>
      </c>
      <c r="R13" s="239">
        <v>43435</v>
      </c>
      <c r="S13" s="228" t="s">
        <v>369</v>
      </c>
    </row>
    <row r="14" spans="1:19">
      <c r="A14" s="221"/>
      <c r="B14" s="216"/>
      <c r="C14" s="225" t="s">
        <v>415</v>
      </c>
      <c r="D14" s="223" t="s">
        <v>416</v>
      </c>
      <c r="E14" s="55" t="s">
        <v>416</v>
      </c>
      <c r="F14" s="192"/>
      <c r="G14" s="192"/>
      <c r="H14" s="192"/>
      <c r="I14" s="192"/>
      <c r="J14" s="192"/>
      <c r="K14" s="192"/>
      <c r="L14" s="192"/>
      <c r="M14" s="192"/>
      <c r="N14" s="192"/>
      <c r="O14" s="192"/>
      <c r="P14" s="192"/>
      <c r="Q14" s="192"/>
      <c r="R14" s="192"/>
    </row>
    <row r="15" spans="1:19">
      <c r="A15" s="221">
        <v>1</v>
      </c>
      <c r="B15" s="216"/>
      <c r="C15" s="225" t="s">
        <v>73</v>
      </c>
      <c r="D15" s="223" t="s">
        <v>74</v>
      </c>
      <c r="E15" s="55" t="s">
        <v>74</v>
      </c>
      <c r="F15" s="192">
        <v>590861691.45999992</v>
      </c>
      <c r="G15" s="192">
        <v>590019815.55999994</v>
      </c>
      <c r="H15" s="192">
        <v>589543322.11999977</v>
      </c>
      <c r="I15" s="192">
        <v>588515864.55999994</v>
      </c>
      <c r="J15" s="192">
        <v>588572330.98999989</v>
      </c>
      <c r="K15" s="192">
        <v>588628672.4799999</v>
      </c>
      <c r="L15" s="192">
        <v>588579650.86999989</v>
      </c>
      <c r="M15" s="192">
        <v>588551287.80000007</v>
      </c>
      <c r="N15" s="192">
        <v>588855745.14999998</v>
      </c>
      <c r="O15" s="192">
        <v>589467357.98999989</v>
      </c>
      <c r="P15" s="192">
        <v>590098276.30999994</v>
      </c>
      <c r="Q15" s="192">
        <v>590178275.27999997</v>
      </c>
      <c r="R15" s="192">
        <v>592246801.63999999</v>
      </c>
      <c r="S15" s="192">
        <f t="shared" ref="S15:S21" si="0">AVERAGE(F15:R15)</f>
        <v>589547622.47769225</v>
      </c>
    </row>
    <row r="16" spans="1:19">
      <c r="A16" s="221">
        <f t="shared" ref="A16:A65" si="1">+A15+1</f>
        <v>2</v>
      </c>
      <c r="B16" s="216"/>
      <c r="C16" s="225" t="s">
        <v>75</v>
      </c>
      <c r="D16" s="223" t="s">
        <v>76</v>
      </c>
      <c r="E16" s="55" t="s">
        <v>76</v>
      </c>
      <c r="F16" s="192">
        <f>V23</f>
        <v>184727231.40999997</v>
      </c>
      <c r="G16" s="192">
        <f t="shared" ref="G16:R16" si="2">W23</f>
        <v>185137078.32999998</v>
      </c>
      <c r="H16" s="192">
        <f t="shared" si="2"/>
        <v>185151722.07999998</v>
      </c>
      <c r="I16" s="192">
        <f t="shared" si="2"/>
        <v>185357707.90000001</v>
      </c>
      <c r="J16" s="192">
        <f t="shared" si="2"/>
        <v>185232380.15000004</v>
      </c>
      <c r="K16" s="192">
        <f t="shared" si="2"/>
        <v>185242163.49000001</v>
      </c>
      <c r="L16" s="192">
        <f t="shared" si="2"/>
        <v>185274552.94999999</v>
      </c>
      <c r="M16" s="192">
        <f t="shared" si="2"/>
        <v>198405948.00999999</v>
      </c>
      <c r="N16" s="192">
        <f t="shared" si="2"/>
        <v>198359982.47000003</v>
      </c>
      <c r="O16" s="192">
        <f t="shared" si="2"/>
        <v>198565872.95000002</v>
      </c>
      <c r="P16" s="192">
        <f t="shared" si="2"/>
        <v>198482563.38000005</v>
      </c>
      <c r="Q16" s="192">
        <f t="shared" si="2"/>
        <v>207960577.84999999</v>
      </c>
      <c r="R16" s="192">
        <f t="shared" si="2"/>
        <v>208155661.73000002</v>
      </c>
      <c r="S16" s="192">
        <f t="shared" si="0"/>
        <v>192773341.74615386</v>
      </c>
    </row>
    <row r="17" spans="1:34">
      <c r="A17" s="221">
        <f t="shared" si="1"/>
        <v>3</v>
      </c>
      <c r="B17" s="216"/>
      <c r="C17" s="225" t="s">
        <v>77</v>
      </c>
      <c r="D17" s="223" t="s">
        <v>78</v>
      </c>
      <c r="E17" s="55" t="s">
        <v>78</v>
      </c>
      <c r="F17" s="192">
        <f>V24</f>
        <v>376277441.11000001</v>
      </c>
      <c r="G17" s="192">
        <f t="shared" ref="G17:R17" si="3">W24</f>
        <v>376661124.24000013</v>
      </c>
      <c r="H17" s="192">
        <f t="shared" si="3"/>
        <v>377590898.83000016</v>
      </c>
      <c r="I17" s="192">
        <f t="shared" si="3"/>
        <v>379087010.51000005</v>
      </c>
      <c r="J17" s="192">
        <f t="shared" si="3"/>
        <v>379810806.70000011</v>
      </c>
      <c r="K17" s="192">
        <f t="shared" si="3"/>
        <v>380310306.8300001</v>
      </c>
      <c r="L17" s="192">
        <f t="shared" si="3"/>
        <v>382595006.60999984</v>
      </c>
      <c r="M17" s="192">
        <f t="shared" si="3"/>
        <v>383397121.93000001</v>
      </c>
      <c r="N17" s="192">
        <f t="shared" si="3"/>
        <v>385866658.5000003</v>
      </c>
      <c r="O17" s="192">
        <f t="shared" si="3"/>
        <v>388538630.20000017</v>
      </c>
      <c r="P17" s="192">
        <f t="shared" si="3"/>
        <v>390374637.11000025</v>
      </c>
      <c r="Q17" s="192">
        <f t="shared" si="3"/>
        <v>393636018.78000003</v>
      </c>
      <c r="R17" s="192">
        <f t="shared" si="3"/>
        <v>394674920.72999978</v>
      </c>
      <c r="S17" s="192">
        <f t="shared" si="0"/>
        <v>383755429.39076924</v>
      </c>
    </row>
    <row r="18" spans="1:34">
      <c r="A18" s="221">
        <f t="shared" si="1"/>
        <v>4</v>
      </c>
      <c r="B18" s="216"/>
      <c r="C18" s="225" t="s">
        <v>79</v>
      </c>
      <c r="D18" s="223" t="s">
        <v>417</v>
      </c>
      <c r="E18" s="260" t="s">
        <v>448</v>
      </c>
      <c r="F18" s="192">
        <v>44141667.160000026</v>
      </c>
      <c r="G18" s="192">
        <v>38334423.270000011</v>
      </c>
      <c r="H18" s="192">
        <v>38343453.420000039</v>
      </c>
      <c r="I18" s="192">
        <v>38305502.739999987</v>
      </c>
      <c r="J18" s="192">
        <v>38369248.199999996</v>
      </c>
      <c r="K18" s="192">
        <v>38443631.540000014</v>
      </c>
      <c r="L18" s="192">
        <v>38227754.190000005</v>
      </c>
      <c r="M18" s="192">
        <v>38229525.100000016</v>
      </c>
      <c r="N18" s="192">
        <v>38747518.160000004</v>
      </c>
      <c r="O18" s="192">
        <v>39086304.51000002</v>
      </c>
      <c r="P18" s="192">
        <v>39389883.249999985</v>
      </c>
      <c r="Q18" s="192">
        <v>40037523.990000002</v>
      </c>
      <c r="R18" s="192">
        <v>42832155.160000019</v>
      </c>
      <c r="S18" s="192">
        <f t="shared" si="0"/>
        <v>39422199.28384617</v>
      </c>
    </row>
    <row r="19" spans="1:34" ht="15.75">
      <c r="A19" s="221">
        <f t="shared" si="1"/>
        <v>5</v>
      </c>
      <c r="B19" s="216"/>
      <c r="C19" s="225" t="s">
        <v>81</v>
      </c>
      <c r="D19" s="223" t="s">
        <v>418</v>
      </c>
      <c r="E19" s="55" t="s">
        <v>418</v>
      </c>
      <c r="F19" s="192">
        <v>31425945.649999999</v>
      </c>
      <c r="G19" s="192">
        <v>31329479</v>
      </c>
      <c r="H19" s="192">
        <v>31406728</v>
      </c>
      <c r="I19" s="192">
        <v>31799533</v>
      </c>
      <c r="J19" s="192">
        <v>31389632</v>
      </c>
      <c r="K19" s="192">
        <v>31688252</v>
      </c>
      <c r="L19" s="192">
        <v>31444702</v>
      </c>
      <c r="M19" s="192">
        <v>32305730</v>
      </c>
      <c r="N19" s="192">
        <v>30860716</v>
      </c>
      <c r="O19" s="192">
        <v>29757288</v>
      </c>
      <c r="P19" s="192">
        <v>28288531</v>
      </c>
      <c r="Q19" s="192">
        <v>28223976</v>
      </c>
      <c r="R19" s="192">
        <v>29321754</v>
      </c>
      <c r="S19" s="192">
        <f>AVERAGE(F19:R19)</f>
        <v>30710943.588461537</v>
      </c>
      <c r="U19" s="266" t="s">
        <v>437</v>
      </c>
      <c r="V19" s="244">
        <v>686955.78</v>
      </c>
      <c r="W19" s="267">
        <v>696102.68</v>
      </c>
      <c r="X19" s="267">
        <v>696102.68</v>
      </c>
      <c r="Y19" s="267">
        <v>696102.68</v>
      </c>
      <c r="Z19" s="267">
        <v>696102.68</v>
      </c>
      <c r="AA19" s="267">
        <v>696102.68</v>
      </c>
      <c r="AB19" s="267">
        <v>50282.1</v>
      </c>
      <c r="AC19" s="267">
        <v>9146.9</v>
      </c>
      <c r="AD19" s="267">
        <v>9146.9</v>
      </c>
      <c r="AE19" s="267">
        <v>9146.9</v>
      </c>
      <c r="AF19" s="267">
        <v>9146.9</v>
      </c>
      <c r="AG19" s="267">
        <v>4.92</v>
      </c>
      <c r="AH19" s="267">
        <f>0</f>
        <v>0</v>
      </c>
    </row>
    <row r="20" spans="1:34">
      <c r="A20" s="221">
        <f t="shared" si="1"/>
        <v>6</v>
      </c>
      <c r="B20" s="216"/>
      <c r="C20" s="225" t="s">
        <v>83</v>
      </c>
      <c r="D20" s="223" t="s">
        <v>419</v>
      </c>
      <c r="E20" s="55" t="s">
        <v>419</v>
      </c>
      <c r="F20" s="192">
        <v>7058966.879999999</v>
      </c>
      <c r="G20" s="192">
        <v>7616453.8299999991</v>
      </c>
      <c r="H20" s="192">
        <v>7618591.8999999994</v>
      </c>
      <c r="I20" s="192">
        <v>7617838.8499999996</v>
      </c>
      <c r="J20" s="192">
        <v>7618083.959999999</v>
      </c>
      <c r="K20" s="192">
        <v>7620555.5399999991</v>
      </c>
      <c r="L20" s="192">
        <v>7610687.8699999992</v>
      </c>
      <c r="M20" s="192">
        <v>7880432.4799999995</v>
      </c>
      <c r="N20" s="192">
        <v>7878232.2899999991</v>
      </c>
      <c r="O20" s="192">
        <v>7877890.7999999989</v>
      </c>
      <c r="P20" s="192">
        <v>7877890.7999999989</v>
      </c>
      <c r="Q20" s="192">
        <v>7921110.1200000001</v>
      </c>
      <c r="R20" s="192">
        <v>7921110.1200000001</v>
      </c>
      <c r="S20" s="192">
        <f t="shared" si="0"/>
        <v>7701372.7261538459</v>
      </c>
      <c r="U20" s="266" t="s">
        <v>438</v>
      </c>
      <c r="V20" s="234">
        <v>1750168.58</v>
      </c>
      <c r="W20" s="234">
        <v>1764888.4200000004</v>
      </c>
      <c r="X20" s="234">
        <v>1767720.2000000002</v>
      </c>
      <c r="Y20" s="234">
        <v>1769102.31</v>
      </c>
      <c r="Z20" s="234">
        <v>1767261.9699999997</v>
      </c>
      <c r="AA20" s="234">
        <v>1768143.6099999999</v>
      </c>
      <c r="AB20" s="234">
        <v>215283.58999999997</v>
      </c>
      <c r="AC20" s="234">
        <v>215283.58999999997</v>
      </c>
      <c r="AD20" s="234">
        <v>203679.86</v>
      </c>
      <c r="AE20" s="234">
        <v>203679.86</v>
      </c>
      <c r="AF20" s="234">
        <v>196009.15999999997</v>
      </c>
      <c r="AG20" s="234">
        <v>196009.15999999997</v>
      </c>
      <c r="AH20" s="234">
        <v>200007.63</v>
      </c>
    </row>
    <row r="21" spans="1:34">
      <c r="A21" s="221">
        <f t="shared" si="1"/>
        <v>7</v>
      </c>
      <c r="B21" s="216"/>
      <c r="C21" s="225" t="s">
        <v>84</v>
      </c>
      <c r="D21" s="223" t="s">
        <v>85</v>
      </c>
      <c r="E21" s="55" t="s">
        <v>85</v>
      </c>
      <c r="F21" s="192">
        <v>0</v>
      </c>
      <c r="G21" s="192"/>
      <c r="H21" s="192"/>
      <c r="I21" s="192"/>
      <c r="J21" s="192"/>
      <c r="K21" s="192"/>
      <c r="L21" s="192"/>
      <c r="M21" s="192"/>
      <c r="N21" s="192"/>
      <c r="O21" s="192"/>
      <c r="P21" s="192"/>
      <c r="Q21" s="192"/>
      <c r="R21" s="192">
        <v>0</v>
      </c>
      <c r="S21" s="192">
        <f t="shared" si="0"/>
        <v>0</v>
      </c>
      <c r="U21" s="240" t="s">
        <v>439</v>
      </c>
      <c r="V21" s="192">
        <v>185790444.20999998</v>
      </c>
      <c r="W21" s="192">
        <v>186205864.06999996</v>
      </c>
      <c r="X21" s="192">
        <v>186223339.59999996</v>
      </c>
      <c r="Y21" s="192">
        <v>186430707.53</v>
      </c>
      <c r="Z21" s="192">
        <v>186303539.44000003</v>
      </c>
      <c r="AA21" s="192">
        <v>186314204.42000002</v>
      </c>
      <c r="AB21" s="192">
        <v>185439554.44</v>
      </c>
      <c r="AC21" s="192">
        <v>198612084.69999999</v>
      </c>
      <c r="AD21" s="192">
        <v>198554515.43000004</v>
      </c>
      <c r="AE21" s="192">
        <v>198760405.91000003</v>
      </c>
      <c r="AF21" s="192">
        <v>198669425.64000005</v>
      </c>
      <c r="AG21" s="192">
        <v>208156582.09</v>
      </c>
      <c r="AH21" s="192">
        <v>208355671.36000001</v>
      </c>
    </row>
    <row r="22" spans="1:34">
      <c r="A22" s="221">
        <f t="shared" si="1"/>
        <v>8</v>
      </c>
      <c r="B22" s="216"/>
      <c r="C22" s="229" t="s">
        <v>86</v>
      </c>
      <c r="D22" s="223" t="str">
        <f>"(sum lines "&amp;A15&amp;" - "&amp;A21&amp;")"</f>
        <v>(sum lines 1 - 7)</v>
      </c>
      <c r="E22" s="55" t="s">
        <v>87</v>
      </c>
      <c r="F22" s="230">
        <f>SUM(F15:F21)</f>
        <v>1234492943.6700003</v>
      </c>
      <c r="G22" s="230">
        <f>SUM(G15:G21)</f>
        <v>1229098374.23</v>
      </c>
      <c r="H22" s="230">
        <f t="shared" ref="H22:S22" si="4">SUM(H15:H21)</f>
        <v>1229654716.3500001</v>
      </c>
      <c r="I22" s="230">
        <f t="shared" si="4"/>
        <v>1230683457.5599999</v>
      </c>
      <c r="J22" s="230">
        <f t="shared" si="4"/>
        <v>1230992482</v>
      </c>
      <c r="K22" s="230">
        <f t="shared" si="4"/>
        <v>1231933581.8799999</v>
      </c>
      <c r="L22" s="230">
        <f t="shared" si="4"/>
        <v>1233732354.4899998</v>
      </c>
      <c r="M22" s="230">
        <f t="shared" si="4"/>
        <v>1248770045.3199999</v>
      </c>
      <c r="N22" s="230">
        <f t="shared" si="4"/>
        <v>1250568852.5700004</v>
      </c>
      <c r="O22" s="230">
        <f t="shared" si="4"/>
        <v>1253293344.45</v>
      </c>
      <c r="P22" s="230">
        <f t="shared" si="4"/>
        <v>1254511781.8500001</v>
      </c>
      <c r="Q22" s="230">
        <f t="shared" si="4"/>
        <v>1267957482.02</v>
      </c>
      <c r="R22" s="230">
        <f t="shared" si="4"/>
        <v>1275152403.3799999</v>
      </c>
      <c r="S22" s="230">
        <f t="shared" si="4"/>
        <v>1243910909.2130771</v>
      </c>
      <c r="U22" s="240" t="s">
        <v>440</v>
      </c>
      <c r="V22" s="192">
        <v>375214228.31</v>
      </c>
      <c r="W22" s="192">
        <v>375592338.50000012</v>
      </c>
      <c r="X22" s="192">
        <v>376519281.31000018</v>
      </c>
      <c r="Y22" s="192">
        <v>378014010.88000005</v>
      </c>
      <c r="Z22" s="192">
        <v>378739647.41000009</v>
      </c>
      <c r="AA22" s="192">
        <v>379238265.9000001</v>
      </c>
      <c r="AB22" s="192">
        <v>382430005.11999989</v>
      </c>
      <c r="AC22" s="192">
        <v>383190985.24000001</v>
      </c>
      <c r="AD22" s="192">
        <v>385672125.54000026</v>
      </c>
      <c r="AE22" s="192">
        <v>388344097.24000013</v>
      </c>
      <c r="AF22" s="192">
        <v>390187774.8500002</v>
      </c>
      <c r="AG22" s="192">
        <v>393440014.54000002</v>
      </c>
      <c r="AH22" s="192">
        <v>394474915.09999979</v>
      </c>
    </row>
    <row r="23" spans="1:34">
      <c r="A23" s="221">
        <f t="shared" si="1"/>
        <v>9</v>
      </c>
      <c r="B23" s="216"/>
      <c r="C23" s="225"/>
      <c r="D23" s="223"/>
      <c r="E23" s="223"/>
      <c r="F23" s="192"/>
      <c r="G23" s="192"/>
      <c r="H23" s="192"/>
      <c r="I23" s="192"/>
      <c r="J23" s="192"/>
      <c r="K23" s="192"/>
      <c r="L23" s="192"/>
      <c r="M23" s="192"/>
      <c r="N23" s="192"/>
      <c r="O23" s="192"/>
      <c r="P23" s="192"/>
      <c r="Q23" s="192"/>
      <c r="R23" s="192"/>
      <c r="S23" s="192"/>
      <c r="U23" s="240" t="s">
        <v>441</v>
      </c>
      <c r="V23" s="192">
        <f>V21+V19-V20</f>
        <v>184727231.40999997</v>
      </c>
      <c r="W23" s="192">
        <f>W21+W19-W20</f>
        <v>185137078.32999998</v>
      </c>
      <c r="X23" s="192">
        <f t="shared" ref="X23:AG23" si="5">X21+X19-X20</f>
        <v>185151722.07999998</v>
      </c>
      <c r="Y23" s="192">
        <f t="shared" si="5"/>
        <v>185357707.90000001</v>
      </c>
      <c r="Z23" s="192">
        <f t="shared" si="5"/>
        <v>185232380.15000004</v>
      </c>
      <c r="AA23" s="192">
        <f t="shared" si="5"/>
        <v>185242163.49000001</v>
      </c>
      <c r="AB23" s="192">
        <f t="shared" si="5"/>
        <v>185274552.94999999</v>
      </c>
      <c r="AC23" s="192">
        <f t="shared" si="5"/>
        <v>198405948.00999999</v>
      </c>
      <c r="AD23" s="192">
        <f t="shared" si="5"/>
        <v>198359982.47000003</v>
      </c>
      <c r="AE23" s="192">
        <f t="shared" si="5"/>
        <v>198565872.95000002</v>
      </c>
      <c r="AF23" s="192">
        <f t="shared" si="5"/>
        <v>198482563.38000005</v>
      </c>
      <c r="AG23" s="192">
        <f t="shared" si="5"/>
        <v>207960577.84999999</v>
      </c>
      <c r="AH23" s="192">
        <f>AH21+AH19-AH20-2</f>
        <v>208155661.73000002</v>
      </c>
    </row>
    <row r="24" spans="1:34">
      <c r="A24" s="221">
        <f t="shared" si="1"/>
        <v>10</v>
      </c>
      <c r="B24" s="216"/>
      <c r="C24" s="225" t="s">
        <v>420</v>
      </c>
      <c r="D24" s="223" t="s">
        <v>416</v>
      </c>
      <c r="E24" s="55" t="s">
        <v>416</v>
      </c>
      <c r="F24" s="192"/>
      <c r="G24" s="192"/>
      <c r="H24" s="192"/>
      <c r="I24" s="192"/>
      <c r="J24" s="192"/>
      <c r="K24" s="192"/>
      <c r="L24" s="192"/>
      <c r="M24" s="192"/>
      <c r="N24" s="192"/>
      <c r="O24" s="192"/>
      <c r="P24" s="192"/>
      <c r="Q24" s="192"/>
      <c r="R24" s="192"/>
      <c r="S24" s="192"/>
      <c r="U24" s="240" t="s">
        <v>442</v>
      </c>
      <c r="V24" s="192">
        <f>V20+V22-V19</f>
        <v>376277441.11000001</v>
      </c>
      <c r="W24" s="192">
        <f t="shared" ref="W24:AG24" si="6">W20+W22-W19</f>
        <v>376661124.24000013</v>
      </c>
      <c r="X24" s="192">
        <f t="shared" si="6"/>
        <v>377590898.83000016</v>
      </c>
      <c r="Y24" s="192">
        <f t="shared" si="6"/>
        <v>379087010.51000005</v>
      </c>
      <c r="Z24" s="192">
        <f t="shared" si="6"/>
        <v>379810806.70000011</v>
      </c>
      <c r="AA24" s="192">
        <f t="shared" si="6"/>
        <v>380310306.8300001</v>
      </c>
      <c r="AB24" s="192">
        <f t="shared" si="6"/>
        <v>382595006.60999984</v>
      </c>
      <c r="AC24" s="192">
        <f t="shared" si="6"/>
        <v>383397121.93000001</v>
      </c>
      <c r="AD24" s="192">
        <f t="shared" si="6"/>
        <v>385866658.5000003</v>
      </c>
      <c r="AE24" s="192">
        <f t="shared" si="6"/>
        <v>388538630.20000017</v>
      </c>
      <c r="AF24" s="192">
        <f t="shared" si="6"/>
        <v>390374637.11000025</v>
      </c>
      <c r="AG24" s="192">
        <f t="shared" si="6"/>
        <v>393636018.78000003</v>
      </c>
      <c r="AH24" s="192">
        <f>AH20+AH22-AH19-2</f>
        <v>394674920.72999978</v>
      </c>
    </row>
    <row r="25" spans="1:34">
      <c r="A25" s="221">
        <f t="shared" si="1"/>
        <v>11</v>
      </c>
      <c r="B25" s="216"/>
      <c r="C25" s="225" t="str">
        <f>+C15</f>
        <v xml:space="preserve">  Production</v>
      </c>
      <c r="D25" s="223" t="s">
        <v>89</v>
      </c>
      <c r="E25" s="55" t="s">
        <v>89</v>
      </c>
      <c r="F25" s="192">
        <v>190308275.37585765</v>
      </c>
      <c r="G25" s="192">
        <v>190956047.51105112</v>
      </c>
      <c r="H25" s="192">
        <v>191867819.68860266</v>
      </c>
      <c r="I25" s="192">
        <v>192316204.64247727</v>
      </c>
      <c r="J25" s="192">
        <v>192701907.6477952</v>
      </c>
      <c r="K25" s="192">
        <v>193150582.68840253</v>
      </c>
      <c r="L25" s="192">
        <v>194493325.5108605</v>
      </c>
      <c r="M25" s="192">
        <v>195860311.0600377</v>
      </c>
      <c r="N25" s="192">
        <v>197196019.29319263</v>
      </c>
      <c r="O25" s="192">
        <v>198354506.7238239</v>
      </c>
      <c r="P25" s="192">
        <v>199680669.64534965</v>
      </c>
      <c r="Q25" s="192">
        <v>200923046.72423679</v>
      </c>
      <c r="R25" s="192">
        <v>202286781.35704654</v>
      </c>
      <c r="S25" s="192">
        <f t="shared" ref="S25:S31" si="7">AVERAGE(F25:R25)</f>
        <v>195391961.37451798</v>
      </c>
      <c r="U25" s="57"/>
      <c r="V25" s="192"/>
      <c r="W25" s="268"/>
      <c r="X25" s="268"/>
      <c r="Y25" s="269"/>
      <c r="Z25" s="269"/>
      <c r="AA25" s="269"/>
      <c r="AB25" s="269"/>
      <c r="AC25" s="269"/>
      <c r="AD25" s="269"/>
      <c r="AE25" s="269"/>
      <c r="AF25" s="269"/>
      <c r="AG25" s="269"/>
      <c r="AH25" s="269"/>
    </row>
    <row r="26" spans="1:34">
      <c r="A26" s="221">
        <f t="shared" si="1"/>
        <v>12</v>
      </c>
      <c r="B26" s="216"/>
      <c r="C26" s="225" t="s">
        <v>75</v>
      </c>
      <c r="D26" s="223" t="s">
        <v>90</v>
      </c>
      <c r="E26" s="55" t="s">
        <v>90</v>
      </c>
      <c r="F26" s="192">
        <v>43694318</v>
      </c>
      <c r="G26" s="192">
        <f>W31</f>
        <v>44021316.903654873</v>
      </c>
      <c r="H26" s="192">
        <f t="shared" ref="H26:R26" si="8">X31</f>
        <v>44335698.609153129</v>
      </c>
      <c r="I26" s="192">
        <f t="shared" si="8"/>
        <v>44643097.991596259</v>
      </c>
      <c r="J26" s="192">
        <f t="shared" si="8"/>
        <v>45028669.460721269</v>
      </c>
      <c r="K26" s="192">
        <f t="shared" si="8"/>
        <v>45367420.754334979</v>
      </c>
      <c r="L26" s="192">
        <f t="shared" si="8"/>
        <v>45708803.092400201</v>
      </c>
      <c r="M26" s="192">
        <f t="shared" si="8"/>
        <v>46005470.176557012</v>
      </c>
      <c r="N26" s="192">
        <f t="shared" si="8"/>
        <v>46219361.537181139</v>
      </c>
      <c r="O26" s="192">
        <f t="shared" si="8"/>
        <v>46590991.852520026</v>
      </c>
      <c r="P26" s="192">
        <f t="shared" si="8"/>
        <v>46949892.025496669</v>
      </c>
      <c r="Q26" s="192">
        <f t="shared" si="8"/>
        <v>47342714.562738881</v>
      </c>
      <c r="R26" s="192">
        <f t="shared" si="8"/>
        <v>47705701.420000002</v>
      </c>
      <c r="S26" s="192">
        <f t="shared" si="7"/>
        <v>45662573.568181105</v>
      </c>
      <c r="U26" s="57" t="s">
        <v>443</v>
      </c>
      <c r="V26" s="192"/>
      <c r="W26" s="268"/>
      <c r="X26" s="268"/>
      <c r="Y26" s="269"/>
      <c r="Z26" s="269"/>
      <c r="AA26" s="269"/>
      <c r="AB26" s="269"/>
      <c r="AC26" s="269"/>
      <c r="AD26" s="269"/>
      <c r="AE26" s="269"/>
      <c r="AF26" s="269"/>
      <c r="AG26" s="269"/>
      <c r="AH26" s="269"/>
    </row>
    <row r="27" spans="1:34">
      <c r="A27" s="221">
        <f t="shared" si="1"/>
        <v>13</v>
      </c>
      <c r="B27" s="216"/>
      <c r="C27" s="225" t="s">
        <v>77</v>
      </c>
      <c r="D27" s="223" t="s">
        <v>91</v>
      </c>
      <c r="E27" s="55" t="s">
        <v>91</v>
      </c>
      <c r="F27" s="192">
        <v>133804900</v>
      </c>
      <c r="G27" s="192">
        <f>W32</f>
        <v>134473807.40301153</v>
      </c>
      <c r="H27" s="192">
        <f>X32</f>
        <v>135160208.94387707</v>
      </c>
      <c r="I27" s="192">
        <f t="shared" ref="I27:R27" si="9">Y32</f>
        <v>135804396.77811816</v>
      </c>
      <c r="J27" s="192">
        <f t="shared" si="9"/>
        <v>136739982.74018726</v>
      </c>
      <c r="K27" s="192">
        <f t="shared" si="9"/>
        <v>137422230.98519814</v>
      </c>
      <c r="L27" s="192">
        <f t="shared" si="9"/>
        <v>138028866.91409019</v>
      </c>
      <c r="M27" s="192">
        <f t="shared" si="9"/>
        <v>138584827.42038071</v>
      </c>
      <c r="N27" s="192">
        <f t="shared" si="9"/>
        <v>139319337.40327412</v>
      </c>
      <c r="O27" s="192">
        <f t="shared" si="9"/>
        <v>140073478.55382833</v>
      </c>
      <c r="P27" s="192">
        <f t="shared" si="9"/>
        <v>140792918.62416914</v>
      </c>
      <c r="Q27" s="192">
        <f t="shared" si="9"/>
        <v>141254359.88081011</v>
      </c>
      <c r="R27" s="192">
        <f t="shared" si="9"/>
        <v>141957768.58000001</v>
      </c>
      <c r="S27" s="192">
        <f>AVERAGE(F27:R27)</f>
        <v>137955160.32514957</v>
      </c>
      <c r="U27" s="266" t="s">
        <v>437</v>
      </c>
      <c r="V27" s="269"/>
      <c r="W27" s="269">
        <v>26547.317306824498</v>
      </c>
      <c r="X27" s="269">
        <v>27888.016541249901</v>
      </c>
      <c r="Y27" s="269">
        <v>29228.785877841998</v>
      </c>
      <c r="Z27" s="269">
        <v>30577.614240437299</v>
      </c>
      <c r="AA27" s="269">
        <v>31878.275179120999</v>
      </c>
      <c r="AB27" s="269">
        <v>3399.1304478359998</v>
      </c>
      <c r="AC27" s="269">
        <v>1518.2836504208001</v>
      </c>
      <c r="AD27" s="269">
        <v>1530.9288714522002</v>
      </c>
      <c r="AE27" s="269">
        <v>1547.796683004</v>
      </c>
      <c r="AF27" s="269">
        <v>1565.2198960073999</v>
      </c>
      <c r="AG27" s="269">
        <v>0.94965466080000005</v>
      </c>
      <c r="AH27" s="269"/>
    </row>
    <row r="28" spans="1:34">
      <c r="A28" s="221">
        <f t="shared" si="1"/>
        <v>14</v>
      </c>
      <c r="B28" s="216"/>
      <c r="C28" s="225" t="str">
        <f>+C18</f>
        <v xml:space="preserve">  General &amp; Intangible</v>
      </c>
      <c r="D28" s="223" t="s">
        <v>421</v>
      </c>
      <c r="E28" s="55" t="s">
        <v>421</v>
      </c>
      <c r="F28" s="192">
        <v>17944745.93</v>
      </c>
      <c r="G28" s="192">
        <v>17446453.91736982</v>
      </c>
      <c r="H28" s="192">
        <v>17542753.179069623</v>
      </c>
      <c r="I28" s="192">
        <v>17578739.815689102</v>
      </c>
      <c r="J28" s="192">
        <v>17686576.681872834</v>
      </c>
      <c r="K28" s="192">
        <v>17795898.066605091</v>
      </c>
      <c r="L28" s="192">
        <v>17670944.696190093</v>
      </c>
      <c r="M28" s="192">
        <v>17716989.216611594</v>
      </c>
      <c r="N28" s="192">
        <v>17946927.189431105</v>
      </c>
      <c r="O28" s="192">
        <v>17973806.511934586</v>
      </c>
      <c r="P28" s="192">
        <v>18069474.801516704</v>
      </c>
      <c r="Q28" s="192">
        <v>18183513.50272388</v>
      </c>
      <c r="R28" s="192">
        <v>18229100.984651692</v>
      </c>
      <c r="S28" s="192">
        <f>AVERAGE(F28:R28)</f>
        <v>17829686.499512777</v>
      </c>
      <c r="U28" s="266" t="s">
        <v>438</v>
      </c>
      <c r="V28" s="234"/>
      <c r="W28" s="234">
        <v>26486.262560800402</v>
      </c>
      <c r="X28" s="234">
        <v>30276.590500179202</v>
      </c>
      <c r="Y28" s="234">
        <v>34043.032341498001</v>
      </c>
      <c r="Z28" s="234">
        <v>37713.285086393495</v>
      </c>
      <c r="AA28" s="234">
        <v>41458.416539710503</v>
      </c>
      <c r="AB28" s="234">
        <v>5379.0260744535999</v>
      </c>
      <c r="AC28" s="234">
        <v>5826.7122066221</v>
      </c>
      <c r="AD28" s="234">
        <v>5912.3963964492004</v>
      </c>
      <c r="AE28" s="234">
        <v>6323.6384732231008</v>
      </c>
      <c r="AF28" s="234">
        <v>6473.5169804924017</v>
      </c>
      <c r="AG28" s="234">
        <v>6867.640599857401</v>
      </c>
      <c r="AH28" s="234">
        <v>2554.58</v>
      </c>
    </row>
    <row r="29" spans="1:34">
      <c r="A29" s="221">
        <f t="shared" si="1"/>
        <v>15</v>
      </c>
      <c r="B29" s="216"/>
      <c r="C29" s="225" t="s">
        <v>81</v>
      </c>
      <c r="D29" s="223" t="s">
        <v>422</v>
      </c>
      <c r="E29" s="55" t="s">
        <v>422</v>
      </c>
      <c r="F29" s="192">
        <v>15571482</v>
      </c>
      <c r="G29" s="192">
        <v>15701938</v>
      </c>
      <c r="H29" s="192">
        <v>15895803</v>
      </c>
      <c r="I29" s="192">
        <v>15924193</v>
      </c>
      <c r="J29" s="192">
        <v>15441747</v>
      </c>
      <c r="K29" s="192">
        <v>15726808</v>
      </c>
      <c r="L29" s="192">
        <v>15844192</v>
      </c>
      <c r="M29" s="192">
        <v>15221600</v>
      </c>
      <c r="N29" s="192">
        <v>15204912</v>
      </c>
      <c r="O29" s="192">
        <v>15090060</v>
      </c>
      <c r="P29" s="192">
        <v>13653278</v>
      </c>
      <c r="Q29" s="192">
        <v>13844495</v>
      </c>
      <c r="R29" s="192">
        <v>13627289</v>
      </c>
      <c r="S29" s="192">
        <f>AVERAGE(F29:R29)</f>
        <v>15134445.923076924</v>
      </c>
      <c r="U29" s="240" t="s">
        <v>439</v>
      </c>
      <c r="V29" s="266"/>
      <c r="W29" s="270">
        <v>44021255.848908849</v>
      </c>
      <c r="X29" s="270">
        <v>44338087.183112055</v>
      </c>
      <c r="Y29" s="270">
        <v>44647912.238059916</v>
      </c>
      <c r="Z29" s="270">
        <v>45035805.131567225</v>
      </c>
      <c r="AA29" s="270">
        <v>45377000.895695575</v>
      </c>
      <c r="AB29" s="270">
        <v>45710782.98802682</v>
      </c>
      <c r="AC29" s="270">
        <v>46009778.605113216</v>
      </c>
      <c r="AD29" s="270">
        <v>46223743.004706137</v>
      </c>
      <c r="AE29" s="270">
        <v>46595767.69431024</v>
      </c>
      <c r="AF29" s="270">
        <v>46954800.32258115</v>
      </c>
      <c r="AG29" s="270">
        <v>47349581.253684074</v>
      </c>
      <c r="AH29" s="270">
        <v>47708256</v>
      </c>
    </row>
    <row r="30" spans="1:34">
      <c r="A30" s="221">
        <f t="shared" si="1"/>
        <v>16</v>
      </c>
      <c r="B30" s="216"/>
      <c r="C30" s="225" t="str">
        <f>+C20</f>
        <v xml:space="preserve">  Communication System</v>
      </c>
      <c r="D30" s="223" t="s">
        <v>423</v>
      </c>
      <c r="E30" s="55" t="s">
        <v>423</v>
      </c>
      <c r="F30" s="192">
        <v>2450694.38</v>
      </c>
      <c r="G30" s="192">
        <v>2484734.08</v>
      </c>
      <c r="H30" s="192">
        <v>2519939.67</v>
      </c>
      <c r="I30" s="192">
        <v>2555148.14</v>
      </c>
      <c r="J30" s="192">
        <v>2590355.5499999998</v>
      </c>
      <c r="K30" s="192">
        <v>2625568.62</v>
      </c>
      <c r="L30" s="192">
        <v>2650900.9700000002</v>
      </c>
      <c r="M30" s="192">
        <v>2678355.67</v>
      </c>
      <c r="N30" s="192">
        <v>2714706.11</v>
      </c>
      <c r="O30" s="192">
        <v>2751051.02</v>
      </c>
      <c r="P30" s="192">
        <v>2787395.19</v>
      </c>
      <c r="Q30" s="192">
        <v>2823829.4000000004</v>
      </c>
      <c r="R30" s="192">
        <v>2860353.6399999997</v>
      </c>
      <c r="S30" s="192">
        <f t="shared" si="7"/>
        <v>2653310.1876923074</v>
      </c>
      <c r="U30" s="240" t="s">
        <v>440</v>
      </c>
      <c r="V30" s="266"/>
      <c r="W30" s="270">
        <v>134473868.45775753</v>
      </c>
      <c r="X30" s="270">
        <v>135157820.36991814</v>
      </c>
      <c r="Y30" s="270">
        <v>135799582.53165451</v>
      </c>
      <c r="Z30" s="270">
        <v>136732847.0693413</v>
      </c>
      <c r="AA30" s="270">
        <v>137412650.84383756</v>
      </c>
      <c r="AB30" s="270">
        <v>138026887.01846358</v>
      </c>
      <c r="AC30" s="270">
        <v>138580518.99182451</v>
      </c>
      <c r="AD30" s="270">
        <v>139314955.93574911</v>
      </c>
      <c r="AE30" s="270">
        <v>140068702.71203813</v>
      </c>
      <c r="AF30" s="270">
        <v>140788010.32708466</v>
      </c>
      <c r="AG30" s="270">
        <v>141247493.18986493</v>
      </c>
      <c r="AH30" s="270">
        <v>141955214</v>
      </c>
    </row>
    <row r="31" spans="1:34">
      <c r="A31" s="221">
        <f t="shared" si="1"/>
        <v>17</v>
      </c>
      <c r="B31" s="216"/>
      <c r="C31" s="225" t="str">
        <f>+C21</f>
        <v xml:space="preserve">  Common</v>
      </c>
      <c r="D31" s="223" t="s">
        <v>85</v>
      </c>
      <c r="E31" s="55" t="s">
        <v>85</v>
      </c>
      <c r="F31" s="192">
        <v>0</v>
      </c>
      <c r="G31" s="192"/>
      <c r="H31" s="192"/>
      <c r="I31" s="192"/>
      <c r="J31" s="192"/>
      <c r="K31" s="192"/>
      <c r="L31" s="192"/>
      <c r="M31" s="192"/>
      <c r="N31" s="192"/>
      <c r="O31" s="192"/>
      <c r="P31" s="192"/>
      <c r="Q31" s="192"/>
      <c r="R31" s="192">
        <v>0</v>
      </c>
      <c r="S31" s="192">
        <f t="shared" si="7"/>
        <v>0</v>
      </c>
      <c r="U31" s="240" t="s">
        <v>441</v>
      </c>
      <c r="V31" s="266"/>
      <c r="W31" s="192">
        <f>W29+W27-W28</f>
        <v>44021316.903654873</v>
      </c>
      <c r="X31" s="192">
        <f>X29+X27-X28</f>
        <v>44335698.609153129</v>
      </c>
      <c r="Y31" s="192">
        <f t="shared" ref="Y31:AG31" si="10">Y29+Y27-Y28</f>
        <v>44643097.991596259</v>
      </c>
      <c r="Z31" s="192">
        <f t="shared" si="10"/>
        <v>45028669.460721269</v>
      </c>
      <c r="AA31" s="192">
        <f t="shared" si="10"/>
        <v>45367420.754334979</v>
      </c>
      <c r="AB31" s="192">
        <f t="shared" si="10"/>
        <v>45708803.092400201</v>
      </c>
      <c r="AC31" s="192">
        <f t="shared" si="10"/>
        <v>46005470.176557012</v>
      </c>
      <c r="AD31" s="192">
        <f t="shared" si="10"/>
        <v>46219361.537181139</v>
      </c>
      <c r="AE31" s="192">
        <f t="shared" si="10"/>
        <v>46590991.852520026</v>
      </c>
      <c r="AF31" s="192">
        <f t="shared" si="10"/>
        <v>46949892.025496669</v>
      </c>
      <c r="AG31" s="192">
        <f t="shared" si="10"/>
        <v>47342714.562738881</v>
      </c>
      <c r="AH31" s="192">
        <f>AH29+AH27-AH28</f>
        <v>47705701.420000002</v>
      </c>
    </row>
    <row r="32" spans="1:34">
      <c r="A32" s="221">
        <f t="shared" si="1"/>
        <v>18</v>
      </c>
      <c r="B32" s="216"/>
      <c r="C32" s="225" t="s">
        <v>93</v>
      </c>
      <c r="D32" s="223" t="str">
        <f>"(sum lines "&amp;A25&amp;" - "&amp;A31&amp;")"</f>
        <v>(sum lines 11 - 17)</v>
      </c>
      <c r="E32" s="55" t="s">
        <v>94</v>
      </c>
      <c r="F32" s="230">
        <f>SUM(F25:F31)</f>
        <v>403774415.68585765</v>
      </c>
      <c r="G32" s="230">
        <f t="shared" ref="G32:S32" si="11">SUM(G25:G31)</f>
        <v>405084297.81508738</v>
      </c>
      <c r="H32" s="230">
        <f t="shared" si="11"/>
        <v>407322223.09070247</v>
      </c>
      <c r="I32" s="230">
        <f t="shared" si="11"/>
        <v>408821780.36788076</v>
      </c>
      <c r="J32" s="230">
        <f t="shared" si="11"/>
        <v>410189239.0805766</v>
      </c>
      <c r="K32" s="230">
        <f t="shared" si="11"/>
        <v>412088509.11454076</v>
      </c>
      <c r="L32" s="230">
        <f t="shared" si="11"/>
        <v>414397033.18354106</v>
      </c>
      <c r="M32" s="230">
        <f t="shared" si="11"/>
        <v>416067553.54358703</v>
      </c>
      <c r="N32" s="230">
        <f t="shared" si="11"/>
        <v>418601263.53307903</v>
      </c>
      <c r="O32" s="230">
        <f t="shared" si="11"/>
        <v>420833894.66210681</v>
      </c>
      <c r="P32" s="230">
        <f>SUM(P25:P31)</f>
        <v>421933628.28653216</v>
      </c>
      <c r="Q32" s="230">
        <f>SUM(Q25:Q31)</f>
        <v>424371959.07050961</v>
      </c>
      <c r="R32" s="230">
        <f>SUM(R25:R31)</f>
        <v>426666994.98169827</v>
      </c>
      <c r="S32" s="230">
        <f t="shared" si="11"/>
        <v>414627137.87813061</v>
      </c>
      <c r="U32" s="240" t="s">
        <v>442</v>
      </c>
      <c r="V32" s="266"/>
      <c r="W32" s="192">
        <f>W30+W28-W27</f>
        <v>134473807.40301153</v>
      </c>
      <c r="X32" s="192">
        <f t="shared" ref="X32:AG32" si="12">X30+X28-X27</f>
        <v>135160208.94387707</v>
      </c>
      <c r="Y32" s="192">
        <f t="shared" si="12"/>
        <v>135804396.77811816</v>
      </c>
      <c r="Z32" s="192">
        <f t="shared" si="12"/>
        <v>136739982.74018726</v>
      </c>
      <c r="AA32" s="192">
        <f t="shared" si="12"/>
        <v>137422230.98519814</v>
      </c>
      <c r="AB32" s="192">
        <f t="shared" si="12"/>
        <v>138028866.91409019</v>
      </c>
      <c r="AC32" s="192">
        <f t="shared" si="12"/>
        <v>138584827.42038071</v>
      </c>
      <c r="AD32" s="192">
        <f t="shared" si="12"/>
        <v>139319337.40327412</v>
      </c>
      <c r="AE32" s="192">
        <f t="shared" si="12"/>
        <v>140073478.55382833</v>
      </c>
      <c r="AF32" s="192">
        <f t="shared" si="12"/>
        <v>140792918.62416914</v>
      </c>
      <c r="AG32" s="192">
        <f t="shared" si="12"/>
        <v>141254359.88081011</v>
      </c>
      <c r="AH32" s="192">
        <f>AH30+AH28-AH27</f>
        <v>141957768.58000001</v>
      </c>
    </row>
    <row r="33" spans="1:19">
      <c r="A33" s="221">
        <f t="shared" si="1"/>
        <v>19</v>
      </c>
      <c r="B33" s="216"/>
      <c r="C33" s="216"/>
      <c r="D33" s="223" t="s">
        <v>95</v>
      </c>
      <c r="E33" s="223" t="s">
        <v>95</v>
      </c>
      <c r="F33" s="192"/>
      <c r="G33" s="192"/>
      <c r="H33" s="192"/>
      <c r="I33" s="192"/>
      <c r="J33" s="192"/>
      <c r="K33" s="192"/>
      <c r="L33" s="192"/>
      <c r="M33" s="192"/>
      <c r="N33" s="192"/>
      <c r="O33" s="192"/>
      <c r="P33" s="192"/>
      <c r="Q33" s="192"/>
      <c r="R33" s="192"/>
      <c r="S33" s="192"/>
    </row>
    <row r="34" spans="1:19">
      <c r="A34" s="221">
        <f t="shared" si="1"/>
        <v>20</v>
      </c>
      <c r="B34" s="216"/>
      <c r="C34" s="225" t="s">
        <v>96</v>
      </c>
      <c r="D34" s="223" t="s">
        <v>416</v>
      </c>
      <c r="E34" s="55" t="s">
        <v>416</v>
      </c>
      <c r="F34" s="192"/>
      <c r="G34" s="192"/>
      <c r="H34" s="192"/>
      <c r="I34" s="192"/>
      <c r="J34" s="192"/>
      <c r="K34" s="192"/>
      <c r="L34" s="192"/>
      <c r="M34" s="192"/>
      <c r="N34" s="192"/>
      <c r="O34" s="192"/>
      <c r="P34" s="192"/>
      <c r="Q34" s="192"/>
      <c r="R34" s="192"/>
      <c r="S34" s="192"/>
    </row>
    <row r="35" spans="1:19">
      <c r="A35" s="221">
        <f t="shared" si="1"/>
        <v>21</v>
      </c>
      <c r="B35" s="216"/>
      <c r="C35" s="225" t="str">
        <f>+C25</f>
        <v xml:space="preserve">  Production</v>
      </c>
      <c r="D35" s="223" t="str">
        <f t="shared" ref="D35:E41" si="13">"(line "&amp;A15&amp;" - line "&amp;A25&amp;")"</f>
        <v>(line 1 - line 11)</v>
      </c>
      <c r="E35" s="55" t="str">
        <f t="shared" si="13"/>
        <v>(line  - line )</v>
      </c>
      <c r="F35" s="192">
        <v>400553416.08414227</v>
      </c>
      <c r="G35" s="192">
        <v>399063768.04894882</v>
      </c>
      <c r="H35" s="192">
        <v>397675502.43139708</v>
      </c>
      <c r="I35" s="192">
        <v>396199659.91752267</v>
      </c>
      <c r="J35" s="192">
        <v>395870423.34220469</v>
      </c>
      <c r="K35" s="192">
        <v>395478089.79159737</v>
      </c>
      <c r="L35" s="192">
        <v>394086325.35913938</v>
      </c>
      <c r="M35" s="192">
        <v>392690976.73996234</v>
      </c>
      <c r="N35" s="192">
        <v>391659725.85680735</v>
      </c>
      <c r="O35" s="192">
        <v>391112851.26617599</v>
      </c>
      <c r="P35" s="192">
        <v>390417606.66465032</v>
      </c>
      <c r="Q35" s="192">
        <v>389255228.55576319</v>
      </c>
      <c r="R35" s="192">
        <v>389960020.28295344</v>
      </c>
      <c r="S35" s="192">
        <f>S15-S25</f>
        <v>394155661.10317427</v>
      </c>
    </row>
    <row r="36" spans="1:19">
      <c r="A36" s="221">
        <f t="shared" si="1"/>
        <v>22</v>
      </c>
      <c r="B36" s="216"/>
      <c r="C36" s="225" t="s">
        <v>75</v>
      </c>
      <c r="D36" s="223" t="str">
        <f t="shared" si="13"/>
        <v>(line 2 - line 12)</v>
      </c>
      <c r="E36" s="55" t="str">
        <f t="shared" si="13"/>
        <v>(line  - line )</v>
      </c>
      <c r="F36" s="192">
        <v>141032913.40999997</v>
      </c>
      <c r="G36" s="192">
        <v>141115761.42634511</v>
      </c>
      <c r="H36" s="192">
        <v>140816023.47084686</v>
      </c>
      <c r="I36" s="192">
        <v>140714609.90840375</v>
      </c>
      <c r="J36" s="192">
        <v>140203710.68927878</v>
      </c>
      <c r="K36" s="192">
        <v>139874742.73566502</v>
      </c>
      <c r="L36" s="192">
        <v>139565749.85759979</v>
      </c>
      <c r="M36" s="192">
        <v>152400477.83344299</v>
      </c>
      <c r="N36" s="192">
        <v>152140620.93281889</v>
      </c>
      <c r="O36" s="192">
        <v>151974881.09748</v>
      </c>
      <c r="P36" s="192">
        <v>151532671.35450339</v>
      </c>
      <c r="Q36" s="192">
        <v>160617863.28726113</v>
      </c>
      <c r="R36" s="192">
        <v>160449960.31</v>
      </c>
      <c r="S36" s="192">
        <f t="shared" ref="S36:S41" si="14">S16-S26</f>
        <v>147110768.17797276</v>
      </c>
    </row>
    <row r="37" spans="1:19">
      <c r="A37" s="221">
        <f t="shared" si="1"/>
        <v>23</v>
      </c>
      <c r="B37" s="216"/>
      <c r="C37" s="225" t="s">
        <v>99</v>
      </c>
      <c r="D37" s="223" t="str">
        <f t="shared" si="13"/>
        <v>(line 3 - line 13)</v>
      </c>
      <c r="E37" s="55" t="str">
        <f t="shared" si="13"/>
        <v>(line  - line )</v>
      </c>
      <c r="F37" s="192">
        <v>242472541.11000001</v>
      </c>
      <c r="G37" s="192">
        <v>242187316.8369886</v>
      </c>
      <c r="H37" s="192">
        <v>242430689.88612309</v>
      </c>
      <c r="I37" s="192">
        <v>243282613.73188189</v>
      </c>
      <c r="J37" s="192">
        <v>243070823.95981285</v>
      </c>
      <c r="K37" s="192">
        <v>242888075.84480196</v>
      </c>
      <c r="L37" s="192">
        <v>244566139.69590965</v>
      </c>
      <c r="M37" s="192">
        <v>244812294.5096193</v>
      </c>
      <c r="N37" s="192">
        <v>246547321.09672618</v>
      </c>
      <c r="O37" s="192">
        <v>248465151.64617184</v>
      </c>
      <c r="P37" s="192">
        <v>249581718.48583111</v>
      </c>
      <c r="Q37" s="192">
        <v>252381658.89918992</v>
      </c>
      <c r="R37" s="192">
        <v>252717152.14999977</v>
      </c>
      <c r="S37" s="192">
        <f t="shared" si="14"/>
        <v>245800269.06561968</v>
      </c>
    </row>
    <row r="38" spans="1:19">
      <c r="A38" s="221">
        <f t="shared" si="1"/>
        <v>24</v>
      </c>
      <c r="B38" s="216"/>
      <c r="C38" s="225" t="str">
        <f>+C28</f>
        <v xml:space="preserve">  General &amp; Intangible</v>
      </c>
      <c r="D38" s="223" t="str">
        <f t="shared" si="13"/>
        <v>(line 4 - line 14)</v>
      </c>
      <c r="E38" s="55" t="str">
        <f t="shared" si="13"/>
        <v>(line  - line )</v>
      </c>
      <c r="F38" s="192">
        <v>26196921.230000027</v>
      </c>
      <c r="G38" s="192">
        <v>20887969.352630191</v>
      </c>
      <c r="H38" s="192">
        <v>20800700.240930416</v>
      </c>
      <c r="I38" s="192">
        <v>20726762.924310885</v>
      </c>
      <c r="J38" s="192">
        <v>20682671.518127162</v>
      </c>
      <c r="K38" s="192">
        <v>20647733.473394923</v>
      </c>
      <c r="L38" s="192">
        <v>20556809.493809912</v>
      </c>
      <c r="M38" s="192">
        <v>20512535.883388422</v>
      </c>
      <c r="N38" s="192">
        <v>20800590.970568899</v>
      </c>
      <c r="O38" s="192">
        <v>21112497.998065434</v>
      </c>
      <c r="P38" s="192">
        <v>21320408.448483281</v>
      </c>
      <c r="Q38" s="192">
        <v>21854010.487276122</v>
      </c>
      <c r="R38" s="192">
        <v>24603054.175348327</v>
      </c>
      <c r="S38" s="192">
        <f t="shared" si="14"/>
        <v>21592512.784333393</v>
      </c>
    </row>
    <row r="39" spans="1:19">
      <c r="A39" s="221">
        <f t="shared" si="1"/>
        <v>25</v>
      </c>
      <c r="B39" s="216"/>
      <c r="C39" s="225" t="s">
        <v>81</v>
      </c>
      <c r="D39" s="223" t="str">
        <f t="shared" si="13"/>
        <v>(line 5 - line 15)</v>
      </c>
      <c r="E39" s="55" t="str">
        <f t="shared" si="13"/>
        <v>(line  - line )</v>
      </c>
      <c r="F39" s="192">
        <v>15854463.649999999</v>
      </c>
      <c r="G39" s="192">
        <v>15627541</v>
      </c>
      <c r="H39" s="192">
        <v>15510925</v>
      </c>
      <c r="I39" s="192">
        <v>15875340</v>
      </c>
      <c r="J39" s="192">
        <v>15947885</v>
      </c>
      <c r="K39" s="192">
        <v>15961444</v>
      </c>
      <c r="L39" s="192">
        <v>15600510</v>
      </c>
      <c r="M39" s="192">
        <v>17084130</v>
      </c>
      <c r="N39" s="192">
        <v>15655804</v>
      </c>
      <c r="O39" s="192">
        <v>14667228</v>
      </c>
      <c r="P39" s="192">
        <v>14635253</v>
      </c>
      <c r="Q39" s="192">
        <v>14379481</v>
      </c>
      <c r="R39" s="192">
        <v>15694465</v>
      </c>
      <c r="S39" s="192">
        <f t="shared" si="14"/>
        <v>15576497.665384613</v>
      </c>
    </row>
    <row r="40" spans="1:19">
      <c r="A40" s="221">
        <f t="shared" si="1"/>
        <v>26</v>
      </c>
      <c r="B40" s="216"/>
      <c r="C40" s="225" t="str">
        <f>+C30</f>
        <v xml:space="preserve">  Communication System</v>
      </c>
      <c r="D40" s="223" t="str">
        <f t="shared" si="13"/>
        <v>(line 6 - line 16)</v>
      </c>
      <c r="E40" s="55" t="str">
        <f t="shared" si="13"/>
        <v>(line  - line )</v>
      </c>
      <c r="F40" s="192">
        <v>4608272.4999999991</v>
      </c>
      <c r="G40" s="192">
        <v>5131719.7499999991</v>
      </c>
      <c r="H40" s="192">
        <v>5098652.2299999995</v>
      </c>
      <c r="I40" s="192">
        <v>5062690.709999999</v>
      </c>
      <c r="J40" s="192">
        <v>5027728.4099999992</v>
      </c>
      <c r="K40" s="192">
        <v>4994986.919999999</v>
      </c>
      <c r="L40" s="192">
        <v>4959786.8999999985</v>
      </c>
      <c r="M40" s="192">
        <v>5202076.8099999996</v>
      </c>
      <c r="N40" s="192">
        <v>5163526.18</v>
      </c>
      <c r="O40" s="192">
        <v>5126839.7799999993</v>
      </c>
      <c r="P40" s="192">
        <v>5090495.6099999994</v>
      </c>
      <c r="Q40" s="192">
        <v>5097280.72</v>
      </c>
      <c r="R40" s="192">
        <v>5060756.4800000004</v>
      </c>
      <c r="S40" s="192">
        <f t="shared" si="14"/>
        <v>5048062.538461538</v>
      </c>
    </row>
    <row r="41" spans="1:19">
      <c r="A41" s="221">
        <f t="shared" si="1"/>
        <v>27</v>
      </c>
      <c r="B41" s="216"/>
      <c r="C41" s="225" t="str">
        <f>+C31</f>
        <v xml:space="preserve">  Common</v>
      </c>
      <c r="D41" s="223" t="str">
        <f t="shared" si="13"/>
        <v>(line 7 - line 17)</v>
      </c>
      <c r="E41" s="55" t="str">
        <f t="shared" si="13"/>
        <v>(line  - line )</v>
      </c>
      <c r="F41" s="192">
        <v>0</v>
      </c>
      <c r="G41" s="192">
        <v>0</v>
      </c>
      <c r="H41" s="192">
        <v>0</v>
      </c>
      <c r="I41" s="192">
        <v>0</v>
      </c>
      <c r="J41" s="192">
        <v>0</v>
      </c>
      <c r="K41" s="192">
        <v>0</v>
      </c>
      <c r="L41" s="192">
        <v>0</v>
      </c>
      <c r="M41" s="192">
        <v>0</v>
      </c>
      <c r="N41" s="192">
        <v>0</v>
      </c>
      <c r="O41" s="192">
        <v>0</v>
      </c>
      <c r="P41" s="192">
        <v>0</v>
      </c>
      <c r="Q41" s="192">
        <v>0</v>
      </c>
      <c r="R41" s="192">
        <v>0</v>
      </c>
      <c r="S41" s="231">
        <f t="shared" si="14"/>
        <v>0</v>
      </c>
    </row>
    <row r="42" spans="1:19">
      <c r="A42" s="221">
        <f t="shared" si="1"/>
        <v>28</v>
      </c>
      <c r="B42" s="216"/>
      <c r="C42" s="225" t="s">
        <v>105</v>
      </c>
      <c r="D42" s="223" t="str">
        <f>"(sum lines "&amp;A35&amp;" - "&amp;A41&amp;")"</f>
        <v>(sum lines 21 - 27)</v>
      </c>
      <c r="E42" s="55" t="str">
        <f>"(sum lines "&amp;B35&amp;" - "&amp;B41&amp;")"</f>
        <v>(sum lines  - )</v>
      </c>
      <c r="F42" s="230">
        <f>SUM(F35:F41)</f>
        <v>830718527.9841423</v>
      </c>
      <c r="G42" s="230">
        <f t="shared" ref="G42:R42" si="15">SUM(G35:G41)</f>
        <v>824014076.41491258</v>
      </c>
      <c r="H42" s="230">
        <f t="shared" si="15"/>
        <v>822332493.25929749</v>
      </c>
      <c r="I42" s="230">
        <f t="shared" si="15"/>
        <v>821861677.19211924</v>
      </c>
      <c r="J42" s="230">
        <f t="shared" si="15"/>
        <v>820803242.91942346</v>
      </c>
      <c r="K42" s="230">
        <f t="shared" si="15"/>
        <v>819845072.76545918</v>
      </c>
      <c r="L42" s="230">
        <f t="shared" si="15"/>
        <v>819335321.30645871</v>
      </c>
      <c r="M42" s="230">
        <f t="shared" si="15"/>
        <v>832702491.77641284</v>
      </c>
      <c r="N42" s="230">
        <f t="shared" si="15"/>
        <v>831967589.03692126</v>
      </c>
      <c r="O42" s="230">
        <f t="shared" si="15"/>
        <v>832459449.7878933</v>
      </c>
      <c r="P42" s="230">
        <f t="shared" si="15"/>
        <v>832578153.5634681</v>
      </c>
      <c r="Q42" s="230">
        <f t="shared" si="15"/>
        <v>843585522.94949031</v>
      </c>
      <c r="R42" s="230">
        <f t="shared" si="15"/>
        <v>848485408.39830148</v>
      </c>
      <c r="S42" s="232">
        <f>SUM(S35:S41)</f>
        <v>829283771.33494627</v>
      </c>
    </row>
    <row r="43" spans="1:19">
      <c r="A43" s="221"/>
      <c r="B43" s="216"/>
      <c r="C43" s="225"/>
      <c r="D43" s="223"/>
      <c r="E43" s="223"/>
      <c r="F43" s="192"/>
      <c r="G43" s="192"/>
      <c r="H43" s="192"/>
      <c r="I43" s="192"/>
      <c r="J43" s="192"/>
      <c r="K43" s="192"/>
      <c r="L43" s="192"/>
      <c r="M43" s="192"/>
      <c r="N43" s="192"/>
      <c r="O43" s="192"/>
      <c r="P43" s="192"/>
      <c r="Q43" s="192"/>
      <c r="R43" s="192"/>
      <c r="S43" s="228"/>
    </row>
    <row r="44" spans="1:19">
      <c r="A44" s="221"/>
      <c r="B44" s="216"/>
      <c r="C44" s="225" t="s">
        <v>424</v>
      </c>
      <c r="D44" s="223"/>
      <c r="E44" s="223"/>
      <c r="F44" s="192"/>
      <c r="G44" s="192"/>
      <c r="H44" s="192"/>
      <c r="I44" s="192"/>
      <c r="J44" s="192"/>
      <c r="K44" s="192"/>
      <c r="L44" s="192"/>
      <c r="M44" s="192"/>
      <c r="N44" s="192"/>
      <c r="O44" s="192"/>
      <c r="P44" s="192"/>
      <c r="Q44" s="192"/>
      <c r="R44" s="192"/>
      <c r="S44" s="228"/>
    </row>
    <row r="45" spans="1:19" ht="18">
      <c r="A45" s="221"/>
      <c r="B45" s="216"/>
      <c r="C45" s="233" t="s">
        <v>436</v>
      </c>
      <c r="D45" s="223"/>
      <c r="E45" s="223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223"/>
    </row>
    <row r="46" spans="1:19">
      <c r="A46" s="221"/>
      <c r="B46" s="216"/>
      <c r="C46" s="225"/>
      <c r="D46" s="223"/>
      <c r="E46" s="223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R46" s="51"/>
      <c r="S46" s="223"/>
    </row>
    <row r="47" spans="1:19" ht="23.25">
      <c r="A47" s="221"/>
      <c r="B47" s="216"/>
      <c r="C47" s="225"/>
      <c r="D47" s="223"/>
      <c r="E47" s="223"/>
      <c r="F47" s="235" t="s">
        <v>425</v>
      </c>
      <c r="G47" s="51"/>
      <c r="H47" s="51"/>
      <c r="I47" s="236"/>
      <c r="J47" s="240"/>
      <c r="K47" s="51"/>
    </row>
    <row r="48" spans="1:19">
      <c r="A48" s="221">
        <f>+A42+1</f>
        <v>29</v>
      </c>
      <c r="B48" s="216"/>
      <c r="C48" s="216"/>
      <c r="D48" s="223"/>
      <c r="E48" s="223"/>
      <c r="F48" s="237" t="s">
        <v>22</v>
      </c>
      <c r="G48" s="237" t="s">
        <v>23</v>
      </c>
      <c r="H48" s="237" t="s">
        <v>405</v>
      </c>
      <c r="I48" s="237"/>
      <c r="J48" s="57"/>
      <c r="K48" s="51"/>
    </row>
    <row r="49" spans="1:19">
      <c r="A49" s="221">
        <f t="shared" si="1"/>
        <v>30</v>
      </c>
      <c r="B49" s="216"/>
      <c r="C49" s="238" t="s">
        <v>426</v>
      </c>
      <c r="D49" s="51"/>
      <c r="E49" s="51"/>
      <c r="F49" s="239">
        <v>43070</v>
      </c>
      <c r="G49" s="239">
        <v>43435</v>
      </c>
      <c r="H49" s="51" t="s">
        <v>427</v>
      </c>
      <c r="I49" s="239"/>
      <c r="J49" s="238"/>
      <c r="K49" s="51"/>
    </row>
    <row r="50" spans="1:19">
      <c r="A50" s="221">
        <f t="shared" si="1"/>
        <v>31</v>
      </c>
      <c r="B50" s="216"/>
      <c r="C50" s="240" t="s">
        <v>108</v>
      </c>
      <c r="D50" s="51" t="s">
        <v>428</v>
      </c>
      <c r="E50" s="55" t="s">
        <v>428</v>
      </c>
      <c r="F50" s="192">
        <v>0</v>
      </c>
      <c r="G50" s="192">
        <v>0</v>
      </c>
      <c r="H50" s="192">
        <f t="shared" ref="H50:H55" si="16">(+F50+G50)/2</f>
        <v>0</v>
      </c>
      <c r="I50" s="192"/>
      <c r="J50" s="240"/>
      <c r="K50" s="51"/>
      <c r="L50" s="192"/>
      <c r="M50" s="192"/>
      <c r="N50" s="192"/>
    </row>
    <row r="51" spans="1:19">
      <c r="A51" s="221">
        <f t="shared" si="1"/>
        <v>32</v>
      </c>
      <c r="B51" s="216"/>
      <c r="C51" s="240" t="s">
        <v>110</v>
      </c>
      <c r="D51" s="51" t="s">
        <v>429</v>
      </c>
      <c r="E51" s="51" t="s">
        <v>447</v>
      </c>
      <c r="F51" s="192">
        <f>'BHP WP12 ADIT'!F15</f>
        <v>-118329579.52</v>
      </c>
      <c r="G51" s="192">
        <f>'BHP WP12 ADIT'!G15</f>
        <v>-122562025.61</v>
      </c>
      <c r="H51" s="192">
        <f t="shared" si="16"/>
        <v>-120445802.565</v>
      </c>
      <c r="I51" s="51"/>
      <c r="J51" s="240"/>
      <c r="K51" s="51"/>
      <c r="L51" s="192"/>
      <c r="M51" s="192"/>
      <c r="N51" s="192"/>
    </row>
    <row r="52" spans="1:19">
      <c r="A52" s="221">
        <f>+A51+1</f>
        <v>33</v>
      </c>
      <c r="B52" s="216"/>
      <c r="C52" s="240" t="s">
        <v>112</v>
      </c>
      <c r="D52" s="51" t="s">
        <v>430</v>
      </c>
      <c r="E52" s="55" t="s">
        <v>430</v>
      </c>
      <c r="F52" s="231">
        <v>-18129142</v>
      </c>
      <c r="G52" s="231">
        <v>-18552793</v>
      </c>
      <c r="H52" s="192">
        <f t="shared" si="16"/>
        <v>-18340967.5</v>
      </c>
      <c r="I52" s="51"/>
      <c r="J52" s="240"/>
      <c r="K52" s="51"/>
    </row>
    <row r="53" spans="1:19" ht="23.25">
      <c r="A53" s="221">
        <f>+A52+1</f>
        <v>34</v>
      </c>
      <c r="B53" s="216"/>
      <c r="C53" s="240" t="s">
        <v>114</v>
      </c>
      <c r="D53" s="51" t="s">
        <v>431</v>
      </c>
      <c r="E53" s="55" t="s">
        <v>431</v>
      </c>
      <c r="F53" s="231">
        <v>29587154</v>
      </c>
      <c r="G53" s="231">
        <v>30263670</v>
      </c>
      <c r="H53" s="192">
        <f t="shared" si="16"/>
        <v>29925412</v>
      </c>
      <c r="I53" s="51"/>
      <c r="J53" s="240"/>
      <c r="K53" s="51"/>
      <c r="L53" s="235"/>
      <c r="M53" s="51"/>
      <c r="N53" s="51"/>
    </row>
    <row r="54" spans="1:19">
      <c r="A54" s="221">
        <f>+A53+1</f>
        <v>35</v>
      </c>
      <c r="B54" s="216"/>
      <c r="C54" s="57" t="s">
        <v>116</v>
      </c>
      <c r="D54" s="51" t="s">
        <v>432</v>
      </c>
      <c r="E54" s="55" t="s">
        <v>432</v>
      </c>
      <c r="F54" s="231"/>
      <c r="G54" s="231">
        <v>0</v>
      </c>
      <c r="H54" s="192">
        <f t="shared" si="16"/>
        <v>0</v>
      </c>
      <c r="I54" s="51"/>
      <c r="J54" s="51"/>
      <c r="K54" s="51"/>
      <c r="L54" s="239"/>
      <c r="M54" s="239"/>
      <c r="N54" s="51"/>
    </row>
    <row r="55" spans="1:19">
      <c r="A55" s="221">
        <f t="shared" si="1"/>
        <v>36</v>
      </c>
      <c r="B55" s="216"/>
      <c r="C55" s="240" t="s">
        <v>118</v>
      </c>
      <c r="D55" s="57" t="s">
        <v>433</v>
      </c>
      <c r="E55" s="51" t="s">
        <v>447</v>
      </c>
      <c r="F55" s="241">
        <f>'BHP WP12 ADIT'!F24</f>
        <v>-93503000.590000004</v>
      </c>
      <c r="G55" s="241">
        <f>'BHP WP12 ADIT'!G24</f>
        <v>-96693540.120000005</v>
      </c>
      <c r="H55" s="241">
        <f t="shared" si="16"/>
        <v>-95098270.355000004</v>
      </c>
      <c r="I55" s="240"/>
      <c r="K55" s="51"/>
      <c r="L55" s="231"/>
      <c r="M55" s="231"/>
      <c r="N55" s="192"/>
    </row>
    <row r="56" spans="1:19">
      <c r="A56" s="221">
        <f t="shared" si="1"/>
        <v>37</v>
      </c>
      <c r="B56" s="216"/>
      <c r="C56" s="225" t="s">
        <v>120</v>
      </c>
      <c r="D56" s="223" t="str">
        <f>"(sum lines "&amp;A50&amp;" - "&amp;A55&amp;")"</f>
        <v>(sum lines 31 - 36)</v>
      </c>
      <c r="E56" s="55" t="s">
        <v>121</v>
      </c>
      <c r="F56" s="192">
        <f>SUM(F50:F55)</f>
        <v>-200374568.10999998</v>
      </c>
      <c r="G56" s="192">
        <f>SUM(G50:G55)</f>
        <v>-207544688.73000002</v>
      </c>
      <c r="H56" s="192">
        <f>SUM(H50:H55)</f>
        <v>-203959628.42000002</v>
      </c>
      <c r="I56" s="51"/>
      <c r="J56" s="51"/>
      <c r="K56" s="51"/>
    </row>
    <row r="57" spans="1:19">
      <c r="A57" s="221">
        <f t="shared" si="1"/>
        <v>38</v>
      </c>
      <c r="B57" s="216"/>
      <c r="C57" s="216"/>
      <c r="D57" s="223"/>
      <c r="E57" s="223"/>
      <c r="F57" s="192"/>
      <c r="G57" s="192"/>
      <c r="H57" s="192"/>
      <c r="I57" s="51"/>
      <c r="J57" s="51"/>
      <c r="K57" s="51"/>
      <c r="L57" s="51"/>
      <c r="M57" s="51"/>
      <c r="P57" s="242"/>
      <c r="Q57" s="242"/>
      <c r="R57" s="242"/>
      <c r="S57" s="224"/>
    </row>
    <row r="58" spans="1:19">
      <c r="A58" s="221">
        <f t="shared" si="1"/>
        <v>39</v>
      </c>
      <c r="B58" s="216"/>
      <c r="C58" s="229" t="s">
        <v>122</v>
      </c>
      <c r="D58" s="223" t="s">
        <v>123</v>
      </c>
      <c r="E58" s="223" t="s">
        <v>123</v>
      </c>
      <c r="F58" s="192"/>
      <c r="G58" s="192"/>
      <c r="H58" s="192">
        <f>(+F58+G58)/2</f>
        <v>0</v>
      </c>
      <c r="I58" s="51"/>
      <c r="J58" s="51"/>
      <c r="K58" s="51"/>
      <c r="L58" s="51"/>
      <c r="M58" s="258"/>
      <c r="P58" s="242"/>
      <c r="Q58" s="242"/>
      <c r="R58" s="242"/>
      <c r="S58" s="224"/>
    </row>
    <row r="59" spans="1:19">
      <c r="A59" s="221">
        <f t="shared" si="1"/>
        <v>40</v>
      </c>
      <c r="B59" s="216"/>
      <c r="C59" s="225"/>
      <c r="D59" s="223"/>
      <c r="E59" s="223"/>
      <c r="F59" s="192"/>
      <c r="G59" s="192"/>
      <c r="H59" s="192"/>
      <c r="I59" s="51"/>
      <c r="J59" s="51"/>
      <c r="K59" s="51"/>
      <c r="L59" s="51"/>
      <c r="M59" s="51"/>
      <c r="P59" s="242"/>
      <c r="Q59" s="242"/>
      <c r="R59" s="242"/>
      <c r="S59" s="224"/>
    </row>
    <row r="60" spans="1:19">
      <c r="A60" s="221">
        <f t="shared" si="1"/>
        <v>41</v>
      </c>
      <c r="B60" s="216"/>
      <c r="C60" s="225" t="s">
        <v>434</v>
      </c>
      <c r="D60" s="223"/>
      <c r="E60" s="223"/>
      <c r="F60" s="192"/>
      <c r="G60" s="192"/>
      <c r="H60" s="192"/>
      <c r="I60" s="51"/>
      <c r="J60" s="51"/>
      <c r="K60" s="51"/>
      <c r="L60" s="51"/>
      <c r="M60" s="51"/>
      <c r="P60" s="242"/>
      <c r="Q60" s="242"/>
      <c r="R60" s="242"/>
      <c r="S60" s="224"/>
    </row>
    <row r="61" spans="1:19">
      <c r="A61" s="221">
        <f t="shared" si="1"/>
        <v>42</v>
      </c>
      <c r="B61" s="216"/>
      <c r="C61" s="225"/>
      <c r="D61" s="57"/>
      <c r="E61" s="57"/>
      <c r="F61" s="192"/>
      <c r="G61" s="192"/>
      <c r="H61" s="192"/>
      <c r="I61" s="51"/>
      <c r="J61" s="51"/>
      <c r="K61" s="51"/>
      <c r="L61" s="51"/>
      <c r="M61" s="257"/>
      <c r="P61" s="242"/>
      <c r="Q61" s="242"/>
      <c r="R61" s="242"/>
      <c r="S61" s="224"/>
    </row>
    <row r="62" spans="1:19">
      <c r="A62" s="221">
        <f t="shared" si="1"/>
        <v>43</v>
      </c>
      <c r="B62" s="216"/>
      <c r="C62" s="225" t="s">
        <v>127</v>
      </c>
      <c r="D62" s="223" t="s">
        <v>128</v>
      </c>
      <c r="E62" s="55" t="s">
        <v>128</v>
      </c>
      <c r="F62" s="231">
        <v>4210110</v>
      </c>
      <c r="G62" s="231">
        <v>4426257</v>
      </c>
      <c r="H62" s="192">
        <f>(+F62+G62)/2</f>
        <v>4318183.5</v>
      </c>
      <c r="I62" s="51"/>
      <c r="J62" s="51"/>
      <c r="K62" s="51"/>
      <c r="L62" s="51"/>
      <c r="M62" s="257"/>
      <c r="P62" s="242"/>
      <c r="Q62" s="242"/>
      <c r="R62" s="242"/>
      <c r="S62" s="224"/>
    </row>
    <row r="63" spans="1:19">
      <c r="A63" s="221">
        <f t="shared" si="1"/>
        <v>44</v>
      </c>
      <c r="B63" s="216"/>
      <c r="C63" s="225" t="s">
        <v>127</v>
      </c>
      <c r="D63" s="223" t="s">
        <v>129</v>
      </c>
      <c r="E63" s="55" t="s">
        <v>129</v>
      </c>
      <c r="F63" s="231">
        <v>17641</v>
      </c>
      <c r="G63" s="231">
        <v>13114</v>
      </c>
      <c r="H63" s="192">
        <f>(+F63+G63)/2</f>
        <v>15377.5</v>
      </c>
      <c r="I63" s="51"/>
      <c r="J63" s="51"/>
      <c r="K63" s="51"/>
      <c r="L63" s="51"/>
      <c r="M63" s="257"/>
      <c r="P63" s="242"/>
      <c r="Q63" s="242"/>
      <c r="R63" s="242"/>
      <c r="S63" s="224"/>
    </row>
    <row r="64" spans="1:19">
      <c r="A64" s="221">
        <f t="shared" si="1"/>
        <v>45</v>
      </c>
      <c r="B64" s="216"/>
      <c r="C64" s="225" t="s">
        <v>130</v>
      </c>
      <c r="D64" s="51" t="s">
        <v>435</v>
      </c>
      <c r="E64" s="55" t="s">
        <v>435</v>
      </c>
      <c r="F64" s="231">
        <v>3496663.59</v>
      </c>
      <c r="G64" s="231">
        <v>3149219</v>
      </c>
      <c r="H64" s="192">
        <f>(+F64+G64)/2</f>
        <v>3322941.2949999999</v>
      </c>
      <c r="I64" s="51"/>
      <c r="J64" s="51"/>
      <c r="K64" s="51"/>
      <c r="L64" s="51"/>
      <c r="M64" s="257"/>
      <c r="P64" s="242"/>
      <c r="Q64" s="242"/>
      <c r="R64" s="242"/>
      <c r="S64" s="224"/>
    </row>
    <row r="65" spans="1:19">
      <c r="A65" s="221">
        <f t="shared" si="1"/>
        <v>46</v>
      </c>
      <c r="B65" s="216"/>
      <c r="C65" s="225" t="s">
        <v>132</v>
      </c>
      <c r="D65" s="223" t="str">
        <f>"(sum lines "&amp;A61&amp;" - "&amp;A64&amp;")"</f>
        <v>(sum lines 42 - 45)</v>
      </c>
      <c r="E65" s="55" t="s">
        <v>133</v>
      </c>
      <c r="F65" s="230">
        <f>SUM(F62:F64)</f>
        <v>7724414.5899999999</v>
      </c>
      <c r="G65" s="230">
        <f>SUM(G62:G64)</f>
        <v>7588590</v>
      </c>
      <c r="H65" s="230">
        <f>SUM(H62:H64)</f>
        <v>7656502.2949999999</v>
      </c>
      <c r="I65" s="243"/>
      <c r="J65" s="243"/>
      <c r="K65" s="243"/>
      <c r="L65" s="243"/>
      <c r="M65" s="259"/>
      <c r="P65" s="242"/>
      <c r="Q65" s="242"/>
      <c r="R65" s="242"/>
      <c r="S65" s="224"/>
    </row>
    <row r="66" spans="1:19">
      <c r="A66" s="221"/>
    </row>
  </sheetData>
  <mergeCells count="6">
    <mergeCell ref="A4:J4"/>
    <mergeCell ref="K4:S4"/>
    <mergeCell ref="A5:J5"/>
    <mergeCell ref="K5:S5"/>
    <mergeCell ref="A7:J7"/>
    <mergeCell ref="K7:S7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44"/>
  <sheetViews>
    <sheetView zoomScaleNormal="100" workbookViewId="0">
      <selection activeCell="L18" sqref="L18"/>
    </sheetView>
  </sheetViews>
  <sheetFormatPr defaultRowHeight="15"/>
  <cols>
    <col min="1" max="1" width="3.44140625" bestFit="1" customWidth="1"/>
    <col min="2" max="2" width="3.44140625" customWidth="1"/>
    <col min="3" max="3" width="13.33203125" customWidth="1"/>
    <col min="4" max="4" width="2.77734375" customWidth="1"/>
    <col min="5" max="5" width="15.33203125" customWidth="1"/>
    <col min="6" max="6" width="3" customWidth="1"/>
    <col min="7" max="7" width="11.88671875" bestFit="1" customWidth="1"/>
    <col min="8" max="8" width="3" customWidth="1"/>
    <col min="9" max="9" width="11.88671875" bestFit="1" customWidth="1"/>
    <col min="10" max="10" width="3.109375" customWidth="1"/>
    <col min="11" max="11" width="13.5546875" bestFit="1" customWidth="1"/>
    <col min="12" max="13" width="9.33203125" customWidth="1"/>
    <col min="259" max="259" width="3.44140625" bestFit="1" customWidth="1"/>
    <col min="260" max="260" width="3.44140625" customWidth="1"/>
    <col min="261" max="261" width="13.33203125" customWidth="1"/>
    <col min="262" max="262" width="2.77734375" customWidth="1"/>
    <col min="263" max="263" width="15.33203125" customWidth="1"/>
    <col min="264" max="264" width="3" customWidth="1"/>
    <col min="265" max="265" width="11.88671875" bestFit="1" customWidth="1"/>
    <col min="266" max="266" width="3.109375" customWidth="1"/>
    <col min="267" max="267" width="13.5546875" bestFit="1" customWidth="1"/>
    <col min="268" max="269" width="9.33203125" customWidth="1"/>
    <col min="515" max="515" width="3.44140625" bestFit="1" customWidth="1"/>
    <col min="516" max="516" width="3.44140625" customWidth="1"/>
    <col min="517" max="517" width="13.33203125" customWidth="1"/>
    <col min="518" max="518" width="2.77734375" customWidth="1"/>
    <col min="519" max="519" width="15.33203125" customWidth="1"/>
    <col min="520" max="520" width="3" customWidth="1"/>
    <col min="521" max="521" width="11.88671875" bestFit="1" customWidth="1"/>
    <col min="522" max="522" width="3.109375" customWidth="1"/>
    <col min="523" max="523" width="13.5546875" bestFit="1" customWidth="1"/>
    <col min="524" max="525" width="9.33203125" customWidth="1"/>
    <col min="771" max="771" width="3.44140625" bestFit="1" customWidth="1"/>
    <col min="772" max="772" width="3.44140625" customWidth="1"/>
    <col min="773" max="773" width="13.33203125" customWidth="1"/>
    <col min="774" max="774" width="2.77734375" customWidth="1"/>
    <col min="775" max="775" width="15.33203125" customWidth="1"/>
    <col min="776" max="776" width="3" customWidth="1"/>
    <col min="777" max="777" width="11.88671875" bestFit="1" customWidth="1"/>
    <col min="778" max="778" width="3.109375" customWidth="1"/>
    <col min="779" max="779" width="13.5546875" bestFit="1" customWidth="1"/>
    <col min="780" max="781" width="9.33203125" customWidth="1"/>
    <col min="1027" max="1027" width="3.44140625" bestFit="1" customWidth="1"/>
    <col min="1028" max="1028" width="3.44140625" customWidth="1"/>
    <col min="1029" max="1029" width="13.33203125" customWidth="1"/>
    <col min="1030" max="1030" width="2.77734375" customWidth="1"/>
    <col min="1031" max="1031" width="15.33203125" customWidth="1"/>
    <col min="1032" max="1032" width="3" customWidth="1"/>
    <col min="1033" max="1033" width="11.88671875" bestFit="1" customWidth="1"/>
    <col min="1034" max="1034" width="3.109375" customWidth="1"/>
    <col min="1035" max="1035" width="13.5546875" bestFit="1" customWidth="1"/>
    <col min="1036" max="1037" width="9.33203125" customWidth="1"/>
    <col min="1283" max="1283" width="3.44140625" bestFit="1" customWidth="1"/>
    <col min="1284" max="1284" width="3.44140625" customWidth="1"/>
    <col min="1285" max="1285" width="13.33203125" customWidth="1"/>
    <col min="1286" max="1286" width="2.77734375" customWidth="1"/>
    <col min="1287" max="1287" width="15.33203125" customWidth="1"/>
    <col min="1288" max="1288" width="3" customWidth="1"/>
    <col min="1289" max="1289" width="11.88671875" bestFit="1" customWidth="1"/>
    <col min="1290" max="1290" width="3.109375" customWidth="1"/>
    <col min="1291" max="1291" width="13.5546875" bestFit="1" customWidth="1"/>
    <col min="1292" max="1293" width="9.33203125" customWidth="1"/>
    <col min="1539" max="1539" width="3.44140625" bestFit="1" customWidth="1"/>
    <col min="1540" max="1540" width="3.44140625" customWidth="1"/>
    <col min="1541" max="1541" width="13.33203125" customWidth="1"/>
    <col min="1542" max="1542" width="2.77734375" customWidth="1"/>
    <col min="1543" max="1543" width="15.33203125" customWidth="1"/>
    <col min="1544" max="1544" width="3" customWidth="1"/>
    <col min="1545" max="1545" width="11.88671875" bestFit="1" customWidth="1"/>
    <col min="1546" max="1546" width="3.109375" customWidth="1"/>
    <col min="1547" max="1547" width="13.5546875" bestFit="1" customWidth="1"/>
    <col min="1548" max="1549" width="9.33203125" customWidth="1"/>
    <col min="1795" max="1795" width="3.44140625" bestFit="1" customWidth="1"/>
    <col min="1796" max="1796" width="3.44140625" customWidth="1"/>
    <col min="1797" max="1797" width="13.33203125" customWidth="1"/>
    <col min="1798" max="1798" width="2.77734375" customWidth="1"/>
    <col min="1799" max="1799" width="15.33203125" customWidth="1"/>
    <col min="1800" max="1800" width="3" customWidth="1"/>
    <col min="1801" max="1801" width="11.88671875" bestFit="1" customWidth="1"/>
    <col min="1802" max="1802" width="3.109375" customWidth="1"/>
    <col min="1803" max="1803" width="13.5546875" bestFit="1" customWidth="1"/>
    <col min="1804" max="1805" width="9.33203125" customWidth="1"/>
    <col min="2051" max="2051" width="3.44140625" bestFit="1" customWidth="1"/>
    <col min="2052" max="2052" width="3.44140625" customWidth="1"/>
    <col min="2053" max="2053" width="13.33203125" customWidth="1"/>
    <col min="2054" max="2054" width="2.77734375" customWidth="1"/>
    <col min="2055" max="2055" width="15.33203125" customWidth="1"/>
    <col min="2056" max="2056" width="3" customWidth="1"/>
    <col min="2057" max="2057" width="11.88671875" bestFit="1" customWidth="1"/>
    <col min="2058" max="2058" width="3.109375" customWidth="1"/>
    <col min="2059" max="2059" width="13.5546875" bestFit="1" customWidth="1"/>
    <col min="2060" max="2061" width="9.33203125" customWidth="1"/>
    <col min="2307" max="2307" width="3.44140625" bestFit="1" customWidth="1"/>
    <col min="2308" max="2308" width="3.44140625" customWidth="1"/>
    <col min="2309" max="2309" width="13.33203125" customWidth="1"/>
    <col min="2310" max="2310" width="2.77734375" customWidth="1"/>
    <col min="2311" max="2311" width="15.33203125" customWidth="1"/>
    <col min="2312" max="2312" width="3" customWidth="1"/>
    <col min="2313" max="2313" width="11.88671875" bestFit="1" customWidth="1"/>
    <col min="2314" max="2314" width="3.109375" customWidth="1"/>
    <col min="2315" max="2315" width="13.5546875" bestFit="1" customWidth="1"/>
    <col min="2316" max="2317" width="9.33203125" customWidth="1"/>
    <col min="2563" max="2563" width="3.44140625" bestFit="1" customWidth="1"/>
    <col min="2564" max="2564" width="3.44140625" customWidth="1"/>
    <col min="2565" max="2565" width="13.33203125" customWidth="1"/>
    <col min="2566" max="2566" width="2.77734375" customWidth="1"/>
    <col min="2567" max="2567" width="15.33203125" customWidth="1"/>
    <col min="2568" max="2568" width="3" customWidth="1"/>
    <col min="2569" max="2569" width="11.88671875" bestFit="1" customWidth="1"/>
    <col min="2570" max="2570" width="3.109375" customWidth="1"/>
    <col min="2571" max="2571" width="13.5546875" bestFit="1" customWidth="1"/>
    <col min="2572" max="2573" width="9.33203125" customWidth="1"/>
    <col min="2819" max="2819" width="3.44140625" bestFit="1" customWidth="1"/>
    <col min="2820" max="2820" width="3.44140625" customWidth="1"/>
    <col min="2821" max="2821" width="13.33203125" customWidth="1"/>
    <col min="2822" max="2822" width="2.77734375" customWidth="1"/>
    <col min="2823" max="2823" width="15.33203125" customWidth="1"/>
    <col min="2824" max="2824" width="3" customWidth="1"/>
    <col min="2825" max="2825" width="11.88671875" bestFit="1" customWidth="1"/>
    <col min="2826" max="2826" width="3.109375" customWidth="1"/>
    <col min="2827" max="2827" width="13.5546875" bestFit="1" customWidth="1"/>
    <col min="2828" max="2829" width="9.33203125" customWidth="1"/>
    <col min="3075" max="3075" width="3.44140625" bestFit="1" customWidth="1"/>
    <col min="3076" max="3076" width="3.44140625" customWidth="1"/>
    <col min="3077" max="3077" width="13.33203125" customWidth="1"/>
    <col min="3078" max="3078" width="2.77734375" customWidth="1"/>
    <col min="3079" max="3079" width="15.33203125" customWidth="1"/>
    <col min="3080" max="3080" width="3" customWidth="1"/>
    <col min="3081" max="3081" width="11.88671875" bestFit="1" customWidth="1"/>
    <col min="3082" max="3082" width="3.109375" customWidth="1"/>
    <col min="3083" max="3083" width="13.5546875" bestFit="1" customWidth="1"/>
    <col min="3084" max="3085" width="9.33203125" customWidth="1"/>
    <col min="3331" max="3331" width="3.44140625" bestFit="1" customWidth="1"/>
    <col min="3332" max="3332" width="3.44140625" customWidth="1"/>
    <col min="3333" max="3333" width="13.33203125" customWidth="1"/>
    <col min="3334" max="3334" width="2.77734375" customWidth="1"/>
    <col min="3335" max="3335" width="15.33203125" customWidth="1"/>
    <col min="3336" max="3336" width="3" customWidth="1"/>
    <col min="3337" max="3337" width="11.88671875" bestFit="1" customWidth="1"/>
    <col min="3338" max="3338" width="3.109375" customWidth="1"/>
    <col min="3339" max="3339" width="13.5546875" bestFit="1" customWidth="1"/>
    <col min="3340" max="3341" width="9.33203125" customWidth="1"/>
    <col min="3587" max="3587" width="3.44140625" bestFit="1" customWidth="1"/>
    <col min="3588" max="3588" width="3.44140625" customWidth="1"/>
    <col min="3589" max="3589" width="13.33203125" customWidth="1"/>
    <col min="3590" max="3590" width="2.77734375" customWidth="1"/>
    <col min="3591" max="3591" width="15.33203125" customWidth="1"/>
    <col min="3592" max="3592" width="3" customWidth="1"/>
    <col min="3593" max="3593" width="11.88671875" bestFit="1" customWidth="1"/>
    <col min="3594" max="3594" width="3.109375" customWidth="1"/>
    <col min="3595" max="3595" width="13.5546875" bestFit="1" customWidth="1"/>
    <col min="3596" max="3597" width="9.33203125" customWidth="1"/>
    <col min="3843" max="3843" width="3.44140625" bestFit="1" customWidth="1"/>
    <col min="3844" max="3844" width="3.44140625" customWidth="1"/>
    <col min="3845" max="3845" width="13.33203125" customWidth="1"/>
    <col min="3846" max="3846" width="2.77734375" customWidth="1"/>
    <col min="3847" max="3847" width="15.33203125" customWidth="1"/>
    <col min="3848" max="3848" width="3" customWidth="1"/>
    <col min="3849" max="3849" width="11.88671875" bestFit="1" customWidth="1"/>
    <col min="3850" max="3850" width="3.109375" customWidth="1"/>
    <col min="3851" max="3851" width="13.5546875" bestFit="1" customWidth="1"/>
    <col min="3852" max="3853" width="9.33203125" customWidth="1"/>
    <col min="4099" max="4099" width="3.44140625" bestFit="1" customWidth="1"/>
    <col min="4100" max="4100" width="3.44140625" customWidth="1"/>
    <col min="4101" max="4101" width="13.33203125" customWidth="1"/>
    <col min="4102" max="4102" width="2.77734375" customWidth="1"/>
    <col min="4103" max="4103" width="15.33203125" customWidth="1"/>
    <col min="4104" max="4104" width="3" customWidth="1"/>
    <col min="4105" max="4105" width="11.88671875" bestFit="1" customWidth="1"/>
    <col min="4106" max="4106" width="3.109375" customWidth="1"/>
    <col min="4107" max="4107" width="13.5546875" bestFit="1" customWidth="1"/>
    <col min="4108" max="4109" width="9.33203125" customWidth="1"/>
    <col min="4355" max="4355" width="3.44140625" bestFit="1" customWidth="1"/>
    <col min="4356" max="4356" width="3.44140625" customWidth="1"/>
    <col min="4357" max="4357" width="13.33203125" customWidth="1"/>
    <col min="4358" max="4358" width="2.77734375" customWidth="1"/>
    <col min="4359" max="4359" width="15.33203125" customWidth="1"/>
    <col min="4360" max="4360" width="3" customWidth="1"/>
    <col min="4361" max="4361" width="11.88671875" bestFit="1" customWidth="1"/>
    <col min="4362" max="4362" width="3.109375" customWidth="1"/>
    <col min="4363" max="4363" width="13.5546875" bestFit="1" customWidth="1"/>
    <col min="4364" max="4365" width="9.33203125" customWidth="1"/>
    <col min="4611" max="4611" width="3.44140625" bestFit="1" customWidth="1"/>
    <col min="4612" max="4612" width="3.44140625" customWidth="1"/>
    <col min="4613" max="4613" width="13.33203125" customWidth="1"/>
    <col min="4614" max="4614" width="2.77734375" customWidth="1"/>
    <col min="4615" max="4615" width="15.33203125" customWidth="1"/>
    <col min="4616" max="4616" width="3" customWidth="1"/>
    <col min="4617" max="4617" width="11.88671875" bestFit="1" customWidth="1"/>
    <col min="4618" max="4618" width="3.109375" customWidth="1"/>
    <col min="4619" max="4619" width="13.5546875" bestFit="1" customWidth="1"/>
    <col min="4620" max="4621" width="9.33203125" customWidth="1"/>
    <col min="4867" max="4867" width="3.44140625" bestFit="1" customWidth="1"/>
    <col min="4868" max="4868" width="3.44140625" customWidth="1"/>
    <col min="4869" max="4869" width="13.33203125" customWidth="1"/>
    <col min="4870" max="4870" width="2.77734375" customWidth="1"/>
    <col min="4871" max="4871" width="15.33203125" customWidth="1"/>
    <col min="4872" max="4872" width="3" customWidth="1"/>
    <col min="4873" max="4873" width="11.88671875" bestFit="1" customWidth="1"/>
    <col min="4874" max="4874" width="3.109375" customWidth="1"/>
    <col min="4875" max="4875" width="13.5546875" bestFit="1" customWidth="1"/>
    <col min="4876" max="4877" width="9.33203125" customWidth="1"/>
    <col min="5123" max="5123" width="3.44140625" bestFit="1" customWidth="1"/>
    <col min="5124" max="5124" width="3.44140625" customWidth="1"/>
    <col min="5125" max="5125" width="13.33203125" customWidth="1"/>
    <col min="5126" max="5126" width="2.77734375" customWidth="1"/>
    <col min="5127" max="5127" width="15.33203125" customWidth="1"/>
    <col min="5128" max="5128" width="3" customWidth="1"/>
    <col min="5129" max="5129" width="11.88671875" bestFit="1" customWidth="1"/>
    <col min="5130" max="5130" width="3.109375" customWidth="1"/>
    <col min="5131" max="5131" width="13.5546875" bestFit="1" customWidth="1"/>
    <col min="5132" max="5133" width="9.33203125" customWidth="1"/>
    <col min="5379" max="5379" width="3.44140625" bestFit="1" customWidth="1"/>
    <col min="5380" max="5380" width="3.44140625" customWidth="1"/>
    <col min="5381" max="5381" width="13.33203125" customWidth="1"/>
    <col min="5382" max="5382" width="2.77734375" customWidth="1"/>
    <col min="5383" max="5383" width="15.33203125" customWidth="1"/>
    <col min="5384" max="5384" width="3" customWidth="1"/>
    <col min="5385" max="5385" width="11.88671875" bestFit="1" customWidth="1"/>
    <col min="5386" max="5386" width="3.109375" customWidth="1"/>
    <col min="5387" max="5387" width="13.5546875" bestFit="1" customWidth="1"/>
    <col min="5388" max="5389" width="9.33203125" customWidth="1"/>
    <col min="5635" max="5635" width="3.44140625" bestFit="1" customWidth="1"/>
    <col min="5636" max="5636" width="3.44140625" customWidth="1"/>
    <col min="5637" max="5637" width="13.33203125" customWidth="1"/>
    <col min="5638" max="5638" width="2.77734375" customWidth="1"/>
    <col min="5639" max="5639" width="15.33203125" customWidth="1"/>
    <col min="5640" max="5640" width="3" customWidth="1"/>
    <col min="5641" max="5641" width="11.88671875" bestFit="1" customWidth="1"/>
    <col min="5642" max="5642" width="3.109375" customWidth="1"/>
    <col min="5643" max="5643" width="13.5546875" bestFit="1" customWidth="1"/>
    <col min="5644" max="5645" width="9.33203125" customWidth="1"/>
    <col min="5891" max="5891" width="3.44140625" bestFit="1" customWidth="1"/>
    <col min="5892" max="5892" width="3.44140625" customWidth="1"/>
    <col min="5893" max="5893" width="13.33203125" customWidth="1"/>
    <col min="5894" max="5894" width="2.77734375" customWidth="1"/>
    <col min="5895" max="5895" width="15.33203125" customWidth="1"/>
    <col min="5896" max="5896" width="3" customWidth="1"/>
    <col min="5897" max="5897" width="11.88671875" bestFit="1" customWidth="1"/>
    <col min="5898" max="5898" width="3.109375" customWidth="1"/>
    <col min="5899" max="5899" width="13.5546875" bestFit="1" customWidth="1"/>
    <col min="5900" max="5901" width="9.33203125" customWidth="1"/>
    <col min="6147" max="6147" width="3.44140625" bestFit="1" customWidth="1"/>
    <col min="6148" max="6148" width="3.44140625" customWidth="1"/>
    <col min="6149" max="6149" width="13.33203125" customWidth="1"/>
    <col min="6150" max="6150" width="2.77734375" customWidth="1"/>
    <col min="6151" max="6151" width="15.33203125" customWidth="1"/>
    <col min="6152" max="6152" width="3" customWidth="1"/>
    <col min="6153" max="6153" width="11.88671875" bestFit="1" customWidth="1"/>
    <col min="6154" max="6154" width="3.109375" customWidth="1"/>
    <col min="6155" max="6155" width="13.5546875" bestFit="1" customWidth="1"/>
    <col min="6156" max="6157" width="9.33203125" customWidth="1"/>
    <col min="6403" max="6403" width="3.44140625" bestFit="1" customWidth="1"/>
    <col min="6404" max="6404" width="3.44140625" customWidth="1"/>
    <col min="6405" max="6405" width="13.33203125" customWidth="1"/>
    <col min="6406" max="6406" width="2.77734375" customWidth="1"/>
    <col min="6407" max="6407" width="15.33203125" customWidth="1"/>
    <col min="6408" max="6408" width="3" customWidth="1"/>
    <col min="6409" max="6409" width="11.88671875" bestFit="1" customWidth="1"/>
    <col min="6410" max="6410" width="3.109375" customWidth="1"/>
    <col min="6411" max="6411" width="13.5546875" bestFit="1" customWidth="1"/>
    <col min="6412" max="6413" width="9.33203125" customWidth="1"/>
    <col min="6659" max="6659" width="3.44140625" bestFit="1" customWidth="1"/>
    <col min="6660" max="6660" width="3.44140625" customWidth="1"/>
    <col min="6661" max="6661" width="13.33203125" customWidth="1"/>
    <col min="6662" max="6662" width="2.77734375" customWidth="1"/>
    <col min="6663" max="6663" width="15.33203125" customWidth="1"/>
    <col min="6664" max="6664" width="3" customWidth="1"/>
    <col min="6665" max="6665" width="11.88671875" bestFit="1" customWidth="1"/>
    <col min="6666" max="6666" width="3.109375" customWidth="1"/>
    <col min="6667" max="6667" width="13.5546875" bestFit="1" customWidth="1"/>
    <col min="6668" max="6669" width="9.33203125" customWidth="1"/>
    <col min="6915" max="6915" width="3.44140625" bestFit="1" customWidth="1"/>
    <col min="6916" max="6916" width="3.44140625" customWidth="1"/>
    <col min="6917" max="6917" width="13.33203125" customWidth="1"/>
    <col min="6918" max="6918" width="2.77734375" customWidth="1"/>
    <col min="6919" max="6919" width="15.33203125" customWidth="1"/>
    <col min="6920" max="6920" width="3" customWidth="1"/>
    <col min="6921" max="6921" width="11.88671875" bestFit="1" customWidth="1"/>
    <col min="6922" max="6922" width="3.109375" customWidth="1"/>
    <col min="6923" max="6923" width="13.5546875" bestFit="1" customWidth="1"/>
    <col min="6924" max="6925" width="9.33203125" customWidth="1"/>
    <col min="7171" max="7171" width="3.44140625" bestFit="1" customWidth="1"/>
    <col min="7172" max="7172" width="3.44140625" customWidth="1"/>
    <col min="7173" max="7173" width="13.33203125" customWidth="1"/>
    <col min="7174" max="7174" width="2.77734375" customWidth="1"/>
    <col min="7175" max="7175" width="15.33203125" customWidth="1"/>
    <col min="7176" max="7176" width="3" customWidth="1"/>
    <col min="7177" max="7177" width="11.88671875" bestFit="1" customWidth="1"/>
    <col min="7178" max="7178" width="3.109375" customWidth="1"/>
    <col min="7179" max="7179" width="13.5546875" bestFit="1" customWidth="1"/>
    <col min="7180" max="7181" width="9.33203125" customWidth="1"/>
    <col min="7427" max="7427" width="3.44140625" bestFit="1" customWidth="1"/>
    <col min="7428" max="7428" width="3.44140625" customWidth="1"/>
    <col min="7429" max="7429" width="13.33203125" customWidth="1"/>
    <col min="7430" max="7430" width="2.77734375" customWidth="1"/>
    <col min="7431" max="7431" width="15.33203125" customWidth="1"/>
    <col min="7432" max="7432" width="3" customWidth="1"/>
    <col min="7433" max="7433" width="11.88671875" bestFit="1" customWidth="1"/>
    <col min="7434" max="7434" width="3.109375" customWidth="1"/>
    <col min="7435" max="7435" width="13.5546875" bestFit="1" customWidth="1"/>
    <col min="7436" max="7437" width="9.33203125" customWidth="1"/>
    <col min="7683" max="7683" width="3.44140625" bestFit="1" customWidth="1"/>
    <col min="7684" max="7684" width="3.44140625" customWidth="1"/>
    <col min="7685" max="7685" width="13.33203125" customWidth="1"/>
    <col min="7686" max="7686" width="2.77734375" customWidth="1"/>
    <col min="7687" max="7687" width="15.33203125" customWidth="1"/>
    <col min="7688" max="7688" width="3" customWidth="1"/>
    <col min="7689" max="7689" width="11.88671875" bestFit="1" customWidth="1"/>
    <col min="7690" max="7690" width="3.109375" customWidth="1"/>
    <col min="7691" max="7691" width="13.5546875" bestFit="1" customWidth="1"/>
    <col min="7692" max="7693" width="9.33203125" customWidth="1"/>
    <col min="7939" max="7939" width="3.44140625" bestFit="1" customWidth="1"/>
    <col min="7940" max="7940" width="3.44140625" customWidth="1"/>
    <col min="7941" max="7941" width="13.33203125" customWidth="1"/>
    <col min="7942" max="7942" width="2.77734375" customWidth="1"/>
    <col min="7943" max="7943" width="15.33203125" customWidth="1"/>
    <col min="7944" max="7944" width="3" customWidth="1"/>
    <col min="7945" max="7945" width="11.88671875" bestFit="1" customWidth="1"/>
    <col min="7946" max="7946" width="3.109375" customWidth="1"/>
    <col min="7947" max="7947" width="13.5546875" bestFit="1" customWidth="1"/>
    <col min="7948" max="7949" width="9.33203125" customWidth="1"/>
    <col min="8195" max="8195" width="3.44140625" bestFit="1" customWidth="1"/>
    <col min="8196" max="8196" width="3.44140625" customWidth="1"/>
    <col min="8197" max="8197" width="13.33203125" customWidth="1"/>
    <col min="8198" max="8198" width="2.77734375" customWidth="1"/>
    <col min="8199" max="8199" width="15.33203125" customWidth="1"/>
    <col min="8200" max="8200" width="3" customWidth="1"/>
    <col min="8201" max="8201" width="11.88671875" bestFit="1" customWidth="1"/>
    <col min="8202" max="8202" width="3.109375" customWidth="1"/>
    <col min="8203" max="8203" width="13.5546875" bestFit="1" customWidth="1"/>
    <col min="8204" max="8205" width="9.33203125" customWidth="1"/>
    <col min="8451" max="8451" width="3.44140625" bestFit="1" customWidth="1"/>
    <col min="8452" max="8452" width="3.44140625" customWidth="1"/>
    <col min="8453" max="8453" width="13.33203125" customWidth="1"/>
    <col min="8454" max="8454" width="2.77734375" customWidth="1"/>
    <col min="8455" max="8455" width="15.33203125" customWidth="1"/>
    <col min="8456" max="8456" width="3" customWidth="1"/>
    <col min="8457" max="8457" width="11.88671875" bestFit="1" customWidth="1"/>
    <col min="8458" max="8458" width="3.109375" customWidth="1"/>
    <col min="8459" max="8459" width="13.5546875" bestFit="1" customWidth="1"/>
    <col min="8460" max="8461" width="9.33203125" customWidth="1"/>
    <col min="8707" max="8707" width="3.44140625" bestFit="1" customWidth="1"/>
    <col min="8708" max="8708" width="3.44140625" customWidth="1"/>
    <col min="8709" max="8709" width="13.33203125" customWidth="1"/>
    <col min="8710" max="8710" width="2.77734375" customWidth="1"/>
    <col min="8711" max="8711" width="15.33203125" customWidth="1"/>
    <col min="8712" max="8712" width="3" customWidth="1"/>
    <col min="8713" max="8713" width="11.88671875" bestFit="1" customWidth="1"/>
    <col min="8714" max="8714" width="3.109375" customWidth="1"/>
    <col min="8715" max="8715" width="13.5546875" bestFit="1" customWidth="1"/>
    <col min="8716" max="8717" width="9.33203125" customWidth="1"/>
    <col min="8963" max="8963" width="3.44140625" bestFit="1" customWidth="1"/>
    <col min="8964" max="8964" width="3.44140625" customWidth="1"/>
    <col min="8965" max="8965" width="13.33203125" customWidth="1"/>
    <col min="8966" max="8966" width="2.77734375" customWidth="1"/>
    <col min="8967" max="8967" width="15.33203125" customWidth="1"/>
    <col min="8968" max="8968" width="3" customWidth="1"/>
    <col min="8969" max="8969" width="11.88671875" bestFit="1" customWidth="1"/>
    <col min="8970" max="8970" width="3.109375" customWidth="1"/>
    <col min="8971" max="8971" width="13.5546875" bestFit="1" customWidth="1"/>
    <col min="8972" max="8973" width="9.33203125" customWidth="1"/>
    <col min="9219" max="9219" width="3.44140625" bestFit="1" customWidth="1"/>
    <col min="9220" max="9220" width="3.44140625" customWidth="1"/>
    <col min="9221" max="9221" width="13.33203125" customWidth="1"/>
    <col min="9222" max="9222" width="2.77734375" customWidth="1"/>
    <col min="9223" max="9223" width="15.33203125" customWidth="1"/>
    <col min="9224" max="9224" width="3" customWidth="1"/>
    <col min="9225" max="9225" width="11.88671875" bestFit="1" customWidth="1"/>
    <col min="9226" max="9226" width="3.109375" customWidth="1"/>
    <col min="9227" max="9227" width="13.5546875" bestFit="1" customWidth="1"/>
    <col min="9228" max="9229" width="9.33203125" customWidth="1"/>
    <col min="9475" max="9475" width="3.44140625" bestFit="1" customWidth="1"/>
    <col min="9476" max="9476" width="3.44140625" customWidth="1"/>
    <col min="9477" max="9477" width="13.33203125" customWidth="1"/>
    <col min="9478" max="9478" width="2.77734375" customWidth="1"/>
    <col min="9479" max="9479" width="15.33203125" customWidth="1"/>
    <col min="9480" max="9480" width="3" customWidth="1"/>
    <col min="9481" max="9481" width="11.88671875" bestFit="1" customWidth="1"/>
    <col min="9482" max="9482" width="3.109375" customWidth="1"/>
    <col min="9483" max="9483" width="13.5546875" bestFit="1" customWidth="1"/>
    <col min="9484" max="9485" width="9.33203125" customWidth="1"/>
    <col min="9731" max="9731" width="3.44140625" bestFit="1" customWidth="1"/>
    <col min="9732" max="9732" width="3.44140625" customWidth="1"/>
    <col min="9733" max="9733" width="13.33203125" customWidth="1"/>
    <col min="9734" max="9734" width="2.77734375" customWidth="1"/>
    <col min="9735" max="9735" width="15.33203125" customWidth="1"/>
    <col min="9736" max="9736" width="3" customWidth="1"/>
    <col min="9737" max="9737" width="11.88671875" bestFit="1" customWidth="1"/>
    <col min="9738" max="9738" width="3.109375" customWidth="1"/>
    <col min="9739" max="9739" width="13.5546875" bestFit="1" customWidth="1"/>
    <col min="9740" max="9741" width="9.33203125" customWidth="1"/>
    <col min="9987" max="9987" width="3.44140625" bestFit="1" customWidth="1"/>
    <col min="9988" max="9988" width="3.44140625" customWidth="1"/>
    <col min="9989" max="9989" width="13.33203125" customWidth="1"/>
    <col min="9990" max="9990" width="2.77734375" customWidth="1"/>
    <col min="9991" max="9991" width="15.33203125" customWidth="1"/>
    <col min="9992" max="9992" width="3" customWidth="1"/>
    <col min="9993" max="9993" width="11.88671875" bestFit="1" customWidth="1"/>
    <col min="9994" max="9994" width="3.109375" customWidth="1"/>
    <col min="9995" max="9995" width="13.5546875" bestFit="1" customWidth="1"/>
    <col min="9996" max="9997" width="9.33203125" customWidth="1"/>
    <col min="10243" max="10243" width="3.44140625" bestFit="1" customWidth="1"/>
    <col min="10244" max="10244" width="3.44140625" customWidth="1"/>
    <col min="10245" max="10245" width="13.33203125" customWidth="1"/>
    <col min="10246" max="10246" width="2.77734375" customWidth="1"/>
    <col min="10247" max="10247" width="15.33203125" customWidth="1"/>
    <col min="10248" max="10248" width="3" customWidth="1"/>
    <col min="10249" max="10249" width="11.88671875" bestFit="1" customWidth="1"/>
    <col min="10250" max="10250" width="3.109375" customWidth="1"/>
    <col min="10251" max="10251" width="13.5546875" bestFit="1" customWidth="1"/>
    <col min="10252" max="10253" width="9.33203125" customWidth="1"/>
    <col min="10499" max="10499" width="3.44140625" bestFit="1" customWidth="1"/>
    <col min="10500" max="10500" width="3.44140625" customWidth="1"/>
    <col min="10501" max="10501" width="13.33203125" customWidth="1"/>
    <col min="10502" max="10502" width="2.77734375" customWidth="1"/>
    <col min="10503" max="10503" width="15.33203125" customWidth="1"/>
    <col min="10504" max="10504" width="3" customWidth="1"/>
    <col min="10505" max="10505" width="11.88671875" bestFit="1" customWidth="1"/>
    <col min="10506" max="10506" width="3.109375" customWidth="1"/>
    <col min="10507" max="10507" width="13.5546875" bestFit="1" customWidth="1"/>
    <col min="10508" max="10509" width="9.33203125" customWidth="1"/>
    <col min="10755" max="10755" width="3.44140625" bestFit="1" customWidth="1"/>
    <col min="10756" max="10756" width="3.44140625" customWidth="1"/>
    <col min="10757" max="10757" width="13.33203125" customWidth="1"/>
    <col min="10758" max="10758" width="2.77734375" customWidth="1"/>
    <col min="10759" max="10759" width="15.33203125" customWidth="1"/>
    <col min="10760" max="10760" width="3" customWidth="1"/>
    <col min="10761" max="10761" width="11.88671875" bestFit="1" customWidth="1"/>
    <col min="10762" max="10762" width="3.109375" customWidth="1"/>
    <col min="10763" max="10763" width="13.5546875" bestFit="1" customWidth="1"/>
    <col min="10764" max="10765" width="9.33203125" customWidth="1"/>
    <col min="11011" max="11011" width="3.44140625" bestFit="1" customWidth="1"/>
    <col min="11012" max="11012" width="3.44140625" customWidth="1"/>
    <col min="11013" max="11013" width="13.33203125" customWidth="1"/>
    <col min="11014" max="11014" width="2.77734375" customWidth="1"/>
    <col min="11015" max="11015" width="15.33203125" customWidth="1"/>
    <col min="11016" max="11016" width="3" customWidth="1"/>
    <col min="11017" max="11017" width="11.88671875" bestFit="1" customWidth="1"/>
    <col min="11018" max="11018" width="3.109375" customWidth="1"/>
    <col min="11019" max="11019" width="13.5546875" bestFit="1" customWidth="1"/>
    <col min="11020" max="11021" width="9.33203125" customWidth="1"/>
    <col min="11267" max="11267" width="3.44140625" bestFit="1" customWidth="1"/>
    <col min="11268" max="11268" width="3.44140625" customWidth="1"/>
    <col min="11269" max="11269" width="13.33203125" customWidth="1"/>
    <col min="11270" max="11270" width="2.77734375" customWidth="1"/>
    <col min="11271" max="11271" width="15.33203125" customWidth="1"/>
    <col min="11272" max="11272" width="3" customWidth="1"/>
    <col min="11273" max="11273" width="11.88671875" bestFit="1" customWidth="1"/>
    <col min="11274" max="11274" width="3.109375" customWidth="1"/>
    <col min="11275" max="11275" width="13.5546875" bestFit="1" customWidth="1"/>
    <col min="11276" max="11277" width="9.33203125" customWidth="1"/>
    <col min="11523" max="11523" width="3.44140625" bestFit="1" customWidth="1"/>
    <col min="11524" max="11524" width="3.44140625" customWidth="1"/>
    <col min="11525" max="11525" width="13.33203125" customWidth="1"/>
    <col min="11526" max="11526" width="2.77734375" customWidth="1"/>
    <col min="11527" max="11527" width="15.33203125" customWidth="1"/>
    <col min="11528" max="11528" width="3" customWidth="1"/>
    <col min="11529" max="11529" width="11.88671875" bestFit="1" customWidth="1"/>
    <col min="11530" max="11530" width="3.109375" customWidth="1"/>
    <col min="11531" max="11531" width="13.5546875" bestFit="1" customWidth="1"/>
    <col min="11532" max="11533" width="9.33203125" customWidth="1"/>
    <col min="11779" max="11779" width="3.44140625" bestFit="1" customWidth="1"/>
    <col min="11780" max="11780" width="3.44140625" customWidth="1"/>
    <col min="11781" max="11781" width="13.33203125" customWidth="1"/>
    <col min="11782" max="11782" width="2.77734375" customWidth="1"/>
    <col min="11783" max="11783" width="15.33203125" customWidth="1"/>
    <col min="11784" max="11784" width="3" customWidth="1"/>
    <col min="11785" max="11785" width="11.88671875" bestFit="1" customWidth="1"/>
    <col min="11786" max="11786" width="3.109375" customWidth="1"/>
    <col min="11787" max="11787" width="13.5546875" bestFit="1" customWidth="1"/>
    <col min="11788" max="11789" width="9.33203125" customWidth="1"/>
    <col min="12035" max="12035" width="3.44140625" bestFit="1" customWidth="1"/>
    <col min="12036" max="12036" width="3.44140625" customWidth="1"/>
    <col min="12037" max="12037" width="13.33203125" customWidth="1"/>
    <col min="12038" max="12038" width="2.77734375" customWidth="1"/>
    <col min="12039" max="12039" width="15.33203125" customWidth="1"/>
    <col min="12040" max="12040" width="3" customWidth="1"/>
    <col min="12041" max="12041" width="11.88671875" bestFit="1" customWidth="1"/>
    <col min="12042" max="12042" width="3.109375" customWidth="1"/>
    <col min="12043" max="12043" width="13.5546875" bestFit="1" customWidth="1"/>
    <col min="12044" max="12045" width="9.33203125" customWidth="1"/>
    <col min="12291" max="12291" width="3.44140625" bestFit="1" customWidth="1"/>
    <col min="12292" max="12292" width="3.44140625" customWidth="1"/>
    <col min="12293" max="12293" width="13.33203125" customWidth="1"/>
    <col min="12294" max="12294" width="2.77734375" customWidth="1"/>
    <col min="12295" max="12295" width="15.33203125" customWidth="1"/>
    <col min="12296" max="12296" width="3" customWidth="1"/>
    <col min="12297" max="12297" width="11.88671875" bestFit="1" customWidth="1"/>
    <col min="12298" max="12298" width="3.109375" customWidth="1"/>
    <col min="12299" max="12299" width="13.5546875" bestFit="1" customWidth="1"/>
    <col min="12300" max="12301" width="9.33203125" customWidth="1"/>
    <col min="12547" max="12547" width="3.44140625" bestFit="1" customWidth="1"/>
    <col min="12548" max="12548" width="3.44140625" customWidth="1"/>
    <col min="12549" max="12549" width="13.33203125" customWidth="1"/>
    <col min="12550" max="12550" width="2.77734375" customWidth="1"/>
    <col min="12551" max="12551" width="15.33203125" customWidth="1"/>
    <col min="12552" max="12552" width="3" customWidth="1"/>
    <col min="12553" max="12553" width="11.88671875" bestFit="1" customWidth="1"/>
    <col min="12554" max="12554" width="3.109375" customWidth="1"/>
    <col min="12555" max="12555" width="13.5546875" bestFit="1" customWidth="1"/>
    <col min="12556" max="12557" width="9.33203125" customWidth="1"/>
    <col min="12803" max="12803" width="3.44140625" bestFit="1" customWidth="1"/>
    <col min="12804" max="12804" width="3.44140625" customWidth="1"/>
    <col min="12805" max="12805" width="13.33203125" customWidth="1"/>
    <col min="12806" max="12806" width="2.77734375" customWidth="1"/>
    <col min="12807" max="12807" width="15.33203125" customWidth="1"/>
    <col min="12808" max="12808" width="3" customWidth="1"/>
    <col min="12809" max="12809" width="11.88671875" bestFit="1" customWidth="1"/>
    <col min="12810" max="12810" width="3.109375" customWidth="1"/>
    <col min="12811" max="12811" width="13.5546875" bestFit="1" customWidth="1"/>
    <col min="12812" max="12813" width="9.33203125" customWidth="1"/>
    <col min="13059" max="13059" width="3.44140625" bestFit="1" customWidth="1"/>
    <col min="13060" max="13060" width="3.44140625" customWidth="1"/>
    <col min="13061" max="13061" width="13.33203125" customWidth="1"/>
    <col min="13062" max="13062" width="2.77734375" customWidth="1"/>
    <col min="13063" max="13063" width="15.33203125" customWidth="1"/>
    <col min="13064" max="13064" width="3" customWidth="1"/>
    <col min="13065" max="13065" width="11.88671875" bestFit="1" customWidth="1"/>
    <col min="13066" max="13066" width="3.109375" customWidth="1"/>
    <col min="13067" max="13067" width="13.5546875" bestFit="1" customWidth="1"/>
    <col min="13068" max="13069" width="9.33203125" customWidth="1"/>
    <col min="13315" max="13315" width="3.44140625" bestFit="1" customWidth="1"/>
    <col min="13316" max="13316" width="3.44140625" customWidth="1"/>
    <col min="13317" max="13317" width="13.33203125" customWidth="1"/>
    <col min="13318" max="13318" width="2.77734375" customWidth="1"/>
    <col min="13319" max="13319" width="15.33203125" customWidth="1"/>
    <col min="13320" max="13320" width="3" customWidth="1"/>
    <col min="13321" max="13321" width="11.88671875" bestFit="1" customWidth="1"/>
    <col min="13322" max="13322" width="3.109375" customWidth="1"/>
    <col min="13323" max="13323" width="13.5546875" bestFit="1" customWidth="1"/>
    <col min="13324" max="13325" width="9.33203125" customWidth="1"/>
    <col min="13571" max="13571" width="3.44140625" bestFit="1" customWidth="1"/>
    <col min="13572" max="13572" width="3.44140625" customWidth="1"/>
    <col min="13573" max="13573" width="13.33203125" customWidth="1"/>
    <col min="13574" max="13574" width="2.77734375" customWidth="1"/>
    <col min="13575" max="13575" width="15.33203125" customWidth="1"/>
    <col min="13576" max="13576" width="3" customWidth="1"/>
    <col min="13577" max="13577" width="11.88671875" bestFit="1" customWidth="1"/>
    <col min="13578" max="13578" width="3.109375" customWidth="1"/>
    <col min="13579" max="13579" width="13.5546875" bestFit="1" customWidth="1"/>
    <col min="13580" max="13581" width="9.33203125" customWidth="1"/>
    <col min="13827" max="13827" width="3.44140625" bestFit="1" customWidth="1"/>
    <col min="13828" max="13828" width="3.44140625" customWidth="1"/>
    <col min="13829" max="13829" width="13.33203125" customWidth="1"/>
    <col min="13830" max="13830" width="2.77734375" customWidth="1"/>
    <col min="13831" max="13831" width="15.33203125" customWidth="1"/>
    <col min="13832" max="13832" width="3" customWidth="1"/>
    <col min="13833" max="13833" width="11.88671875" bestFit="1" customWidth="1"/>
    <col min="13834" max="13834" width="3.109375" customWidth="1"/>
    <col min="13835" max="13835" width="13.5546875" bestFit="1" customWidth="1"/>
    <col min="13836" max="13837" width="9.33203125" customWidth="1"/>
    <col min="14083" max="14083" width="3.44140625" bestFit="1" customWidth="1"/>
    <col min="14084" max="14084" width="3.44140625" customWidth="1"/>
    <col min="14085" max="14085" width="13.33203125" customWidth="1"/>
    <col min="14086" max="14086" width="2.77734375" customWidth="1"/>
    <col min="14087" max="14087" width="15.33203125" customWidth="1"/>
    <col min="14088" max="14088" width="3" customWidth="1"/>
    <col min="14089" max="14089" width="11.88671875" bestFit="1" customWidth="1"/>
    <col min="14090" max="14090" width="3.109375" customWidth="1"/>
    <col min="14091" max="14091" width="13.5546875" bestFit="1" customWidth="1"/>
    <col min="14092" max="14093" width="9.33203125" customWidth="1"/>
    <col min="14339" max="14339" width="3.44140625" bestFit="1" customWidth="1"/>
    <col min="14340" max="14340" width="3.44140625" customWidth="1"/>
    <col min="14341" max="14341" width="13.33203125" customWidth="1"/>
    <col min="14342" max="14342" width="2.77734375" customWidth="1"/>
    <col min="14343" max="14343" width="15.33203125" customWidth="1"/>
    <col min="14344" max="14344" width="3" customWidth="1"/>
    <col min="14345" max="14345" width="11.88671875" bestFit="1" customWidth="1"/>
    <col min="14346" max="14346" width="3.109375" customWidth="1"/>
    <col min="14347" max="14347" width="13.5546875" bestFit="1" customWidth="1"/>
    <col min="14348" max="14349" width="9.33203125" customWidth="1"/>
    <col min="14595" max="14595" width="3.44140625" bestFit="1" customWidth="1"/>
    <col min="14596" max="14596" width="3.44140625" customWidth="1"/>
    <col min="14597" max="14597" width="13.33203125" customWidth="1"/>
    <col min="14598" max="14598" width="2.77734375" customWidth="1"/>
    <col min="14599" max="14599" width="15.33203125" customWidth="1"/>
    <col min="14600" max="14600" width="3" customWidth="1"/>
    <col min="14601" max="14601" width="11.88671875" bestFit="1" customWidth="1"/>
    <col min="14602" max="14602" width="3.109375" customWidth="1"/>
    <col min="14603" max="14603" width="13.5546875" bestFit="1" customWidth="1"/>
    <col min="14604" max="14605" width="9.33203125" customWidth="1"/>
    <col min="14851" max="14851" width="3.44140625" bestFit="1" customWidth="1"/>
    <col min="14852" max="14852" width="3.44140625" customWidth="1"/>
    <col min="14853" max="14853" width="13.33203125" customWidth="1"/>
    <col min="14854" max="14854" width="2.77734375" customWidth="1"/>
    <col min="14855" max="14855" width="15.33203125" customWidth="1"/>
    <col min="14856" max="14856" width="3" customWidth="1"/>
    <col min="14857" max="14857" width="11.88671875" bestFit="1" customWidth="1"/>
    <col min="14858" max="14858" width="3.109375" customWidth="1"/>
    <col min="14859" max="14859" width="13.5546875" bestFit="1" customWidth="1"/>
    <col min="14860" max="14861" width="9.33203125" customWidth="1"/>
    <col min="15107" max="15107" width="3.44140625" bestFit="1" customWidth="1"/>
    <col min="15108" max="15108" width="3.44140625" customWidth="1"/>
    <col min="15109" max="15109" width="13.33203125" customWidth="1"/>
    <col min="15110" max="15110" width="2.77734375" customWidth="1"/>
    <col min="15111" max="15111" width="15.33203125" customWidth="1"/>
    <col min="15112" max="15112" width="3" customWidth="1"/>
    <col min="15113" max="15113" width="11.88671875" bestFit="1" customWidth="1"/>
    <col min="15114" max="15114" width="3.109375" customWidth="1"/>
    <col min="15115" max="15115" width="13.5546875" bestFit="1" customWidth="1"/>
    <col min="15116" max="15117" width="9.33203125" customWidth="1"/>
    <col min="15363" max="15363" width="3.44140625" bestFit="1" customWidth="1"/>
    <col min="15364" max="15364" width="3.44140625" customWidth="1"/>
    <col min="15365" max="15365" width="13.33203125" customWidth="1"/>
    <col min="15366" max="15366" width="2.77734375" customWidth="1"/>
    <col min="15367" max="15367" width="15.33203125" customWidth="1"/>
    <col min="15368" max="15368" width="3" customWidth="1"/>
    <col min="15369" max="15369" width="11.88671875" bestFit="1" customWidth="1"/>
    <col min="15370" max="15370" width="3.109375" customWidth="1"/>
    <col min="15371" max="15371" width="13.5546875" bestFit="1" customWidth="1"/>
    <col min="15372" max="15373" width="9.33203125" customWidth="1"/>
    <col min="15619" max="15619" width="3.44140625" bestFit="1" customWidth="1"/>
    <col min="15620" max="15620" width="3.44140625" customWidth="1"/>
    <col min="15621" max="15621" width="13.33203125" customWidth="1"/>
    <col min="15622" max="15622" width="2.77734375" customWidth="1"/>
    <col min="15623" max="15623" width="15.33203125" customWidth="1"/>
    <col min="15624" max="15624" width="3" customWidth="1"/>
    <col min="15625" max="15625" width="11.88671875" bestFit="1" customWidth="1"/>
    <col min="15626" max="15626" width="3.109375" customWidth="1"/>
    <col min="15627" max="15627" width="13.5546875" bestFit="1" customWidth="1"/>
    <col min="15628" max="15629" width="9.33203125" customWidth="1"/>
    <col min="15875" max="15875" width="3.44140625" bestFit="1" customWidth="1"/>
    <col min="15876" max="15876" width="3.44140625" customWidth="1"/>
    <col min="15877" max="15877" width="13.33203125" customWidth="1"/>
    <col min="15878" max="15878" width="2.77734375" customWidth="1"/>
    <col min="15879" max="15879" width="15.33203125" customWidth="1"/>
    <col min="15880" max="15880" width="3" customWidth="1"/>
    <col min="15881" max="15881" width="11.88671875" bestFit="1" customWidth="1"/>
    <col min="15882" max="15882" width="3.109375" customWidth="1"/>
    <col min="15883" max="15883" width="13.5546875" bestFit="1" customWidth="1"/>
    <col min="15884" max="15885" width="9.33203125" customWidth="1"/>
    <col min="16131" max="16131" width="3.44140625" bestFit="1" customWidth="1"/>
    <col min="16132" max="16132" width="3.44140625" customWidth="1"/>
    <col min="16133" max="16133" width="13.33203125" customWidth="1"/>
    <col min="16134" max="16134" width="2.77734375" customWidth="1"/>
    <col min="16135" max="16135" width="15.33203125" customWidth="1"/>
    <col min="16136" max="16136" width="3" customWidth="1"/>
    <col min="16137" max="16137" width="11.88671875" bestFit="1" customWidth="1"/>
    <col min="16138" max="16138" width="3.109375" customWidth="1"/>
    <col min="16139" max="16139" width="13.5546875" bestFit="1" customWidth="1"/>
    <col min="16140" max="16141" width="9.33203125" customWidth="1"/>
  </cols>
  <sheetData>
    <row r="3" spans="1:17" s="39" customFormat="1" ht="15" customHeight="1">
      <c r="A3" s="274" t="s">
        <v>382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188"/>
      <c r="M3" s="188"/>
    </row>
    <row r="4" spans="1:17" s="39" customFormat="1" ht="15" customHeight="1">
      <c r="A4" s="274" t="s">
        <v>381</v>
      </c>
      <c r="B4" s="274"/>
      <c r="C4" s="274"/>
      <c r="D4" s="274"/>
      <c r="E4" s="274"/>
      <c r="F4" s="274"/>
      <c r="G4" s="274"/>
      <c r="H4" s="274"/>
      <c r="I4" s="274"/>
      <c r="J4" s="274"/>
      <c r="K4" s="274"/>
      <c r="L4" s="188"/>
      <c r="M4" s="188"/>
    </row>
    <row r="5" spans="1:17" s="39" customFormat="1" ht="15" customHeight="1">
      <c r="A5" s="274" t="s">
        <v>2</v>
      </c>
      <c r="B5" s="274"/>
      <c r="C5" s="274"/>
      <c r="D5" s="274"/>
      <c r="E5" s="274"/>
      <c r="F5" s="274"/>
      <c r="G5" s="274"/>
      <c r="H5" s="274"/>
      <c r="I5" s="274"/>
      <c r="J5" s="274"/>
      <c r="K5" s="274"/>
      <c r="L5" s="188"/>
      <c r="M5" s="188"/>
    </row>
    <row r="6" spans="1:17" s="39" customFormat="1" ht="15.75">
      <c r="A6" s="160"/>
      <c r="B6" s="160"/>
      <c r="C6" s="161"/>
      <c r="D6" s="161"/>
      <c r="E6" s="161"/>
      <c r="F6" s="161"/>
      <c r="G6" s="161"/>
      <c r="H6" s="213"/>
      <c r="I6" s="213"/>
      <c r="J6" s="161"/>
      <c r="K6" s="214" t="s">
        <v>392</v>
      </c>
      <c r="L6" s="160"/>
      <c r="M6" s="188"/>
    </row>
    <row r="7" spans="1:17" s="39" customFormat="1" ht="16.5">
      <c r="C7" s="161" t="s">
        <v>22</v>
      </c>
      <c r="D7" s="161"/>
      <c r="E7" s="161" t="s">
        <v>380</v>
      </c>
      <c r="F7" s="161"/>
      <c r="G7" s="7" t="s">
        <v>379</v>
      </c>
      <c r="H7" s="213"/>
      <c r="I7" s="7" t="s">
        <v>391</v>
      </c>
      <c r="J7" s="7"/>
      <c r="K7" s="7" t="s">
        <v>378</v>
      </c>
    </row>
    <row r="8" spans="1:17" s="39" customFormat="1" ht="12.75">
      <c r="A8" s="161" t="s">
        <v>3</v>
      </c>
      <c r="B8" s="161"/>
      <c r="C8" s="161"/>
      <c r="D8" s="161"/>
      <c r="E8" s="161" t="s">
        <v>377</v>
      </c>
      <c r="F8" s="161"/>
      <c r="G8" s="161" t="s">
        <v>376</v>
      </c>
      <c r="H8" s="213"/>
      <c r="I8" s="213"/>
      <c r="J8" s="161"/>
      <c r="K8" s="161" t="s">
        <v>375</v>
      </c>
    </row>
    <row r="9" spans="1:17" s="39" customFormat="1" ht="12.75">
      <c r="A9" s="9" t="s">
        <v>5</v>
      </c>
      <c r="B9" s="9"/>
      <c r="C9" s="9" t="s">
        <v>374</v>
      </c>
      <c r="D9" s="9"/>
      <c r="E9" s="187" t="s">
        <v>373</v>
      </c>
      <c r="F9" s="187"/>
      <c r="G9" s="186" t="s">
        <v>372</v>
      </c>
      <c r="H9" s="187"/>
      <c r="I9" s="9" t="s">
        <v>388</v>
      </c>
      <c r="J9" s="186"/>
      <c r="K9" s="185" t="s">
        <v>371</v>
      </c>
      <c r="P9" s="191"/>
      <c r="Q9" s="191"/>
    </row>
    <row r="10" spans="1:17" s="39" customFormat="1" ht="12.75">
      <c r="A10" s="165"/>
      <c r="B10" s="184" t="s">
        <v>370</v>
      </c>
      <c r="D10" s="183"/>
      <c r="E10" s="182"/>
      <c r="F10" s="182"/>
      <c r="G10" s="181"/>
      <c r="H10" s="182"/>
      <c r="I10" s="181"/>
      <c r="J10" s="181"/>
      <c r="K10" s="180"/>
      <c r="P10" s="191"/>
      <c r="Q10" s="191"/>
    </row>
    <row r="11" spans="1:17" s="39" customFormat="1">
      <c r="A11" s="161">
        <v>1</v>
      </c>
      <c r="B11" s="161"/>
      <c r="C11" s="208">
        <v>43070</v>
      </c>
      <c r="D11" s="208"/>
      <c r="E11" s="209">
        <v>17944745.93</v>
      </c>
      <c r="F11" s="210"/>
      <c r="G11" s="209">
        <v>2450694.38</v>
      </c>
      <c r="H11" s="210"/>
      <c r="I11" s="209">
        <v>159531.69</v>
      </c>
      <c r="J11" s="210"/>
      <c r="K11" s="210">
        <f>E11+G11+I11</f>
        <v>20554972</v>
      </c>
      <c r="L11" s="7"/>
      <c r="M11" s="7"/>
      <c r="P11" s="192"/>
      <c r="Q11" s="192"/>
    </row>
    <row r="12" spans="1:17" s="39" customFormat="1">
      <c r="A12" s="176">
        <f t="shared" ref="A12:A28" si="0">A11+1</f>
        <v>2</v>
      </c>
      <c r="B12" s="176"/>
      <c r="C12" s="208">
        <v>43101</v>
      </c>
      <c r="D12" s="208"/>
      <c r="E12" s="209">
        <v>17446453.91736982</v>
      </c>
      <c r="F12" s="210"/>
      <c r="G12" s="209">
        <v>2484734.08</v>
      </c>
      <c r="H12" s="210"/>
      <c r="I12" s="209">
        <v>255849.7649126765</v>
      </c>
      <c r="J12" s="210"/>
      <c r="K12" s="210">
        <f t="shared" ref="K12:K23" si="1">E12+G12+I12</f>
        <v>20187037.762282494</v>
      </c>
      <c r="L12" s="179"/>
      <c r="M12" s="179"/>
      <c r="P12" s="192"/>
      <c r="Q12" s="192"/>
    </row>
    <row r="13" spans="1:17">
      <c r="A13" s="176">
        <f t="shared" si="0"/>
        <v>3</v>
      </c>
      <c r="B13" s="176"/>
      <c r="C13" s="208">
        <v>43132</v>
      </c>
      <c r="D13" s="208"/>
      <c r="E13" s="209">
        <v>17542753.179069623</v>
      </c>
      <c r="F13" s="210"/>
      <c r="G13" s="209">
        <v>2519939.67</v>
      </c>
      <c r="H13" s="210"/>
      <c r="I13" s="209">
        <v>353309.15929752862</v>
      </c>
      <c r="J13" s="210"/>
      <c r="K13" s="210">
        <f t="shared" si="1"/>
        <v>20416002.008367155</v>
      </c>
      <c r="L13" s="178"/>
      <c r="M13" s="178"/>
      <c r="P13" s="192"/>
      <c r="Q13" s="192"/>
    </row>
    <row r="14" spans="1:17">
      <c r="A14" s="176">
        <f t="shared" si="0"/>
        <v>4</v>
      </c>
      <c r="B14" s="176"/>
      <c r="C14" s="208">
        <v>43160</v>
      </c>
      <c r="D14" s="208"/>
      <c r="E14" s="209">
        <v>17578739.815689102</v>
      </c>
      <c r="F14" s="210"/>
      <c r="G14" s="209">
        <v>2555148.14</v>
      </c>
      <c r="H14" s="210"/>
      <c r="I14" s="209">
        <v>462582.37211918994</v>
      </c>
      <c r="J14" s="210"/>
      <c r="K14" s="210">
        <f t="shared" si="1"/>
        <v>20596470.327808291</v>
      </c>
      <c r="L14" s="163"/>
      <c r="M14" s="163"/>
      <c r="N14" s="162"/>
      <c r="P14" s="192"/>
      <c r="Q14" s="192"/>
    </row>
    <row r="15" spans="1:17">
      <c r="A15" s="176">
        <f t="shared" si="0"/>
        <v>5</v>
      </c>
      <c r="B15" s="176"/>
      <c r="C15" s="208">
        <v>43191</v>
      </c>
      <c r="D15" s="208"/>
      <c r="E15" s="209">
        <v>17686576.681872834</v>
      </c>
      <c r="F15" s="210"/>
      <c r="G15" s="209">
        <v>2590355.5499999998</v>
      </c>
      <c r="H15" s="210"/>
      <c r="I15" s="209">
        <v>1113572.2694234243</v>
      </c>
      <c r="J15" s="210"/>
      <c r="K15" s="210">
        <f t="shared" si="1"/>
        <v>21390504.501296259</v>
      </c>
      <c r="L15" s="163"/>
      <c r="M15" s="163"/>
      <c r="N15" s="162"/>
      <c r="P15" s="192"/>
      <c r="Q15" s="192"/>
    </row>
    <row r="16" spans="1:17">
      <c r="A16" s="176">
        <f t="shared" si="0"/>
        <v>6</v>
      </c>
      <c r="B16" s="176"/>
      <c r="C16" s="208">
        <v>43221</v>
      </c>
      <c r="D16" s="208"/>
      <c r="E16" s="209">
        <v>17795898.066605091</v>
      </c>
      <c r="F16" s="210"/>
      <c r="G16" s="209">
        <v>2625568.62</v>
      </c>
      <c r="H16" s="210"/>
      <c r="I16" s="209">
        <v>1309214.0554592609</v>
      </c>
      <c r="J16" s="210"/>
      <c r="K16" s="210">
        <f t="shared" si="1"/>
        <v>21730680.742064353</v>
      </c>
      <c r="L16" s="163"/>
      <c r="M16" s="163"/>
      <c r="N16" s="162"/>
      <c r="P16" s="192"/>
      <c r="Q16" s="192"/>
    </row>
    <row r="17" spans="1:17">
      <c r="A17" s="176">
        <f t="shared" si="0"/>
        <v>7</v>
      </c>
      <c r="B17" s="176"/>
      <c r="C17" s="208">
        <v>43252</v>
      </c>
      <c r="D17" s="208"/>
      <c r="E17" s="209">
        <v>17670944.696190093</v>
      </c>
      <c r="F17" s="210"/>
      <c r="G17" s="209">
        <v>2650900.9700000002</v>
      </c>
      <c r="H17" s="210"/>
      <c r="I17" s="209">
        <v>1510303.2264590387</v>
      </c>
      <c r="J17" s="210"/>
      <c r="K17" s="210">
        <f t="shared" si="1"/>
        <v>21832148.892649129</v>
      </c>
      <c r="P17" s="192"/>
      <c r="Q17" s="192"/>
    </row>
    <row r="18" spans="1:17">
      <c r="A18" s="176">
        <f t="shared" si="0"/>
        <v>8</v>
      </c>
      <c r="B18" s="176"/>
      <c r="C18" s="208">
        <v>43282</v>
      </c>
      <c r="D18" s="208"/>
      <c r="E18" s="209">
        <v>17716989.216611594</v>
      </c>
      <c r="F18" s="210"/>
      <c r="G18" s="209">
        <v>2678355.67</v>
      </c>
      <c r="H18" s="210"/>
      <c r="I18" s="209">
        <v>1716326.9564129375</v>
      </c>
      <c r="J18" s="210"/>
      <c r="K18" s="210">
        <f t="shared" si="1"/>
        <v>22111671.843024533</v>
      </c>
      <c r="P18" s="192"/>
      <c r="Q18" s="192"/>
    </row>
    <row r="19" spans="1:17">
      <c r="A19" s="176">
        <f t="shared" si="0"/>
        <v>9</v>
      </c>
      <c r="B19" s="176"/>
      <c r="C19" s="208">
        <v>43313</v>
      </c>
      <c r="D19" s="208"/>
      <c r="E19" s="209">
        <v>17946927.189431105</v>
      </c>
      <c r="F19" s="210"/>
      <c r="G19" s="209">
        <v>2714706.11</v>
      </c>
      <c r="H19" s="210"/>
      <c r="I19" s="209">
        <v>1917105.3769210177</v>
      </c>
      <c r="J19" s="210"/>
      <c r="K19" s="210">
        <f t="shared" si="1"/>
        <v>22578738.676352121</v>
      </c>
      <c r="P19" s="192"/>
      <c r="Q19" s="192"/>
    </row>
    <row r="20" spans="1:17">
      <c r="A20" s="176">
        <f t="shared" si="0"/>
        <v>10</v>
      </c>
      <c r="B20" s="176"/>
      <c r="C20" s="208">
        <v>43344</v>
      </c>
      <c r="D20" s="208"/>
      <c r="E20" s="209">
        <v>17973806.511934586</v>
      </c>
      <c r="F20" s="210"/>
      <c r="G20" s="209">
        <v>2751051.02</v>
      </c>
      <c r="H20" s="210"/>
      <c r="I20" s="209">
        <v>2120149.2278931583</v>
      </c>
      <c r="J20" s="210"/>
      <c r="K20" s="210">
        <f t="shared" si="1"/>
        <v>22845006.759827744</v>
      </c>
      <c r="P20" s="192"/>
      <c r="Q20" s="192"/>
    </row>
    <row r="21" spans="1:17">
      <c r="A21" s="176">
        <f t="shared" si="0"/>
        <v>11</v>
      </c>
      <c r="B21" s="176"/>
      <c r="C21" s="208">
        <v>43374</v>
      </c>
      <c r="D21" s="208"/>
      <c r="E21" s="209">
        <v>18069474.801516704</v>
      </c>
      <c r="F21" s="210"/>
      <c r="G21" s="209">
        <v>2787395.19</v>
      </c>
      <c r="H21" s="210"/>
      <c r="I21" s="209">
        <v>2336992.5234677531</v>
      </c>
      <c r="J21" s="210"/>
      <c r="K21" s="210">
        <f t="shared" si="1"/>
        <v>23193862.514984459</v>
      </c>
      <c r="P21" s="192"/>
      <c r="Q21" s="192"/>
    </row>
    <row r="22" spans="1:17">
      <c r="A22" s="176">
        <f t="shared" si="0"/>
        <v>12</v>
      </c>
      <c r="B22" s="176"/>
      <c r="C22" s="208">
        <v>43405</v>
      </c>
      <c r="D22" s="208"/>
      <c r="E22" s="209">
        <v>18183513.50272388</v>
      </c>
      <c r="F22" s="210"/>
      <c r="G22" s="209">
        <v>2823829.4000000004</v>
      </c>
      <c r="H22" s="210"/>
      <c r="I22" s="209">
        <v>2529664.909490359</v>
      </c>
      <c r="J22" s="210"/>
      <c r="K22" s="210">
        <f t="shared" si="1"/>
        <v>23537007.812214237</v>
      </c>
      <c r="P22" s="192"/>
      <c r="Q22" s="192"/>
    </row>
    <row r="23" spans="1:17">
      <c r="A23" s="176">
        <f t="shared" si="0"/>
        <v>13</v>
      </c>
      <c r="B23" s="176"/>
      <c r="C23" s="208">
        <v>43435</v>
      </c>
      <c r="D23" s="208"/>
      <c r="E23" s="209">
        <v>18229100.984651692</v>
      </c>
      <c r="F23" s="210"/>
      <c r="G23" s="209">
        <v>2860353.6399999997</v>
      </c>
      <c r="H23" s="210"/>
      <c r="I23" s="209">
        <v>2716247.6924859639</v>
      </c>
      <c r="J23" s="210"/>
      <c r="K23" s="210">
        <f t="shared" si="1"/>
        <v>23805702.317137659</v>
      </c>
      <c r="P23" s="192"/>
      <c r="Q23" s="192"/>
    </row>
    <row r="24" spans="1:17">
      <c r="A24" s="176">
        <f t="shared" si="0"/>
        <v>14</v>
      </c>
      <c r="B24" s="176"/>
      <c r="C24" s="211" t="s">
        <v>369</v>
      </c>
      <c r="D24" s="211"/>
      <c r="E24" s="210">
        <f>AVERAGE(E11:E23)</f>
        <v>17829686.499512777</v>
      </c>
      <c r="F24" s="210"/>
      <c r="G24" s="210">
        <f>AVERAGE(G11:G23)</f>
        <v>2653310.1876923074</v>
      </c>
      <c r="H24" s="210"/>
      <c r="I24" s="210">
        <f>AVERAGE(I11:I23)</f>
        <v>1423142.2480263314</v>
      </c>
      <c r="J24" s="210"/>
      <c r="K24" s="210">
        <f>AVERAGE(K11:K23)</f>
        <v>21906138.935231414</v>
      </c>
      <c r="P24" s="193"/>
      <c r="Q24" s="193"/>
    </row>
    <row r="25" spans="1:17">
      <c r="A25" s="176">
        <f t="shared" si="0"/>
        <v>15</v>
      </c>
      <c r="B25" s="176"/>
      <c r="C25" s="177"/>
      <c r="D25" s="177"/>
    </row>
    <row r="26" spans="1:17">
      <c r="A26" s="176">
        <f t="shared" si="0"/>
        <v>16</v>
      </c>
      <c r="B26" s="175" t="s">
        <v>368</v>
      </c>
      <c r="D26" s="175"/>
    </row>
    <row r="27" spans="1:17">
      <c r="A27" s="176">
        <f t="shared" si="0"/>
        <v>17</v>
      </c>
      <c r="B27" s="175" t="s">
        <v>367</v>
      </c>
      <c r="D27" s="175"/>
    </row>
    <row r="28" spans="1:17">
      <c r="A28" s="176">
        <f t="shared" si="0"/>
        <v>18</v>
      </c>
      <c r="B28" s="175" t="s">
        <v>393</v>
      </c>
      <c r="D28" s="175"/>
    </row>
    <row r="29" spans="1:17">
      <c r="B29" s="175" t="s">
        <v>390</v>
      </c>
    </row>
    <row r="31" spans="1:17">
      <c r="A31" s="162"/>
      <c r="B31" s="162"/>
      <c r="C31" s="162"/>
      <c r="D31" s="162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O31" s="162"/>
    </row>
    <row r="32" spans="1:17">
      <c r="A32" s="162"/>
      <c r="B32" s="162"/>
      <c r="C32" s="162"/>
      <c r="D32" s="162"/>
      <c r="E32" s="162"/>
      <c r="F32" s="162"/>
      <c r="G32" s="162"/>
      <c r="H32" s="162"/>
      <c r="I32" s="162"/>
      <c r="J32" s="162"/>
      <c r="K32" s="162"/>
      <c r="L32" s="162"/>
      <c r="M32" s="162"/>
      <c r="N32" s="162"/>
      <c r="O32" s="162"/>
    </row>
    <row r="33" spans="1:15">
      <c r="A33" s="162"/>
      <c r="B33" s="162"/>
      <c r="C33" s="162"/>
      <c r="D33" s="162"/>
      <c r="E33" s="162"/>
      <c r="F33" s="162"/>
      <c r="G33" s="162"/>
      <c r="H33" s="162"/>
      <c r="I33" s="162"/>
      <c r="J33" s="162"/>
      <c r="K33" s="162"/>
      <c r="L33" s="162"/>
      <c r="M33" s="162"/>
      <c r="N33" s="162"/>
      <c r="O33" s="162"/>
    </row>
    <row r="34" spans="1:15">
      <c r="A34" s="165"/>
      <c r="B34" s="165"/>
      <c r="C34" s="174"/>
      <c r="D34" s="174"/>
      <c r="E34" s="174"/>
      <c r="F34" s="174"/>
      <c r="G34" s="173"/>
      <c r="H34" s="174"/>
      <c r="I34" s="173"/>
      <c r="J34" s="173"/>
      <c r="K34" s="173"/>
      <c r="L34" s="162"/>
      <c r="M34" s="162"/>
      <c r="N34" s="162"/>
      <c r="O34" s="162"/>
    </row>
    <row r="35" spans="1:15">
      <c r="A35" s="165"/>
      <c r="B35" s="165"/>
      <c r="C35" s="172"/>
      <c r="D35" s="172"/>
      <c r="E35" s="172"/>
      <c r="F35" s="172"/>
      <c r="G35" s="171"/>
      <c r="H35" s="172"/>
      <c r="I35" s="171"/>
      <c r="J35" s="171"/>
      <c r="K35" s="171"/>
      <c r="L35" s="162"/>
      <c r="M35" s="162"/>
      <c r="N35" s="162"/>
      <c r="O35" s="162"/>
    </row>
    <row r="36" spans="1:15">
      <c r="A36" s="165"/>
      <c r="B36" s="165"/>
      <c r="C36" s="166"/>
      <c r="D36" s="166"/>
      <c r="E36" s="162"/>
      <c r="F36" s="162"/>
      <c r="G36" s="170"/>
      <c r="H36" s="162"/>
      <c r="I36" s="170"/>
      <c r="J36" s="170"/>
      <c r="K36" s="170"/>
      <c r="L36" s="162"/>
      <c r="M36" s="162"/>
      <c r="N36" s="162"/>
      <c r="O36" s="162"/>
    </row>
    <row r="37" spans="1:15">
      <c r="A37" s="169"/>
      <c r="B37" s="169"/>
      <c r="C37" s="168"/>
      <c r="D37" s="168"/>
      <c r="E37" s="167"/>
      <c r="F37" s="167"/>
      <c r="G37" s="163"/>
      <c r="H37" s="167"/>
      <c r="I37" s="163"/>
      <c r="J37" s="163"/>
      <c r="K37" s="163"/>
      <c r="L37" s="162"/>
      <c r="M37" s="162"/>
      <c r="N37" s="162"/>
      <c r="O37" s="162"/>
    </row>
    <row r="38" spans="1:15">
      <c r="A38" s="165"/>
      <c r="B38" s="165"/>
      <c r="C38" s="166"/>
      <c r="D38" s="166"/>
      <c r="E38" s="164"/>
      <c r="F38" s="164"/>
      <c r="G38" s="163"/>
      <c r="H38" s="164"/>
      <c r="I38" s="163"/>
      <c r="J38" s="163"/>
      <c r="K38" s="163"/>
      <c r="L38" s="162"/>
      <c r="M38" s="162"/>
      <c r="N38" s="162"/>
      <c r="O38" s="162"/>
    </row>
    <row r="39" spans="1:15">
      <c r="A39" s="165"/>
      <c r="B39" s="165"/>
      <c r="C39" s="164"/>
      <c r="D39" s="164"/>
      <c r="E39" s="164"/>
      <c r="F39" s="164"/>
      <c r="G39" s="163"/>
      <c r="H39" s="164"/>
      <c r="I39" s="163"/>
      <c r="J39" s="163"/>
      <c r="K39" s="163"/>
      <c r="L39" s="162"/>
      <c r="M39" s="162"/>
      <c r="N39" s="162"/>
      <c r="O39" s="162"/>
    </row>
    <row r="40" spans="1:15">
      <c r="A40" s="162"/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O40" s="162"/>
    </row>
    <row r="41" spans="1:15">
      <c r="A41" s="162"/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  <c r="N41" s="162"/>
      <c r="O41" s="162"/>
    </row>
    <row r="42" spans="1:15">
      <c r="A42" s="162"/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  <c r="M42" s="162"/>
      <c r="N42" s="162"/>
      <c r="O42" s="162"/>
    </row>
    <row r="43" spans="1:15">
      <c r="A43" s="162"/>
      <c r="B43" s="162"/>
      <c r="C43" s="162"/>
      <c r="D43" s="162"/>
      <c r="E43" s="162"/>
      <c r="F43" s="162"/>
      <c r="G43" s="162"/>
      <c r="H43" s="162"/>
      <c r="I43" s="162"/>
      <c r="J43" s="162"/>
      <c r="K43" s="162"/>
      <c r="L43" s="162"/>
      <c r="M43" s="162"/>
      <c r="N43" s="162"/>
      <c r="O43" s="162"/>
    </row>
    <row r="44" spans="1:15">
      <c r="A44" s="162"/>
      <c r="B44" s="162"/>
      <c r="C44" s="162"/>
      <c r="D44" s="162"/>
      <c r="E44" s="162"/>
      <c r="F44" s="162"/>
      <c r="G44" s="162"/>
      <c r="H44" s="162"/>
      <c r="I44" s="162"/>
      <c r="J44" s="162"/>
      <c r="K44" s="162"/>
      <c r="L44" s="162"/>
      <c r="M44" s="162"/>
      <c r="N44" s="162"/>
      <c r="O44" s="162"/>
    </row>
  </sheetData>
  <mergeCells count="3">
    <mergeCell ref="A3:K3"/>
    <mergeCell ref="A4:K4"/>
    <mergeCell ref="A5:K5"/>
  </mergeCells>
  <pageMargins left="0.7" right="0.7" top="0.75" bottom="0.75" header="0.3" footer="0.3"/>
  <pageSetup orientation="portrait" verticalDpi="0" r:id="rId1"/>
  <headerFooter>
    <oddHeader>&amp;L&amp;8 2016 BHP-Workpaper 9 Supplemental Supporting Schedules&amp;C
ACTUAL SERVICE YEAR ATRR
BLACK HILLS POWER, INC.
SUPPORTING SCHEDULES&amp;RPage &amp;P of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44"/>
  <sheetViews>
    <sheetView zoomScaleNormal="100" workbookViewId="0">
      <selection activeCell="D32" sqref="D32"/>
    </sheetView>
  </sheetViews>
  <sheetFormatPr defaultRowHeight="15"/>
  <cols>
    <col min="1" max="1" width="3.44140625" bestFit="1" customWidth="1"/>
    <col min="2" max="2" width="3.44140625" customWidth="1"/>
    <col min="3" max="3" width="13.33203125" customWidth="1"/>
    <col min="4" max="4" width="2.77734375" customWidth="1"/>
    <col min="5" max="5" width="15.33203125" customWidth="1"/>
    <col min="6" max="6" width="3" customWidth="1"/>
    <col min="7" max="7" width="11.88671875" bestFit="1" customWidth="1"/>
    <col min="8" max="8" width="3" customWidth="1"/>
    <col min="9" max="9" width="11.88671875" bestFit="1" customWidth="1"/>
    <col min="10" max="10" width="3.109375" customWidth="1"/>
    <col min="11" max="11" width="13.5546875" bestFit="1" customWidth="1"/>
    <col min="12" max="13" width="9.33203125" customWidth="1"/>
    <col min="259" max="259" width="3.44140625" bestFit="1" customWidth="1"/>
    <col min="260" max="260" width="3.44140625" customWidth="1"/>
    <col min="261" max="261" width="13.33203125" customWidth="1"/>
    <col min="262" max="262" width="2.77734375" customWidth="1"/>
    <col min="263" max="263" width="15.33203125" customWidth="1"/>
    <col min="264" max="264" width="3" customWidth="1"/>
    <col min="265" max="265" width="11.88671875" bestFit="1" customWidth="1"/>
    <col min="266" max="266" width="3.109375" customWidth="1"/>
    <col min="267" max="267" width="13.5546875" bestFit="1" customWidth="1"/>
    <col min="268" max="269" width="9.33203125" customWidth="1"/>
    <col min="515" max="515" width="3.44140625" bestFit="1" customWidth="1"/>
    <col min="516" max="516" width="3.44140625" customWidth="1"/>
    <col min="517" max="517" width="13.33203125" customWidth="1"/>
    <col min="518" max="518" width="2.77734375" customWidth="1"/>
    <col min="519" max="519" width="15.33203125" customWidth="1"/>
    <col min="520" max="520" width="3" customWidth="1"/>
    <col min="521" max="521" width="11.88671875" bestFit="1" customWidth="1"/>
    <col min="522" max="522" width="3.109375" customWidth="1"/>
    <col min="523" max="523" width="13.5546875" bestFit="1" customWidth="1"/>
    <col min="524" max="525" width="9.33203125" customWidth="1"/>
    <col min="771" max="771" width="3.44140625" bestFit="1" customWidth="1"/>
    <col min="772" max="772" width="3.44140625" customWidth="1"/>
    <col min="773" max="773" width="13.33203125" customWidth="1"/>
    <col min="774" max="774" width="2.77734375" customWidth="1"/>
    <col min="775" max="775" width="15.33203125" customWidth="1"/>
    <col min="776" max="776" width="3" customWidth="1"/>
    <col min="777" max="777" width="11.88671875" bestFit="1" customWidth="1"/>
    <col min="778" max="778" width="3.109375" customWidth="1"/>
    <col min="779" max="779" width="13.5546875" bestFit="1" customWidth="1"/>
    <col min="780" max="781" width="9.33203125" customWidth="1"/>
    <col min="1027" max="1027" width="3.44140625" bestFit="1" customWidth="1"/>
    <col min="1028" max="1028" width="3.44140625" customWidth="1"/>
    <col min="1029" max="1029" width="13.33203125" customWidth="1"/>
    <col min="1030" max="1030" width="2.77734375" customWidth="1"/>
    <col min="1031" max="1031" width="15.33203125" customWidth="1"/>
    <col min="1032" max="1032" width="3" customWidth="1"/>
    <col min="1033" max="1033" width="11.88671875" bestFit="1" customWidth="1"/>
    <col min="1034" max="1034" width="3.109375" customWidth="1"/>
    <col min="1035" max="1035" width="13.5546875" bestFit="1" customWidth="1"/>
    <col min="1036" max="1037" width="9.33203125" customWidth="1"/>
    <col min="1283" max="1283" width="3.44140625" bestFit="1" customWidth="1"/>
    <col min="1284" max="1284" width="3.44140625" customWidth="1"/>
    <col min="1285" max="1285" width="13.33203125" customWidth="1"/>
    <col min="1286" max="1286" width="2.77734375" customWidth="1"/>
    <col min="1287" max="1287" width="15.33203125" customWidth="1"/>
    <col min="1288" max="1288" width="3" customWidth="1"/>
    <col min="1289" max="1289" width="11.88671875" bestFit="1" customWidth="1"/>
    <col min="1290" max="1290" width="3.109375" customWidth="1"/>
    <col min="1291" max="1291" width="13.5546875" bestFit="1" customWidth="1"/>
    <col min="1292" max="1293" width="9.33203125" customWidth="1"/>
    <col min="1539" max="1539" width="3.44140625" bestFit="1" customWidth="1"/>
    <col min="1540" max="1540" width="3.44140625" customWidth="1"/>
    <col min="1541" max="1541" width="13.33203125" customWidth="1"/>
    <col min="1542" max="1542" width="2.77734375" customWidth="1"/>
    <col min="1543" max="1543" width="15.33203125" customWidth="1"/>
    <col min="1544" max="1544" width="3" customWidth="1"/>
    <col min="1545" max="1545" width="11.88671875" bestFit="1" customWidth="1"/>
    <col min="1546" max="1546" width="3.109375" customWidth="1"/>
    <col min="1547" max="1547" width="13.5546875" bestFit="1" customWidth="1"/>
    <col min="1548" max="1549" width="9.33203125" customWidth="1"/>
    <col min="1795" max="1795" width="3.44140625" bestFit="1" customWidth="1"/>
    <col min="1796" max="1796" width="3.44140625" customWidth="1"/>
    <col min="1797" max="1797" width="13.33203125" customWidth="1"/>
    <col min="1798" max="1798" width="2.77734375" customWidth="1"/>
    <col min="1799" max="1799" width="15.33203125" customWidth="1"/>
    <col min="1800" max="1800" width="3" customWidth="1"/>
    <col min="1801" max="1801" width="11.88671875" bestFit="1" customWidth="1"/>
    <col min="1802" max="1802" width="3.109375" customWidth="1"/>
    <col min="1803" max="1803" width="13.5546875" bestFit="1" customWidth="1"/>
    <col min="1804" max="1805" width="9.33203125" customWidth="1"/>
    <col min="2051" max="2051" width="3.44140625" bestFit="1" customWidth="1"/>
    <col min="2052" max="2052" width="3.44140625" customWidth="1"/>
    <col min="2053" max="2053" width="13.33203125" customWidth="1"/>
    <col min="2054" max="2054" width="2.77734375" customWidth="1"/>
    <col min="2055" max="2055" width="15.33203125" customWidth="1"/>
    <col min="2056" max="2056" width="3" customWidth="1"/>
    <col min="2057" max="2057" width="11.88671875" bestFit="1" customWidth="1"/>
    <col min="2058" max="2058" width="3.109375" customWidth="1"/>
    <col min="2059" max="2059" width="13.5546875" bestFit="1" customWidth="1"/>
    <col min="2060" max="2061" width="9.33203125" customWidth="1"/>
    <col min="2307" max="2307" width="3.44140625" bestFit="1" customWidth="1"/>
    <col min="2308" max="2308" width="3.44140625" customWidth="1"/>
    <col min="2309" max="2309" width="13.33203125" customWidth="1"/>
    <col min="2310" max="2310" width="2.77734375" customWidth="1"/>
    <col min="2311" max="2311" width="15.33203125" customWidth="1"/>
    <col min="2312" max="2312" width="3" customWidth="1"/>
    <col min="2313" max="2313" width="11.88671875" bestFit="1" customWidth="1"/>
    <col min="2314" max="2314" width="3.109375" customWidth="1"/>
    <col min="2315" max="2315" width="13.5546875" bestFit="1" customWidth="1"/>
    <col min="2316" max="2317" width="9.33203125" customWidth="1"/>
    <col min="2563" max="2563" width="3.44140625" bestFit="1" customWidth="1"/>
    <col min="2564" max="2564" width="3.44140625" customWidth="1"/>
    <col min="2565" max="2565" width="13.33203125" customWidth="1"/>
    <col min="2566" max="2566" width="2.77734375" customWidth="1"/>
    <col min="2567" max="2567" width="15.33203125" customWidth="1"/>
    <col min="2568" max="2568" width="3" customWidth="1"/>
    <col min="2569" max="2569" width="11.88671875" bestFit="1" customWidth="1"/>
    <col min="2570" max="2570" width="3.109375" customWidth="1"/>
    <col min="2571" max="2571" width="13.5546875" bestFit="1" customWidth="1"/>
    <col min="2572" max="2573" width="9.33203125" customWidth="1"/>
    <col min="2819" max="2819" width="3.44140625" bestFit="1" customWidth="1"/>
    <col min="2820" max="2820" width="3.44140625" customWidth="1"/>
    <col min="2821" max="2821" width="13.33203125" customWidth="1"/>
    <col min="2822" max="2822" width="2.77734375" customWidth="1"/>
    <col min="2823" max="2823" width="15.33203125" customWidth="1"/>
    <col min="2824" max="2824" width="3" customWidth="1"/>
    <col min="2825" max="2825" width="11.88671875" bestFit="1" customWidth="1"/>
    <col min="2826" max="2826" width="3.109375" customWidth="1"/>
    <col min="2827" max="2827" width="13.5546875" bestFit="1" customWidth="1"/>
    <col min="2828" max="2829" width="9.33203125" customWidth="1"/>
    <col min="3075" max="3075" width="3.44140625" bestFit="1" customWidth="1"/>
    <col min="3076" max="3076" width="3.44140625" customWidth="1"/>
    <col min="3077" max="3077" width="13.33203125" customWidth="1"/>
    <col min="3078" max="3078" width="2.77734375" customWidth="1"/>
    <col min="3079" max="3079" width="15.33203125" customWidth="1"/>
    <col min="3080" max="3080" width="3" customWidth="1"/>
    <col min="3081" max="3081" width="11.88671875" bestFit="1" customWidth="1"/>
    <col min="3082" max="3082" width="3.109375" customWidth="1"/>
    <col min="3083" max="3083" width="13.5546875" bestFit="1" customWidth="1"/>
    <col min="3084" max="3085" width="9.33203125" customWidth="1"/>
    <col min="3331" max="3331" width="3.44140625" bestFit="1" customWidth="1"/>
    <col min="3332" max="3332" width="3.44140625" customWidth="1"/>
    <col min="3333" max="3333" width="13.33203125" customWidth="1"/>
    <col min="3334" max="3334" width="2.77734375" customWidth="1"/>
    <col min="3335" max="3335" width="15.33203125" customWidth="1"/>
    <col min="3336" max="3336" width="3" customWidth="1"/>
    <col min="3337" max="3337" width="11.88671875" bestFit="1" customWidth="1"/>
    <col min="3338" max="3338" width="3.109375" customWidth="1"/>
    <col min="3339" max="3339" width="13.5546875" bestFit="1" customWidth="1"/>
    <col min="3340" max="3341" width="9.33203125" customWidth="1"/>
    <col min="3587" max="3587" width="3.44140625" bestFit="1" customWidth="1"/>
    <col min="3588" max="3588" width="3.44140625" customWidth="1"/>
    <col min="3589" max="3589" width="13.33203125" customWidth="1"/>
    <col min="3590" max="3590" width="2.77734375" customWidth="1"/>
    <col min="3591" max="3591" width="15.33203125" customWidth="1"/>
    <col min="3592" max="3592" width="3" customWidth="1"/>
    <col min="3593" max="3593" width="11.88671875" bestFit="1" customWidth="1"/>
    <col min="3594" max="3594" width="3.109375" customWidth="1"/>
    <col min="3595" max="3595" width="13.5546875" bestFit="1" customWidth="1"/>
    <col min="3596" max="3597" width="9.33203125" customWidth="1"/>
    <col min="3843" max="3843" width="3.44140625" bestFit="1" customWidth="1"/>
    <col min="3844" max="3844" width="3.44140625" customWidth="1"/>
    <col min="3845" max="3845" width="13.33203125" customWidth="1"/>
    <col min="3846" max="3846" width="2.77734375" customWidth="1"/>
    <col min="3847" max="3847" width="15.33203125" customWidth="1"/>
    <col min="3848" max="3848" width="3" customWidth="1"/>
    <col min="3849" max="3849" width="11.88671875" bestFit="1" customWidth="1"/>
    <col min="3850" max="3850" width="3.109375" customWidth="1"/>
    <col min="3851" max="3851" width="13.5546875" bestFit="1" customWidth="1"/>
    <col min="3852" max="3853" width="9.33203125" customWidth="1"/>
    <col min="4099" max="4099" width="3.44140625" bestFit="1" customWidth="1"/>
    <col min="4100" max="4100" width="3.44140625" customWidth="1"/>
    <col min="4101" max="4101" width="13.33203125" customWidth="1"/>
    <col min="4102" max="4102" width="2.77734375" customWidth="1"/>
    <col min="4103" max="4103" width="15.33203125" customWidth="1"/>
    <col min="4104" max="4104" width="3" customWidth="1"/>
    <col min="4105" max="4105" width="11.88671875" bestFit="1" customWidth="1"/>
    <col min="4106" max="4106" width="3.109375" customWidth="1"/>
    <col min="4107" max="4107" width="13.5546875" bestFit="1" customWidth="1"/>
    <col min="4108" max="4109" width="9.33203125" customWidth="1"/>
    <col min="4355" max="4355" width="3.44140625" bestFit="1" customWidth="1"/>
    <col min="4356" max="4356" width="3.44140625" customWidth="1"/>
    <col min="4357" max="4357" width="13.33203125" customWidth="1"/>
    <col min="4358" max="4358" width="2.77734375" customWidth="1"/>
    <col min="4359" max="4359" width="15.33203125" customWidth="1"/>
    <col min="4360" max="4360" width="3" customWidth="1"/>
    <col min="4361" max="4361" width="11.88671875" bestFit="1" customWidth="1"/>
    <col min="4362" max="4362" width="3.109375" customWidth="1"/>
    <col min="4363" max="4363" width="13.5546875" bestFit="1" customWidth="1"/>
    <col min="4364" max="4365" width="9.33203125" customWidth="1"/>
    <col min="4611" max="4611" width="3.44140625" bestFit="1" customWidth="1"/>
    <col min="4612" max="4612" width="3.44140625" customWidth="1"/>
    <col min="4613" max="4613" width="13.33203125" customWidth="1"/>
    <col min="4614" max="4614" width="2.77734375" customWidth="1"/>
    <col min="4615" max="4615" width="15.33203125" customWidth="1"/>
    <col min="4616" max="4616" width="3" customWidth="1"/>
    <col min="4617" max="4617" width="11.88671875" bestFit="1" customWidth="1"/>
    <col min="4618" max="4618" width="3.109375" customWidth="1"/>
    <col min="4619" max="4619" width="13.5546875" bestFit="1" customWidth="1"/>
    <col min="4620" max="4621" width="9.33203125" customWidth="1"/>
    <col min="4867" max="4867" width="3.44140625" bestFit="1" customWidth="1"/>
    <col min="4868" max="4868" width="3.44140625" customWidth="1"/>
    <col min="4869" max="4869" width="13.33203125" customWidth="1"/>
    <col min="4870" max="4870" width="2.77734375" customWidth="1"/>
    <col min="4871" max="4871" width="15.33203125" customWidth="1"/>
    <col min="4872" max="4872" width="3" customWidth="1"/>
    <col min="4873" max="4873" width="11.88671875" bestFit="1" customWidth="1"/>
    <col min="4874" max="4874" width="3.109375" customWidth="1"/>
    <col min="4875" max="4875" width="13.5546875" bestFit="1" customWidth="1"/>
    <col min="4876" max="4877" width="9.33203125" customWidth="1"/>
    <col min="5123" max="5123" width="3.44140625" bestFit="1" customWidth="1"/>
    <col min="5124" max="5124" width="3.44140625" customWidth="1"/>
    <col min="5125" max="5125" width="13.33203125" customWidth="1"/>
    <col min="5126" max="5126" width="2.77734375" customWidth="1"/>
    <col min="5127" max="5127" width="15.33203125" customWidth="1"/>
    <col min="5128" max="5128" width="3" customWidth="1"/>
    <col min="5129" max="5129" width="11.88671875" bestFit="1" customWidth="1"/>
    <col min="5130" max="5130" width="3.109375" customWidth="1"/>
    <col min="5131" max="5131" width="13.5546875" bestFit="1" customWidth="1"/>
    <col min="5132" max="5133" width="9.33203125" customWidth="1"/>
    <col min="5379" max="5379" width="3.44140625" bestFit="1" customWidth="1"/>
    <col min="5380" max="5380" width="3.44140625" customWidth="1"/>
    <col min="5381" max="5381" width="13.33203125" customWidth="1"/>
    <col min="5382" max="5382" width="2.77734375" customWidth="1"/>
    <col min="5383" max="5383" width="15.33203125" customWidth="1"/>
    <col min="5384" max="5384" width="3" customWidth="1"/>
    <col min="5385" max="5385" width="11.88671875" bestFit="1" customWidth="1"/>
    <col min="5386" max="5386" width="3.109375" customWidth="1"/>
    <col min="5387" max="5387" width="13.5546875" bestFit="1" customWidth="1"/>
    <col min="5388" max="5389" width="9.33203125" customWidth="1"/>
    <col min="5635" max="5635" width="3.44140625" bestFit="1" customWidth="1"/>
    <col min="5636" max="5636" width="3.44140625" customWidth="1"/>
    <col min="5637" max="5637" width="13.33203125" customWidth="1"/>
    <col min="5638" max="5638" width="2.77734375" customWidth="1"/>
    <col min="5639" max="5639" width="15.33203125" customWidth="1"/>
    <col min="5640" max="5640" width="3" customWidth="1"/>
    <col min="5641" max="5641" width="11.88671875" bestFit="1" customWidth="1"/>
    <col min="5642" max="5642" width="3.109375" customWidth="1"/>
    <col min="5643" max="5643" width="13.5546875" bestFit="1" customWidth="1"/>
    <col min="5644" max="5645" width="9.33203125" customWidth="1"/>
    <col min="5891" max="5891" width="3.44140625" bestFit="1" customWidth="1"/>
    <col min="5892" max="5892" width="3.44140625" customWidth="1"/>
    <col min="5893" max="5893" width="13.33203125" customWidth="1"/>
    <col min="5894" max="5894" width="2.77734375" customWidth="1"/>
    <col min="5895" max="5895" width="15.33203125" customWidth="1"/>
    <col min="5896" max="5896" width="3" customWidth="1"/>
    <col min="5897" max="5897" width="11.88671875" bestFit="1" customWidth="1"/>
    <col min="5898" max="5898" width="3.109375" customWidth="1"/>
    <col min="5899" max="5899" width="13.5546875" bestFit="1" customWidth="1"/>
    <col min="5900" max="5901" width="9.33203125" customWidth="1"/>
    <col min="6147" max="6147" width="3.44140625" bestFit="1" customWidth="1"/>
    <col min="6148" max="6148" width="3.44140625" customWidth="1"/>
    <col min="6149" max="6149" width="13.33203125" customWidth="1"/>
    <col min="6150" max="6150" width="2.77734375" customWidth="1"/>
    <col min="6151" max="6151" width="15.33203125" customWidth="1"/>
    <col min="6152" max="6152" width="3" customWidth="1"/>
    <col min="6153" max="6153" width="11.88671875" bestFit="1" customWidth="1"/>
    <col min="6154" max="6154" width="3.109375" customWidth="1"/>
    <col min="6155" max="6155" width="13.5546875" bestFit="1" customWidth="1"/>
    <col min="6156" max="6157" width="9.33203125" customWidth="1"/>
    <col min="6403" max="6403" width="3.44140625" bestFit="1" customWidth="1"/>
    <col min="6404" max="6404" width="3.44140625" customWidth="1"/>
    <col min="6405" max="6405" width="13.33203125" customWidth="1"/>
    <col min="6406" max="6406" width="2.77734375" customWidth="1"/>
    <col min="6407" max="6407" width="15.33203125" customWidth="1"/>
    <col min="6408" max="6408" width="3" customWidth="1"/>
    <col min="6409" max="6409" width="11.88671875" bestFit="1" customWidth="1"/>
    <col min="6410" max="6410" width="3.109375" customWidth="1"/>
    <col min="6411" max="6411" width="13.5546875" bestFit="1" customWidth="1"/>
    <col min="6412" max="6413" width="9.33203125" customWidth="1"/>
    <col min="6659" max="6659" width="3.44140625" bestFit="1" customWidth="1"/>
    <col min="6660" max="6660" width="3.44140625" customWidth="1"/>
    <col min="6661" max="6661" width="13.33203125" customWidth="1"/>
    <col min="6662" max="6662" width="2.77734375" customWidth="1"/>
    <col min="6663" max="6663" width="15.33203125" customWidth="1"/>
    <col min="6664" max="6664" width="3" customWidth="1"/>
    <col min="6665" max="6665" width="11.88671875" bestFit="1" customWidth="1"/>
    <col min="6666" max="6666" width="3.109375" customWidth="1"/>
    <col min="6667" max="6667" width="13.5546875" bestFit="1" customWidth="1"/>
    <col min="6668" max="6669" width="9.33203125" customWidth="1"/>
    <col min="6915" max="6915" width="3.44140625" bestFit="1" customWidth="1"/>
    <col min="6916" max="6916" width="3.44140625" customWidth="1"/>
    <col min="6917" max="6917" width="13.33203125" customWidth="1"/>
    <col min="6918" max="6918" width="2.77734375" customWidth="1"/>
    <col min="6919" max="6919" width="15.33203125" customWidth="1"/>
    <col min="6920" max="6920" width="3" customWidth="1"/>
    <col min="6921" max="6921" width="11.88671875" bestFit="1" customWidth="1"/>
    <col min="6922" max="6922" width="3.109375" customWidth="1"/>
    <col min="6923" max="6923" width="13.5546875" bestFit="1" customWidth="1"/>
    <col min="6924" max="6925" width="9.33203125" customWidth="1"/>
    <col min="7171" max="7171" width="3.44140625" bestFit="1" customWidth="1"/>
    <col min="7172" max="7172" width="3.44140625" customWidth="1"/>
    <col min="7173" max="7173" width="13.33203125" customWidth="1"/>
    <col min="7174" max="7174" width="2.77734375" customWidth="1"/>
    <col min="7175" max="7175" width="15.33203125" customWidth="1"/>
    <col min="7176" max="7176" width="3" customWidth="1"/>
    <col min="7177" max="7177" width="11.88671875" bestFit="1" customWidth="1"/>
    <col min="7178" max="7178" width="3.109375" customWidth="1"/>
    <col min="7179" max="7179" width="13.5546875" bestFit="1" customWidth="1"/>
    <col min="7180" max="7181" width="9.33203125" customWidth="1"/>
    <col min="7427" max="7427" width="3.44140625" bestFit="1" customWidth="1"/>
    <col min="7428" max="7428" width="3.44140625" customWidth="1"/>
    <col min="7429" max="7429" width="13.33203125" customWidth="1"/>
    <col min="7430" max="7430" width="2.77734375" customWidth="1"/>
    <col min="7431" max="7431" width="15.33203125" customWidth="1"/>
    <col min="7432" max="7432" width="3" customWidth="1"/>
    <col min="7433" max="7433" width="11.88671875" bestFit="1" customWidth="1"/>
    <col min="7434" max="7434" width="3.109375" customWidth="1"/>
    <col min="7435" max="7435" width="13.5546875" bestFit="1" customWidth="1"/>
    <col min="7436" max="7437" width="9.33203125" customWidth="1"/>
    <col min="7683" max="7683" width="3.44140625" bestFit="1" customWidth="1"/>
    <col min="7684" max="7684" width="3.44140625" customWidth="1"/>
    <col min="7685" max="7685" width="13.33203125" customWidth="1"/>
    <col min="7686" max="7686" width="2.77734375" customWidth="1"/>
    <col min="7687" max="7687" width="15.33203125" customWidth="1"/>
    <col min="7688" max="7688" width="3" customWidth="1"/>
    <col min="7689" max="7689" width="11.88671875" bestFit="1" customWidth="1"/>
    <col min="7690" max="7690" width="3.109375" customWidth="1"/>
    <col min="7691" max="7691" width="13.5546875" bestFit="1" customWidth="1"/>
    <col min="7692" max="7693" width="9.33203125" customWidth="1"/>
    <col min="7939" max="7939" width="3.44140625" bestFit="1" customWidth="1"/>
    <col min="7940" max="7940" width="3.44140625" customWidth="1"/>
    <col min="7941" max="7941" width="13.33203125" customWidth="1"/>
    <col min="7942" max="7942" width="2.77734375" customWidth="1"/>
    <col min="7943" max="7943" width="15.33203125" customWidth="1"/>
    <col min="7944" max="7944" width="3" customWidth="1"/>
    <col min="7945" max="7945" width="11.88671875" bestFit="1" customWidth="1"/>
    <col min="7946" max="7946" width="3.109375" customWidth="1"/>
    <col min="7947" max="7947" width="13.5546875" bestFit="1" customWidth="1"/>
    <col min="7948" max="7949" width="9.33203125" customWidth="1"/>
    <col min="8195" max="8195" width="3.44140625" bestFit="1" customWidth="1"/>
    <col min="8196" max="8196" width="3.44140625" customWidth="1"/>
    <col min="8197" max="8197" width="13.33203125" customWidth="1"/>
    <col min="8198" max="8198" width="2.77734375" customWidth="1"/>
    <col min="8199" max="8199" width="15.33203125" customWidth="1"/>
    <col min="8200" max="8200" width="3" customWidth="1"/>
    <col min="8201" max="8201" width="11.88671875" bestFit="1" customWidth="1"/>
    <col min="8202" max="8202" width="3.109375" customWidth="1"/>
    <col min="8203" max="8203" width="13.5546875" bestFit="1" customWidth="1"/>
    <col min="8204" max="8205" width="9.33203125" customWidth="1"/>
    <col min="8451" max="8451" width="3.44140625" bestFit="1" customWidth="1"/>
    <col min="8452" max="8452" width="3.44140625" customWidth="1"/>
    <col min="8453" max="8453" width="13.33203125" customWidth="1"/>
    <col min="8454" max="8454" width="2.77734375" customWidth="1"/>
    <col min="8455" max="8455" width="15.33203125" customWidth="1"/>
    <col min="8456" max="8456" width="3" customWidth="1"/>
    <col min="8457" max="8457" width="11.88671875" bestFit="1" customWidth="1"/>
    <col min="8458" max="8458" width="3.109375" customWidth="1"/>
    <col min="8459" max="8459" width="13.5546875" bestFit="1" customWidth="1"/>
    <col min="8460" max="8461" width="9.33203125" customWidth="1"/>
    <col min="8707" max="8707" width="3.44140625" bestFit="1" customWidth="1"/>
    <col min="8708" max="8708" width="3.44140625" customWidth="1"/>
    <col min="8709" max="8709" width="13.33203125" customWidth="1"/>
    <col min="8710" max="8710" width="2.77734375" customWidth="1"/>
    <col min="8711" max="8711" width="15.33203125" customWidth="1"/>
    <col min="8712" max="8712" width="3" customWidth="1"/>
    <col min="8713" max="8713" width="11.88671875" bestFit="1" customWidth="1"/>
    <col min="8714" max="8714" width="3.109375" customWidth="1"/>
    <col min="8715" max="8715" width="13.5546875" bestFit="1" customWidth="1"/>
    <col min="8716" max="8717" width="9.33203125" customWidth="1"/>
    <col min="8963" max="8963" width="3.44140625" bestFit="1" customWidth="1"/>
    <col min="8964" max="8964" width="3.44140625" customWidth="1"/>
    <col min="8965" max="8965" width="13.33203125" customWidth="1"/>
    <col min="8966" max="8966" width="2.77734375" customWidth="1"/>
    <col min="8967" max="8967" width="15.33203125" customWidth="1"/>
    <col min="8968" max="8968" width="3" customWidth="1"/>
    <col min="8969" max="8969" width="11.88671875" bestFit="1" customWidth="1"/>
    <col min="8970" max="8970" width="3.109375" customWidth="1"/>
    <col min="8971" max="8971" width="13.5546875" bestFit="1" customWidth="1"/>
    <col min="8972" max="8973" width="9.33203125" customWidth="1"/>
    <col min="9219" max="9219" width="3.44140625" bestFit="1" customWidth="1"/>
    <col min="9220" max="9220" width="3.44140625" customWidth="1"/>
    <col min="9221" max="9221" width="13.33203125" customWidth="1"/>
    <col min="9222" max="9222" width="2.77734375" customWidth="1"/>
    <col min="9223" max="9223" width="15.33203125" customWidth="1"/>
    <col min="9224" max="9224" width="3" customWidth="1"/>
    <col min="9225" max="9225" width="11.88671875" bestFit="1" customWidth="1"/>
    <col min="9226" max="9226" width="3.109375" customWidth="1"/>
    <col min="9227" max="9227" width="13.5546875" bestFit="1" customWidth="1"/>
    <col min="9228" max="9229" width="9.33203125" customWidth="1"/>
    <col min="9475" max="9475" width="3.44140625" bestFit="1" customWidth="1"/>
    <col min="9476" max="9476" width="3.44140625" customWidth="1"/>
    <col min="9477" max="9477" width="13.33203125" customWidth="1"/>
    <col min="9478" max="9478" width="2.77734375" customWidth="1"/>
    <col min="9479" max="9479" width="15.33203125" customWidth="1"/>
    <col min="9480" max="9480" width="3" customWidth="1"/>
    <col min="9481" max="9481" width="11.88671875" bestFit="1" customWidth="1"/>
    <col min="9482" max="9482" width="3.109375" customWidth="1"/>
    <col min="9483" max="9483" width="13.5546875" bestFit="1" customWidth="1"/>
    <col min="9484" max="9485" width="9.33203125" customWidth="1"/>
    <col min="9731" max="9731" width="3.44140625" bestFit="1" customWidth="1"/>
    <col min="9732" max="9732" width="3.44140625" customWidth="1"/>
    <col min="9733" max="9733" width="13.33203125" customWidth="1"/>
    <col min="9734" max="9734" width="2.77734375" customWidth="1"/>
    <col min="9735" max="9735" width="15.33203125" customWidth="1"/>
    <col min="9736" max="9736" width="3" customWidth="1"/>
    <col min="9737" max="9737" width="11.88671875" bestFit="1" customWidth="1"/>
    <col min="9738" max="9738" width="3.109375" customWidth="1"/>
    <col min="9739" max="9739" width="13.5546875" bestFit="1" customWidth="1"/>
    <col min="9740" max="9741" width="9.33203125" customWidth="1"/>
    <col min="9987" max="9987" width="3.44140625" bestFit="1" customWidth="1"/>
    <col min="9988" max="9988" width="3.44140625" customWidth="1"/>
    <col min="9989" max="9989" width="13.33203125" customWidth="1"/>
    <col min="9990" max="9990" width="2.77734375" customWidth="1"/>
    <col min="9991" max="9991" width="15.33203125" customWidth="1"/>
    <col min="9992" max="9992" width="3" customWidth="1"/>
    <col min="9993" max="9993" width="11.88671875" bestFit="1" customWidth="1"/>
    <col min="9994" max="9994" width="3.109375" customWidth="1"/>
    <col min="9995" max="9995" width="13.5546875" bestFit="1" customWidth="1"/>
    <col min="9996" max="9997" width="9.33203125" customWidth="1"/>
    <col min="10243" max="10243" width="3.44140625" bestFit="1" customWidth="1"/>
    <col min="10244" max="10244" width="3.44140625" customWidth="1"/>
    <col min="10245" max="10245" width="13.33203125" customWidth="1"/>
    <col min="10246" max="10246" width="2.77734375" customWidth="1"/>
    <col min="10247" max="10247" width="15.33203125" customWidth="1"/>
    <col min="10248" max="10248" width="3" customWidth="1"/>
    <col min="10249" max="10249" width="11.88671875" bestFit="1" customWidth="1"/>
    <col min="10250" max="10250" width="3.109375" customWidth="1"/>
    <col min="10251" max="10251" width="13.5546875" bestFit="1" customWidth="1"/>
    <col min="10252" max="10253" width="9.33203125" customWidth="1"/>
    <col min="10499" max="10499" width="3.44140625" bestFit="1" customWidth="1"/>
    <col min="10500" max="10500" width="3.44140625" customWidth="1"/>
    <col min="10501" max="10501" width="13.33203125" customWidth="1"/>
    <col min="10502" max="10502" width="2.77734375" customWidth="1"/>
    <col min="10503" max="10503" width="15.33203125" customWidth="1"/>
    <col min="10504" max="10504" width="3" customWidth="1"/>
    <col min="10505" max="10505" width="11.88671875" bestFit="1" customWidth="1"/>
    <col min="10506" max="10506" width="3.109375" customWidth="1"/>
    <col min="10507" max="10507" width="13.5546875" bestFit="1" customWidth="1"/>
    <col min="10508" max="10509" width="9.33203125" customWidth="1"/>
    <col min="10755" max="10755" width="3.44140625" bestFit="1" customWidth="1"/>
    <col min="10756" max="10756" width="3.44140625" customWidth="1"/>
    <col min="10757" max="10757" width="13.33203125" customWidth="1"/>
    <col min="10758" max="10758" width="2.77734375" customWidth="1"/>
    <col min="10759" max="10759" width="15.33203125" customWidth="1"/>
    <col min="10760" max="10760" width="3" customWidth="1"/>
    <col min="10761" max="10761" width="11.88671875" bestFit="1" customWidth="1"/>
    <col min="10762" max="10762" width="3.109375" customWidth="1"/>
    <col min="10763" max="10763" width="13.5546875" bestFit="1" customWidth="1"/>
    <col min="10764" max="10765" width="9.33203125" customWidth="1"/>
    <col min="11011" max="11011" width="3.44140625" bestFit="1" customWidth="1"/>
    <col min="11012" max="11012" width="3.44140625" customWidth="1"/>
    <col min="11013" max="11013" width="13.33203125" customWidth="1"/>
    <col min="11014" max="11014" width="2.77734375" customWidth="1"/>
    <col min="11015" max="11015" width="15.33203125" customWidth="1"/>
    <col min="11016" max="11016" width="3" customWidth="1"/>
    <col min="11017" max="11017" width="11.88671875" bestFit="1" customWidth="1"/>
    <col min="11018" max="11018" width="3.109375" customWidth="1"/>
    <col min="11019" max="11019" width="13.5546875" bestFit="1" customWidth="1"/>
    <col min="11020" max="11021" width="9.33203125" customWidth="1"/>
    <col min="11267" max="11267" width="3.44140625" bestFit="1" customWidth="1"/>
    <col min="11268" max="11268" width="3.44140625" customWidth="1"/>
    <col min="11269" max="11269" width="13.33203125" customWidth="1"/>
    <col min="11270" max="11270" width="2.77734375" customWidth="1"/>
    <col min="11271" max="11271" width="15.33203125" customWidth="1"/>
    <col min="11272" max="11272" width="3" customWidth="1"/>
    <col min="11273" max="11273" width="11.88671875" bestFit="1" customWidth="1"/>
    <col min="11274" max="11274" width="3.109375" customWidth="1"/>
    <col min="11275" max="11275" width="13.5546875" bestFit="1" customWidth="1"/>
    <col min="11276" max="11277" width="9.33203125" customWidth="1"/>
    <col min="11523" max="11523" width="3.44140625" bestFit="1" customWidth="1"/>
    <col min="11524" max="11524" width="3.44140625" customWidth="1"/>
    <col min="11525" max="11525" width="13.33203125" customWidth="1"/>
    <col min="11526" max="11526" width="2.77734375" customWidth="1"/>
    <col min="11527" max="11527" width="15.33203125" customWidth="1"/>
    <col min="11528" max="11528" width="3" customWidth="1"/>
    <col min="11529" max="11529" width="11.88671875" bestFit="1" customWidth="1"/>
    <col min="11530" max="11530" width="3.109375" customWidth="1"/>
    <col min="11531" max="11531" width="13.5546875" bestFit="1" customWidth="1"/>
    <col min="11532" max="11533" width="9.33203125" customWidth="1"/>
    <col min="11779" max="11779" width="3.44140625" bestFit="1" customWidth="1"/>
    <col min="11780" max="11780" width="3.44140625" customWidth="1"/>
    <col min="11781" max="11781" width="13.33203125" customWidth="1"/>
    <col min="11782" max="11782" width="2.77734375" customWidth="1"/>
    <col min="11783" max="11783" width="15.33203125" customWidth="1"/>
    <col min="11784" max="11784" width="3" customWidth="1"/>
    <col min="11785" max="11785" width="11.88671875" bestFit="1" customWidth="1"/>
    <col min="11786" max="11786" width="3.109375" customWidth="1"/>
    <col min="11787" max="11787" width="13.5546875" bestFit="1" customWidth="1"/>
    <col min="11788" max="11789" width="9.33203125" customWidth="1"/>
    <col min="12035" max="12035" width="3.44140625" bestFit="1" customWidth="1"/>
    <col min="12036" max="12036" width="3.44140625" customWidth="1"/>
    <col min="12037" max="12037" width="13.33203125" customWidth="1"/>
    <col min="12038" max="12038" width="2.77734375" customWidth="1"/>
    <col min="12039" max="12039" width="15.33203125" customWidth="1"/>
    <col min="12040" max="12040" width="3" customWidth="1"/>
    <col min="12041" max="12041" width="11.88671875" bestFit="1" customWidth="1"/>
    <col min="12042" max="12042" width="3.109375" customWidth="1"/>
    <col min="12043" max="12043" width="13.5546875" bestFit="1" customWidth="1"/>
    <col min="12044" max="12045" width="9.33203125" customWidth="1"/>
    <col min="12291" max="12291" width="3.44140625" bestFit="1" customWidth="1"/>
    <col min="12292" max="12292" width="3.44140625" customWidth="1"/>
    <col min="12293" max="12293" width="13.33203125" customWidth="1"/>
    <col min="12294" max="12294" width="2.77734375" customWidth="1"/>
    <col min="12295" max="12295" width="15.33203125" customWidth="1"/>
    <col min="12296" max="12296" width="3" customWidth="1"/>
    <col min="12297" max="12297" width="11.88671875" bestFit="1" customWidth="1"/>
    <col min="12298" max="12298" width="3.109375" customWidth="1"/>
    <col min="12299" max="12299" width="13.5546875" bestFit="1" customWidth="1"/>
    <col min="12300" max="12301" width="9.33203125" customWidth="1"/>
    <col min="12547" max="12547" width="3.44140625" bestFit="1" customWidth="1"/>
    <col min="12548" max="12548" width="3.44140625" customWidth="1"/>
    <col min="12549" max="12549" width="13.33203125" customWidth="1"/>
    <col min="12550" max="12550" width="2.77734375" customWidth="1"/>
    <col min="12551" max="12551" width="15.33203125" customWidth="1"/>
    <col min="12552" max="12552" width="3" customWidth="1"/>
    <col min="12553" max="12553" width="11.88671875" bestFit="1" customWidth="1"/>
    <col min="12554" max="12554" width="3.109375" customWidth="1"/>
    <col min="12555" max="12555" width="13.5546875" bestFit="1" customWidth="1"/>
    <col min="12556" max="12557" width="9.33203125" customWidth="1"/>
    <col min="12803" max="12803" width="3.44140625" bestFit="1" customWidth="1"/>
    <col min="12804" max="12804" width="3.44140625" customWidth="1"/>
    <col min="12805" max="12805" width="13.33203125" customWidth="1"/>
    <col min="12806" max="12806" width="2.77734375" customWidth="1"/>
    <col min="12807" max="12807" width="15.33203125" customWidth="1"/>
    <col min="12808" max="12808" width="3" customWidth="1"/>
    <col min="12809" max="12809" width="11.88671875" bestFit="1" customWidth="1"/>
    <col min="12810" max="12810" width="3.109375" customWidth="1"/>
    <col min="12811" max="12811" width="13.5546875" bestFit="1" customWidth="1"/>
    <col min="12812" max="12813" width="9.33203125" customWidth="1"/>
    <col min="13059" max="13059" width="3.44140625" bestFit="1" customWidth="1"/>
    <col min="13060" max="13060" width="3.44140625" customWidth="1"/>
    <col min="13061" max="13061" width="13.33203125" customWidth="1"/>
    <col min="13062" max="13062" width="2.77734375" customWidth="1"/>
    <col min="13063" max="13063" width="15.33203125" customWidth="1"/>
    <col min="13064" max="13064" width="3" customWidth="1"/>
    <col min="13065" max="13065" width="11.88671875" bestFit="1" customWidth="1"/>
    <col min="13066" max="13066" width="3.109375" customWidth="1"/>
    <col min="13067" max="13067" width="13.5546875" bestFit="1" customWidth="1"/>
    <col min="13068" max="13069" width="9.33203125" customWidth="1"/>
    <col min="13315" max="13315" width="3.44140625" bestFit="1" customWidth="1"/>
    <col min="13316" max="13316" width="3.44140625" customWidth="1"/>
    <col min="13317" max="13317" width="13.33203125" customWidth="1"/>
    <col min="13318" max="13318" width="2.77734375" customWidth="1"/>
    <col min="13319" max="13319" width="15.33203125" customWidth="1"/>
    <col min="13320" max="13320" width="3" customWidth="1"/>
    <col min="13321" max="13321" width="11.88671875" bestFit="1" customWidth="1"/>
    <col min="13322" max="13322" width="3.109375" customWidth="1"/>
    <col min="13323" max="13323" width="13.5546875" bestFit="1" customWidth="1"/>
    <col min="13324" max="13325" width="9.33203125" customWidth="1"/>
    <col min="13571" max="13571" width="3.44140625" bestFit="1" customWidth="1"/>
    <col min="13572" max="13572" width="3.44140625" customWidth="1"/>
    <col min="13573" max="13573" width="13.33203125" customWidth="1"/>
    <col min="13574" max="13574" width="2.77734375" customWidth="1"/>
    <col min="13575" max="13575" width="15.33203125" customWidth="1"/>
    <col min="13576" max="13576" width="3" customWidth="1"/>
    <col min="13577" max="13577" width="11.88671875" bestFit="1" customWidth="1"/>
    <col min="13578" max="13578" width="3.109375" customWidth="1"/>
    <col min="13579" max="13579" width="13.5546875" bestFit="1" customWidth="1"/>
    <col min="13580" max="13581" width="9.33203125" customWidth="1"/>
    <col min="13827" max="13827" width="3.44140625" bestFit="1" customWidth="1"/>
    <col min="13828" max="13828" width="3.44140625" customWidth="1"/>
    <col min="13829" max="13829" width="13.33203125" customWidth="1"/>
    <col min="13830" max="13830" width="2.77734375" customWidth="1"/>
    <col min="13831" max="13831" width="15.33203125" customWidth="1"/>
    <col min="13832" max="13832" width="3" customWidth="1"/>
    <col min="13833" max="13833" width="11.88671875" bestFit="1" customWidth="1"/>
    <col min="13834" max="13834" width="3.109375" customWidth="1"/>
    <col min="13835" max="13835" width="13.5546875" bestFit="1" customWidth="1"/>
    <col min="13836" max="13837" width="9.33203125" customWidth="1"/>
    <col min="14083" max="14083" width="3.44140625" bestFit="1" customWidth="1"/>
    <col min="14084" max="14084" width="3.44140625" customWidth="1"/>
    <col min="14085" max="14085" width="13.33203125" customWidth="1"/>
    <col min="14086" max="14086" width="2.77734375" customWidth="1"/>
    <col min="14087" max="14087" width="15.33203125" customWidth="1"/>
    <col min="14088" max="14088" width="3" customWidth="1"/>
    <col min="14089" max="14089" width="11.88671875" bestFit="1" customWidth="1"/>
    <col min="14090" max="14090" width="3.109375" customWidth="1"/>
    <col min="14091" max="14091" width="13.5546875" bestFit="1" customWidth="1"/>
    <col min="14092" max="14093" width="9.33203125" customWidth="1"/>
    <col min="14339" max="14339" width="3.44140625" bestFit="1" customWidth="1"/>
    <col min="14340" max="14340" width="3.44140625" customWidth="1"/>
    <col min="14341" max="14341" width="13.33203125" customWidth="1"/>
    <col min="14342" max="14342" width="2.77734375" customWidth="1"/>
    <col min="14343" max="14343" width="15.33203125" customWidth="1"/>
    <col min="14344" max="14344" width="3" customWidth="1"/>
    <col min="14345" max="14345" width="11.88671875" bestFit="1" customWidth="1"/>
    <col min="14346" max="14346" width="3.109375" customWidth="1"/>
    <col min="14347" max="14347" width="13.5546875" bestFit="1" customWidth="1"/>
    <col min="14348" max="14349" width="9.33203125" customWidth="1"/>
    <col min="14595" max="14595" width="3.44140625" bestFit="1" customWidth="1"/>
    <col min="14596" max="14596" width="3.44140625" customWidth="1"/>
    <col min="14597" max="14597" width="13.33203125" customWidth="1"/>
    <col min="14598" max="14598" width="2.77734375" customWidth="1"/>
    <col min="14599" max="14599" width="15.33203125" customWidth="1"/>
    <col min="14600" max="14600" width="3" customWidth="1"/>
    <col min="14601" max="14601" width="11.88671875" bestFit="1" customWidth="1"/>
    <col min="14602" max="14602" width="3.109375" customWidth="1"/>
    <col min="14603" max="14603" width="13.5546875" bestFit="1" customWidth="1"/>
    <col min="14604" max="14605" width="9.33203125" customWidth="1"/>
    <col min="14851" max="14851" width="3.44140625" bestFit="1" customWidth="1"/>
    <col min="14852" max="14852" width="3.44140625" customWidth="1"/>
    <col min="14853" max="14853" width="13.33203125" customWidth="1"/>
    <col min="14854" max="14854" width="2.77734375" customWidth="1"/>
    <col min="14855" max="14855" width="15.33203125" customWidth="1"/>
    <col min="14856" max="14856" width="3" customWidth="1"/>
    <col min="14857" max="14857" width="11.88671875" bestFit="1" customWidth="1"/>
    <col min="14858" max="14858" width="3.109375" customWidth="1"/>
    <col min="14859" max="14859" width="13.5546875" bestFit="1" customWidth="1"/>
    <col min="14860" max="14861" width="9.33203125" customWidth="1"/>
    <col min="15107" max="15107" width="3.44140625" bestFit="1" customWidth="1"/>
    <col min="15108" max="15108" width="3.44140625" customWidth="1"/>
    <col min="15109" max="15109" width="13.33203125" customWidth="1"/>
    <col min="15110" max="15110" width="2.77734375" customWidth="1"/>
    <col min="15111" max="15111" width="15.33203125" customWidth="1"/>
    <col min="15112" max="15112" width="3" customWidth="1"/>
    <col min="15113" max="15113" width="11.88671875" bestFit="1" customWidth="1"/>
    <col min="15114" max="15114" width="3.109375" customWidth="1"/>
    <col min="15115" max="15115" width="13.5546875" bestFit="1" customWidth="1"/>
    <col min="15116" max="15117" width="9.33203125" customWidth="1"/>
    <col min="15363" max="15363" width="3.44140625" bestFit="1" customWidth="1"/>
    <col min="15364" max="15364" width="3.44140625" customWidth="1"/>
    <col min="15365" max="15365" width="13.33203125" customWidth="1"/>
    <col min="15366" max="15366" width="2.77734375" customWidth="1"/>
    <col min="15367" max="15367" width="15.33203125" customWidth="1"/>
    <col min="15368" max="15368" width="3" customWidth="1"/>
    <col min="15369" max="15369" width="11.88671875" bestFit="1" customWidth="1"/>
    <col min="15370" max="15370" width="3.109375" customWidth="1"/>
    <col min="15371" max="15371" width="13.5546875" bestFit="1" customWidth="1"/>
    <col min="15372" max="15373" width="9.33203125" customWidth="1"/>
    <col min="15619" max="15619" width="3.44140625" bestFit="1" customWidth="1"/>
    <col min="15620" max="15620" width="3.44140625" customWidth="1"/>
    <col min="15621" max="15621" width="13.33203125" customWidth="1"/>
    <col min="15622" max="15622" width="2.77734375" customWidth="1"/>
    <col min="15623" max="15623" width="15.33203125" customWidth="1"/>
    <col min="15624" max="15624" width="3" customWidth="1"/>
    <col min="15625" max="15625" width="11.88671875" bestFit="1" customWidth="1"/>
    <col min="15626" max="15626" width="3.109375" customWidth="1"/>
    <col min="15627" max="15627" width="13.5546875" bestFit="1" customWidth="1"/>
    <col min="15628" max="15629" width="9.33203125" customWidth="1"/>
    <col min="15875" max="15875" width="3.44140625" bestFit="1" customWidth="1"/>
    <col min="15876" max="15876" width="3.44140625" customWidth="1"/>
    <col min="15877" max="15877" width="13.33203125" customWidth="1"/>
    <col min="15878" max="15878" width="2.77734375" customWidth="1"/>
    <col min="15879" max="15879" width="15.33203125" customWidth="1"/>
    <col min="15880" max="15880" width="3" customWidth="1"/>
    <col min="15881" max="15881" width="11.88671875" bestFit="1" customWidth="1"/>
    <col min="15882" max="15882" width="3.109375" customWidth="1"/>
    <col min="15883" max="15883" width="13.5546875" bestFit="1" customWidth="1"/>
    <col min="15884" max="15885" width="9.33203125" customWidth="1"/>
    <col min="16131" max="16131" width="3.44140625" bestFit="1" customWidth="1"/>
    <col min="16132" max="16132" width="3.44140625" customWidth="1"/>
    <col min="16133" max="16133" width="13.33203125" customWidth="1"/>
    <col min="16134" max="16134" width="2.77734375" customWidth="1"/>
    <col min="16135" max="16135" width="15.33203125" customWidth="1"/>
    <col min="16136" max="16136" width="3" customWidth="1"/>
    <col min="16137" max="16137" width="11.88671875" bestFit="1" customWidth="1"/>
    <col min="16138" max="16138" width="3.109375" customWidth="1"/>
    <col min="16139" max="16139" width="13.5546875" bestFit="1" customWidth="1"/>
    <col min="16140" max="16141" width="9.33203125" customWidth="1"/>
  </cols>
  <sheetData>
    <row r="3" spans="1:17" s="39" customFormat="1" ht="15" customHeight="1">
      <c r="A3" s="274" t="s">
        <v>444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188"/>
      <c r="M3" s="188"/>
    </row>
    <row r="4" spans="1:17" s="39" customFormat="1" ht="15" customHeight="1">
      <c r="A4" s="274" t="s">
        <v>446</v>
      </c>
      <c r="B4" s="274"/>
      <c r="C4" s="274"/>
      <c r="D4" s="274"/>
      <c r="E4" s="274"/>
      <c r="F4" s="274"/>
      <c r="G4" s="274"/>
      <c r="H4" s="274"/>
      <c r="I4" s="274"/>
      <c r="J4" s="274"/>
      <c r="K4" s="274"/>
      <c r="L4" s="188"/>
      <c r="M4" s="188"/>
    </row>
    <row r="5" spans="1:17" s="39" customFormat="1" ht="15" customHeight="1">
      <c r="A5" s="274" t="s">
        <v>2</v>
      </c>
      <c r="B5" s="274"/>
      <c r="C5" s="274"/>
      <c r="D5" s="274"/>
      <c r="E5" s="274"/>
      <c r="F5" s="274"/>
      <c r="G5" s="274"/>
      <c r="H5" s="274"/>
      <c r="I5" s="274"/>
      <c r="J5" s="274"/>
      <c r="K5" s="274"/>
      <c r="L5" s="188"/>
      <c r="M5" s="188"/>
    </row>
    <row r="6" spans="1:17" s="39" customFormat="1" ht="15.75">
      <c r="A6" s="212"/>
      <c r="B6" s="212"/>
      <c r="C6" s="213"/>
      <c r="D6" s="213"/>
      <c r="E6" s="213"/>
      <c r="F6" s="213"/>
      <c r="G6" s="213"/>
      <c r="H6" s="213"/>
      <c r="I6" s="213"/>
      <c r="J6" s="213"/>
      <c r="K6" s="214" t="s">
        <v>392</v>
      </c>
      <c r="L6" s="212"/>
      <c r="M6" s="188"/>
    </row>
    <row r="7" spans="1:17" s="39" customFormat="1" ht="16.5">
      <c r="C7" s="213" t="s">
        <v>22</v>
      </c>
      <c r="D7" s="213"/>
      <c r="E7" s="213" t="s">
        <v>380</v>
      </c>
      <c r="F7" s="213"/>
      <c r="G7" s="7" t="s">
        <v>379</v>
      </c>
      <c r="H7" s="213"/>
      <c r="I7" s="7" t="s">
        <v>391</v>
      </c>
      <c r="J7" s="7"/>
      <c r="K7" s="7" t="s">
        <v>378</v>
      </c>
    </row>
    <row r="8" spans="1:17" s="39" customFormat="1" ht="12.75">
      <c r="A8" s="213" t="s">
        <v>3</v>
      </c>
      <c r="B8" s="213"/>
      <c r="C8" s="213"/>
      <c r="D8" s="213"/>
      <c r="E8" s="213" t="s">
        <v>377</v>
      </c>
      <c r="F8" s="213"/>
      <c r="G8" s="213" t="s">
        <v>376</v>
      </c>
      <c r="H8" s="213"/>
      <c r="I8" s="213"/>
      <c r="J8" s="213"/>
      <c r="K8" s="213" t="s">
        <v>375</v>
      </c>
    </row>
    <row r="9" spans="1:17" s="39" customFormat="1" ht="12.75">
      <c r="A9" s="9" t="s">
        <v>5</v>
      </c>
      <c r="B9" s="9"/>
      <c r="C9" s="9" t="s">
        <v>374</v>
      </c>
      <c r="D9" s="9"/>
      <c r="E9" s="187" t="s">
        <v>373</v>
      </c>
      <c r="F9" s="187"/>
      <c r="G9" s="186" t="s">
        <v>372</v>
      </c>
      <c r="H9" s="187"/>
      <c r="I9" s="9" t="s">
        <v>388</v>
      </c>
      <c r="J9" s="186"/>
      <c r="K9" s="185" t="s">
        <v>371</v>
      </c>
      <c r="P9" s="191"/>
      <c r="Q9" s="191"/>
    </row>
    <row r="10" spans="1:17" s="39" customFormat="1" ht="12.75">
      <c r="A10" s="165"/>
      <c r="B10" s="184" t="s">
        <v>370</v>
      </c>
      <c r="D10" s="183"/>
      <c r="E10" s="182"/>
      <c r="F10" s="182"/>
      <c r="G10" s="181"/>
      <c r="H10" s="182"/>
      <c r="I10" s="181"/>
      <c r="J10" s="181"/>
      <c r="K10" s="180"/>
      <c r="P10" s="191"/>
      <c r="Q10" s="191"/>
    </row>
    <row r="11" spans="1:17" s="39" customFormat="1">
      <c r="A11" s="213">
        <v>1</v>
      </c>
      <c r="B11" s="213"/>
      <c r="C11" s="208">
        <v>43070</v>
      </c>
      <c r="D11" s="208"/>
      <c r="E11" s="209">
        <v>44141667.160000026</v>
      </c>
      <c r="F11" s="210"/>
      <c r="G11" s="209">
        <v>7058966.879999999</v>
      </c>
      <c r="H11" s="210"/>
      <c r="I11" s="209">
        <v>70907928.859999999</v>
      </c>
      <c r="J11" s="210"/>
      <c r="K11" s="210">
        <f>E11+G11+I11</f>
        <v>122108562.90000002</v>
      </c>
      <c r="L11" s="7"/>
      <c r="M11" s="7"/>
      <c r="P11" s="192"/>
      <c r="Q11" s="192"/>
    </row>
    <row r="12" spans="1:17" s="39" customFormat="1">
      <c r="A12" s="176">
        <f t="shared" ref="A12:A28" si="0">A11+1</f>
        <v>2</v>
      </c>
      <c r="B12" s="176"/>
      <c r="C12" s="208">
        <v>43101</v>
      </c>
      <c r="D12" s="208"/>
      <c r="E12" s="209">
        <v>38334423.270000011</v>
      </c>
      <c r="F12" s="210"/>
      <c r="G12" s="209">
        <v>7616453.8299999991</v>
      </c>
      <c r="H12" s="210"/>
      <c r="I12" s="209">
        <v>71991499.75</v>
      </c>
      <c r="J12" s="210"/>
      <c r="K12" s="210">
        <f t="shared" ref="K12:K23" si="1">E12+G12+I12</f>
        <v>117942376.85000001</v>
      </c>
      <c r="L12" s="179"/>
      <c r="M12" s="179"/>
      <c r="P12" s="192"/>
      <c r="Q12" s="192"/>
    </row>
    <row r="13" spans="1:17">
      <c r="A13" s="176">
        <f t="shared" si="0"/>
        <v>3</v>
      </c>
      <c r="B13" s="176"/>
      <c r="C13" s="208">
        <v>43132</v>
      </c>
      <c r="D13" s="208"/>
      <c r="E13" s="209">
        <v>38343453.420000032</v>
      </c>
      <c r="F13" s="210"/>
      <c r="G13" s="209">
        <v>7618591.8999999994</v>
      </c>
      <c r="H13" s="210"/>
      <c r="I13" s="209">
        <v>72444546.629999995</v>
      </c>
      <c r="J13" s="210"/>
      <c r="K13" s="210">
        <f t="shared" si="1"/>
        <v>118406591.95000002</v>
      </c>
      <c r="L13" s="178"/>
      <c r="M13" s="178"/>
      <c r="P13" s="192"/>
      <c r="Q13" s="192"/>
    </row>
    <row r="14" spans="1:17">
      <c r="A14" s="176">
        <f t="shared" si="0"/>
        <v>4</v>
      </c>
      <c r="B14" s="176"/>
      <c r="C14" s="208">
        <v>43160</v>
      </c>
      <c r="D14" s="208"/>
      <c r="E14" s="209">
        <v>38305502.739999995</v>
      </c>
      <c r="F14" s="210"/>
      <c r="G14" s="209">
        <v>7617838.8499999996</v>
      </c>
      <c r="H14" s="210"/>
      <c r="I14" s="209">
        <v>70519812.699999988</v>
      </c>
      <c r="J14" s="210"/>
      <c r="K14" s="210">
        <f t="shared" si="1"/>
        <v>116443154.28999999</v>
      </c>
      <c r="L14" s="163"/>
      <c r="M14" s="163"/>
      <c r="N14" s="162"/>
      <c r="P14" s="192"/>
      <c r="Q14" s="192"/>
    </row>
    <row r="15" spans="1:17">
      <c r="A15" s="176">
        <f t="shared" si="0"/>
        <v>5</v>
      </c>
      <c r="B15" s="176"/>
      <c r="C15" s="208">
        <v>43191</v>
      </c>
      <c r="D15" s="208"/>
      <c r="E15" s="209">
        <v>38369248.200000003</v>
      </c>
      <c r="F15" s="210"/>
      <c r="G15" s="209">
        <v>7618083.959999999</v>
      </c>
      <c r="H15" s="210"/>
      <c r="I15" s="209">
        <v>70726527.969999999</v>
      </c>
      <c r="J15" s="210"/>
      <c r="K15" s="210">
        <f t="shared" si="1"/>
        <v>116713860.13</v>
      </c>
      <c r="L15" s="163"/>
      <c r="M15" s="163"/>
      <c r="N15" s="162"/>
      <c r="P15" s="192"/>
      <c r="Q15" s="192"/>
    </row>
    <row r="16" spans="1:17">
      <c r="A16" s="176">
        <f t="shared" si="0"/>
        <v>6</v>
      </c>
      <c r="B16" s="176"/>
      <c r="C16" s="208">
        <v>43221</v>
      </c>
      <c r="D16" s="208"/>
      <c r="E16" s="209">
        <v>38443631.540000021</v>
      </c>
      <c r="F16" s="210"/>
      <c r="G16" s="209">
        <v>7620555.5399999991</v>
      </c>
      <c r="H16" s="210"/>
      <c r="I16" s="209">
        <v>72289325.599999994</v>
      </c>
      <c r="J16" s="210"/>
      <c r="K16" s="210">
        <f t="shared" si="1"/>
        <v>118353512.68000001</v>
      </c>
      <c r="L16" s="163"/>
      <c r="M16" s="163"/>
      <c r="N16" s="162"/>
      <c r="P16" s="192"/>
      <c r="Q16" s="192"/>
    </row>
    <row r="17" spans="1:17">
      <c r="A17" s="176">
        <f t="shared" si="0"/>
        <v>7</v>
      </c>
      <c r="B17" s="176"/>
      <c r="C17" s="208">
        <v>43252</v>
      </c>
      <c r="D17" s="208"/>
      <c r="E17" s="209">
        <v>38227754.189999998</v>
      </c>
      <c r="F17" s="210"/>
      <c r="G17" s="209">
        <v>7610687.8699999992</v>
      </c>
      <c r="H17" s="210"/>
      <c r="I17" s="209">
        <v>72566455.61999999</v>
      </c>
      <c r="J17" s="210"/>
      <c r="K17" s="210">
        <f t="shared" si="1"/>
        <v>118404897.67999998</v>
      </c>
      <c r="P17" s="192"/>
      <c r="Q17" s="192"/>
    </row>
    <row r="18" spans="1:17">
      <c r="A18" s="176">
        <f t="shared" si="0"/>
        <v>8</v>
      </c>
      <c r="B18" s="176"/>
      <c r="C18" s="208">
        <v>43282</v>
      </c>
      <c r="D18" s="208"/>
      <c r="E18" s="209">
        <v>38229525.100000009</v>
      </c>
      <c r="F18" s="210"/>
      <c r="G18" s="209">
        <v>7880432.4799999995</v>
      </c>
      <c r="H18" s="210"/>
      <c r="I18" s="209">
        <v>73601391.949999988</v>
      </c>
      <c r="J18" s="210"/>
      <c r="K18" s="210">
        <f t="shared" si="1"/>
        <v>119711349.53</v>
      </c>
      <c r="P18" s="192"/>
      <c r="Q18" s="192"/>
    </row>
    <row r="19" spans="1:17">
      <c r="A19" s="176">
        <f t="shared" si="0"/>
        <v>9</v>
      </c>
      <c r="B19" s="176"/>
      <c r="C19" s="208">
        <v>43313</v>
      </c>
      <c r="D19" s="208"/>
      <c r="E19" s="209">
        <v>38747518.160000011</v>
      </c>
      <c r="F19" s="210"/>
      <c r="G19" s="209">
        <v>7878232.2899999991</v>
      </c>
      <c r="H19" s="210"/>
      <c r="I19" s="209">
        <v>74119465.359999999</v>
      </c>
      <c r="J19" s="210"/>
      <c r="K19" s="210">
        <f t="shared" si="1"/>
        <v>120745215.81</v>
      </c>
      <c r="P19" s="192"/>
      <c r="Q19" s="192"/>
    </row>
    <row r="20" spans="1:17">
      <c r="A20" s="176">
        <f t="shared" si="0"/>
        <v>10</v>
      </c>
      <c r="B20" s="176"/>
      <c r="C20" s="208">
        <v>43344</v>
      </c>
      <c r="D20" s="208"/>
      <c r="E20" s="209">
        <v>39086304.51000002</v>
      </c>
      <c r="F20" s="210"/>
      <c r="G20" s="209">
        <v>7877890.7999999989</v>
      </c>
      <c r="H20" s="210"/>
      <c r="I20" s="209">
        <v>74504111.079999998</v>
      </c>
      <c r="J20" s="210"/>
      <c r="K20" s="210">
        <f t="shared" si="1"/>
        <v>121468306.39000002</v>
      </c>
      <c r="P20" s="192"/>
      <c r="Q20" s="192"/>
    </row>
    <row r="21" spans="1:17">
      <c r="A21" s="176">
        <f t="shared" si="0"/>
        <v>11</v>
      </c>
      <c r="B21" s="176"/>
      <c r="C21" s="208">
        <v>43374</v>
      </c>
      <c r="D21" s="208"/>
      <c r="E21" s="209">
        <v>39389883.249999985</v>
      </c>
      <c r="F21" s="210"/>
      <c r="G21" s="209">
        <v>7877890.7999999989</v>
      </c>
      <c r="H21" s="210"/>
      <c r="I21" s="209">
        <v>74462922.280000001</v>
      </c>
      <c r="J21" s="210"/>
      <c r="K21" s="210">
        <f t="shared" si="1"/>
        <v>121730696.32999998</v>
      </c>
      <c r="P21" s="192"/>
      <c r="Q21" s="192"/>
    </row>
    <row r="22" spans="1:17">
      <c r="A22" s="176">
        <f t="shared" si="0"/>
        <v>12</v>
      </c>
      <c r="B22" s="176"/>
      <c r="C22" s="208">
        <v>43405</v>
      </c>
      <c r="D22" s="208"/>
      <c r="E22" s="209">
        <v>40037523.989999995</v>
      </c>
      <c r="F22" s="210"/>
      <c r="G22" s="209">
        <v>7921110.1200000001</v>
      </c>
      <c r="H22" s="210"/>
      <c r="I22" s="209">
        <v>74596278.25</v>
      </c>
      <c r="J22" s="210"/>
      <c r="K22" s="210">
        <f t="shared" si="1"/>
        <v>122554912.35999998</v>
      </c>
      <c r="P22" s="192"/>
      <c r="Q22" s="192"/>
    </row>
    <row r="23" spans="1:17">
      <c r="A23" s="176">
        <f t="shared" si="0"/>
        <v>13</v>
      </c>
      <c r="B23" s="176"/>
      <c r="C23" s="208">
        <v>43435</v>
      </c>
      <c r="D23" s="208"/>
      <c r="E23" s="209">
        <v>42832155.160000011</v>
      </c>
      <c r="F23" s="210"/>
      <c r="G23" s="209">
        <v>7921110.1200000001</v>
      </c>
      <c r="H23" s="210"/>
      <c r="I23" s="209">
        <v>74545777.719999984</v>
      </c>
      <c r="J23" s="210"/>
      <c r="K23" s="210">
        <f t="shared" si="1"/>
        <v>125299043</v>
      </c>
      <c r="P23" s="192"/>
      <c r="Q23" s="192"/>
    </row>
    <row r="24" spans="1:17">
      <c r="A24" s="176">
        <f t="shared" si="0"/>
        <v>14</v>
      </c>
      <c r="B24" s="176"/>
      <c r="C24" s="211" t="s">
        <v>369</v>
      </c>
      <c r="D24" s="211"/>
      <c r="E24" s="210">
        <f>AVERAGE(E11:E23)</f>
        <v>39422199.28384617</v>
      </c>
      <c r="F24" s="210"/>
      <c r="G24" s="210">
        <f>AVERAGE(G11:G23)</f>
        <v>7701372.7261538459</v>
      </c>
      <c r="H24" s="210"/>
      <c r="I24" s="210">
        <f>AVERAGE(I11:I23)</f>
        <v>72867387.982307687</v>
      </c>
      <c r="J24" s="210"/>
      <c r="K24" s="210">
        <f>AVERAGE(K11:K23)</f>
        <v>119990959.99230768</v>
      </c>
      <c r="P24" s="193"/>
      <c r="Q24" s="193"/>
    </row>
    <row r="25" spans="1:17">
      <c r="A25" s="176">
        <f t="shared" si="0"/>
        <v>15</v>
      </c>
      <c r="B25" s="176"/>
      <c r="C25" s="177"/>
      <c r="D25" s="177"/>
    </row>
    <row r="26" spans="1:17">
      <c r="A26" s="176">
        <f t="shared" si="0"/>
        <v>16</v>
      </c>
      <c r="B26" s="175" t="s">
        <v>368</v>
      </c>
      <c r="D26" s="175"/>
    </row>
    <row r="27" spans="1:17">
      <c r="A27" s="176">
        <f t="shared" si="0"/>
        <v>17</v>
      </c>
      <c r="B27" s="175" t="s">
        <v>367</v>
      </c>
      <c r="D27" s="175"/>
    </row>
    <row r="28" spans="1:17">
      <c r="A28" s="176">
        <f t="shared" si="0"/>
        <v>18</v>
      </c>
      <c r="B28" s="175" t="s">
        <v>393</v>
      </c>
      <c r="D28" s="175"/>
    </row>
    <row r="29" spans="1:17">
      <c r="B29" s="175" t="s">
        <v>390</v>
      </c>
    </row>
    <row r="31" spans="1:17">
      <c r="A31" s="162"/>
      <c r="B31" s="162"/>
      <c r="C31" s="162"/>
      <c r="D31" s="162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O31" s="162"/>
    </row>
    <row r="32" spans="1:17">
      <c r="A32" s="162"/>
      <c r="B32" s="162"/>
      <c r="C32" s="162"/>
      <c r="D32" s="162"/>
      <c r="E32" s="162"/>
      <c r="F32" s="162"/>
      <c r="G32" s="162"/>
      <c r="H32" s="162"/>
      <c r="I32" s="162"/>
      <c r="J32" s="162"/>
      <c r="K32" s="162"/>
      <c r="L32" s="162"/>
      <c r="M32" s="162"/>
      <c r="N32" s="162"/>
      <c r="O32" s="162"/>
    </row>
    <row r="33" spans="1:15">
      <c r="A33" s="162"/>
      <c r="B33" s="162"/>
      <c r="C33" s="162"/>
      <c r="D33" s="162"/>
      <c r="E33" s="162"/>
      <c r="F33" s="162"/>
      <c r="G33" s="162"/>
      <c r="H33" s="162"/>
      <c r="I33" s="162"/>
      <c r="J33" s="162"/>
      <c r="K33" s="162"/>
      <c r="L33" s="162"/>
      <c r="M33" s="162"/>
      <c r="N33" s="162"/>
      <c r="O33" s="162"/>
    </row>
    <row r="34" spans="1:15">
      <c r="A34" s="165"/>
      <c r="B34" s="165"/>
      <c r="C34" s="174"/>
      <c r="D34" s="174"/>
      <c r="E34" s="174"/>
      <c r="F34" s="174"/>
      <c r="G34" s="173"/>
      <c r="H34" s="174"/>
      <c r="I34" s="173"/>
      <c r="J34" s="173"/>
      <c r="K34" s="173"/>
      <c r="L34" s="162"/>
      <c r="M34" s="162"/>
      <c r="N34" s="162"/>
      <c r="O34" s="162"/>
    </row>
    <row r="35" spans="1:15">
      <c r="A35" s="165"/>
      <c r="B35" s="165"/>
      <c r="C35" s="172"/>
      <c r="D35" s="172"/>
      <c r="E35" s="172"/>
      <c r="F35" s="172"/>
      <c r="G35" s="171"/>
      <c r="H35" s="172"/>
      <c r="I35" s="171"/>
      <c r="J35" s="171"/>
      <c r="K35" s="171"/>
      <c r="L35" s="162"/>
      <c r="M35" s="162"/>
      <c r="N35" s="162"/>
      <c r="O35" s="162"/>
    </row>
    <row r="36" spans="1:15">
      <c r="A36" s="165"/>
      <c r="B36" s="165"/>
      <c r="C36" s="166"/>
      <c r="D36" s="166"/>
      <c r="E36" s="162"/>
      <c r="F36" s="162"/>
      <c r="G36" s="170"/>
      <c r="H36" s="162"/>
      <c r="I36" s="170"/>
      <c r="J36" s="170"/>
      <c r="K36" s="170"/>
      <c r="L36" s="162"/>
      <c r="M36" s="162"/>
      <c r="N36" s="162"/>
      <c r="O36" s="162"/>
    </row>
    <row r="37" spans="1:15">
      <c r="A37" s="169"/>
      <c r="B37" s="169"/>
      <c r="C37" s="168"/>
      <c r="D37" s="168"/>
      <c r="E37" s="167"/>
      <c r="F37" s="167"/>
      <c r="G37" s="163"/>
      <c r="H37" s="167"/>
      <c r="I37" s="163"/>
      <c r="J37" s="163"/>
      <c r="K37" s="163"/>
      <c r="L37" s="162"/>
      <c r="M37" s="162"/>
      <c r="N37" s="162"/>
      <c r="O37" s="162"/>
    </row>
    <row r="38" spans="1:15">
      <c r="A38" s="165"/>
      <c r="B38" s="165"/>
      <c r="C38" s="166"/>
      <c r="D38" s="166"/>
      <c r="E38" s="164"/>
      <c r="F38" s="164"/>
      <c r="G38" s="163"/>
      <c r="H38" s="164"/>
      <c r="I38" s="163"/>
      <c r="J38" s="163"/>
      <c r="K38" s="163"/>
      <c r="L38" s="162"/>
      <c r="M38" s="162"/>
      <c r="N38" s="162"/>
      <c r="O38" s="162"/>
    </row>
    <row r="39" spans="1:15">
      <c r="A39" s="165"/>
      <c r="B39" s="165"/>
      <c r="C39" s="164"/>
      <c r="D39" s="164"/>
      <c r="E39" s="164"/>
      <c r="F39" s="164"/>
      <c r="G39" s="163"/>
      <c r="H39" s="164"/>
      <c r="I39" s="163"/>
      <c r="J39" s="163"/>
      <c r="K39" s="163"/>
      <c r="L39" s="162"/>
      <c r="M39" s="162"/>
      <c r="N39" s="162"/>
      <c r="O39" s="162"/>
    </row>
    <row r="40" spans="1:15">
      <c r="A40" s="162"/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O40" s="162"/>
    </row>
    <row r="41" spans="1:15">
      <c r="A41" s="162"/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  <c r="N41" s="162"/>
      <c r="O41" s="162"/>
    </row>
    <row r="42" spans="1:15">
      <c r="A42" s="162"/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  <c r="M42" s="162"/>
      <c r="N42" s="162"/>
      <c r="O42" s="162"/>
    </row>
    <row r="43" spans="1:15">
      <c r="A43" s="162"/>
      <c r="B43" s="162"/>
      <c r="C43" s="162"/>
      <c r="D43" s="162"/>
      <c r="E43" s="162"/>
      <c r="F43" s="162"/>
      <c r="G43" s="162"/>
      <c r="H43" s="162"/>
      <c r="I43" s="162"/>
      <c r="J43" s="162"/>
      <c r="K43" s="162"/>
      <c r="L43" s="162"/>
      <c r="M43" s="162"/>
      <c r="N43" s="162"/>
      <c r="O43" s="162"/>
    </row>
    <row r="44" spans="1:15">
      <c r="A44" s="162"/>
      <c r="B44" s="162"/>
      <c r="C44" s="162"/>
      <c r="D44" s="162"/>
      <c r="E44" s="162"/>
      <c r="F44" s="162"/>
      <c r="G44" s="162"/>
      <c r="H44" s="162"/>
      <c r="I44" s="162"/>
      <c r="J44" s="162"/>
      <c r="K44" s="162"/>
      <c r="L44" s="162"/>
      <c r="M44" s="162"/>
      <c r="N44" s="162"/>
      <c r="O44" s="162"/>
    </row>
  </sheetData>
  <mergeCells count="3">
    <mergeCell ref="A3:K3"/>
    <mergeCell ref="A4:K4"/>
    <mergeCell ref="A5:K5"/>
  </mergeCells>
  <pageMargins left="0.7" right="0.7" top="0.75" bottom="0.75" header="0.3" footer="0.3"/>
  <pageSetup orientation="portrait" verticalDpi="0" r:id="rId1"/>
  <headerFooter>
    <oddHeader>&amp;L&amp;8 2016 BHP-Workpaper 9 Supplemental Supporting Schedules&amp;C
ACTUAL SERVICE YEAR ATRR
BLACK HILLS POWER, INC.
SUPPORTING SCHEDULES&amp;RPage &amp;P of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44"/>
  <sheetViews>
    <sheetView workbookViewId="0">
      <selection activeCell="G14" sqref="G14"/>
    </sheetView>
  </sheetViews>
  <sheetFormatPr defaultRowHeight="15"/>
  <cols>
    <col min="1" max="1" width="3.44140625" bestFit="1" customWidth="1"/>
    <col min="2" max="2" width="3.44140625" customWidth="1"/>
    <col min="3" max="3" width="34.77734375" bestFit="1" customWidth="1"/>
    <col min="4" max="4" width="2.77734375" customWidth="1"/>
    <col min="5" max="5" width="13.44140625" customWidth="1"/>
    <col min="6" max="6" width="2.77734375" customWidth="1"/>
    <col min="7" max="7" width="15.33203125" customWidth="1"/>
    <col min="8" max="8" width="3" customWidth="1"/>
  </cols>
  <sheetData>
    <row r="3" spans="1:14" s="39" customFormat="1" ht="15" customHeight="1">
      <c r="A3" s="274" t="s">
        <v>445</v>
      </c>
      <c r="B3" s="274"/>
      <c r="C3" s="274"/>
      <c r="D3" s="274"/>
      <c r="E3" s="274"/>
      <c r="F3" s="274"/>
      <c r="G3" s="274"/>
      <c r="H3" s="274"/>
      <c r="I3" s="188"/>
      <c r="J3" s="188"/>
    </row>
    <row r="4" spans="1:14" s="39" customFormat="1" ht="15" customHeight="1">
      <c r="A4" s="274" t="s">
        <v>397</v>
      </c>
      <c r="B4" s="274"/>
      <c r="C4" s="274"/>
      <c r="D4" s="274"/>
      <c r="E4" s="274"/>
      <c r="F4" s="274"/>
      <c r="G4" s="274"/>
      <c r="H4" s="274"/>
      <c r="I4" s="188"/>
      <c r="J4" s="188"/>
    </row>
    <row r="5" spans="1:14" s="39" customFormat="1" ht="15" customHeight="1">
      <c r="A5" s="274" t="s">
        <v>2</v>
      </c>
      <c r="B5" s="274"/>
      <c r="C5" s="274"/>
      <c r="D5" s="274"/>
      <c r="E5" s="274"/>
      <c r="F5" s="274"/>
      <c r="G5" s="274"/>
      <c r="H5" s="274"/>
      <c r="I5" s="188"/>
      <c r="J5" s="188"/>
    </row>
    <row r="6" spans="1:14" s="39" customFormat="1" ht="12.75">
      <c r="A6" s="212"/>
      <c r="B6" s="212"/>
      <c r="C6" s="213"/>
      <c r="D6" s="213"/>
      <c r="E6" s="213"/>
      <c r="F6" s="213"/>
      <c r="G6" s="213"/>
      <c r="H6" s="213"/>
      <c r="I6" s="212"/>
      <c r="J6" s="188"/>
    </row>
    <row r="7" spans="1:14" s="39" customFormat="1" ht="12.75">
      <c r="C7" s="213" t="s">
        <v>22</v>
      </c>
      <c r="D7" s="213"/>
      <c r="E7" s="213" t="s">
        <v>23</v>
      </c>
      <c r="F7" s="213"/>
      <c r="G7" s="213" t="s">
        <v>452</v>
      </c>
      <c r="H7" s="213"/>
    </row>
    <row r="8" spans="1:14" s="39" customFormat="1" ht="12.75">
      <c r="A8" s="213" t="s">
        <v>3</v>
      </c>
      <c r="B8" s="213"/>
      <c r="C8" s="213"/>
      <c r="D8" s="213"/>
      <c r="E8" s="213"/>
      <c r="F8" s="213"/>
      <c r="G8" s="213"/>
      <c r="H8" s="213"/>
    </row>
    <row r="9" spans="1:14" s="39" customFormat="1" ht="12.75">
      <c r="A9" s="9" t="s">
        <v>5</v>
      </c>
      <c r="B9" s="9"/>
      <c r="C9" s="9" t="s">
        <v>26</v>
      </c>
      <c r="D9" s="9"/>
      <c r="E9" s="9" t="s">
        <v>394</v>
      </c>
      <c r="F9" s="9"/>
      <c r="G9" s="187" t="s">
        <v>401</v>
      </c>
      <c r="H9" s="187"/>
      <c r="M9" s="191"/>
      <c r="N9" s="191"/>
    </row>
    <row r="10" spans="1:14">
      <c r="A10" s="165"/>
      <c r="B10" s="184"/>
      <c r="C10" s="39"/>
      <c r="D10" s="183"/>
      <c r="E10" s="183"/>
      <c r="F10" s="183"/>
      <c r="G10" s="182"/>
      <c r="H10" s="182"/>
    </row>
    <row r="11" spans="1:14">
      <c r="A11" s="213">
        <f>1+A10</f>
        <v>1</v>
      </c>
      <c r="B11" s="213"/>
      <c r="C11" s="208" t="s">
        <v>398</v>
      </c>
      <c r="D11" s="208"/>
      <c r="E11" s="208" t="s">
        <v>170</v>
      </c>
      <c r="F11" s="208"/>
      <c r="G11" s="209"/>
      <c r="H11" s="210"/>
    </row>
    <row r="12" spans="1:14">
      <c r="A12" s="213">
        <f t="shared" ref="A12:A16" si="0">1+A11</f>
        <v>2</v>
      </c>
      <c r="B12" s="176"/>
      <c r="C12" s="208" t="s">
        <v>399</v>
      </c>
      <c r="D12" s="208"/>
      <c r="E12" s="208" t="s">
        <v>395</v>
      </c>
      <c r="F12" s="208"/>
      <c r="G12" s="209">
        <v>7687425</v>
      </c>
      <c r="H12" s="210"/>
    </row>
    <row r="13" spans="1:14">
      <c r="A13" s="213">
        <f t="shared" si="0"/>
        <v>3</v>
      </c>
      <c r="B13" s="176"/>
      <c r="C13" s="208"/>
      <c r="D13" s="208"/>
      <c r="E13" s="208"/>
      <c r="F13" s="208"/>
      <c r="G13" s="209"/>
      <c r="H13" s="210"/>
    </row>
    <row r="14" spans="1:14">
      <c r="A14" s="213">
        <f t="shared" si="0"/>
        <v>4</v>
      </c>
      <c r="B14" s="176"/>
      <c r="C14" s="208" t="s">
        <v>396</v>
      </c>
      <c r="D14" s="208"/>
      <c r="E14" s="208" t="s">
        <v>51</v>
      </c>
      <c r="F14" s="208"/>
      <c r="G14" s="209">
        <v>-609708</v>
      </c>
      <c r="H14" s="210"/>
    </row>
    <row r="15" spans="1:14">
      <c r="A15" s="213">
        <f t="shared" si="0"/>
        <v>5</v>
      </c>
      <c r="B15" s="176"/>
      <c r="C15" s="208"/>
      <c r="D15" s="208"/>
      <c r="E15" s="208"/>
      <c r="F15" s="208"/>
      <c r="G15" s="209"/>
      <c r="H15" s="210"/>
    </row>
    <row r="16" spans="1:14">
      <c r="A16" s="213">
        <f t="shared" si="0"/>
        <v>6</v>
      </c>
      <c r="B16" s="176"/>
      <c r="C16" s="208" t="s">
        <v>400</v>
      </c>
      <c r="D16" s="208"/>
      <c r="E16" s="208" t="s">
        <v>402</v>
      </c>
      <c r="F16" s="208"/>
      <c r="G16" s="215">
        <f>SUM(G12:G15)</f>
        <v>7077717</v>
      </c>
      <c r="H16" s="210"/>
    </row>
    <row r="17" spans="1:8">
      <c r="A17" s="213"/>
      <c r="B17" s="176"/>
      <c r="C17" s="208"/>
      <c r="D17" s="208"/>
      <c r="E17" s="208"/>
      <c r="F17" s="208"/>
      <c r="G17" s="209"/>
      <c r="H17" s="210"/>
    </row>
    <row r="18" spans="1:8">
      <c r="A18" s="213"/>
      <c r="B18" s="176"/>
      <c r="C18" s="208"/>
      <c r="D18" s="208"/>
      <c r="E18" s="208"/>
      <c r="F18" s="208"/>
      <c r="G18" s="209"/>
      <c r="H18" s="210"/>
    </row>
    <row r="19" spans="1:8">
      <c r="A19" s="213"/>
      <c r="B19" s="176"/>
      <c r="C19" s="208"/>
      <c r="D19" s="208"/>
      <c r="E19" s="208"/>
      <c r="F19" s="208"/>
      <c r="G19" s="209"/>
      <c r="H19" s="210"/>
    </row>
    <row r="20" spans="1:8">
      <c r="A20" s="213"/>
      <c r="B20" s="176"/>
      <c r="C20" s="208"/>
      <c r="D20" s="208"/>
      <c r="E20" s="208"/>
      <c r="F20" s="208"/>
      <c r="G20" s="209"/>
      <c r="H20" s="210"/>
    </row>
    <row r="21" spans="1:8">
      <c r="A21" s="176"/>
      <c r="B21" s="176"/>
      <c r="C21" s="208"/>
      <c r="D21" s="208"/>
      <c r="E21" s="208"/>
      <c r="F21" s="208"/>
      <c r="G21" s="209"/>
      <c r="H21" s="210"/>
    </row>
    <row r="22" spans="1:8">
      <c r="A22" s="176"/>
      <c r="B22" s="176"/>
      <c r="C22" s="208"/>
      <c r="D22" s="208"/>
      <c r="E22" s="208"/>
      <c r="F22" s="208"/>
      <c r="G22" s="209"/>
      <c r="H22" s="210"/>
    </row>
    <row r="23" spans="1:8">
      <c r="A23" s="176"/>
      <c r="B23" s="176"/>
      <c r="C23" s="208"/>
      <c r="D23" s="208"/>
      <c r="E23" s="208"/>
      <c r="F23" s="208"/>
      <c r="G23" s="209"/>
      <c r="H23" s="210"/>
    </row>
    <row r="24" spans="1:8">
      <c r="A24" s="176"/>
      <c r="B24" s="176"/>
      <c r="C24" s="211"/>
      <c r="D24" s="211"/>
      <c r="E24" s="211"/>
      <c r="F24" s="211"/>
      <c r="G24" s="210"/>
      <c r="H24" s="210"/>
    </row>
    <row r="25" spans="1:8">
      <c r="A25" s="176"/>
      <c r="B25" s="176"/>
      <c r="C25" s="177"/>
      <c r="D25" s="177"/>
      <c r="E25" s="177"/>
      <c r="F25" s="177"/>
    </row>
    <row r="26" spans="1:8">
      <c r="A26" s="176"/>
      <c r="B26" s="175"/>
      <c r="D26" s="175"/>
      <c r="E26" s="175"/>
      <c r="F26" s="175"/>
    </row>
    <row r="27" spans="1:8">
      <c r="A27" s="176"/>
      <c r="B27" s="175"/>
      <c r="D27" s="175"/>
      <c r="E27" s="175"/>
      <c r="F27" s="175"/>
    </row>
    <row r="28" spans="1:8">
      <c r="A28" s="176"/>
      <c r="B28" s="175"/>
      <c r="D28" s="175"/>
      <c r="E28" s="175"/>
      <c r="F28" s="175"/>
    </row>
    <row r="29" spans="1:8">
      <c r="B29" s="175"/>
    </row>
    <row r="31" spans="1:8">
      <c r="A31" s="162"/>
      <c r="B31" s="162"/>
      <c r="C31" s="162"/>
      <c r="D31" s="162"/>
      <c r="E31" s="162"/>
      <c r="F31" s="162"/>
      <c r="G31" s="162"/>
      <c r="H31" s="162"/>
    </row>
    <row r="32" spans="1:8">
      <c r="A32" s="162"/>
      <c r="B32" s="162"/>
      <c r="C32" s="162"/>
      <c r="D32" s="162"/>
      <c r="E32" s="162"/>
      <c r="F32" s="162"/>
      <c r="G32" s="162"/>
      <c r="H32" s="162"/>
    </row>
    <row r="33" spans="1:8">
      <c r="A33" s="162"/>
      <c r="B33" s="162"/>
      <c r="C33" s="162"/>
      <c r="D33" s="162"/>
      <c r="E33" s="162"/>
      <c r="F33" s="162"/>
      <c r="G33" s="162"/>
      <c r="H33" s="162"/>
    </row>
    <row r="34" spans="1:8">
      <c r="A34" s="165"/>
      <c r="B34" s="165"/>
      <c r="C34" s="174"/>
      <c r="D34" s="174"/>
      <c r="E34" s="174"/>
      <c r="F34" s="174"/>
      <c r="G34" s="174"/>
      <c r="H34" s="174"/>
    </row>
    <row r="35" spans="1:8">
      <c r="A35" s="165"/>
      <c r="B35" s="165"/>
      <c r="C35" s="172"/>
      <c r="D35" s="172"/>
      <c r="E35" s="172"/>
      <c r="F35" s="172"/>
      <c r="G35" s="172"/>
      <c r="H35" s="172"/>
    </row>
    <row r="36" spans="1:8">
      <c r="A36" s="165"/>
      <c r="B36" s="165"/>
      <c r="C36" s="166"/>
      <c r="D36" s="166"/>
      <c r="E36" s="166"/>
      <c r="F36" s="166"/>
      <c r="G36" s="162"/>
      <c r="H36" s="162"/>
    </row>
    <row r="37" spans="1:8">
      <c r="A37" s="169"/>
      <c r="B37" s="169"/>
      <c r="C37" s="168"/>
      <c r="D37" s="168"/>
      <c r="E37" s="168"/>
      <c r="F37" s="168"/>
      <c r="G37" s="167"/>
      <c r="H37" s="167"/>
    </row>
    <row r="38" spans="1:8">
      <c r="A38" s="165"/>
      <c r="B38" s="165"/>
      <c r="C38" s="166"/>
      <c r="D38" s="166"/>
      <c r="E38" s="166"/>
      <c r="F38" s="166"/>
      <c r="G38" s="164"/>
      <c r="H38" s="164"/>
    </row>
    <row r="39" spans="1:8">
      <c r="A39" s="165"/>
      <c r="B39" s="165"/>
      <c r="C39" s="164"/>
      <c r="D39" s="164"/>
      <c r="E39" s="164"/>
      <c r="F39" s="164"/>
      <c r="G39" s="164"/>
      <c r="H39" s="164"/>
    </row>
    <row r="40" spans="1:8">
      <c r="A40" s="162"/>
      <c r="B40" s="162"/>
      <c r="C40" s="162"/>
      <c r="D40" s="162"/>
      <c r="E40" s="162"/>
      <c r="F40" s="162"/>
      <c r="G40" s="162"/>
      <c r="H40" s="162"/>
    </row>
    <row r="41" spans="1:8">
      <c r="A41" s="162"/>
      <c r="B41" s="162"/>
      <c r="C41" s="162"/>
      <c r="D41" s="162"/>
      <c r="E41" s="162"/>
      <c r="F41" s="162"/>
      <c r="G41" s="162"/>
      <c r="H41" s="162"/>
    </row>
    <row r="42" spans="1:8">
      <c r="A42" s="162"/>
      <c r="B42" s="162"/>
      <c r="C42" s="162"/>
      <c r="D42" s="162"/>
      <c r="E42" s="162"/>
      <c r="F42" s="162"/>
      <c r="G42" s="162"/>
      <c r="H42" s="162"/>
    </row>
    <row r="43" spans="1:8">
      <c r="A43" s="162"/>
      <c r="B43" s="162"/>
      <c r="C43" s="162"/>
      <c r="D43" s="162"/>
      <c r="E43" s="162"/>
      <c r="F43" s="162"/>
      <c r="G43" s="162"/>
      <c r="H43" s="162"/>
    </row>
    <row r="44" spans="1:8">
      <c r="A44" s="162"/>
      <c r="B44" s="162"/>
      <c r="C44" s="162"/>
      <c r="D44" s="162"/>
      <c r="E44" s="162"/>
      <c r="F44" s="162"/>
      <c r="G44" s="162"/>
      <c r="H44" s="162"/>
    </row>
  </sheetData>
  <mergeCells count="3">
    <mergeCell ref="A3:H3"/>
    <mergeCell ref="A4:H4"/>
    <mergeCell ref="A5:H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4"/>
  <sheetViews>
    <sheetView workbookViewId="0">
      <selection activeCell="G25" sqref="G25"/>
    </sheetView>
  </sheetViews>
  <sheetFormatPr defaultRowHeight="12.75"/>
  <cols>
    <col min="1" max="1" width="8.88671875" style="39"/>
    <col min="2" max="2" width="23" style="39" bestFit="1" customWidth="1"/>
    <col min="3" max="3" width="1.77734375" style="39" customWidth="1"/>
    <col min="4" max="4" width="15" style="39" customWidth="1"/>
    <col min="5" max="5" width="1.77734375" style="39" customWidth="1"/>
    <col min="6" max="8" width="13" style="39" customWidth="1"/>
    <col min="9" max="16384" width="8.88671875" style="39"/>
  </cols>
  <sheetData>
    <row r="3" spans="1:10" ht="15" customHeight="1">
      <c r="A3" s="274" t="s">
        <v>450</v>
      </c>
      <c r="B3" s="274"/>
      <c r="C3" s="274"/>
      <c r="D3" s="274"/>
      <c r="E3" s="274"/>
      <c r="F3" s="274"/>
      <c r="G3" s="274"/>
      <c r="H3" s="274"/>
      <c r="I3" s="188"/>
      <c r="J3" s="188"/>
    </row>
    <row r="4" spans="1:10" ht="15" customHeight="1">
      <c r="A4" s="274" t="s">
        <v>451</v>
      </c>
      <c r="B4" s="274"/>
      <c r="C4" s="274"/>
      <c r="D4" s="274"/>
      <c r="E4" s="274"/>
      <c r="F4" s="274"/>
      <c r="G4" s="274"/>
      <c r="H4" s="274"/>
      <c r="I4" s="188"/>
      <c r="J4" s="188"/>
    </row>
    <row r="5" spans="1:10" ht="15" customHeight="1">
      <c r="A5" s="274" t="s">
        <v>2</v>
      </c>
      <c r="B5" s="274"/>
      <c r="C5" s="274"/>
      <c r="D5" s="274"/>
      <c r="E5" s="274"/>
      <c r="F5" s="274"/>
      <c r="G5" s="274"/>
      <c r="H5" s="274"/>
      <c r="I5" s="188"/>
      <c r="J5" s="188"/>
    </row>
    <row r="6" spans="1:10" ht="15" customHeight="1">
      <c r="A6" s="212"/>
      <c r="B6" s="212"/>
      <c r="C6" s="212"/>
      <c r="D6" s="212"/>
      <c r="E6" s="212"/>
      <c r="F6" s="212"/>
      <c r="G6" s="212"/>
      <c r="H6" s="212"/>
      <c r="I6" s="188"/>
      <c r="J6" s="188"/>
    </row>
    <row r="7" spans="1:10">
      <c r="B7" s="213" t="s">
        <v>22</v>
      </c>
      <c r="C7" s="213"/>
      <c r="D7" s="213" t="s">
        <v>23</v>
      </c>
      <c r="E7" s="213"/>
      <c r="F7" s="213" t="s">
        <v>452</v>
      </c>
      <c r="G7" s="213" t="s">
        <v>389</v>
      </c>
      <c r="H7" s="213" t="s">
        <v>406</v>
      </c>
    </row>
    <row r="8" spans="1:10">
      <c r="A8" s="213" t="s">
        <v>3</v>
      </c>
    </row>
    <row r="9" spans="1:10">
      <c r="A9" s="9" t="s">
        <v>5</v>
      </c>
      <c r="B9" s="9" t="s">
        <v>26</v>
      </c>
      <c r="C9" s="9"/>
      <c r="D9" s="9" t="s">
        <v>394</v>
      </c>
      <c r="E9" s="9"/>
      <c r="F9" s="187" t="s">
        <v>456</v>
      </c>
      <c r="G9" s="187" t="s">
        <v>457</v>
      </c>
      <c r="H9" s="187" t="s">
        <v>427</v>
      </c>
    </row>
    <row r="10" spans="1:10">
      <c r="A10" s="165"/>
    </row>
    <row r="11" spans="1:10">
      <c r="A11" s="213">
        <f>1+A10</f>
        <v>1</v>
      </c>
      <c r="B11" s="245" t="s">
        <v>454</v>
      </c>
      <c r="C11" s="208"/>
      <c r="D11" s="208" t="s">
        <v>429</v>
      </c>
      <c r="E11" s="208"/>
      <c r="F11" s="246">
        <v>-122122002</v>
      </c>
      <c r="G11" s="246">
        <v>-125697502</v>
      </c>
      <c r="H11" s="246">
        <f>SUM(F11:G11)/2</f>
        <v>-123909752</v>
      </c>
    </row>
    <row r="12" spans="1:10">
      <c r="A12" s="213">
        <f t="shared" ref="A12:A17" si="0">1+A11</f>
        <v>2</v>
      </c>
      <c r="B12" s="245" t="s">
        <v>453</v>
      </c>
      <c r="F12" s="246"/>
      <c r="G12" s="246"/>
      <c r="H12" s="246"/>
    </row>
    <row r="13" spans="1:10">
      <c r="A13" s="213">
        <f t="shared" si="0"/>
        <v>3</v>
      </c>
      <c r="B13" s="208" t="s">
        <v>388</v>
      </c>
      <c r="D13" s="39" t="s">
        <v>51</v>
      </c>
      <c r="F13" s="246">
        <v>-3792422.48</v>
      </c>
      <c r="G13" s="246">
        <v>-3135476.39</v>
      </c>
      <c r="H13" s="246">
        <f>SUM(F13:G13)/2</f>
        <v>-3463949.4350000001</v>
      </c>
    </row>
    <row r="14" spans="1:10">
      <c r="A14" s="213">
        <f t="shared" si="0"/>
        <v>4</v>
      </c>
      <c r="B14" s="208"/>
      <c r="F14" s="246"/>
      <c r="G14" s="246"/>
      <c r="H14" s="246"/>
    </row>
    <row r="15" spans="1:10">
      <c r="A15" s="213">
        <f t="shared" si="0"/>
        <v>5</v>
      </c>
      <c r="B15" s="208" t="s">
        <v>455</v>
      </c>
      <c r="D15" s="39" t="s">
        <v>458</v>
      </c>
      <c r="F15" s="247">
        <f>F11-F13</f>
        <v>-118329579.52</v>
      </c>
      <c r="G15" s="247">
        <f>G11-G13</f>
        <v>-122562025.61</v>
      </c>
      <c r="H15" s="247">
        <f>H11-H13</f>
        <v>-120445802.565</v>
      </c>
    </row>
    <row r="16" spans="1:10">
      <c r="A16" s="213">
        <f t="shared" si="0"/>
        <v>6</v>
      </c>
      <c r="B16" s="208"/>
      <c r="F16" s="246"/>
      <c r="G16" s="246"/>
      <c r="H16" s="246"/>
    </row>
    <row r="17" spans="1:8">
      <c r="A17" s="213">
        <f t="shared" si="0"/>
        <v>7</v>
      </c>
    </row>
    <row r="18" spans="1:8">
      <c r="A18" s="213">
        <f t="shared" ref="A18:A24" si="1">1+A17</f>
        <v>8</v>
      </c>
      <c r="B18" s="245" t="s">
        <v>118</v>
      </c>
      <c r="C18" s="208"/>
      <c r="E18" s="208"/>
      <c r="F18" s="246"/>
      <c r="G18" s="246"/>
      <c r="H18" s="246"/>
    </row>
    <row r="19" spans="1:8">
      <c r="A19" s="213">
        <f t="shared" si="1"/>
        <v>9</v>
      </c>
      <c r="B19" s="245" t="s">
        <v>461</v>
      </c>
      <c r="D19" s="208" t="s">
        <v>459</v>
      </c>
      <c r="F19" s="246">
        <v>5094675</v>
      </c>
      <c r="G19" s="246">
        <v>5020282</v>
      </c>
      <c r="H19" s="246">
        <f>SUM(F19:G19)/2</f>
        <v>5057478.5</v>
      </c>
    </row>
    <row r="20" spans="1:8">
      <c r="A20" s="213">
        <f t="shared" si="1"/>
        <v>10</v>
      </c>
      <c r="B20" s="245" t="s">
        <v>460</v>
      </c>
      <c r="D20" s="208"/>
      <c r="F20" s="248">
        <v>0.21</v>
      </c>
      <c r="G20" s="248">
        <v>0.21</v>
      </c>
      <c r="H20" s="246"/>
    </row>
    <row r="21" spans="1:8">
      <c r="A21" s="213">
        <f t="shared" si="1"/>
        <v>11</v>
      </c>
      <c r="B21" s="245"/>
      <c r="D21" s="208"/>
      <c r="F21" s="249">
        <f>F19*F20</f>
        <v>1069881.75</v>
      </c>
      <c r="G21" s="249">
        <f>G19*G20</f>
        <v>1054259.22</v>
      </c>
      <c r="H21" s="247">
        <f>SUM(F21:G21)/2</f>
        <v>1062070.4849999999</v>
      </c>
    </row>
    <row r="22" spans="1:8">
      <c r="A22" s="213">
        <f t="shared" si="1"/>
        <v>12</v>
      </c>
      <c r="D22" s="39" t="s">
        <v>466</v>
      </c>
      <c r="F22" s="246">
        <v>-97101164</v>
      </c>
      <c r="G22" s="246">
        <v>-100276081</v>
      </c>
      <c r="H22" s="246">
        <f>SUM(F22:G22)/2</f>
        <v>-98688622.5</v>
      </c>
    </row>
    <row r="23" spans="1:8">
      <c r="A23" s="213">
        <f t="shared" si="1"/>
        <v>13</v>
      </c>
      <c r="B23" s="208" t="s">
        <v>388</v>
      </c>
      <c r="D23" s="39" t="s">
        <v>51</v>
      </c>
      <c r="F23" s="246">
        <v>-2528281.66</v>
      </c>
      <c r="G23" s="246">
        <v>-2528281.66</v>
      </c>
      <c r="H23" s="246">
        <f>SUM(F23:G23)/2</f>
        <v>-2528281.66</v>
      </c>
    </row>
    <row r="24" spans="1:8">
      <c r="A24" s="213">
        <f t="shared" si="1"/>
        <v>14</v>
      </c>
      <c r="B24" s="208" t="s">
        <v>455</v>
      </c>
      <c r="D24" s="39" t="s">
        <v>465</v>
      </c>
      <c r="F24" s="247">
        <f>SUM(F21:F22)-F23</f>
        <v>-93503000.590000004</v>
      </c>
      <c r="G24" s="247">
        <f t="shared" ref="G24:H24" si="2">SUM(G21:G22)-G23</f>
        <v>-96693540.120000005</v>
      </c>
      <c r="H24" s="247">
        <f t="shared" si="2"/>
        <v>-95098270.355000004</v>
      </c>
    </row>
  </sheetData>
  <mergeCells count="3">
    <mergeCell ref="A3:H3"/>
    <mergeCell ref="A4:H4"/>
    <mergeCell ref="A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Cost of Service References</vt:lpstr>
      <vt:lpstr>Capital True up References</vt:lpstr>
      <vt:lpstr>BHP WP1 A&amp;G</vt:lpstr>
      <vt:lpstr>BHP WP4 Transmission Assets</vt:lpstr>
      <vt:lpstr>BHP WP6 Rate Base</vt:lpstr>
      <vt:lpstr>BHP WP9 Accum Depr</vt:lpstr>
      <vt:lpstr>BHP WP10 Plant in Service</vt:lpstr>
      <vt:lpstr>BHP WP11 Property Tax Expense</vt:lpstr>
      <vt:lpstr>BHP WP12 ADIT</vt:lpstr>
      <vt:lpstr>'BHP WP1 A&amp;G'!Print_Area</vt:lpstr>
      <vt:lpstr>'BHP WP10 Plant in Service'!Print_Area</vt:lpstr>
      <vt:lpstr>'BHP WP4 Transmission Assets'!Print_Area</vt:lpstr>
      <vt:lpstr>'BHP WP9 Accum Depr'!Print_Area</vt:lpstr>
      <vt:lpstr>'Capital True up References'!Print_Area</vt:lpstr>
    </vt:vector>
  </TitlesOfParts>
  <Company>BHC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Bisgaard, Debra</dc:creator>
  <cp:lastModifiedBy>Welbig, Jacki</cp:lastModifiedBy>
  <cp:lastPrinted>2016-05-31T15:34:06Z</cp:lastPrinted>
  <dcterms:created xsi:type="dcterms:W3CDTF">2015-05-28T18:39:45Z</dcterms:created>
  <dcterms:modified xsi:type="dcterms:W3CDTF">2019-05-28T14:27:51Z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